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omments36.xml" ContentType="application/vnd.openxmlformats-officedocument.spreadsheetml.comments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1\"/>
    </mc:Choice>
  </mc:AlternateContent>
  <xr:revisionPtr revIDLastSave="0" documentId="13_ncr:1_{937F80BA-4F0A-4F82-AB83-70B3602D8BC5}" xr6:coauthVersionLast="47" xr6:coauthVersionMax="47" xr10:uidLastSave="{00000000-0000-0000-0000-000000000000}"/>
  <bookViews>
    <workbookView xWindow="-120" yWindow="-120" windowWidth="29040" windowHeight="15720" tabRatio="999" firstSheet="6" activeTab="32" xr2:uid="{00000000-000D-0000-FFFF-FFFF00000000}"/>
  </bookViews>
  <sheets>
    <sheet name="01" sheetId="3" r:id="rId1"/>
    <sheet name="02" sheetId="4" r:id="rId2"/>
    <sheet name="03" sheetId="5" r:id="rId3"/>
    <sheet name="04" sheetId="6" r:id="rId4"/>
    <sheet name="05" sheetId="7" r:id="rId5"/>
    <sheet name="06" sheetId="8" r:id="rId6"/>
    <sheet name="07" sheetId="9" r:id="rId7"/>
    <sheet name="08" sheetId="10" r:id="rId8"/>
    <sheet name="09" sheetId="11" r:id="rId9"/>
    <sheet name="10" sheetId="12" r:id="rId10"/>
    <sheet name="11" sheetId="13" r:id="rId11"/>
    <sheet name="12" sheetId="15" r:id="rId12"/>
    <sheet name="13" sheetId="16" r:id="rId13"/>
    <sheet name="14" sheetId="17" r:id="rId14"/>
    <sheet name="15" sheetId="18" r:id="rId15"/>
    <sheet name="016" sheetId="19" r:id="rId16"/>
    <sheet name="16" sheetId="21" r:id="rId17"/>
    <sheet name="17" sheetId="22" r:id="rId18"/>
    <sheet name="18" sheetId="23" r:id="rId19"/>
    <sheet name="19" sheetId="24" r:id="rId20"/>
    <sheet name="20" sheetId="25" r:id="rId21"/>
    <sheet name="21" sheetId="26" r:id="rId22"/>
    <sheet name="22" sheetId="27" r:id="rId23"/>
    <sheet name="23" sheetId="28" r:id="rId24"/>
    <sheet name="24" sheetId="29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31" sheetId="36" r:id="rId32"/>
    <sheet name="32" sheetId="37" r:id="rId33"/>
    <sheet name="asar1" sheetId="38" r:id="rId34"/>
    <sheet name="NewSample" sheetId="20" r:id="rId35"/>
    <sheet name="OSample" sheetId="2" r:id="rId36"/>
    <sheet name="Sheet1" sheetId="1" r:id="rId37"/>
  </sheets>
  <externalReferences>
    <externalReference r:id="rId38"/>
  </externalReferences>
  <definedNames>
    <definedName name="IPP" localSheetId="0">#REF!</definedName>
    <definedName name="IPP" localSheetId="15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0">#REF!</definedName>
    <definedName name="IPP" localSheetId="31">#REF!</definedName>
    <definedName name="IPP" localSheetId="32">#REF!</definedName>
    <definedName name="IPP" localSheetId="33">#REF!</definedName>
    <definedName name="IPP" localSheetId="34">#REF!</definedName>
    <definedName name="IPP" localSheetId="35">#REF!</definedName>
    <definedName name="IPP">#REF!</definedName>
    <definedName name="ippp" localSheetId="0">#REF!</definedName>
    <definedName name="ippp" localSheetId="15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0">#REF!</definedName>
    <definedName name="ippp" localSheetId="31">#REF!</definedName>
    <definedName name="ippp" localSheetId="32">#REF!</definedName>
    <definedName name="ippp" localSheetId="33">#REF!</definedName>
    <definedName name="ippp" localSheetId="34">#REF!</definedName>
    <definedName name="ippp" localSheetId="35">#REF!</definedName>
    <definedName name="ippp">#REF!</definedName>
    <definedName name="sdasdf" localSheetId="0">#REF!</definedName>
    <definedName name="sdasdf" localSheetId="15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31">#REF!</definedName>
    <definedName name="sdasdf" localSheetId="32">#REF!</definedName>
    <definedName name="sdasdf" localSheetId="33">#REF!</definedName>
    <definedName name="sdasdf" localSheetId="34">#REF!</definedName>
    <definedName name="sdasdf" localSheetId="35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0" i="38" l="1"/>
  <c r="AA121" i="38"/>
  <c r="AA109" i="38"/>
  <c r="AA108" i="38"/>
  <c r="AA107" i="38"/>
  <c r="AA106" i="38"/>
  <c r="AA105" i="38"/>
  <c r="AA104" i="38"/>
  <c r="AA110" i="38" s="1"/>
  <c r="AA95" i="38"/>
  <c r="AA111" i="38" s="1"/>
  <c r="AA83" i="38"/>
  <c r="AA79" i="38"/>
  <c r="AA65" i="38"/>
  <c r="AA61" i="38"/>
  <c r="AA100" i="38" s="1"/>
  <c r="AA102" i="38" s="1"/>
  <c r="AA103" i="38" s="1"/>
  <c r="Z61" i="38"/>
  <c r="Z65" i="38"/>
  <c r="Z79" i="38"/>
  <c r="Z83" i="38"/>
  <c r="Z95" i="38"/>
  <c r="Z104" i="38"/>
  <c r="Z105" i="38"/>
  <c r="Z106" i="38"/>
  <c r="Z107" i="38"/>
  <c r="Z108" i="38"/>
  <c r="Z109" i="38"/>
  <c r="Z121" i="38"/>
  <c r="Y61" i="38"/>
  <c r="Y65" i="38"/>
  <c r="Y79" i="38"/>
  <c r="Y83" i="38"/>
  <c r="Y95" i="38"/>
  <c r="Y104" i="38"/>
  <c r="Y105" i="38"/>
  <c r="Y106" i="38"/>
  <c r="Y107" i="38"/>
  <c r="Y108" i="38"/>
  <c r="Y109" i="38"/>
  <c r="Y121" i="38"/>
  <c r="X61" i="38"/>
  <c r="X65" i="38"/>
  <c r="X79" i="38"/>
  <c r="X83" i="38"/>
  <c r="X95" i="38"/>
  <c r="X104" i="38"/>
  <c r="X105" i="38"/>
  <c r="X106" i="38"/>
  <c r="X107" i="38"/>
  <c r="X108" i="38"/>
  <c r="X109" i="38"/>
  <c r="X121" i="38"/>
  <c r="Z110" i="38" l="1"/>
  <c r="Z111" i="38" s="1"/>
  <c r="Z100" i="38"/>
  <c r="Z102" i="38" s="1"/>
  <c r="Z103" i="38" s="1"/>
  <c r="Y110" i="38"/>
  <c r="Y111" i="38" s="1"/>
  <c r="Y100" i="38"/>
  <c r="Y102" i="38" s="1"/>
  <c r="Y103" i="38" s="1"/>
  <c r="X110" i="38"/>
  <c r="X111" i="38"/>
  <c r="X100" i="38"/>
  <c r="X102" i="38" s="1"/>
  <c r="X103" i="38" s="1"/>
  <c r="W61" i="38"/>
  <c r="W65" i="38"/>
  <c r="W79" i="38"/>
  <c r="W83" i="38"/>
  <c r="W95" i="38"/>
  <c r="W104" i="38"/>
  <c r="W105" i="38"/>
  <c r="W106" i="38"/>
  <c r="W107" i="38"/>
  <c r="W108" i="38"/>
  <c r="W109" i="38"/>
  <c r="W121" i="38"/>
  <c r="V61" i="38"/>
  <c r="V65" i="38"/>
  <c r="V79" i="38"/>
  <c r="V83" i="38"/>
  <c r="V95" i="38"/>
  <c r="V104" i="38"/>
  <c r="V105" i="38"/>
  <c r="V106" i="38"/>
  <c r="V107" i="38"/>
  <c r="V108" i="38"/>
  <c r="V109" i="38"/>
  <c r="V121" i="38"/>
  <c r="U61" i="38"/>
  <c r="U65" i="38"/>
  <c r="U79" i="38"/>
  <c r="U83" i="38"/>
  <c r="U95" i="38"/>
  <c r="U104" i="38"/>
  <c r="U105" i="38"/>
  <c r="U106" i="38"/>
  <c r="U107" i="38"/>
  <c r="U108" i="38"/>
  <c r="U109" i="38"/>
  <c r="U121" i="38"/>
  <c r="T61" i="38"/>
  <c r="T65" i="38"/>
  <c r="T79" i="38"/>
  <c r="T83" i="38"/>
  <c r="T95" i="38"/>
  <c r="T104" i="38"/>
  <c r="T105" i="38"/>
  <c r="T106" i="38"/>
  <c r="T107" i="38"/>
  <c r="T108" i="38"/>
  <c r="T109" i="38"/>
  <c r="T121" i="38"/>
  <c r="S61" i="38"/>
  <c r="S65" i="38"/>
  <c r="S79" i="38"/>
  <c r="S83" i="38"/>
  <c r="S95" i="38"/>
  <c r="S104" i="38"/>
  <c r="S105" i="38"/>
  <c r="S106" i="38"/>
  <c r="S107" i="38"/>
  <c r="S108" i="38"/>
  <c r="S109" i="38"/>
  <c r="S121" i="38"/>
  <c r="W110" i="38" l="1"/>
  <c r="W111" i="38" s="1"/>
  <c r="V100" i="38"/>
  <c r="V102" i="38" s="1"/>
  <c r="W100" i="38"/>
  <c r="W102" i="38" s="1"/>
  <c r="V110" i="38"/>
  <c r="V103" i="38" s="1"/>
  <c r="U110" i="38"/>
  <c r="U111" i="38" s="1"/>
  <c r="U100" i="38"/>
  <c r="U102" i="38" s="1"/>
  <c r="T110" i="38"/>
  <c r="T111" i="38" s="1"/>
  <c r="T100" i="38"/>
  <c r="T102" i="38" s="1"/>
  <c r="T103" i="38" s="1"/>
  <c r="S110" i="38"/>
  <c r="S100" i="38"/>
  <c r="S102" i="38" s="1"/>
  <c r="S103" i="38" s="1"/>
  <c r="S111" i="38"/>
  <c r="W103" i="38" l="1"/>
  <c r="V111" i="38"/>
  <c r="U103" i="38"/>
  <c r="G61" i="38" l="1"/>
  <c r="G65" i="38"/>
  <c r="G79" i="38"/>
  <c r="G83" i="38"/>
  <c r="C61" i="38" l="1"/>
  <c r="D61" i="38"/>
  <c r="C65" i="38"/>
  <c r="D65" i="38"/>
  <c r="C79" i="38"/>
  <c r="D79" i="38"/>
  <c r="AO18" i="38" s="1"/>
  <c r="C83" i="38"/>
  <c r="AN20" i="38" s="1"/>
  <c r="D83" i="38"/>
  <c r="C95" i="38"/>
  <c r="D95" i="38"/>
  <c r="C104" i="38"/>
  <c r="D104" i="38"/>
  <c r="C105" i="38"/>
  <c r="D105" i="38"/>
  <c r="C106" i="38"/>
  <c r="C110" i="38" s="1"/>
  <c r="D106" i="38"/>
  <c r="D110" i="38" s="1"/>
  <c r="C107" i="38"/>
  <c r="D107" i="38"/>
  <c r="C108" i="38"/>
  <c r="D108" i="38"/>
  <c r="C109" i="38"/>
  <c r="D109" i="38"/>
  <c r="C121" i="38"/>
  <c r="D121" i="38"/>
  <c r="B121" i="38"/>
  <c r="B109" i="38"/>
  <c r="B108" i="38"/>
  <c r="B107" i="38"/>
  <c r="B106" i="38"/>
  <c r="B105" i="38"/>
  <c r="B104" i="38"/>
  <c r="B110" i="38" s="1"/>
  <c r="B95" i="38"/>
  <c r="B111" i="38" s="1"/>
  <c r="B83" i="38"/>
  <c r="B79" i="38"/>
  <c r="B65" i="38"/>
  <c r="B61" i="38"/>
  <c r="AG255" i="38"/>
  <c r="C255" i="38"/>
  <c r="D254" i="38"/>
  <c r="E254" i="38" s="1"/>
  <c r="F254" i="38" s="1"/>
  <c r="G254" i="38" s="1"/>
  <c r="H254" i="38" s="1"/>
  <c r="I254" i="38" s="1"/>
  <c r="J254" i="38" s="1"/>
  <c r="K254" i="38" s="1"/>
  <c r="L254" i="38" s="1"/>
  <c r="M254" i="38" s="1"/>
  <c r="N254" i="38" s="1"/>
  <c r="O254" i="38" s="1"/>
  <c r="P254" i="38" s="1"/>
  <c r="Q254" i="38" s="1"/>
  <c r="R254" i="38" s="1"/>
  <c r="S254" i="38" s="1"/>
  <c r="T254" i="38" s="1"/>
  <c r="U254" i="38" s="1"/>
  <c r="V254" i="38" s="1"/>
  <c r="W254" i="38" s="1"/>
  <c r="X254" i="38" s="1"/>
  <c r="Y254" i="38" s="1"/>
  <c r="Z254" i="38" s="1"/>
  <c r="AA254" i="38" s="1"/>
  <c r="AB254" i="38" s="1"/>
  <c r="AC254" i="38" s="1"/>
  <c r="AD254" i="38" s="1"/>
  <c r="AE254" i="38" s="1"/>
  <c r="AF254" i="38" s="1"/>
  <c r="B254" i="38" s="1"/>
  <c r="J253" i="38"/>
  <c r="K253" i="38" s="1"/>
  <c r="L253" i="38" s="1"/>
  <c r="M253" i="38" s="1"/>
  <c r="N253" i="38" s="1"/>
  <c r="O253" i="38" s="1"/>
  <c r="P253" i="38" s="1"/>
  <c r="Q253" i="38" s="1"/>
  <c r="R253" i="38" s="1"/>
  <c r="S253" i="38" s="1"/>
  <c r="T253" i="38" s="1"/>
  <c r="U253" i="38" s="1"/>
  <c r="V253" i="38" s="1"/>
  <c r="W253" i="38" s="1"/>
  <c r="X253" i="38" s="1"/>
  <c r="Y253" i="38" s="1"/>
  <c r="Z253" i="38" s="1"/>
  <c r="AA253" i="38" s="1"/>
  <c r="AB253" i="38" s="1"/>
  <c r="AC253" i="38" s="1"/>
  <c r="AD253" i="38" s="1"/>
  <c r="AE253" i="38" s="1"/>
  <c r="AF253" i="38" s="1"/>
  <c r="B253" i="38" s="1"/>
  <c r="D253" i="38"/>
  <c r="E253" i="38" s="1"/>
  <c r="F253" i="38" s="1"/>
  <c r="G253" i="38" s="1"/>
  <c r="H253" i="38" s="1"/>
  <c r="I253" i="38" s="1"/>
  <c r="Y252" i="38"/>
  <c r="Z252" i="38" s="1"/>
  <c r="AA252" i="38" s="1"/>
  <c r="AB252" i="38" s="1"/>
  <c r="AC252" i="38" s="1"/>
  <c r="AD252" i="38" s="1"/>
  <c r="AE252" i="38" s="1"/>
  <c r="AF252" i="38" s="1"/>
  <c r="B252" i="38" s="1"/>
  <c r="E252" i="38"/>
  <c r="F252" i="38" s="1"/>
  <c r="G252" i="38" s="1"/>
  <c r="H252" i="38" s="1"/>
  <c r="I252" i="38" s="1"/>
  <c r="J252" i="38" s="1"/>
  <c r="K252" i="38" s="1"/>
  <c r="L252" i="38" s="1"/>
  <c r="M252" i="38" s="1"/>
  <c r="N252" i="38" s="1"/>
  <c r="O252" i="38" s="1"/>
  <c r="P252" i="38" s="1"/>
  <c r="Q252" i="38" s="1"/>
  <c r="R252" i="38" s="1"/>
  <c r="S252" i="38" s="1"/>
  <c r="T252" i="38" s="1"/>
  <c r="U252" i="38" s="1"/>
  <c r="V252" i="38" s="1"/>
  <c r="W252" i="38" s="1"/>
  <c r="X252" i="38" s="1"/>
  <c r="D252" i="38"/>
  <c r="F251" i="38"/>
  <c r="G251" i="38" s="1"/>
  <c r="H251" i="38" s="1"/>
  <c r="I251" i="38" s="1"/>
  <c r="J251" i="38" s="1"/>
  <c r="K251" i="38" s="1"/>
  <c r="L251" i="38" s="1"/>
  <c r="M251" i="38" s="1"/>
  <c r="N251" i="38" s="1"/>
  <c r="O251" i="38" s="1"/>
  <c r="P251" i="38" s="1"/>
  <c r="Q251" i="38" s="1"/>
  <c r="R251" i="38" s="1"/>
  <c r="S251" i="38" s="1"/>
  <c r="T251" i="38" s="1"/>
  <c r="U251" i="38" s="1"/>
  <c r="V251" i="38" s="1"/>
  <c r="W251" i="38" s="1"/>
  <c r="X251" i="38" s="1"/>
  <c r="Y251" i="38" s="1"/>
  <c r="Z251" i="38" s="1"/>
  <c r="AA251" i="38" s="1"/>
  <c r="AB251" i="38" s="1"/>
  <c r="AC251" i="38" s="1"/>
  <c r="AD251" i="38" s="1"/>
  <c r="AE251" i="38" s="1"/>
  <c r="AF251" i="38" s="1"/>
  <c r="B251" i="38" s="1"/>
  <c r="D251" i="38"/>
  <c r="E251" i="38" s="1"/>
  <c r="D250" i="38"/>
  <c r="E250" i="38" s="1"/>
  <c r="F250" i="38" s="1"/>
  <c r="G250" i="38" s="1"/>
  <c r="H250" i="38" s="1"/>
  <c r="I250" i="38" s="1"/>
  <c r="J250" i="38" s="1"/>
  <c r="K250" i="38" s="1"/>
  <c r="L250" i="38" s="1"/>
  <c r="M250" i="38" s="1"/>
  <c r="N250" i="38" s="1"/>
  <c r="O250" i="38" s="1"/>
  <c r="P250" i="38" s="1"/>
  <c r="Q250" i="38" s="1"/>
  <c r="R250" i="38" s="1"/>
  <c r="S250" i="38" s="1"/>
  <c r="T250" i="38" s="1"/>
  <c r="U250" i="38" s="1"/>
  <c r="V250" i="38" s="1"/>
  <c r="W250" i="38" s="1"/>
  <c r="X250" i="38" s="1"/>
  <c r="Y250" i="38" s="1"/>
  <c r="Z250" i="38" s="1"/>
  <c r="AA250" i="38" s="1"/>
  <c r="AB250" i="38" s="1"/>
  <c r="AC250" i="38" s="1"/>
  <c r="AD250" i="38" s="1"/>
  <c r="AE250" i="38" s="1"/>
  <c r="AF250" i="38" s="1"/>
  <c r="B250" i="38" s="1"/>
  <c r="D249" i="38"/>
  <c r="AG247" i="38"/>
  <c r="AF247" i="38"/>
  <c r="AE247" i="38"/>
  <c r="AD247" i="38"/>
  <c r="AC247" i="38"/>
  <c r="AB247" i="38"/>
  <c r="AA247" i="38"/>
  <c r="Z247" i="38"/>
  <c r="Y247" i="38"/>
  <c r="X247" i="38"/>
  <c r="W247" i="38"/>
  <c r="V247" i="38"/>
  <c r="U247" i="38"/>
  <c r="T247" i="38"/>
  <c r="S247" i="38"/>
  <c r="R247" i="38"/>
  <c r="Q247" i="38"/>
  <c r="P247" i="38"/>
  <c r="O247" i="38"/>
  <c r="N247" i="38"/>
  <c r="M247" i="38"/>
  <c r="L247" i="38"/>
  <c r="K247" i="38"/>
  <c r="J247" i="38"/>
  <c r="I247" i="38"/>
  <c r="H247" i="38"/>
  <c r="G247" i="38"/>
  <c r="F247" i="38"/>
  <c r="E247" i="38"/>
  <c r="D247" i="38"/>
  <c r="C247" i="38"/>
  <c r="B247" i="38"/>
  <c r="AI133" i="38"/>
  <c r="AH133" i="38"/>
  <c r="AI132" i="38"/>
  <c r="AH132" i="38"/>
  <c r="AI131" i="38"/>
  <c r="AH131" i="38"/>
  <c r="AI130" i="38"/>
  <c r="AH130" i="38"/>
  <c r="AI129" i="38"/>
  <c r="AH129" i="38"/>
  <c r="AI126" i="38"/>
  <c r="AH126" i="38"/>
  <c r="AI125" i="38"/>
  <c r="AH125" i="38"/>
  <c r="AI124" i="38"/>
  <c r="AH124" i="38"/>
  <c r="AI123" i="38"/>
  <c r="AH123" i="38"/>
  <c r="AI122" i="38"/>
  <c r="AH122" i="38"/>
  <c r="AI120" i="38"/>
  <c r="AH120" i="38"/>
  <c r="AI119" i="38"/>
  <c r="AH119" i="38"/>
  <c r="AI118" i="38"/>
  <c r="AH118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F111" i="38"/>
  <c r="AF109" i="38"/>
  <c r="AE109" i="38"/>
  <c r="AD109" i="38"/>
  <c r="AC109" i="38"/>
  <c r="AB109" i="38"/>
  <c r="R109" i="38"/>
  <c r="Q109" i="38"/>
  <c r="P109" i="38"/>
  <c r="O109" i="38"/>
  <c r="N109" i="38"/>
  <c r="M109" i="38"/>
  <c r="L109" i="38"/>
  <c r="K109" i="38"/>
  <c r="AI109" i="38" s="1"/>
  <c r="J109" i="38"/>
  <c r="I109" i="38"/>
  <c r="H109" i="38"/>
  <c r="G109" i="38"/>
  <c r="F109" i="38"/>
  <c r="E109" i="38"/>
  <c r="AH109" i="38"/>
  <c r="AF108" i="38"/>
  <c r="AE108" i="38"/>
  <c r="AD108" i="38"/>
  <c r="AC108" i="38"/>
  <c r="AB108" i="38"/>
  <c r="R108" i="38"/>
  <c r="Q108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AF107" i="38"/>
  <c r="AE107" i="38"/>
  <c r="AD107" i="38"/>
  <c r="AC107" i="38"/>
  <c r="AB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AF106" i="38"/>
  <c r="AE106" i="38"/>
  <c r="AD106" i="38"/>
  <c r="AC106" i="38"/>
  <c r="AB106" i="38"/>
  <c r="R106" i="38"/>
  <c r="Q106" i="38"/>
  <c r="P106" i="38"/>
  <c r="O106" i="38"/>
  <c r="N106" i="38"/>
  <c r="M106" i="38"/>
  <c r="L106" i="38"/>
  <c r="K106" i="38"/>
  <c r="J106" i="38"/>
  <c r="J110" i="38" s="1"/>
  <c r="I106" i="38"/>
  <c r="H106" i="38"/>
  <c r="G106" i="38"/>
  <c r="F106" i="38"/>
  <c r="E106" i="38"/>
  <c r="AF105" i="38"/>
  <c r="AE105" i="38"/>
  <c r="AD105" i="38"/>
  <c r="AC105" i="38"/>
  <c r="AB105" i="38"/>
  <c r="R105" i="38"/>
  <c r="Q105" i="38"/>
  <c r="P105" i="38"/>
  <c r="O105" i="38"/>
  <c r="N105" i="38"/>
  <c r="M105" i="38"/>
  <c r="L105" i="38"/>
  <c r="K105" i="38"/>
  <c r="K110" i="38" s="1"/>
  <c r="AT23" i="38" s="1"/>
  <c r="J105" i="38"/>
  <c r="I105" i="38"/>
  <c r="H105" i="38"/>
  <c r="G105" i="38"/>
  <c r="F105" i="38"/>
  <c r="E105" i="38"/>
  <c r="AF104" i="38"/>
  <c r="AF110" i="38" s="1"/>
  <c r="AE104" i="38"/>
  <c r="AD104" i="38"/>
  <c r="AC104" i="38"/>
  <c r="AC110" i="38" s="1"/>
  <c r="AB104" i="38"/>
  <c r="BA23" i="38"/>
  <c r="R104" i="38"/>
  <c r="Q104" i="38"/>
  <c r="Q110" i="38" s="1"/>
  <c r="AY23" i="38" s="1"/>
  <c r="P104" i="38"/>
  <c r="O104" i="38"/>
  <c r="N104" i="38"/>
  <c r="M104" i="38"/>
  <c r="L104" i="38"/>
  <c r="K104" i="38"/>
  <c r="J104" i="38"/>
  <c r="I104" i="38"/>
  <c r="I110" i="38" s="1"/>
  <c r="AS23" i="38" s="1"/>
  <c r="H104" i="38"/>
  <c r="H110" i="38" s="1"/>
  <c r="G104" i="38"/>
  <c r="F104" i="38"/>
  <c r="E104" i="38"/>
  <c r="E110" i="38" s="1"/>
  <c r="AA7" i="38"/>
  <c r="AI101" i="38"/>
  <c r="AH101" i="38"/>
  <c r="X7" i="38"/>
  <c r="AI99" i="38"/>
  <c r="AH99" i="38"/>
  <c r="AG99" i="38"/>
  <c r="AI98" i="38"/>
  <c r="AH98" i="38"/>
  <c r="AI97" i="38"/>
  <c r="AH97" i="38"/>
  <c r="AI96" i="38"/>
  <c r="AH96" i="38"/>
  <c r="AG95" i="38"/>
  <c r="AF95" i="38"/>
  <c r="AE95" i="38"/>
  <c r="AD95" i="38"/>
  <c r="AC5" i="38" s="1"/>
  <c r="AC95" i="38"/>
  <c r="AC111" i="38" s="1"/>
  <c r="AB95" i="38"/>
  <c r="R95" i="38"/>
  <c r="Q95" i="38"/>
  <c r="P95" i="38"/>
  <c r="O95" i="38"/>
  <c r="AW19" i="38" s="1"/>
  <c r="N95" i="38"/>
  <c r="AV19" i="38" s="1"/>
  <c r="M95" i="38"/>
  <c r="AU19" i="38" s="1"/>
  <c r="L95" i="38"/>
  <c r="K95" i="38"/>
  <c r="J95" i="38"/>
  <c r="I5" i="38" s="1"/>
  <c r="I95" i="38"/>
  <c r="H5" i="38" s="1"/>
  <c r="H95" i="38"/>
  <c r="G95" i="38"/>
  <c r="AR19" i="38" s="1"/>
  <c r="F95" i="38"/>
  <c r="E95" i="38"/>
  <c r="AI94" i="38"/>
  <c r="AH94" i="38"/>
  <c r="AI93" i="38"/>
  <c r="AH93" i="38"/>
  <c r="AI92" i="38"/>
  <c r="AH92" i="38"/>
  <c r="AI91" i="38"/>
  <c r="AH91" i="38"/>
  <c r="AI90" i="38"/>
  <c r="AH90" i="38"/>
  <c r="AI89" i="38"/>
  <c r="AH89" i="38"/>
  <c r="AI88" i="38"/>
  <c r="AH88" i="38"/>
  <c r="AI87" i="38"/>
  <c r="AH87" i="38"/>
  <c r="AI86" i="38"/>
  <c r="AH86" i="38"/>
  <c r="AI85" i="38"/>
  <c r="AH85" i="38"/>
  <c r="AI84" i="38"/>
  <c r="AH84" i="38"/>
  <c r="AG83" i="38"/>
  <c r="AF83" i="38"/>
  <c r="AE83" i="38"/>
  <c r="AD83" i="38"/>
  <c r="BH20" i="38" s="1"/>
  <c r="AC83" i="38"/>
  <c r="AB83" i="38"/>
  <c r="BG20" i="38" s="1"/>
  <c r="BB20" i="38"/>
  <c r="BA20" i="38"/>
  <c r="R83" i="38"/>
  <c r="Q83" i="38"/>
  <c r="P83" i="38"/>
  <c r="O83" i="38"/>
  <c r="AW20" i="38" s="1"/>
  <c r="N83" i="38"/>
  <c r="M83" i="38"/>
  <c r="L83" i="38"/>
  <c r="K83" i="38"/>
  <c r="AT20" i="38" s="1"/>
  <c r="J83" i="38"/>
  <c r="I83" i="38"/>
  <c r="H83" i="38"/>
  <c r="F83" i="38"/>
  <c r="E83" i="38"/>
  <c r="AI82" i="38"/>
  <c r="AH82" i="38"/>
  <c r="AI81" i="38"/>
  <c r="AH81" i="38"/>
  <c r="AI80" i="38"/>
  <c r="AH80" i="38"/>
  <c r="AF79" i="38"/>
  <c r="AE79" i="38"/>
  <c r="AD79" i="38"/>
  <c r="AC79" i="38"/>
  <c r="AB79" i="38"/>
  <c r="BF18" i="38"/>
  <c r="BE18" i="38"/>
  <c r="BA18" i="38"/>
  <c r="R79" i="38"/>
  <c r="Q79" i="38"/>
  <c r="P79" i="38"/>
  <c r="AX18" i="38" s="1"/>
  <c r="O79" i="38"/>
  <c r="N79" i="38"/>
  <c r="M79" i="38"/>
  <c r="L79" i="38"/>
  <c r="K79" i="38"/>
  <c r="AT18" i="38" s="1"/>
  <c r="J79" i="38"/>
  <c r="I79" i="38"/>
  <c r="H79" i="38"/>
  <c r="F79" i="38"/>
  <c r="AQ18" i="38" s="1"/>
  <c r="E79" i="38"/>
  <c r="AP18" i="38" s="1"/>
  <c r="BT78" i="38"/>
  <c r="BL78" i="38"/>
  <c r="BI78" i="38"/>
  <c r="BD78" i="38"/>
  <c r="AI78" i="38"/>
  <c r="AH78" i="38"/>
  <c r="AG78" i="38"/>
  <c r="AG79" i="38" s="1"/>
  <c r="BV77" i="38"/>
  <c r="BC77" i="38"/>
  <c r="BA77" i="38"/>
  <c r="AI77" i="38"/>
  <c r="AH77" i="38"/>
  <c r="BU76" i="38"/>
  <c r="BH76" i="38"/>
  <c r="BE76" i="38"/>
  <c r="AI76" i="38"/>
  <c r="AH76" i="38"/>
  <c r="BU75" i="38"/>
  <c r="AI75" i="38"/>
  <c r="AH75" i="38"/>
  <c r="BV74" i="38"/>
  <c r="BU74" i="38"/>
  <c r="BL74" i="38"/>
  <c r="BI74" i="38"/>
  <c r="BE74" i="38"/>
  <c r="BD74" i="38"/>
  <c r="AI74" i="38"/>
  <c r="AH74" i="38"/>
  <c r="BV73" i="38"/>
  <c r="BK73" i="38"/>
  <c r="BB73" i="38"/>
  <c r="AI73" i="38"/>
  <c r="AH73" i="38"/>
  <c r="AI72" i="38"/>
  <c r="AH72" i="38"/>
  <c r="BW71" i="38"/>
  <c r="BW78" i="38" s="1"/>
  <c r="BV71" i="38"/>
  <c r="BV78" i="38" s="1"/>
  <c r="BU71" i="38"/>
  <c r="BU78" i="38" s="1"/>
  <c r="BT71" i="38"/>
  <c r="BS71" i="38"/>
  <c r="BS78" i="38" s="1"/>
  <c r="BR71" i="38"/>
  <c r="BR78" i="38" s="1"/>
  <c r="BQ71" i="38"/>
  <c r="BQ78" i="38" s="1"/>
  <c r="BP71" i="38"/>
  <c r="BP78" i="38" s="1"/>
  <c r="BO71" i="38"/>
  <c r="BO78" i="38" s="1"/>
  <c r="BN71" i="38"/>
  <c r="BN78" i="38" s="1"/>
  <c r="BM71" i="38"/>
  <c r="BM78" i="38" s="1"/>
  <c r="BL71" i="38"/>
  <c r="BK71" i="38"/>
  <c r="BK78" i="38" s="1"/>
  <c r="BJ71" i="38"/>
  <c r="BJ78" i="38" s="1"/>
  <c r="BI71" i="38"/>
  <c r="BH71" i="38"/>
  <c r="BH78" i="38" s="1"/>
  <c r="BG71" i="38"/>
  <c r="BG78" i="38" s="1"/>
  <c r="BF71" i="38"/>
  <c r="BF78" i="38" s="1"/>
  <c r="BE71" i="38"/>
  <c r="BE78" i="38" s="1"/>
  <c r="BD71" i="38"/>
  <c r="BC71" i="38"/>
  <c r="BC78" i="38" s="1"/>
  <c r="BB71" i="38"/>
  <c r="BB78" i="38" s="1"/>
  <c r="BA71" i="38"/>
  <c r="BA78" i="38" s="1"/>
  <c r="AZ71" i="38"/>
  <c r="AZ78" i="38" s="1"/>
  <c r="AI71" i="38"/>
  <c r="AH71" i="38"/>
  <c r="BW70" i="38"/>
  <c r="BW77" i="38" s="1"/>
  <c r="BV70" i="38"/>
  <c r="BU70" i="38"/>
  <c r="BU77" i="38" s="1"/>
  <c r="BT70" i="38"/>
  <c r="BT77" i="38" s="1"/>
  <c r="BS70" i="38"/>
  <c r="BS77" i="38" s="1"/>
  <c r="BR70" i="38"/>
  <c r="BR77" i="38" s="1"/>
  <c r="BQ70" i="38"/>
  <c r="BQ77" i="38" s="1"/>
  <c r="BP70" i="38"/>
  <c r="BP77" i="38" s="1"/>
  <c r="BO70" i="38"/>
  <c r="BO77" i="38" s="1"/>
  <c r="BN70" i="38"/>
  <c r="BN77" i="38" s="1"/>
  <c r="BM70" i="38"/>
  <c r="BM77" i="38" s="1"/>
  <c r="BL70" i="38"/>
  <c r="BL77" i="38" s="1"/>
  <c r="BK70" i="38"/>
  <c r="BK77" i="38" s="1"/>
  <c r="BJ70" i="38"/>
  <c r="BJ77" i="38" s="1"/>
  <c r="BI70" i="38"/>
  <c r="BI77" i="38" s="1"/>
  <c r="BH70" i="38"/>
  <c r="BH77" i="38" s="1"/>
  <c r="BG70" i="38"/>
  <c r="BG77" i="38" s="1"/>
  <c r="BF70" i="38"/>
  <c r="BF77" i="38" s="1"/>
  <c r="BE70" i="38"/>
  <c r="BE77" i="38" s="1"/>
  <c r="BD70" i="38"/>
  <c r="BD77" i="38" s="1"/>
  <c r="BC70" i="38"/>
  <c r="BB70" i="38"/>
  <c r="BB77" i="38" s="1"/>
  <c r="BA70" i="38"/>
  <c r="AZ70" i="38"/>
  <c r="AZ77" i="38" s="1"/>
  <c r="AI70" i="38"/>
  <c r="AH70" i="38"/>
  <c r="BW69" i="38"/>
  <c r="BW76" i="38" s="1"/>
  <c r="BV69" i="38"/>
  <c r="BV76" i="38" s="1"/>
  <c r="BU69" i="38"/>
  <c r="BT69" i="38"/>
  <c r="BT76" i="38" s="1"/>
  <c r="BS69" i="38"/>
  <c r="BS76" i="38" s="1"/>
  <c r="BR69" i="38"/>
  <c r="BR76" i="38" s="1"/>
  <c r="BQ69" i="38"/>
  <c r="BQ76" i="38" s="1"/>
  <c r="BP69" i="38"/>
  <c r="BP76" i="38" s="1"/>
  <c r="BO69" i="38"/>
  <c r="BO76" i="38" s="1"/>
  <c r="BN69" i="38"/>
  <c r="BN76" i="38" s="1"/>
  <c r="BM69" i="38"/>
  <c r="BM76" i="38" s="1"/>
  <c r="BL69" i="38"/>
  <c r="BL76" i="38" s="1"/>
  <c r="BK69" i="38"/>
  <c r="BK76" i="38" s="1"/>
  <c r="BJ69" i="38"/>
  <c r="BJ76" i="38" s="1"/>
  <c r="BI69" i="38"/>
  <c r="BI76" i="38" s="1"/>
  <c r="BH69" i="38"/>
  <c r="BG69" i="38"/>
  <c r="BG76" i="38" s="1"/>
  <c r="BF69" i="38"/>
  <c r="BF76" i="38" s="1"/>
  <c r="BE69" i="38"/>
  <c r="BD69" i="38"/>
  <c r="BD76" i="38" s="1"/>
  <c r="BC69" i="38"/>
  <c r="BC76" i="38" s="1"/>
  <c r="BB69" i="38"/>
  <c r="BB76" i="38" s="1"/>
  <c r="BA69" i="38"/>
  <c r="BA76" i="38" s="1"/>
  <c r="AZ69" i="38"/>
  <c r="AZ76" i="38" s="1"/>
  <c r="AI69" i="38"/>
  <c r="AH69" i="38"/>
  <c r="BW68" i="38"/>
  <c r="BW75" i="38" s="1"/>
  <c r="BV68" i="38"/>
  <c r="BV75" i="38" s="1"/>
  <c r="BU68" i="38"/>
  <c r="BT68" i="38"/>
  <c r="BT75" i="38" s="1"/>
  <c r="BS68" i="38"/>
  <c r="BS75" i="38" s="1"/>
  <c r="BR68" i="38"/>
  <c r="BR75" i="38" s="1"/>
  <c r="BQ68" i="38"/>
  <c r="BQ75" i="38" s="1"/>
  <c r="BP68" i="38"/>
  <c r="BP75" i="38" s="1"/>
  <c r="BO68" i="38"/>
  <c r="BO75" i="38" s="1"/>
  <c r="BN68" i="38"/>
  <c r="BN75" i="38" s="1"/>
  <c r="BM68" i="38"/>
  <c r="BM75" i="38" s="1"/>
  <c r="BL68" i="38"/>
  <c r="BL75" i="38" s="1"/>
  <c r="BK68" i="38"/>
  <c r="BK75" i="38" s="1"/>
  <c r="BJ68" i="38"/>
  <c r="BJ75" i="38" s="1"/>
  <c r="BI68" i="38"/>
  <c r="BI75" i="38" s="1"/>
  <c r="BH68" i="38"/>
  <c r="BH75" i="38" s="1"/>
  <c r="BG68" i="38"/>
  <c r="BG75" i="38" s="1"/>
  <c r="BF68" i="38"/>
  <c r="BF75" i="38" s="1"/>
  <c r="BE68" i="38"/>
  <c r="BE75" i="38" s="1"/>
  <c r="BD68" i="38"/>
  <c r="BD75" i="38" s="1"/>
  <c r="BC68" i="38"/>
  <c r="BC75" i="38" s="1"/>
  <c r="BB68" i="38"/>
  <c r="BB75" i="38" s="1"/>
  <c r="BA68" i="38"/>
  <c r="BA75" i="38" s="1"/>
  <c r="AZ68" i="38"/>
  <c r="AZ75" i="38" s="1"/>
  <c r="AI68" i="38"/>
  <c r="AH68" i="38"/>
  <c r="BW67" i="38"/>
  <c r="BW74" i="38" s="1"/>
  <c r="BV67" i="38"/>
  <c r="BU67" i="38"/>
  <c r="BT67" i="38"/>
  <c r="BT74" i="38" s="1"/>
  <c r="BS67" i="38"/>
  <c r="BS74" i="38" s="1"/>
  <c r="BR67" i="38"/>
  <c r="BR74" i="38" s="1"/>
  <c r="BQ67" i="38"/>
  <c r="BQ74" i="38" s="1"/>
  <c r="BP67" i="38"/>
  <c r="BP74" i="38" s="1"/>
  <c r="BO67" i="38"/>
  <c r="BO74" i="38" s="1"/>
  <c r="BN67" i="38"/>
  <c r="BN74" i="38" s="1"/>
  <c r="BM67" i="38"/>
  <c r="BM74" i="38" s="1"/>
  <c r="BL67" i="38"/>
  <c r="BK67" i="38"/>
  <c r="BK74" i="38" s="1"/>
  <c r="BJ67" i="38"/>
  <c r="BJ74" i="38" s="1"/>
  <c r="BI67" i="38"/>
  <c r="BH67" i="38"/>
  <c r="BH74" i="38" s="1"/>
  <c r="BG67" i="38"/>
  <c r="BG74" i="38" s="1"/>
  <c r="BF67" i="38"/>
  <c r="BF74" i="38" s="1"/>
  <c r="BE67" i="38"/>
  <c r="BD67" i="38"/>
  <c r="BC67" i="38"/>
  <c r="BC74" i="38" s="1"/>
  <c r="BB67" i="38"/>
  <c r="BB74" i="38" s="1"/>
  <c r="BA67" i="38"/>
  <c r="BA74" i="38" s="1"/>
  <c r="AZ67" i="38"/>
  <c r="AZ74" i="38" s="1"/>
  <c r="AI67" i="38"/>
  <c r="AH67" i="38"/>
  <c r="BW66" i="38"/>
  <c r="BW73" i="38" s="1"/>
  <c r="BV66" i="38"/>
  <c r="BU66" i="38"/>
  <c r="BU73" i="38" s="1"/>
  <c r="BT66" i="38"/>
  <c r="BT73" i="38" s="1"/>
  <c r="BS66" i="38"/>
  <c r="BS73" i="38" s="1"/>
  <c r="BR66" i="38"/>
  <c r="BR73" i="38" s="1"/>
  <c r="BQ66" i="38"/>
  <c r="BQ73" i="38" s="1"/>
  <c r="BP66" i="38"/>
  <c r="BP73" i="38" s="1"/>
  <c r="BO66" i="38"/>
  <c r="BO73" i="38" s="1"/>
  <c r="BN66" i="38"/>
  <c r="BN73" i="38" s="1"/>
  <c r="BM66" i="38"/>
  <c r="BM73" i="38" s="1"/>
  <c r="BL66" i="38"/>
  <c r="BL73" i="38" s="1"/>
  <c r="BK66" i="38"/>
  <c r="BJ66" i="38"/>
  <c r="BJ73" i="38" s="1"/>
  <c r="BI66" i="38"/>
  <c r="BI73" i="38" s="1"/>
  <c r="BH66" i="38"/>
  <c r="BH73" i="38" s="1"/>
  <c r="BG66" i="38"/>
  <c r="BG73" i="38" s="1"/>
  <c r="BF66" i="38"/>
  <c r="BF73" i="38" s="1"/>
  <c r="BE66" i="38"/>
  <c r="BE73" i="38" s="1"/>
  <c r="BD66" i="38"/>
  <c r="BD73" i="38" s="1"/>
  <c r="BC66" i="38"/>
  <c r="BC73" i="38" s="1"/>
  <c r="BB66" i="38"/>
  <c r="BA66" i="38"/>
  <c r="BA73" i="38" s="1"/>
  <c r="AZ66" i="38"/>
  <c r="AI66" i="38"/>
  <c r="AH66" i="38"/>
  <c r="AG65" i="38"/>
  <c r="AF65" i="38"/>
  <c r="AE65" i="38"/>
  <c r="AD65" i="38"/>
  <c r="BH17" i="38" s="1"/>
  <c r="AC65" i="38"/>
  <c r="AB65" i="38"/>
  <c r="BF17" i="38"/>
  <c r="BC17" i="38"/>
  <c r="BA17" i="38"/>
  <c r="R65" i="38"/>
  <c r="AZ17" i="38" s="1"/>
  <c r="Q65" i="38"/>
  <c r="AY17" i="38" s="1"/>
  <c r="P65" i="38"/>
  <c r="O65" i="38"/>
  <c r="N65" i="38"/>
  <c r="M65" i="38"/>
  <c r="AU17" i="38" s="1"/>
  <c r="L65" i="38"/>
  <c r="K65" i="38"/>
  <c r="J65" i="38"/>
  <c r="I65" i="38"/>
  <c r="H65" i="38"/>
  <c r="AR17" i="38"/>
  <c r="F65" i="38"/>
  <c r="AQ17" i="38" s="1"/>
  <c r="E65" i="38"/>
  <c r="AN17" i="38"/>
  <c r="AM17" i="38"/>
  <c r="AI64" i="38"/>
  <c r="AH64" i="38"/>
  <c r="AI63" i="38"/>
  <c r="AH63" i="38"/>
  <c r="AI62" i="38"/>
  <c r="AH62" i="38"/>
  <c r="AG61" i="38"/>
  <c r="AF61" i="38"/>
  <c r="BJ16" i="38" s="1"/>
  <c r="AE61" i="38"/>
  <c r="AE100" i="38" s="1"/>
  <c r="AE102" i="38" s="1"/>
  <c r="AD61" i="38"/>
  <c r="BH16" i="38" s="1"/>
  <c r="AC61" i="38"/>
  <c r="AB61" i="38"/>
  <c r="Z7" i="38"/>
  <c r="BE16" i="38"/>
  <c r="R61" i="38"/>
  <c r="Q61" i="38"/>
  <c r="P61" i="38"/>
  <c r="O61" i="38"/>
  <c r="N61" i="38"/>
  <c r="M61" i="38"/>
  <c r="L61" i="38"/>
  <c r="K61" i="38"/>
  <c r="J61" i="38"/>
  <c r="I61" i="38"/>
  <c r="H61" i="38"/>
  <c r="F61" i="38"/>
  <c r="E61" i="38"/>
  <c r="AP16" i="38" s="1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I53" i="38"/>
  <c r="AH53" i="38"/>
  <c r="AI52" i="38"/>
  <c r="AH52" i="38"/>
  <c r="AI51" i="38"/>
  <c r="AH51" i="38"/>
  <c r="AI50" i="38"/>
  <c r="AH50" i="38"/>
  <c r="AI49" i="38"/>
  <c r="AH49" i="38"/>
  <c r="AI48" i="38"/>
  <c r="AH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BJ23" i="38"/>
  <c r="BF23" i="38"/>
  <c r="BE23" i="38"/>
  <c r="BC23" i="38"/>
  <c r="BB23" i="38"/>
  <c r="AP23" i="38"/>
  <c r="AI23" i="38"/>
  <c r="AH23" i="38"/>
  <c r="AI22" i="38"/>
  <c r="AH22" i="38"/>
  <c r="BJ21" i="38"/>
  <c r="BI21" i="38"/>
  <c r="BH21" i="38"/>
  <c r="BG21" i="38"/>
  <c r="BF21" i="38"/>
  <c r="BE21" i="38"/>
  <c r="BD21" i="38"/>
  <c r="BC21" i="38"/>
  <c r="BB21" i="38"/>
  <c r="BA21" i="38"/>
  <c r="AZ21" i="38"/>
  <c r="AY21" i="38"/>
  <c r="AX21" i="38"/>
  <c r="AW21" i="38"/>
  <c r="AV21" i="38"/>
  <c r="AU21" i="38"/>
  <c r="AT21" i="38"/>
  <c r="AS21" i="38"/>
  <c r="AR21" i="38"/>
  <c r="AQ21" i="38"/>
  <c r="AP21" i="38"/>
  <c r="AO21" i="38"/>
  <c r="AN21" i="38"/>
  <c r="AM21" i="38"/>
  <c r="AI21" i="38"/>
  <c r="AH21" i="38"/>
  <c r="BJ20" i="38"/>
  <c r="BI20" i="38"/>
  <c r="BF20" i="38"/>
  <c r="BE20" i="38"/>
  <c r="BD20" i="38"/>
  <c r="BC20" i="38"/>
  <c r="AZ20" i="38"/>
  <c r="AY20" i="38"/>
  <c r="AX20" i="38"/>
  <c r="AV20" i="38"/>
  <c r="AU20" i="38"/>
  <c r="AS20" i="38"/>
  <c r="AR20" i="38"/>
  <c r="AQ20" i="38"/>
  <c r="AP20" i="38"/>
  <c r="AM20" i="38"/>
  <c r="AI20" i="38"/>
  <c r="AH20" i="38"/>
  <c r="BJ19" i="38"/>
  <c r="BI19" i="38"/>
  <c r="BF19" i="38"/>
  <c r="BE19" i="38"/>
  <c r="BD19" i="38"/>
  <c r="BC19" i="38"/>
  <c r="BB19" i="38"/>
  <c r="BA19" i="38"/>
  <c r="AZ19" i="38"/>
  <c r="AT19" i="38"/>
  <c r="AQ19" i="38"/>
  <c r="AP19" i="38"/>
  <c r="AO19" i="38"/>
  <c r="AI19" i="38"/>
  <c r="AH19" i="38"/>
  <c r="BJ18" i="38"/>
  <c r="BI18" i="38"/>
  <c r="BH18" i="38"/>
  <c r="BG18" i="38"/>
  <c r="BD18" i="38"/>
  <c r="BC18" i="38"/>
  <c r="BB18" i="38"/>
  <c r="AZ18" i="38"/>
  <c r="AY18" i="38"/>
  <c r="AW18" i="38"/>
  <c r="AV18" i="38"/>
  <c r="AU18" i="38"/>
  <c r="AS18" i="38"/>
  <c r="AR18" i="38"/>
  <c r="AN18" i="38"/>
  <c r="AI18" i="38"/>
  <c r="AH18" i="38"/>
  <c r="BJ17" i="38"/>
  <c r="BJ22" i="38" s="1"/>
  <c r="BJ24" i="38" s="1"/>
  <c r="BI17" i="38"/>
  <c r="BG17" i="38"/>
  <c r="BE17" i="38"/>
  <c r="BD17" i="38"/>
  <c r="BB17" i="38"/>
  <c r="AX17" i="38"/>
  <c r="AW17" i="38"/>
  <c r="AV17" i="38"/>
  <c r="AT17" i="38"/>
  <c r="AS17" i="38"/>
  <c r="AP17" i="38"/>
  <c r="AO17" i="38"/>
  <c r="AI17" i="38"/>
  <c r="AH17" i="38"/>
  <c r="BI16" i="38"/>
  <c r="BG16" i="38"/>
  <c r="BF16" i="38"/>
  <c r="BD16" i="38"/>
  <c r="BC16" i="38"/>
  <c r="BB16" i="38"/>
  <c r="AY16" i="38"/>
  <c r="AV16" i="38"/>
  <c r="AU16" i="38"/>
  <c r="AS16" i="38"/>
  <c r="AR16" i="38"/>
  <c r="AQ16" i="38"/>
  <c r="AO16" i="38"/>
  <c r="AN16" i="38"/>
  <c r="AM16" i="38"/>
  <c r="AI16" i="38"/>
  <c r="AH16" i="38"/>
  <c r="AI15" i="38"/>
  <c r="AH15" i="38"/>
  <c r="AI14" i="38"/>
  <c r="AH14" i="38"/>
  <c r="AI13" i="38"/>
  <c r="AH13" i="38"/>
  <c r="AL12" i="38"/>
  <c r="AI12" i="38"/>
  <c r="AH12" i="38"/>
  <c r="AI11" i="38"/>
  <c r="AH11" i="38"/>
  <c r="U7" i="38"/>
  <c r="AE5" i="38"/>
  <c r="AD5" i="38"/>
  <c r="Y5" i="38"/>
  <c r="X5" i="38"/>
  <c r="W5" i="38"/>
  <c r="V5" i="38"/>
  <c r="U5" i="38"/>
  <c r="T5" i="38"/>
  <c r="S5" i="38"/>
  <c r="Q5" i="38"/>
  <c r="P5" i="38"/>
  <c r="O5" i="38"/>
  <c r="M5" i="38"/>
  <c r="K5" i="38"/>
  <c r="G5" i="38"/>
  <c r="E5" i="38"/>
  <c r="C5" i="38"/>
  <c r="AG4" i="38"/>
  <c r="K4" i="38"/>
  <c r="E4" i="38"/>
  <c r="H4" i="38" s="1"/>
  <c r="B4" i="38"/>
  <c r="D261" i="38" s="1"/>
  <c r="AG3" i="38"/>
  <c r="AG2" i="38"/>
  <c r="AG6" i="38" s="1"/>
  <c r="AC106" i="37"/>
  <c r="AD106" i="37"/>
  <c r="AE106" i="37"/>
  <c r="AF106" i="37"/>
  <c r="AF60" i="37"/>
  <c r="AF61" i="37"/>
  <c r="AF65" i="37"/>
  <c r="AF79" i="37"/>
  <c r="AF83" i="37"/>
  <c r="AF95" i="37"/>
  <c r="AF104" i="37"/>
  <c r="AF110" i="37" s="1"/>
  <c r="AF105" i="37"/>
  <c r="AF107" i="37"/>
  <c r="AF108" i="37"/>
  <c r="AF109" i="37"/>
  <c r="AF121" i="37"/>
  <c r="AE60" i="37"/>
  <c r="AE61" i="37"/>
  <c r="AE65" i="37"/>
  <c r="AE79" i="37"/>
  <c r="AE83" i="37"/>
  <c r="AE95" i="37"/>
  <c r="AE104" i="37"/>
  <c r="AE110" i="37" s="1"/>
  <c r="AE105" i="37"/>
  <c r="AE107" i="37"/>
  <c r="AE108" i="37"/>
  <c r="AE109" i="37"/>
  <c r="AE121" i="37"/>
  <c r="AD60" i="37"/>
  <c r="AD61" i="37"/>
  <c r="AD65" i="37"/>
  <c r="AD79" i="37"/>
  <c r="AD83" i="37"/>
  <c r="AD95" i="37"/>
  <c r="AD104" i="37"/>
  <c r="AD110" i="37" s="1"/>
  <c r="AD105" i="37"/>
  <c r="AD107" i="37"/>
  <c r="AD108" i="37"/>
  <c r="AD109" i="37"/>
  <c r="AD121" i="37"/>
  <c r="AC60" i="37"/>
  <c r="AC61" i="37"/>
  <c r="AC65" i="37"/>
  <c r="AC79" i="37"/>
  <c r="AC83" i="37"/>
  <c r="AC95" i="37"/>
  <c r="AC104" i="37"/>
  <c r="AC110" i="37" s="1"/>
  <c r="AC105" i="37"/>
  <c r="AC107" i="37"/>
  <c r="AC108" i="37"/>
  <c r="AC109" i="37"/>
  <c r="AC121" i="37"/>
  <c r="AB60" i="37"/>
  <c r="AB61" i="37"/>
  <c r="AB65" i="37"/>
  <c r="AB79" i="37"/>
  <c r="AB83" i="37"/>
  <c r="AB95" i="37"/>
  <c r="AB104" i="37"/>
  <c r="AB110" i="37" s="1"/>
  <c r="AB105" i="37"/>
  <c r="AB106" i="37"/>
  <c r="AB107" i="37"/>
  <c r="AB108" i="37"/>
  <c r="AB109" i="37"/>
  <c r="AB121" i="37"/>
  <c r="AA60" i="37"/>
  <c r="Z124" i="37"/>
  <c r="BH19" i="38" l="1"/>
  <c r="BH22" i="38"/>
  <c r="AD100" i="38"/>
  <c r="AD102" i="38" s="1"/>
  <c r="AB5" i="38"/>
  <c r="AC100" i="38"/>
  <c r="AC102" i="38" s="1"/>
  <c r="AC103" i="38" s="1"/>
  <c r="AC7" i="38" s="1"/>
  <c r="AB110" i="38"/>
  <c r="BG23" i="38" s="1"/>
  <c r="BG19" i="38"/>
  <c r="AA5" i="38"/>
  <c r="BD22" i="38"/>
  <c r="BC22" i="38"/>
  <c r="BC24" i="38" s="1"/>
  <c r="BB22" i="38"/>
  <c r="BB24" i="38" s="1"/>
  <c r="R110" i="38"/>
  <c r="R100" i="38"/>
  <c r="R102" i="38" s="1"/>
  <c r="R103" i="38" s="1"/>
  <c r="R7" i="38" s="1"/>
  <c r="Q111" i="38"/>
  <c r="P110" i="38"/>
  <c r="AX23" i="38" s="1"/>
  <c r="AX19" i="38"/>
  <c r="P100" i="38"/>
  <c r="P102" i="38" s="1"/>
  <c r="P103" i="38" s="1"/>
  <c r="P7" i="38" s="1"/>
  <c r="AX16" i="38"/>
  <c r="N5" i="38"/>
  <c r="O100" i="38"/>
  <c r="O102" i="38" s="1"/>
  <c r="M110" i="38"/>
  <c r="AU23" i="38" s="1"/>
  <c r="AV22" i="38"/>
  <c r="N100" i="38"/>
  <c r="N102" i="38" s="1"/>
  <c r="L5" i="38"/>
  <c r="L110" i="38"/>
  <c r="L111" i="38"/>
  <c r="AH108" i="38"/>
  <c r="M111" i="38"/>
  <c r="AU22" i="38"/>
  <c r="AU24" i="38" s="1"/>
  <c r="M100" i="38"/>
  <c r="M102" i="38" s="1"/>
  <c r="M103" i="38" s="1"/>
  <c r="M7" i="38" s="1"/>
  <c r="L100" i="38"/>
  <c r="L102" i="38" s="1"/>
  <c r="L103" i="38" s="1"/>
  <c r="L7" i="38" s="1"/>
  <c r="J111" i="38"/>
  <c r="J100" i="38"/>
  <c r="J102" i="38" s="1"/>
  <c r="J103" i="38" s="1"/>
  <c r="J7" i="38" s="1"/>
  <c r="AS19" i="38"/>
  <c r="I111" i="38"/>
  <c r="AR22" i="38"/>
  <c r="H111" i="38"/>
  <c r="H100" i="38"/>
  <c r="H102" i="38" s="1"/>
  <c r="H103" i="38" s="1"/>
  <c r="H7" i="38" s="1"/>
  <c r="G100" i="38"/>
  <c r="G102" i="38" s="1"/>
  <c r="F5" i="38"/>
  <c r="AQ22" i="38"/>
  <c r="F100" i="38"/>
  <c r="F102" i="38" s="1"/>
  <c r="E111" i="38"/>
  <c r="D5" i="38"/>
  <c r="E100" i="38"/>
  <c r="E102" i="38" s="1"/>
  <c r="E103" i="38" s="1"/>
  <c r="E7" i="38" s="1"/>
  <c r="D100" i="38"/>
  <c r="D102" i="38" s="1"/>
  <c r="C100" i="38"/>
  <c r="C102" i="38" s="1"/>
  <c r="AN23" i="38"/>
  <c r="C111" i="38"/>
  <c r="D103" i="38"/>
  <c r="AO23" i="38"/>
  <c r="D111" i="38"/>
  <c r="C103" i="38"/>
  <c r="AI79" i="38"/>
  <c r="AM19" i="38"/>
  <c r="AI95" i="38"/>
  <c r="AF5" i="38"/>
  <c r="B100" i="38"/>
  <c r="B102" i="38" s="1"/>
  <c r="B103" i="38" s="1"/>
  <c r="AI107" i="38"/>
  <c r="AH106" i="38"/>
  <c r="AM18" i="38"/>
  <c r="AM22" i="38" s="1"/>
  <c r="AL13" i="38"/>
  <c r="F103" i="38"/>
  <c r="F7" i="38" s="1"/>
  <c r="BG22" i="38"/>
  <c r="BG24" i="38" s="1"/>
  <c r="BF22" i="38"/>
  <c r="BF24" i="38" s="1"/>
  <c r="BI22" i="38"/>
  <c r="BI24" i="38" s="1"/>
  <c r="T7" i="38"/>
  <c r="AB100" i="38"/>
  <c r="AB102" i="38" s="1"/>
  <c r="AB103" i="38" s="1"/>
  <c r="AB7" i="38" s="1"/>
  <c r="F110" i="38"/>
  <c r="AI105" i="38"/>
  <c r="N110" i="38"/>
  <c r="AD110" i="38"/>
  <c r="AH65" i="38"/>
  <c r="AP22" i="38"/>
  <c r="AP24" i="38" s="1"/>
  <c r="AZ16" i="38"/>
  <c r="AZ22" i="38" s="1"/>
  <c r="AH61" i="38"/>
  <c r="K100" i="38"/>
  <c r="K102" i="38" s="1"/>
  <c r="K103" i="38" s="1"/>
  <c r="K7" i="38" s="1"/>
  <c r="AT16" i="38"/>
  <c r="AT22" i="38" s="1"/>
  <c r="AT24" i="38" s="1"/>
  <c r="S7" i="38"/>
  <c r="BA16" i="38"/>
  <c r="BA22" i="38" s="1"/>
  <c r="BA24" i="38" s="1"/>
  <c r="AI61" i="38"/>
  <c r="BG82" i="38" a="1"/>
  <c r="AH95" i="38"/>
  <c r="G110" i="38"/>
  <c r="AR23" i="38" s="1"/>
  <c r="AR24" i="38" s="1"/>
  <c r="AH104" i="38"/>
  <c r="O110" i="38"/>
  <c r="AW23" i="38" s="1"/>
  <c r="W7" i="38"/>
  <c r="AE110" i="38"/>
  <c r="BI23" i="38" s="1"/>
  <c r="D7" i="38"/>
  <c r="AO20" i="38"/>
  <c r="AX22" i="38"/>
  <c r="AX24" i="38" s="1"/>
  <c r="C7" i="38"/>
  <c r="AE103" i="38"/>
  <c r="AE7" i="38" s="1"/>
  <c r="AH83" i="38"/>
  <c r="AI83" i="38"/>
  <c r="AN19" i="38"/>
  <c r="AN22" i="38" s="1"/>
  <c r="B5" i="38"/>
  <c r="K111" i="38"/>
  <c r="J5" i="38"/>
  <c r="R5" i="38"/>
  <c r="Z5" i="38"/>
  <c r="AI65" i="38"/>
  <c r="O103" i="38"/>
  <c r="O7" i="38" s="1"/>
  <c r="AS22" i="38"/>
  <c r="AS24" i="38" s="1"/>
  <c r="AO22" i="38"/>
  <c r="BE22" i="38"/>
  <c r="BE24" i="38" s="1"/>
  <c r="AW16" i="38"/>
  <c r="AW22" i="38" s="1"/>
  <c r="AY19" i="38"/>
  <c r="AY22" i="38" s="1"/>
  <c r="AY24" i="38" s="1"/>
  <c r="AZ73" i="38"/>
  <c r="AH79" i="38"/>
  <c r="AE111" i="38"/>
  <c r="AI104" i="38"/>
  <c r="AH105" i="38"/>
  <c r="AI106" i="38"/>
  <c r="AH107" i="38"/>
  <c r="AI108" i="38"/>
  <c r="D255" i="38"/>
  <c r="E249" i="38"/>
  <c r="AF100" i="38"/>
  <c r="AF102" i="38" s="1"/>
  <c r="AF103" i="38" s="1"/>
  <c r="AF7" i="38" s="1"/>
  <c r="I100" i="38"/>
  <c r="I102" i="38" s="1"/>
  <c r="I103" i="38" s="1"/>
  <c r="I7" i="38" s="1"/>
  <c r="Q100" i="38"/>
  <c r="Q102" i="38" s="1"/>
  <c r="Q103" i="38" s="1"/>
  <c r="Q7" i="38" s="1"/>
  <c r="Y7" i="38"/>
  <c r="AG100" i="38"/>
  <c r="AG102" i="38"/>
  <c r="AF111" i="37"/>
  <c r="AF100" i="37"/>
  <c r="AF102" i="37" s="1"/>
  <c r="AF103" i="37" s="1"/>
  <c r="AE100" i="37"/>
  <c r="AE102" i="37" s="1"/>
  <c r="AE103" i="37" s="1"/>
  <c r="AE111" i="37"/>
  <c r="AD100" i="37"/>
  <c r="AD102" i="37" s="1"/>
  <c r="AD103" i="37" s="1"/>
  <c r="AD111" i="37"/>
  <c r="AC111" i="37"/>
  <c r="AC100" i="37"/>
  <c r="AC102" i="37" s="1"/>
  <c r="AC103" i="37" s="1"/>
  <c r="AB111" i="37"/>
  <c r="AB100" i="37"/>
  <c r="AB102" i="37" s="1"/>
  <c r="AB103" i="37" s="1"/>
  <c r="AB111" i="38" l="1"/>
  <c r="R111" i="38"/>
  <c r="AZ23" i="38"/>
  <c r="AZ24" i="38" s="1"/>
  <c r="P111" i="38"/>
  <c r="C259" i="38"/>
  <c r="G111" i="38"/>
  <c r="G103" i="38"/>
  <c r="G7" i="38" s="1"/>
  <c r="AO24" i="38"/>
  <c r="AN24" i="38"/>
  <c r="AT8" i="38"/>
  <c r="AI100" i="38"/>
  <c r="AD111" i="38"/>
  <c r="BH23" i="38"/>
  <c r="BH24" i="38" s="1"/>
  <c r="AH100" i="38"/>
  <c r="AI102" i="38"/>
  <c r="AH102" i="38"/>
  <c r="BD23" i="38"/>
  <c r="BD24" i="38" s="1"/>
  <c r="F249" i="38"/>
  <c r="E255" i="38"/>
  <c r="E121" i="38"/>
  <c r="AW24" i="38"/>
  <c r="AV23" i="38"/>
  <c r="AV24" i="38" s="1"/>
  <c r="N111" i="38"/>
  <c r="BK105" i="38"/>
  <c r="BI104" i="38"/>
  <c r="BG103" i="38"/>
  <c r="BK101" i="38"/>
  <c r="BI100" i="38"/>
  <c r="BG99" i="38"/>
  <c r="BK97" i="38"/>
  <c r="BI96" i="38"/>
  <c r="BG95" i="38"/>
  <c r="BK93" i="38"/>
  <c r="BI92" i="38"/>
  <c r="BG91" i="38"/>
  <c r="BK89" i="38"/>
  <c r="BI88" i="38"/>
  <c r="BG87" i="38"/>
  <c r="BK85" i="38"/>
  <c r="BI84" i="38"/>
  <c r="BG83" i="38"/>
  <c r="BI105" i="38"/>
  <c r="BG104" i="38"/>
  <c r="BK102" i="38"/>
  <c r="BI101" i="38"/>
  <c r="BG100" i="38"/>
  <c r="BK98" i="38"/>
  <c r="BI97" i="38"/>
  <c r="BG96" i="38"/>
  <c r="BK94" i="38"/>
  <c r="BI93" i="38"/>
  <c r="BG92" i="38"/>
  <c r="BK90" i="38"/>
  <c r="BI89" i="38"/>
  <c r="BG88" i="38"/>
  <c r="BK86" i="38"/>
  <c r="BI85" i="38"/>
  <c r="BG84" i="38"/>
  <c r="BK82" i="38"/>
  <c r="BH104" i="38"/>
  <c r="BI102" i="38"/>
  <c r="BK100" i="38"/>
  <c r="BL98" i="38"/>
  <c r="BG97" i="38"/>
  <c r="BI95" i="38"/>
  <c r="BJ93" i="38"/>
  <c r="BK91" i="38"/>
  <c r="BG90" i="38"/>
  <c r="BH88" i="38"/>
  <c r="BI86" i="38"/>
  <c r="BK84" i="38"/>
  <c r="BL82" i="38"/>
  <c r="BL105" i="38"/>
  <c r="BH102" i="38"/>
  <c r="BJ100" i="38"/>
  <c r="BJ98" i="38"/>
  <c r="BL96" i="38"/>
  <c r="BH95" i="38"/>
  <c r="BH93" i="38"/>
  <c r="BJ91" i="38"/>
  <c r="BL89" i="38"/>
  <c r="BL87" i="38"/>
  <c r="BJ84" i="38"/>
  <c r="BJ82" i="38"/>
  <c r="BL103" i="38"/>
  <c r="BJ105" i="38"/>
  <c r="BK103" i="38"/>
  <c r="BG102" i="38"/>
  <c r="BH100" i="38"/>
  <c r="BI98" i="38"/>
  <c r="BK96" i="38"/>
  <c r="BL94" i="38"/>
  <c r="BG93" i="38"/>
  <c r="BI91" i="38"/>
  <c r="BJ89" i="38"/>
  <c r="BK87" i="38"/>
  <c r="BG86" i="38"/>
  <c r="BH84" i="38"/>
  <c r="BI82" i="38"/>
  <c r="BH105" i="38"/>
  <c r="BJ103" i="38"/>
  <c r="BL101" i="38"/>
  <c r="BL99" i="38"/>
  <c r="BH98" i="38"/>
  <c r="BJ96" i="38"/>
  <c r="BJ94" i="38"/>
  <c r="BL92" i="38"/>
  <c r="BH91" i="38"/>
  <c r="BH89" i="38"/>
  <c r="BJ87" i="38"/>
  <c r="BL85" i="38"/>
  <c r="BL83" i="38"/>
  <c r="BH82" i="38"/>
  <c r="BG105" i="38"/>
  <c r="BI103" i="38"/>
  <c r="BJ101" i="38"/>
  <c r="BK99" i="38"/>
  <c r="BG98" i="38"/>
  <c r="BH96" i="38"/>
  <c r="BI94" i="38"/>
  <c r="BK92" i="38"/>
  <c r="BL90" i="38"/>
  <c r="BG89" i="38"/>
  <c r="BI87" i="38"/>
  <c r="BJ85" i="38"/>
  <c r="BK83" i="38"/>
  <c r="BG82" i="38"/>
  <c r="BL104" i="38"/>
  <c r="BH103" i="38"/>
  <c r="BH101" i="38"/>
  <c r="BJ99" i="38"/>
  <c r="BL97" i="38"/>
  <c r="BL95" i="38"/>
  <c r="BH94" i="38"/>
  <c r="BJ92" i="38"/>
  <c r="BJ90" i="38"/>
  <c r="BL88" i="38"/>
  <c r="BH87" i="38"/>
  <c r="BH85" i="38"/>
  <c r="BJ83" i="38"/>
  <c r="BI99" i="38"/>
  <c r="BH92" i="38"/>
  <c r="BH86" i="38"/>
  <c r="BH99" i="38"/>
  <c r="BL91" i="38"/>
  <c r="BG85" i="38"/>
  <c r="BL93" i="38"/>
  <c r="BJ86" i="38"/>
  <c r="BK104" i="38"/>
  <c r="BJ97" i="38"/>
  <c r="BI90" i="38"/>
  <c r="BL84" i="38"/>
  <c r="BJ102" i="38"/>
  <c r="BJ88" i="38"/>
  <c r="BG94" i="38"/>
  <c r="BL86" i="38"/>
  <c r="BL100" i="38"/>
  <c r="BJ104" i="38"/>
  <c r="BH97" i="38"/>
  <c r="BH90" i="38"/>
  <c r="BI83" i="38"/>
  <c r="BG101" i="38"/>
  <c r="BL102" i="38"/>
  <c r="BK95" i="38"/>
  <c r="BK88" i="38"/>
  <c r="BH83" i="38"/>
  <c r="BJ95" i="38"/>
  <c r="N103" i="38"/>
  <c r="N7" i="38" s="1"/>
  <c r="V7" i="38"/>
  <c r="F111" i="38"/>
  <c r="AQ23" i="38"/>
  <c r="AQ24" i="38" s="1"/>
  <c r="AM23" i="38"/>
  <c r="AM24" i="38" s="1"/>
  <c r="AI110" i="38"/>
  <c r="AH110" i="38"/>
  <c r="O111" i="38"/>
  <c r="B259" i="38"/>
  <c r="K6" i="38" s="1"/>
  <c r="AD103" i="38"/>
  <c r="AD7" i="38" s="1"/>
  <c r="Z60" i="37"/>
  <c r="Y124" i="37"/>
  <c r="Y60" i="37"/>
  <c r="X124" i="37"/>
  <c r="X60" i="37"/>
  <c r="W124" i="37"/>
  <c r="V124" i="37"/>
  <c r="V60" i="37"/>
  <c r="AI103" i="38" l="1"/>
  <c r="AH103" i="38"/>
  <c r="B7" i="38"/>
  <c r="A7" i="38" s="1"/>
  <c r="AT9" i="38"/>
  <c r="AI111" i="38"/>
  <c r="AH111" i="38"/>
  <c r="G249" i="38"/>
  <c r="F255" i="38"/>
  <c r="F121" i="38"/>
  <c r="H249" i="38" l="1"/>
  <c r="G255" i="38"/>
  <c r="G121" i="38"/>
  <c r="I249" i="38" l="1"/>
  <c r="H255" i="38"/>
  <c r="H121" i="38"/>
  <c r="I255" i="38" l="1"/>
  <c r="I121" i="38"/>
  <c r="J249" i="38"/>
  <c r="J255" i="38" l="1"/>
  <c r="J121" i="38"/>
  <c r="K249" i="38"/>
  <c r="K255" i="38" l="1"/>
  <c r="L249" i="38"/>
  <c r="K121" i="38"/>
  <c r="L255" i="38" l="1"/>
  <c r="L121" i="38"/>
  <c r="M249" i="38"/>
  <c r="N249" i="38" l="1"/>
  <c r="M255" i="38"/>
  <c r="M121" i="38"/>
  <c r="O249" i="38" l="1"/>
  <c r="N255" i="38"/>
  <c r="N121" i="38"/>
  <c r="P249" i="38" l="1"/>
  <c r="O121" i="38"/>
  <c r="O255" i="38"/>
  <c r="Q249" i="38" l="1"/>
  <c r="P255" i="38"/>
  <c r="Q255" i="38" l="1"/>
  <c r="Q121" i="38"/>
  <c r="R249" i="38"/>
  <c r="R255" i="38" l="1"/>
  <c r="R121" i="38"/>
  <c r="S249" i="38"/>
  <c r="S255" i="38" l="1"/>
  <c r="T249" i="38"/>
  <c r="T255" i="38" l="1"/>
  <c r="U249" i="38"/>
  <c r="V249" i="38" l="1"/>
  <c r="U255" i="38"/>
  <c r="W249" i="38" l="1"/>
  <c r="V255" i="38"/>
  <c r="X249" i="38" l="1"/>
  <c r="W255" i="38"/>
  <c r="Y249" i="38" l="1"/>
  <c r="X255" i="38"/>
  <c r="Y255" i="38" l="1"/>
  <c r="Z249" i="38"/>
  <c r="Z255" i="38" l="1"/>
  <c r="AA249" i="38"/>
  <c r="AA255" i="38" l="1"/>
  <c r="AB249" i="38"/>
  <c r="AB255" i="38" l="1"/>
  <c r="AB121" i="38"/>
  <c r="AC249" i="38"/>
  <c r="AC121" i="38" l="1"/>
  <c r="AD249" i="38"/>
  <c r="AC255" i="38"/>
  <c r="AE249" i="38" l="1"/>
  <c r="AD255" i="38"/>
  <c r="AD121" i="38"/>
  <c r="AF249" i="38" l="1"/>
  <c r="AE255" i="38"/>
  <c r="AE121" i="38"/>
  <c r="AF255" i="38" l="1"/>
  <c r="AF121" i="38"/>
  <c r="B249" i="38"/>
  <c r="B255" i="38" l="1"/>
  <c r="AI121" i="38" l="1"/>
  <c r="AH121" i="38"/>
  <c r="U124" i="37" l="1"/>
  <c r="U60" i="37"/>
  <c r="T124" i="37" l="1"/>
  <c r="T60" i="37"/>
  <c r="L60" i="37"/>
  <c r="L61" i="37"/>
  <c r="L65" i="37"/>
  <c r="L79" i="37"/>
  <c r="L83" i="37"/>
  <c r="L95" i="37"/>
  <c r="L111" i="37" s="1"/>
  <c r="L104" i="37"/>
  <c r="L105" i="37"/>
  <c r="L106" i="37"/>
  <c r="L107" i="37"/>
  <c r="L108" i="37"/>
  <c r="L109" i="37"/>
  <c r="L110" i="37"/>
  <c r="L121" i="37"/>
  <c r="K60" i="37"/>
  <c r="H60" i="37"/>
  <c r="I60" i="37"/>
  <c r="J60" i="37"/>
  <c r="L100" i="37" l="1"/>
  <c r="L102" i="37" s="1"/>
  <c r="L103" i="37" s="1"/>
  <c r="G124" i="37" l="1"/>
  <c r="G60" i="37"/>
  <c r="F124" i="37"/>
  <c r="F60" i="37"/>
  <c r="E124" i="37" l="1"/>
  <c r="E60" i="37"/>
  <c r="D124" i="37"/>
  <c r="D60" i="37"/>
  <c r="D61" i="37"/>
  <c r="AO16" i="37" s="1"/>
  <c r="D65" i="37"/>
  <c r="D79" i="37"/>
  <c r="D83" i="37"/>
  <c r="AO20" i="37" s="1"/>
  <c r="C124" i="37"/>
  <c r="AH124" i="37" s="1"/>
  <c r="C60" i="37"/>
  <c r="C61" i="37"/>
  <c r="AN16" i="37" s="1"/>
  <c r="C65" i="37"/>
  <c r="C79" i="37"/>
  <c r="C83" i="37"/>
  <c r="B124" i="37"/>
  <c r="B60" i="37"/>
  <c r="B121" i="37"/>
  <c r="B109" i="37"/>
  <c r="B108" i="37"/>
  <c r="B107" i="37"/>
  <c r="B106" i="37"/>
  <c r="B110" i="37" s="1"/>
  <c r="B105" i="37"/>
  <c r="B104" i="37"/>
  <c r="B95" i="37"/>
  <c r="B83" i="37"/>
  <c r="AM20" i="37" s="1"/>
  <c r="B79" i="37"/>
  <c r="B65" i="37"/>
  <c r="B61" i="37"/>
  <c r="AG255" i="37"/>
  <c r="F255" i="37"/>
  <c r="C255" i="37"/>
  <c r="L254" i="37"/>
  <c r="M254" i="37" s="1"/>
  <c r="N254" i="37" s="1"/>
  <c r="O254" i="37" s="1"/>
  <c r="P254" i="37" s="1"/>
  <c r="Q254" i="37" s="1"/>
  <c r="R254" i="37" s="1"/>
  <c r="S254" i="37" s="1"/>
  <c r="T254" i="37" s="1"/>
  <c r="U254" i="37" s="1"/>
  <c r="V254" i="37" s="1"/>
  <c r="W254" i="37" s="1"/>
  <c r="X254" i="37" s="1"/>
  <c r="Y254" i="37" s="1"/>
  <c r="Z254" i="37" s="1"/>
  <c r="AA254" i="37" s="1"/>
  <c r="AB254" i="37" s="1"/>
  <c r="AC254" i="37" s="1"/>
  <c r="AD254" i="37" s="1"/>
  <c r="AE254" i="37" s="1"/>
  <c r="AF254" i="37" s="1"/>
  <c r="B254" i="37" s="1"/>
  <c r="E254" i="37"/>
  <c r="F254" i="37" s="1"/>
  <c r="G254" i="37" s="1"/>
  <c r="H254" i="37" s="1"/>
  <c r="I254" i="37" s="1"/>
  <c r="J254" i="37" s="1"/>
  <c r="K254" i="37" s="1"/>
  <c r="D254" i="37"/>
  <c r="D121" i="37" s="1"/>
  <c r="J253" i="37"/>
  <c r="K253" i="37" s="1"/>
  <c r="L253" i="37" s="1"/>
  <c r="M253" i="37" s="1"/>
  <c r="N253" i="37" s="1"/>
  <c r="O253" i="37" s="1"/>
  <c r="P253" i="37" s="1"/>
  <c r="Q253" i="37" s="1"/>
  <c r="R253" i="37" s="1"/>
  <c r="S253" i="37" s="1"/>
  <c r="T253" i="37" s="1"/>
  <c r="U253" i="37" s="1"/>
  <c r="V253" i="37" s="1"/>
  <c r="W253" i="37" s="1"/>
  <c r="X253" i="37" s="1"/>
  <c r="Y253" i="37" s="1"/>
  <c r="Z253" i="37" s="1"/>
  <c r="AA253" i="37" s="1"/>
  <c r="AB253" i="37" s="1"/>
  <c r="AC253" i="37" s="1"/>
  <c r="AD253" i="37" s="1"/>
  <c r="AE253" i="37" s="1"/>
  <c r="AF253" i="37" s="1"/>
  <c r="B253" i="37" s="1"/>
  <c r="D253" i="37"/>
  <c r="E253" i="37" s="1"/>
  <c r="F253" i="37" s="1"/>
  <c r="G253" i="37" s="1"/>
  <c r="H253" i="37" s="1"/>
  <c r="I253" i="37" s="1"/>
  <c r="I252" i="37"/>
  <c r="J252" i="37" s="1"/>
  <c r="K252" i="37" s="1"/>
  <c r="L252" i="37" s="1"/>
  <c r="M252" i="37" s="1"/>
  <c r="N252" i="37" s="1"/>
  <c r="O252" i="37" s="1"/>
  <c r="P252" i="37" s="1"/>
  <c r="Q252" i="37" s="1"/>
  <c r="R252" i="37" s="1"/>
  <c r="S252" i="37" s="1"/>
  <c r="T252" i="37" s="1"/>
  <c r="U252" i="37" s="1"/>
  <c r="V252" i="37" s="1"/>
  <c r="W252" i="37" s="1"/>
  <c r="X252" i="37" s="1"/>
  <c r="Y252" i="37" s="1"/>
  <c r="Z252" i="37" s="1"/>
  <c r="AA252" i="37" s="1"/>
  <c r="AB252" i="37" s="1"/>
  <c r="AC252" i="37" s="1"/>
  <c r="AD252" i="37" s="1"/>
  <c r="AE252" i="37" s="1"/>
  <c r="AF252" i="37" s="1"/>
  <c r="B252" i="37" s="1"/>
  <c r="H252" i="37"/>
  <c r="D252" i="37"/>
  <c r="E252" i="37" s="1"/>
  <c r="F252" i="37" s="1"/>
  <c r="G252" i="37" s="1"/>
  <c r="N251" i="37"/>
  <c r="O251" i="37" s="1"/>
  <c r="P251" i="37" s="1"/>
  <c r="Q251" i="37" s="1"/>
  <c r="R251" i="37" s="1"/>
  <c r="S251" i="37" s="1"/>
  <c r="T251" i="37" s="1"/>
  <c r="U251" i="37" s="1"/>
  <c r="V251" i="37" s="1"/>
  <c r="W251" i="37" s="1"/>
  <c r="X251" i="37" s="1"/>
  <c r="Y251" i="37" s="1"/>
  <c r="Z251" i="37" s="1"/>
  <c r="AA251" i="37" s="1"/>
  <c r="AB251" i="37" s="1"/>
  <c r="AC251" i="37" s="1"/>
  <c r="AD251" i="37" s="1"/>
  <c r="AE251" i="37" s="1"/>
  <c r="AF251" i="37" s="1"/>
  <c r="B251" i="37" s="1"/>
  <c r="G251" i="37"/>
  <c r="H251" i="37" s="1"/>
  <c r="I251" i="37" s="1"/>
  <c r="J251" i="37" s="1"/>
  <c r="K251" i="37" s="1"/>
  <c r="L251" i="37" s="1"/>
  <c r="M251" i="37" s="1"/>
  <c r="F251" i="37"/>
  <c r="E251" i="37"/>
  <c r="D251" i="37"/>
  <c r="T250" i="37"/>
  <c r="U250" i="37" s="1"/>
  <c r="V250" i="37" s="1"/>
  <c r="W250" i="37" s="1"/>
  <c r="X250" i="37" s="1"/>
  <c r="Y250" i="37" s="1"/>
  <c r="Z250" i="37" s="1"/>
  <c r="AA250" i="37" s="1"/>
  <c r="AB250" i="37" s="1"/>
  <c r="AC250" i="37" s="1"/>
  <c r="AD250" i="37" s="1"/>
  <c r="AE250" i="37" s="1"/>
  <c r="AF250" i="37" s="1"/>
  <c r="B250" i="37" s="1"/>
  <c r="E250" i="37"/>
  <c r="F250" i="37" s="1"/>
  <c r="G250" i="37" s="1"/>
  <c r="H250" i="37" s="1"/>
  <c r="I250" i="37" s="1"/>
  <c r="J250" i="37" s="1"/>
  <c r="K250" i="37" s="1"/>
  <c r="L250" i="37" s="1"/>
  <c r="M250" i="37" s="1"/>
  <c r="N250" i="37" s="1"/>
  <c r="O250" i="37" s="1"/>
  <c r="P250" i="37" s="1"/>
  <c r="Q250" i="37" s="1"/>
  <c r="R250" i="37" s="1"/>
  <c r="S250" i="37" s="1"/>
  <c r="D250" i="37"/>
  <c r="F249" i="37"/>
  <c r="G249" i="37" s="1"/>
  <c r="E249" i="37"/>
  <c r="D249" i="37"/>
  <c r="D255" i="37" s="1"/>
  <c r="AG247" i="37"/>
  <c r="AF247" i="37"/>
  <c r="AE247" i="37"/>
  <c r="AD247" i="37"/>
  <c r="AC247" i="37"/>
  <c r="AB247" i="37"/>
  <c r="AA247" i="37"/>
  <c r="Z247" i="37"/>
  <c r="Z121" i="37" s="1"/>
  <c r="Y247" i="37"/>
  <c r="Y121" i="37" s="1"/>
  <c r="X247" i="37"/>
  <c r="W247" i="37"/>
  <c r="V247" i="37"/>
  <c r="U247" i="37"/>
  <c r="T247" i="37"/>
  <c r="S247" i="37"/>
  <c r="R247" i="37"/>
  <c r="Q247" i="37"/>
  <c r="P247" i="37"/>
  <c r="O247" i="37"/>
  <c r="N247" i="37"/>
  <c r="M247" i="37"/>
  <c r="L247" i="37"/>
  <c r="K247" i="37"/>
  <c r="J247" i="37"/>
  <c r="I247" i="37"/>
  <c r="H247" i="37"/>
  <c r="G247" i="37"/>
  <c r="F247" i="37"/>
  <c r="E247" i="37"/>
  <c r="D247" i="37"/>
  <c r="C247" i="37"/>
  <c r="B247" i="37"/>
  <c r="AI133" i="37"/>
  <c r="AH133" i="37"/>
  <c r="AI132" i="37"/>
  <c r="AH132" i="37"/>
  <c r="AI131" i="37"/>
  <c r="AH131" i="37"/>
  <c r="AI130" i="37"/>
  <c r="AH130" i="37"/>
  <c r="AI129" i="37"/>
  <c r="AH129" i="37"/>
  <c r="AI126" i="37"/>
  <c r="AH126" i="37"/>
  <c r="AI125" i="37"/>
  <c r="AH125" i="37"/>
  <c r="AI124" i="37"/>
  <c r="AI123" i="37"/>
  <c r="AH123" i="37"/>
  <c r="AI122" i="37"/>
  <c r="AH122" i="37"/>
  <c r="F121" i="37"/>
  <c r="C121" i="37"/>
  <c r="AI120" i="37"/>
  <c r="AH120" i="37"/>
  <c r="AI119" i="37"/>
  <c r="AH119" i="37"/>
  <c r="AI118" i="37"/>
  <c r="AH118" i="37"/>
  <c r="AI117" i="37"/>
  <c r="AH117" i="37"/>
  <c r="AI116" i="37"/>
  <c r="AH116" i="37"/>
  <c r="AI115" i="37"/>
  <c r="AH115" i="37"/>
  <c r="AI114" i="37"/>
  <c r="AH114" i="37"/>
  <c r="AI113" i="37"/>
  <c r="AH113" i="37"/>
  <c r="AI112" i="37"/>
  <c r="AH112" i="37"/>
  <c r="Y110" i="37"/>
  <c r="AA109" i="37"/>
  <c r="Z109" i="37"/>
  <c r="Y109" i="37"/>
  <c r="X109" i="37"/>
  <c r="W109" i="37"/>
  <c r="V109" i="37"/>
  <c r="U109" i="37"/>
  <c r="T109" i="37"/>
  <c r="S109" i="37"/>
  <c r="R109" i="37"/>
  <c r="Q109" i="37"/>
  <c r="P109" i="37"/>
  <c r="O109" i="37"/>
  <c r="N109" i="37"/>
  <c r="M109" i="37"/>
  <c r="K109" i="37"/>
  <c r="J109" i="37"/>
  <c r="I109" i="37"/>
  <c r="H109" i="37"/>
  <c r="G109" i="37"/>
  <c r="F109" i="37"/>
  <c r="E109" i="37"/>
  <c r="D109" i="37"/>
  <c r="C109" i="37"/>
  <c r="AA108" i="37"/>
  <c r="Z108" i="37"/>
  <c r="Y108" i="37"/>
  <c r="X108" i="37"/>
  <c r="W108" i="37"/>
  <c r="V108" i="37"/>
  <c r="U108" i="37"/>
  <c r="T108" i="37"/>
  <c r="S108" i="37"/>
  <c r="R108" i="37"/>
  <c r="Q108" i="37"/>
  <c r="P108" i="37"/>
  <c r="O108" i="37"/>
  <c r="N108" i="37"/>
  <c r="M108" i="37"/>
  <c r="K108" i="37"/>
  <c r="J108" i="37"/>
  <c r="I108" i="37"/>
  <c r="H108" i="37"/>
  <c r="G108" i="37"/>
  <c r="F108" i="37"/>
  <c r="E108" i="37"/>
  <c r="D108" i="37"/>
  <c r="C108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K107" i="37"/>
  <c r="J107" i="37"/>
  <c r="I107" i="37"/>
  <c r="H107" i="37"/>
  <c r="G107" i="37"/>
  <c r="F107" i="37"/>
  <c r="E107" i="37"/>
  <c r="D107" i="37"/>
  <c r="C107" i="37"/>
  <c r="AA106" i="37"/>
  <c r="Z106" i="37"/>
  <c r="Y106" i="37"/>
  <c r="X106" i="37"/>
  <c r="W106" i="37"/>
  <c r="V106" i="37"/>
  <c r="U106" i="37"/>
  <c r="T106" i="37"/>
  <c r="S106" i="37"/>
  <c r="R106" i="37"/>
  <c r="Q106" i="37"/>
  <c r="P106" i="37"/>
  <c r="O106" i="37"/>
  <c r="N106" i="37"/>
  <c r="M106" i="37"/>
  <c r="K106" i="37"/>
  <c r="J106" i="37"/>
  <c r="I106" i="37"/>
  <c r="H106" i="37"/>
  <c r="G106" i="37"/>
  <c r="F106" i="37"/>
  <c r="E106" i="37"/>
  <c r="D106" i="37"/>
  <c r="C106" i="37"/>
  <c r="AA105" i="37"/>
  <c r="Z105" i="37"/>
  <c r="Y105" i="37"/>
  <c r="X105" i="37"/>
  <c r="W105" i="37"/>
  <c r="V105" i="37"/>
  <c r="U105" i="37"/>
  <c r="U110" i="37" s="1"/>
  <c r="BC23" i="37" s="1"/>
  <c r="T105" i="37"/>
  <c r="S105" i="37"/>
  <c r="R105" i="37"/>
  <c r="Q105" i="37"/>
  <c r="P105" i="37"/>
  <c r="O105" i="37"/>
  <c r="N105" i="37"/>
  <c r="M105" i="37"/>
  <c r="K105" i="37"/>
  <c r="J105" i="37"/>
  <c r="I105" i="37"/>
  <c r="H105" i="37"/>
  <c r="G105" i="37"/>
  <c r="F105" i="37"/>
  <c r="E105" i="37"/>
  <c r="D105" i="37"/>
  <c r="C105" i="37"/>
  <c r="BG23" i="37"/>
  <c r="AA104" i="37"/>
  <c r="AA110" i="37" s="1"/>
  <c r="Z104" i="37"/>
  <c r="Y104" i="37"/>
  <c r="X104" i="37"/>
  <c r="W104" i="37"/>
  <c r="V104" i="37"/>
  <c r="U104" i="37"/>
  <c r="T104" i="37"/>
  <c r="S104" i="37"/>
  <c r="R104" i="37"/>
  <c r="Q104" i="37"/>
  <c r="P104" i="37"/>
  <c r="O104" i="37"/>
  <c r="N104" i="37"/>
  <c r="M104" i="37"/>
  <c r="K104" i="37"/>
  <c r="J104" i="37"/>
  <c r="I104" i="37"/>
  <c r="I110" i="37" s="1"/>
  <c r="AS23" i="37" s="1"/>
  <c r="H104" i="37"/>
  <c r="H110" i="37" s="1"/>
  <c r="G104" i="37"/>
  <c r="F104" i="37"/>
  <c r="E104" i="37"/>
  <c r="D104" i="37"/>
  <c r="C104" i="37"/>
  <c r="AI101" i="37"/>
  <c r="AH101" i="37"/>
  <c r="AI99" i="37"/>
  <c r="AH99" i="37"/>
  <c r="AG99" i="37"/>
  <c r="AI98" i="37"/>
  <c r="AH98" i="37"/>
  <c r="AI97" i="37"/>
  <c r="AH97" i="37"/>
  <c r="AI96" i="37"/>
  <c r="AH96" i="37"/>
  <c r="AG95" i="37"/>
  <c r="BG19" i="37"/>
  <c r="AA95" i="37"/>
  <c r="Z5" i="37" s="1"/>
  <c r="Z95" i="37"/>
  <c r="BF19" i="37" s="1"/>
  <c r="Y95" i="37"/>
  <c r="X95" i="37"/>
  <c r="BE19" i="37" s="1"/>
  <c r="W95" i="37"/>
  <c r="V5" i="37" s="1"/>
  <c r="V95" i="37"/>
  <c r="U5" i="37" s="1"/>
  <c r="U95" i="37"/>
  <c r="BC19" i="37" s="1"/>
  <c r="T95" i="37"/>
  <c r="S95" i="37"/>
  <c r="BA19" i="37" s="1"/>
  <c r="R95" i="37"/>
  <c r="AZ19" i="37" s="1"/>
  <c r="Q95" i="37"/>
  <c r="P5" i="37" s="1"/>
  <c r="P95" i="37"/>
  <c r="AX19" i="37" s="1"/>
  <c r="O95" i="37"/>
  <c r="AW19" i="37" s="1"/>
  <c r="N95" i="37"/>
  <c r="AV19" i="37" s="1"/>
  <c r="M95" i="37"/>
  <c r="L5" i="37" s="1"/>
  <c r="K95" i="37"/>
  <c r="J95" i="37"/>
  <c r="I95" i="37"/>
  <c r="H95" i="37"/>
  <c r="G95" i="37"/>
  <c r="AR19" i="37" s="1"/>
  <c r="F95" i="37"/>
  <c r="E5" i="37" s="1"/>
  <c r="E95" i="37"/>
  <c r="AP19" i="37" s="1"/>
  <c r="D95" i="37"/>
  <c r="AO19" i="37" s="1"/>
  <c r="C95" i="37"/>
  <c r="AN19" i="37" s="1"/>
  <c r="AI94" i="37"/>
  <c r="AH94" i="37"/>
  <c r="AI93" i="37"/>
  <c r="AH93" i="37"/>
  <c r="AI92" i="37"/>
  <c r="AH92" i="37"/>
  <c r="AI91" i="37"/>
  <c r="AH91" i="37"/>
  <c r="AI90" i="37"/>
  <c r="AH90" i="37"/>
  <c r="AI89" i="37"/>
  <c r="AH89" i="37"/>
  <c r="AI88" i="37"/>
  <c r="AH88" i="37"/>
  <c r="AI87" i="37"/>
  <c r="AH87" i="37"/>
  <c r="AI86" i="37"/>
  <c r="AH86" i="37"/>
  <c r="AI85" i="37"/>
  <c r="AH85" i="37"/>
  <c r="AI84" i="37"/>
  <c r="AH84" i="37"/>
  <c r="AG83" i="37"/>
  <c r="AG4" i="37" s="1"/>
  <c r="AA83" i="37"/>
  <c r="Z83" i="37"/>
  <c r="Y83" i="37"/>
  <c r="X83" i="37"/>
  <c r="BE20" i="37" s="1"/>
  <c r="W83" i="37"/>
  <c r="V83" i="37"/>
  <c r="U83" i="37"/>
  <c r="T83" i="37"/>
  <c r="S83" i="37"/>
  <c r="BA20" i="37" s="1"/>
  <c r="R83" i="37"/>
  <c r="Q83" i="37"/>
  <c r="AY20" i="37" s="1"/>
  <c r="P83" i="37"/>
  <c r="O83" i="37"/>
  <c r="N83" i="37"/>
  <c r="M83" i="37"/>
  <c r="K83" i="37"/>
  <c r="J83" i="37"/>
  <c r="I83" i="37"/>
  <c r="AS20" i="37" s="1"/>
  <c r="H83" i="37"/>
  <c r="G83" i="37"/>
  <c r="F83" i="37"/>
  <c r="E83" i="37"/>
  <c r="AI82" i="37"/>
  <c r="AH82" i="37"/>
  <c r="AI81" i="37"/>
  <c r="AH81" i="37"/>
  <c r="AI80" i="37"/>
  <c r="AH80" i="37"/>
  <c r="AG79" i="37"/>
  <c r="AA79" i="37"/>
  <c r="Z79" i="37"/>
  <c r="BF18" i="37" s="1"/>
  <c r="Y79" i="37"/>
  <c r="X79" i="37"/>
  <c r="W79" i="37"/>
  <c r="V79" i="37"/>
  <c r="BD18" i="37" s="1"/>
  <c r="U79" i="37"/>
  <c r="BC18" i="37" s="1"/>
  <c r="T79" i="37"/>
  <c r="BB18" i="37" s="1"/>
  <c r="S79" i="37"/>
  <c r="R79" i="37"/>
  <c r="Q79" i="37"/>
  <c r="P79" i="37"/>
  <c r="AX18" i="37" s="1"/>
  <c r="O79" i="37"/>
  <c r="N79" i="37"/>
  <c r="AV18" i="37" s="1"/>
  <c r="M79" i="37"/>
  <c r="AU18" i="37" s="1"/>
  <c r="K79" i="37"/>
  <c r="AT18" i="37" s="1"/>
  <c r="J79" i="37"/>
  <c r="I79" i="37"/>
  <c r="H79" i="37"/>
  <c r="G79" i="37"/>
  <c r="F79" i="37"/>
  <c r="E79" i="37"/>
  <c r="BQ78" i="37"/>
  <c r="BP78" i="37"/>
  <c r="BL78" i="37"/>
  <c r="BH78" i="37"/>
  <c r="BD78" i="37"/>
  <c r="BA78" i="37"/>
  <c r="AI78" i="37"/>
  <c r="AH78" i="37"/>
  <c r="AG78" i="37"/>
  <c r="BS77" i="37"/>
  <c r="BR77" i="37"/>
  <c r="BC77" i="37"/>
  <c r="BB77" i="37"/>
  <c r="AI77" i="37"/>
  <c r="AH77" i="37"/>
  <c r="BO76" i="37"/>
  <c r="BD76" i="37"/>
  <c r="AI76" i="37"/>
  <c r="AH76" i="37"/>
  <c r="BV75" i="37"/>
  <c r="BO75" i="37"/>
  <c r="BG75" i="37"/>
  <c r="AI75" i="37"/>
  <c r="AH75" i="37"/>
  <c r="BQ74" i="37"/>
  <c r="BP74" i="37"/>
  <c r="BN74" i="37"/>
  <c r="BI74" i="37"/>
  <c r="BH74" i="37"/>
  <c r="BF74" i="37"/>
  <c r="AI74" i="37"/>
  <c r="AH74" i="37"/>
  <c r="BR73" i="37"/>
  <c r="BJ73" i="37"/>
  <c r="AI73" i="37"/>
  <c r="AH73" i="37"/>
  <c r="AI72" i="37"/>
  <c r="AH72" i="37"/>
  <c r="BW71" i="37"/>
  <c r="BW78" i="37" s="1"/>
  <c r="BV71" i="37"/>
  <c r="BV78" i="37" s="1"/>
  <c r="BU71" i="37"/>
  <c r="BU78" i="37" s="1"/>
  <c r="BT71" i="37"/>
  <c r="BT78" i="37" s="1"/>
  <c r="BS71" i="37"/>
  <c r="BS78" i="37" s="1"/>
  <c r="BR71" i="37"/>
  <c r="BR78" i="37" s="1"/>
  <c r="BQ71" i="37"/>
  <c r="BP71" i="37"/>
  <c r="BO71" i="37"/>
  <c r="BO78" i="37" s="1"/>
  <c r="BN71" i="37"/>
  <c r="BN78" i="37" s="1"/>
  <c r="BM71" i="37"/>
  <c r="BM78" i="37" s="1"/>
  <c r="BL71" i="37"/>
  <c r="BK71" i="37"/>
  <c r="BK78" i="37" s="1"/>
  <c r="BJ71" i="37"/>
  <c r="BJ78" i="37" s="1"/>
  <c r="BI71" i="37"/>
  <c r="BI78" i="37" s="1"/>
  <c r="BH71" i="37"/>
  <c r="BG71" i="37"/>
  <c r="BG78" i="37" s="1"/>
  <c r="BF71" i="37"/>
  <c r="BF78" i="37" s="1"/>
  <c r="BE71" i="37"/>
  <c r="BE78" i="37" s="1"/>
  <c r="BD71" i="37"/>
  <c r="BC71" i="37"/>
  <c r="BC78" i="37" s="1"/>
  <c r="BB71" i="37"/>
  <c r="BB78" i="37" s="1"/>
  <c r="BA71" i="37"/>
  <c r="AZ71" i="37"/>
  <c r="AZ78" i="37" s="1"/>
  <c r="AI71" i="37"/>
  <c r="AH71" i="37"/>
  <c r="BW70" i="37"/>
  <c r="BW77" i="37" s="1"/>
  <c r="BV70" i="37"/>
  <c r="BV77" i="37" s="1"/>
  <c r="BU70" i="37"/>
  <c r="BU77" i="37" s="1"/>
  <c r="BT70" i="37"/>
  <c r="BT77" i="37" s="1"/>
  <c r="BS70" i="37"/>
  <c r="BR70" i="37"/>
  <c r="BQ70" i="37"/>
  <c r="BQ77" i="37" s="1"/>
  <c r="BP70" i="37"/>
  <c r="BP77" i="37" s="1"/>
  <c r="BO70" i="37"/>
  <c r="BO77" i="37" s="1"/>
  <c r="BN70" i="37"/>
  <c r="BN77" i="37" s="1"/>
  <c r="BM70" i="37"/>
  <c r="BM77" i="37" s="1"/>
  <c r="BL70" i="37"/>
  <c r="BL77" i="37" s="1"/>
  <c r="BK70" i="37"/>
  <c r="BK77" i="37" s="1"/>
  <c r="BJ70" i="37"/>
  <c r="BJ77" i="37" s="1"/>
  <c r="BI70" i="37"/>
  <c r="BI77" i="37" s="1"/>
  <c r="BH70" i="37"/>
  <c r="BH77" i="37" s="1"/>
  <c r="BG70" i="37"/>
  <c r="BG77" i="37" s="1"/>
  <c r="BF70" i="37"/>
  <c r="BF77" i="37" s="1"/>
  <c r="BE70" i="37"/>
  <c r="BE77" i="37" s="1"/>
  <c r="BD70" i="37"/>
  <c r="BD77" i="37" s="1"/>
  <c r="BC70" i="37"/>
  <c r="BB70" i="37"/>
  <c r="BA70" i="37"/>
  <c r="BA77" i="37" s="1"/>
  <c r="AZ70" i="37"/>
  <c r="AZ77" i="37" s="1"/>
  <c r="AI70" i="37"/>
  <c r="AH70" i="37"/>
  <c r="BW69" i="37"/>
  <c r="BW76" i="37" s="1"/>
  <c r="BV69" i="37"/>
  <c r="BV76" i="37" s="1"/>
  <c r="BU69" i="37"/>
  <c r="BU76" i="37" s="1"/>
  <c r="BT69" i="37"/>
  <c r="BT76" i="37" s="1"/>
  <c r="BS69" i="37"/>
  <c r="BS76" i="37" s="1"/>
  <c r="BR69" i="37"/>
  <c r="BR76" i="37" s="1"/>
  <c r="BQ69" i="37"/>
  <c r="BQ76" i="37" s="1"/>
  <c r="BP69" i="37"/>
  <c r="BP76" i="37" s="1"/>
  <c r="BO69" i="37"/>
  <c r="BN69" i="37"/>
  <c r="BN76" i="37" s="1"/>
  <c r="BM69" i="37"/>
  <c r="BM76" i="37" s="1"/>
  <c r="BL69" i="37"/>
  <c r="BL76" i="37" s="1"/>
  <c r="BK69" i="37"/>
  <c r="BK76" i="37" s="1"/>
  <c r="BJ69" i="37"/>
  <c r="BJ76" i="37" s="1"/>
  <c r="BI69" i="37"/>
  <c r="BI76" i="37" s="1"/>
  <c r="BH69" i="37"/>
  <c r="BH76" i="37" s="1"/>
  <c r="BG69" i="37"/>
  <c r="BG76" i="37" s="1"/>
  <c r="BF69" i="37"/>
  <c r="BF76" i="37" s="1"/>
  <c r="BE69" i="37"/>
  <c r="BE76" i="37" s="1"/>
  <c r="BD69" i="37"/>
  <c r="BC69" i="37"/>
  <c r="BC76" i="37" s="1"/>
  <c r="BB69" i="37"/>
  <c r="BB76" i="37" s="1"/>
  <c r="BA69" i="37"/>
  <c r="AZ69" i="37"/>
  <c r="AZ76" i="37" s="1"/>
  <c r="AI69" i="37"/>
  <c r="AH69" i="37"/>
  <c r="BW68" i="37"/>
  <c r="BW75" i="37" s="1"/>
  <c r="BV68" i="37"/>
  <c r="BU68" i="37"/>
  <c r="BU75" i="37" s="1"/>
  <c r="BT68" i="37"/>
  <c r="BT75" i="37" s="1"/>
  <c r="BS68" i="37"/>
  <c r="BS75" i="37" s="1"/>
  <c r="BR68" i="37"/>
  <c r="BR75" i="37" s="1"/>
  <c r="BQ68" i="37"/>
  <c r="BQ75" i="37" s="1"/>
  <c r="BP68" i="37"/>
  <c r="BP75" i="37" s="1"/>
  <c r="BO68" i="37"/>
  <c r="BN68" i="37"/>
  <c r="BN75" i="37" s="1"/>
  <c r="BM68" i="37"/>
  <c r="BM75" i="37" s="1"/>
  <c r="BL68" i="37"/>
  <c r="BL75" i="37" s="1"/>
  <c r="BK68" i="37"/>
  <c r="BK75" i="37" s="1"/>
  <c r="BJ68" i="37"/>
  <c r="BJ75" i="37" s="1"/>
  <c r="BI68" i="37"/>
  <c r="BI75" i="37" s="1"/>
  <c r="BH68" i="37"/>
  <c r="BH75" i="37" s="1"/>
  <c r="BG68" i="37"/>
  <c r="BF68" i="37"/>
  <c r="BF75" i="37" s="1"/>
  <c r="BE68" i="37"/>
  <c r="BE75" i="37" s="1"/>
  <c r="BD68" i="37"/>
  <c r="BD75" i="37" s="1"/>
  <c r="BC68" i="37"/>
  <c r="BC75" i="37" s="1"/>
  <c r="BB68" i="37"/>
  <c r="BB75" i="37" s="1"/>
  <c r="BA68" i="37"/>
  <c r="BA75" i="37" s="1"/>
  <c r="AZ68" i="37"/>
  <c r="AZ75" i="37" s="1"/>
  <c r="AI68" i="37"/>
  <c r="AH68" i="37"/>
  <c r="BW67" i="37"/>
  <c r="BW74" i="37" s="1"/>
  <c r="BV67" i="37"/>
  <c r="BV74" i="37" s="1"/>
  <c r="BU67" i="37"/>
  <c r="BU74" i="37" s="1"/>
  <c r="BT67" i="37"/>
  <c r="BT74" i="37" s="1"/>
  <c r="BS67" i="37"/>
  <c r="BS74" i="37" s="1"/>
  <c r="BR67" i="37"/>
  <c r="BR74" i="37" s="1"/>
  <c r="BQ67" i="37"/>
  <c r="BP67" i="37"/>
  <c r="BO67" i="37"/>
  <c r="BO74" i="37" s="1"/>
  <c r="BN67" i="37"/>
  <c r="BM67" i="37"/>
  <c r="BM74" i="37" s="1"/>
  <c r="BL67" i="37"/>
  <c r="BL74" i="37" s="1"/>
  <c r="BK67" i="37"/>
  <c r="BK74" i="37" s="1"/>
  <c r="BJ67" i="37"/>
  <c r="BJ74" i="37" s="1"/>
  <c r="BI67" i="37"/>
  <c r="BH67" i="37"/>
  <c r="BG67" i="37"/>
  <c r="BG74" i="37" s="1"/>
  <c r="BF67" i="37"/>
  <c r="BE67" i="37"/>
  <c r="BE74" i="37" s="1"/>
  <c r="BD67" i="37"/>
  <c r="BD74" i="37" s="1"/>
  <c r="BC67" i="37"/>
  <c r="BC74" i="37" s="1"/>
  <c r="BB67" i="37"/>
  <c r="BB74" i="37" s="1"/>
  <c r="BA67" i="37"/>
  <c r="BA74" i="37" s="1"/>
  <c r="AZ67" i="37"/>
  <c r="AZ74" i="37" s="1"/>
  <c r="AI67" i="37"/>
  <c r="AH67" i="37"/>
  <c r="BW66" i="37"/>
  <c r="BW73" i="37" s="1"/>
  <c r="BV66" i="37"/>
  <c r="BV73" i="37" s="1"/>
  <c r="BU66" i="37"/>
  <c r="BU73" i="37" s="1"/>
  <c r="BT66" i="37"/>
  <c r="BT73" i="37" s="1"/>
  <c r="BS66" i="37"/>
  <c r="BS73" i="37" s="1"/>
  <c r="BR66" i="37"/>
  <c r="BQ66" i="37"/>
  <c r="BQ73" i="37" s="1"/>
  <c r="BP66" i="37"/>
  <c r="BP73" i="37" s="1"/>
  <c r="BO66" i="37"/>
  <c r="BO73" i="37" s="1"/>
  <c r="BN66" i="37"/>
  <c r="BN73" i="37" s="1"/>
  <c r="BM66" i="37"/>
  <c r="BM73" i="37" s="1"/>
  <c r="BL66" i="37"/>
  <c r="BL73" i="37" s="1"/>
  <c r="BK66" i="37"/>
  <c r="BK73" i="37" s="1"/>
  <c r="BJ66" i="37"/>
  <c r="BI66" i="37"/>
  <c r="BI73" i="37" s="1"/>
  <c r="BH66" i="37"/>
  <c r="BH73" i="37" s="1"/>
  <c r="BG66" i="37"/>
  <c r="BG73" i="37" s="1"/>
  <c r="BF66" i="37"/>
  <c r="BF73" i="37" s="1"/>
  <c r="BE66" i="37"/>
  <c r="BE73" i="37" s="1"/>
  <c r="BD66" i="37"/>
  <c r="BD73" i="37" s="1"/>
  <c r="BC66" i="37"/>
  <c r="BC73" i="37" s="1"/>
  <c r="BB66" i="37"/>
  <c r="BB73" i="37" s="1"/>
  <c r="BA66" i="37"/>
  <c r="BA73" i="37" s="1"/>
  <c r="AZ66" i="37"/>
  <c r="AZ73" i="37" s="1"/>
  <c r="AI66" i="37"/>
  <c r="AH66" i="37"/>
  <c r="AG65" i="37"/>
  <c r="AA65" i="37"/>
  <c r="Z65" i="37"/>
  <c r="BF17" i="37" s="1"/>
  <c r="Y65" i="37"/>
  <c r="X65" i="37"/>
  <c r="BE17" i="37" s="1"/>
  <c r="W65" i="37"/>
  <c r="V65" i="37"/>
  <c r="BD17" i="37" s="1"/>
  <c r="U65" i="37"/>
  <c r="BC17" i="37" s="1"/>
  <c r="T65" i="37"/>
  <c r="BB17" i="37" s="1"/>
  <c r="S65" i="37"/>
  <c r="BA17" i="37" s="1"/>
  <c r="R65" i="37"/>
  <c r="Q65" i="37"/>
  <c r="AY17" i="37" s="1"/>
  <c r="P65" i="37"/>
  <c r="O65" i="37"/>
  <c r="AW17" i="37" s="1"/>
  <c r="N65" i="37"/>
  <c r="AV17" i="37" s="1"/>
  <c r="M65" i="37"/>
  <c r="AU17" i="37" s="1"/>
  <c r="K65" i="37"/>
  <c r="J65" i="37"/>
  <c r="I65" i="37"/>
  <c r="AS17" i="37" s="1"/>
  <c r="H65" i="37"/>
  <c r="G65" i="37"/>
  <c r="AR17" i="37" s="1"/>
  <c r="F65" i="37"/>
  <c r="E65" i="37"/>
  <c r="AP17" i="37" s="1"/>
  <c r="AM17" i="37"/>
  <c r="AI64" i="37"/>
  <c r="AH64" i="37"/>
  <c r="AI63" i="37"/>
  <c r="AH63" i="37"/>
  <c r="AI62" i="37"/>
  <c r="AH62" i="37"/>
  <c r="AG61" i="37"/>
  <c r="BI16" i="37"/>
  <c r="AC7" i="37"/>
  <c r="AA61" i="37"/>
  <c r="Z61" i="37"/>
  <c r="Y61" i="37"/>
  <c r="X61" i="37"/>
  <c r="W61" i="37"/>
  <c r="V61" i="37"/>
  <c r="U61" i="37"/>
  <c r="T61" i="37"/>
  <c r="S61" i="37"/>
  <c r="R61" i="37"/>
  <c r="Q61" i="37"/>
  <c r="AY16" i="37" s="1"/>
  <c r="P61" i="37"/>
  <c r="AX16" i="37" s="1"/>
  <c r="O61" i="37"/>
  <c r="N61" i="37"/>
  <c r="M61" i="37"/>
  <c r="K61" i="37"/>
  <c r="J61" i="37"/>
  <c r="I61" i="37"/>
  <c r="AS16" i="37" s="1"/>
  <c r="H61" i="37"/>
  <c r="G61" i="37"/>
  <c r="AR16" i="37" s="1"/>
  <c r="F61" i="37"/>
  <c r="E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BJ23" i="37"/>
  <c r="AI23" i="37"/>
  <c r="AH23" i="37"/>
  <c r="AI22" i="37"/>
  <c r="AH22" i="37"/>
  <c r="BJ21" i="37"/>
  <c r="BI21" i="37"/>
  <c r="BH21" i="37"/>
  <c r="BG21" i="37"/>
  <c r="BF21" i="37"/>
  <c r="BE21" i="37"/>
  <c r="BD21" i="37"/>
  <c r="BC21" i="37"/>
  <c r="BB21" i="37"/>
  <c r="BA21" i="37"/>
  <c r="AZ21" i="37"/>
  <c r="AY21" i="37"/>
  <c r="AX21" i="37"/>
  <c r="AW21" i="37"/>
  <c r="AV21" i="37"/>
  <c r="AU21" i="37"/>
  <c r="AT21" i="37"/>
  <c r="AS21" i="37"/>
  <c r="AR21" i="37"/>
  <c r="AQ21" i="37"/>
  <c r="AP21" i="37"/>
  <c r="AO21" i="37"/>
  <c r="AN21" i="37"/>
  <c r="AM21" i="37"/>
  <c r="AI21" i="37"/>
  <c r="AH21" i="37"/>
  <c r="BJ20" i="37"/>
  <c r="BI20" i="37"/>
  <c r="BH20" i="37"/>
  <c r="BG20" i="37"/>
  <c r="BF20" i="37"/>
  <c r="BD20" i="37"/>
  <c r="BC20" i="37"/>
  <c r="BB20" i="37"/>
  <c r="AZ20" i="37"/>
  <c r="AX20" i="37"/>
  <c r="AW20" i="37"/>
  <c r="AV20" i="37"/>
  <c r="AU20" i="37"/>
  <c r="AT20" i="37"/>
  <c r="AR20" i="37"/>
  <c r="AQ20" i="37"/>
  <c r="AP20" i="37"/>
  <c r="AN20" i="37"/>
  <c r="AI20" i="37"/>
  <c r="AH20" i="37"/>
  <c r="BI19" i="37"/>
  <c r="BH19" i="37"/>
  <c r="BB19" i="37"/>
  <c r="AU19" i="37"/>
  <c r="AT19" i="37"/>
  <c r="AI19" i="37"/>
  <c r="AH19" i="37"/>
  <c r="BJ18" i="37"/>
  <c r="BI18" i="37"/>
  <c r="BH18" i="37"/>
  <c r="BG18" i="37"/>
  <c r="BE18" i="37"/>
  <c r="BA18" i="37"/>
  <c r="AZ18" i="37"/>
  <c r="AY18" i="37"/>
  <c r="AW18" i="37"/>
  <c r="AS18" i="37"/>
  <c r="AR18" i="37"/>
  <c r="AQ18" i="37"/>
  <c r="AP18" i="37"/>
  <c r="AO18" i="37"/>
  <c r="AN18" i="37"/>
  <c r="AI18" i="37"/>
  <c r="AH18" i="37"/>
  <c r="BJ17" i="37"/>
  <c r="BI17" i="37"/>
  <c r="BH17" i="37"/>
  <c r="BG17" i="37"/>
  <c r="AZ17" i="37"/>
  <c r="AX17" i="37"/>
  <c r="AT17" i="37"/>
  <c r="AQ17" i="37"/>
  <c r="AO17" i="37"/>
  <c r="AN17" i="37"/>
  <c r="AI17" i="37"/>
  <c r="AH17" i="37"/>
  <c r="BJ16" i="37"/>
  <c r="BH16" i="37"/>
  <c r="BG16" i="37"/>
  <c r="BE16" i="37"/>
  <c r="BD16" i="37"/>
  <c r="AI16" i="37"/>
  <c r="AH16" i="37"/>
  <c r="AI15" i="37"/>
  <c r="AH15" i="37"/>
  <c r="AI14" i="37"/>
  <c r="AH14" i="37"/>
  <c r="AI13" i="37"/>
  <c r="AH13" i="37"/>
  <c r="AL12" i="37"/>
  <c r="AI12" i="37"/>
  <c r="AH12" i="37"/>
  <c r="AI11" i="37"/>
  <c r="AH11" i="37"/>
  <c r="AG6" i="37"/>
  <c r="AF5" i="37"/>
  <c r="AD5" i="37"/>
  <c r="AC5" i="37"/>
  <c r="AB5" i="37"/>
  <c r="AA5" i="37"/>
  <c r="X5" i="37"/>
  <c r="S5" i="37"/>
  <c r="K5" i="37"/>
  <c r="J5" i="37"/>
  <c r="B5" i="37"/>
  <c r="K4" i="37"/>
  <c r="E4" i="37"/>
  <c r="H4" i="37" s="1"/>
  <c r="B4" i="37"/>
  <c r="D261" i="37" s="1"/>
  <c r="AG3" i="37"/>
  <c r="AG2" i="37"/>
  <c r="AF124" i="36"/>
  <c r="AF60" i="36"/>
  <c r="AF61" i="36"/>
  <c r="AF65" i="36"/>
  <c r="BH22" i="37" l="1"/>
  <c r="AA100" i="37"/>
  <c r="AA102" i="37" s="1"/>
  <c r="AA103" i="37" s="1"/>
  <c r="AA7" i="37" s="1"/>
  <c r="Z110" i="37"/>
  <c r="BF23" i="37" s="1"/>
  <c r="Z100" i="37"/>
  <c r="Z102" i="37" s="1"/>
  <c r="Z103" i="37" s="1"/>
  <c r="Z7" i="37" s="1"/>
  <c r="BF16" i="37"/>
  <c r="BF22" i="37" s="1"/>
  <c r="BF24" i="37" s="1"/>
  <c r="Y111" i="37"/>
  <c r="X110" i="37"/>
  <c r="BE23" i="37" s="1"/>
  <c r="BE22" i="37"/>
  <c r="W100" i="37"/>
  <c r="W102" i="37" s="1"/>
  <c r="BD19" i="37"/>
  <c r="V100" i="37"/>
  <c r="V102" i="37" s="1"/>
  <c r="T5" i="37"/>
  <c r="U100" i="37"/>
  <c r="U102" i="37" s="1"/>
  <c r="U103" i="37" s="1"/>
  <c r="U7" i="37" s="1"/>
  <c r="T110" i="37"/>
  <c r="BB23" i="37" s="1"/>
  <c r="T100" i="37"/>
  <c r="T102" i="37" s="1"/>
  <c r="BB16" i="37"/>
  <c r="BB22" i="37" s="1"/>
  <c r="R5" i="37"/>
  <c r="S110" i="37"/>
  <c r="BA23" i="37" s="1"/>
  <c r="Q110" i="37"/>
  <c r="AY23" i="37" s="1"/>
  <c r="AY19" i="37"/>
  <c r="Q111" i="37"/>
  <c r="R110" i="37"/>
  <c r="AZ23" i="37" s="1"/>
  <c r="AY22" i="37"/>
  <c r="AY24" i="37" s="1"/>
  <c r="M110" i="37"/>
  <c r="AU23" i="37" s="1"/>
  <c r="AI108" i="37"/>
  <c r="P110" i="37"/>
  <c r="AX23" i="37" s="1"/>
  <c r="AI109" i="37"/>
  <c r="N5" i="37"/>
  <c r="O100" i="37"/>
  <c r="O102" i="37" s="1"/>
  <c r="AH107" i="37"/>
  <c r="M5" i="37"/>
  <c r="N100" i="37"/>
  <c r="N102" i="37" s="1"/>
  <c r="AV16" i="37"/>
  <c r="AV22" i="37" s="1"/>
  <c r="M100" i="37"/>
  <c r="M102" i="37" s="1"/>
  <c r="M103" i="37" s="1"/>
  <c r="M7" i="37" s="1"/>
  <c r="K110" i="37"/>
  <c r="AT23" i="37" s="1"/>
  <c r="J110" i="37"/>
  <c r="K100" i="37"/>
  <c r="K102" i="37" s="1"/>
  <c r="K103" i="37" s="1"/>
  <c r="K7" i="37" s="1"/>
  <c r="AT16" i="37"/>
  <c r="AT22" i="37" s="1"/>
  <c r="AT24" i="37" s="1"/>
  <c r="BG22" i="37"/>
  <c r="BG24" i="37" s="1"/>
  <c r="I111" i="37"/>
  <c r="H5" i="37"/>
  <c r="AS19" i="37"/>
  <c r="AS22" i="37" s="1"/>
  <c r="AS24" i="37" s="1"/>
  <c r="J100" i="37"/>
  <c r="J102" i="37" s="1"/>
  <c r="J103" i="37" s="1"/>
  <c r="J7" i="37" s="1"/>
  <c r="F5" i="37"/>
  <c r="G100" i="37"/>
  <c r="G102" i="37" s="1"/>
  <c r="AR22" i="37"/>
  <c r="AQ19" i="37"/>
  <c r="F100" i="37"/>
  <c r="F102" i="37" s="1"/>
  <c r="AQ16" i="37"/>
  <c r="AQ22" i="37" s="1"/>
  <c r="D5" i="37"/>
  <c r="E110" i="37"/>
  <c r="AP23" i="37" s="1"/>
  <c r="D110" i="37"/>
  <c r="AO23" i="37" s="1"/>
  <c r="D100" i="37"/>
  <c r="D102" i="37" s="1"/>
  <c r="AO22" i="37"/>
  <c r="AO24" i="37" s="1"/>
  <c r="C5" i="37"/>
  <c r="C100" i="37"/>
  <c r="C102" i="37" s="1"/>
  <c r="AN22" i="37"/>
  <c r="C110" i="37"/>
  <c r="AN23" i="37" s="1"/>
  <c r="B111" i="37"/>
  <c r="BG82" i="37" a="1"/>
  <c r="BL98" i="37" s="1"/>
  <c r="B100" i="37"/>
  <c r="B102" i="37" s="1"/>
  <c r="B103" i="37" s="1"/>
  <c r="AM16" i="37"/>
  <c r="AL13" i="37"/>
  <c r="E100" i="37"/>
  <c r="E102" i="37" s="1"/>
  <c r="E103" i="37" s="1"/>
  <c r="E7" i="37" s="1"/>
  <c r="BI22" i="37"/>
  <c r="AX22" i="37"/>
  <c r="AX24" i="37" s="1"/>
  <c r="BA76" i="37"/>
  <c r="AU16" i="37"/>
  <c r="AU22" i="37" s="1"/>
  <c r="AU24" i="37" s="1"/>
  <c r="AP16" i="37"/>
  <c r="AP22" i="37" s="1"/>
  <c r="AP24" i="37" s="1"/>
  <c r="AZ16" i="37"/>
  <c r="AZ22" i="37" s="1"/>
  <c r="AZ24" i="37" s="1"/>
  <c r="R100" i="37"/>
  <c r="R102" i="37" s="1"/>
  <c r="R103" i="37" s="1"/>
  <c r="R7" i="37" s="1"/>
  <c r="AH61" i="37"/>
  <c r="AH65" i="37"/>
  <c r="AI79" i="37"/>
  <c r="AM18" i="37"/>
  <c r="AH79" i="37"/>
  <c r="BC16" i="37"/>
  <c r="BC22" i="37" s="1"/>
  <c r="BC24" i="37" s="1"/>
  <c r="BD22" i="37"/>
  <c r="BD24" i="37" s="1"/>
  <c r="S100" i="37"/>
  <c r="S102" i="37" s="1"/>
  <c r="S103" i="37" s="1"/>
  <c r="S7" i="37" s="1"/>
  <c r="BA16" i="37"/>
  <c r="BA22" i="37" s="1"/>
  <c r="BA24" i="37" s="1"/>
  <c r="AI61" i="37"/>
  <c r="AI65" i="37"/>
  <c r="G5" i="37"/>
  <c r="H111" i="37"/>
  <c r="P111" i="37"/>
  <c r="O5" i="37"/>
  <c r="W5" i="37"/>
  <c r="BJ19" i="37"/>
  <c r="BJ22" i="37" s="1"/>
  <c r="BJ24" i="37" s="1"/>
  <c r="AE5" i="37"/>
  <c r="AW16" i="37"/>
  <c r="AW22" i="37" s="1"/>
  <c r="D103" i="37"/>
  <c r="D7" i="37" s="1"/>
  <c r="L7" i="37"/>
  <c r="AB7" i="37"/>
  <c r="AG102" i="37"/>
  <c r="AH109" i="37"/>
  <c r="AI95" i="37"/>
  <c r="J111" i="37"/>
  <c r="R111" i="37"/>
  <c r="Z111" i="37"/>
  <c r="AH95" i="37"/>
  <c r="F110" i="37"/>
  <c r="AQ23" i="37" s="1"/>
  <c r="N110" i="37"/>
  <c r="AV23" i="37" s="1"/>
  <c r="V110" i="37"/>
  <c r="BD23" i="37" s="1"/>
  <c r="BH23" i="37"/>
  <c r="BH24" i="37" s="1"/>
  <c r="AI83" i="37"/>
  <c r="AH83" i="37"/>
  <c r="C111" i="37"/>
  <c r="K111" i="37"/>
  <c r="S111" i="37"/>
  <c r="AA111" i="37"/>
  <c r="G110" i="37"/>
  <c r="AR23" i="37" s="1"/>
  <c r="O110" i="37"/>
  <c r="AW23" i="37" s="1"/>
  <c r="W110" i="37"/>
  <c r="BI23" i="37"/>
  <c r="AI107" i="37"/>
  <c r="D111" i="37"/>
  <c r="T111" i="37"/>
  <c r="AI106" i="37"/>
  <c r="H249" i="37"/>
  <c r="G255" i="37"/>
  <c r="G121" i="37"/>
  <c r="I5" i="37"/>
  <c r="Q5" i="37"/>
  <c r="Y5" i="37"/>
  <c r="AM19" i="37"/>
  <c r="H100" i="37"/>
  <c r="H102" i="37" s="1"/>
  <c r="H103" i="37" s="1"/>
  <c r="H7" i="37" s="1"/>
  <c r="P100" i="37"/>
  <c r="P102" i="37" s="1"/>
  <c r="P103" i="37" s="1"/>
  <c r="P7" i="37" s="1"/>
  <c r="X100" i="37"/>
  <c r="X102" i="37" s="1"/>
  <c r="X103" i="37" s="1"/>
  <c r="X7" i="37" s="1"/>
  <c r="AF7" i="37"/>
  <c r="E111" i="37"/>
  <c r="M111" i="37"/>
  <c r="U111" i="37"/>
  <c r="AI105" i="37"/>
  <c r="E121" i="37"/>
  <c r="I100" i="37"/>
  <c r="I102" i="37" s="1"/>
  <c r="I103" i="37" s="1"/>
  <c r="I7" i="37" s="1"/>
  <c r="Q100" i="37"/>
  <c r="Q102" i="37" s="1"/>
  <c r="Q103" i="37" s="1"/>
  <c r="Q7" i="37" s="1"/>
  <c r="Y100" i="37"/>
  <c r="Y102" i="37" s="1"/>
  <c r="Y103" i="37" s="1"/>
  <c r="Y7" i="37" s="1"/>
  <c r="AG100" i="37"/>
  <c r="AI104" i="37"/>
  <c r="AH106" i="37"/>
  <c r="E255" i="37"/>
  <c r="AH104" i="37"/>
  <c r="AH105" i="37"/>
  <c r="AH108" i="37"/>
  <c r="AE124" i="36"/>
  <c r="AE60" i="36"/>
  <c r="AE61" i="36"/>
  <c r="AE65" i="36"/>
  <c r="AE79" i="36"/>
  <c r="AE83" i="36"/>
  <c r="AD124" i="36"/>
  <c r="AD60" i="36"/>
  <c r="AC124" i="36"/>
  <c r="AC60" i="36"/>
  <c r="X111" i="37" l="1"/>
  <c r="BE24" i="37"/>
  <c r="W103" i="37"/>
  <c r="W7" i="37" s="1"/>
  <c r="V111" i="37"/>
  <c r="V103" i="37"/>
  <c r="V7" i="37" s="1"/>
  <c r="BB24" i="37"/>
  <c r="T103" i="37"/>
  <c r="T7" i="37" s="1"/>
  <c r="AM22" i="37"/>
  <c r="O111" i="37"/>
  <c r="AV24" i="37"/>
  <c r="N111" i="37"/>
  <c r="G111" i="37"/>
  <c r="AR24" i="37"/>
  <c r="F111" i="37"/>
  <c r="F103" i="37"/>
  <c r="F7" i="37" s="1"/>
  <c r="AQ24" i="37"/>
  <c r="AN24" i="37"/>
  <c r="C103" i="37"/>
  <c r="C7" i="37" s="1"/>
  <c r="BJ84" i="37"/>
  <c r="BJ98" i="37"/>
  <c r="BL96" i="37"/>
  <c r="BG105" i="37"/>
  <c r="BJ89" i="37"/>
  <c r="BL91" i="37"/>
  <c r="BG82" i="37"/>
  <c r="BJ87" i="37"/>
  <c r="BG85" i="37"/>
  <c r="BL90" i="37"/>
  <c r="BJ92" i="37"/>
  <c r="BG102" i="37"/>
  <c r="BG103" i="37"/>
  <c r="BK84" i="37"/>
  <c r="BJ82" i="37"/>
  <c r="BL103" i="37"/>
  <c r="BK101" i="37"/>
  <c r="BH99" i="37"/>
  <c r="BL88" i="37"/>
  <c r="BJ99" i="37"/>
  <c r="BI86" i="37"/>
  <c r="BG97" i="37"/>
  <c r="BG84" i="37"/>
  <c r="BK94" i="37"/>
  <c r="BI105" i="37"/>
  <c r="BH92" i="37"/>
  <c r="BL102" i="37"/>
  <c r="BK88" i="37"/>
  <c r="BJ102" i="37"/>
  <c r="BI84" i="37"/>
  <c r="BK105" i="37"/>
  <c r="BI87" i="37"/>
  <c r="BH85" i="37"/>
  <c r="BG83" i="37"/>
  <c r="BI104" i="37"/>
  <c r="BL101" i="37"/>
  <c r="BH90" i="37"/>
  <c r="BL100" i="37"/>
  <c r="BK87" i="37"/>
  <c r="BI98" i="37"/>
  <c r="BI85" i="37"/>
  <c r="BG96" i="37"/>
  <c r="BL82" i="37"/>
  <c r="BJ93" i="37"/>
  <c r="BH104" i="37"/>
  <c r="BK97" i="37"/>
  <c r="BI96" i="37"/>
  <c r="BI94" i="37"/>
  <c r="BH100" i="37"/>
  <c r="BJ94" i="37"/>
  <c r="BI100" i="37"/>
  <c r="BI103" i="37"/>
  <c r="BJ96" i="37"/>
  <c r="BH98" i="37"/>
  <c r="BK95" i="37"/>
  <c r="BK82" i="37"/>
  <c r="BI93" i="37"/>
  <c r="BH105" i="37"/>
  <c r="BK96" i="37"/>
  <c r="BG87" i="37"/>
  <c r="BG90" i="37"/>
  <c r="BH83" i="37"/>
  <c r="BJ91" i="37"/>
  <c r="BK99" i="37"/>
  <c r="BH84" i="37"/>
  <c r="BJ86" i="37"/>
  <c r="BG86" i="37"/>
  <c r="BL83" i="37"/>
  <c r="BK89" i="37"/>
  <c r="BL97" i="37"/>
  <c r="BK92" i="37"/>
  <c r="BJ90" i="37"/>
  <c r="BI88" i="37"/>
  <c r="BL85" i="37"/>
  <c r="BH82" i="37"/>
  <c r="BL92" i="37"/>
  <c r="BJ103" i="37"/>
  <c r="BI90" i="37"/>
  <c r="BG101" i="37"/>
  <c r="BG88" i="37"/>
  <c r="BK98" i="37"/>
  <c r="BJ85" i="37"/>
  <c r="BH96" i="37"/>
  <c r="BL89" i="37"/>
  <c r="BK100" i="37"/>
  <c r="BH86" i="37"/>
  <c r="BK102" i="37"/>
  <c r="BI99" i="37"/>
  <c r="BH101" i="37"/>
  <c r="BJ101" i="37"/>
  <c r="BL87" i="37"/>
  <c r="BH102" i="37"/>
  <c r="BL94" i="37"/>
  <c r="BG94" i="37"/>
  <c r="BH97" i="37"/>
  <c r="BI91" i="37"/>
  <c r="BI92" i="37"/>
  <c r="BJ100" i="37"/>
  <c r="BI95" i="37"/>
  <c r="BH93" i="37"/>
  <c r="BG91" i="37"/>
  <c r="BJ88" i="37"/>
  <c r="BJ83" i="37"/>
  <c r="BH94" i="37"/>
  <c r="BL104" i="37"/>
  <c r="BK91" i="37"/>
  <c r="BI102" i="37"/>
  <c r="BI89" i="37"/>
  <c r="BG100" i="37"/>
  <c r="BL86" i="37"/>
  <c r="BJ97" i="37"/>
  <c r="BH87" i="37"/>
  <c r="BL105" i="37"/>
  <c r="BL93" i="37"/>
  <c r="BK83" i="37"/>
  <c r="BG92" i="37"/>
  <c r="BG99" i="37"/>
  <c r="BG104" i="37"/>
  <c r="BH89" i="37"/>
  <c r="BH95" i="37"/>
  <c r="BK85" i="37"/>
  <c r="BJ104" i="37"/>
  <c r="BG89" i="37"/>
  <c r="BK86" i="37"/>
  <c r="BI97" i="37"/>
  <c r="BJ105" i="37"/>
  <c r="BK104" i="37"/>
  <c r="BI83" i="37"/>
  <c r="BL99" i="37"/>
  <c r="BG95" i="37"/>
  <c r="BH103" i="37"/>
  <c r="BG98" i="37"/>
  <c r="BL95" i="37"/>
  <c r="BK93" i="37"/>
  <c r="BH91" i="37"/>
  <c r="BL84" i="37"/>
  <c r="BJ95" i="37"/>
  <c r="BI82" i="37"/>
  <c r="BG93" i="37"/>
  <c r="BK103" i="37"/>
  <c r="BK90" i="37"/>
  <c r="BI101" i="37"/>
  <c r="BH88" i="37"/>
  <c r="W111" i="37"/>
  <c r="C259" i="37"/>
  <c r="AI102" i="37"/>
  <c r="AH102" i="37"/>
  <c r="AH100" i="37"/>
  <c r="AM23" i="37"/>
  <c r="AM24" i="37" s="1"/>
  <c r="AI110" i="37"/>
  <c r="AH110" i="37"/>
  <c r="AW24" i="37"/>
  <c r="G103" i="37"/>
  <c r="G7" i="37" s="1"/>
  <c r="I249" i="37"/>
  <c r="H255" i="37"/>
  <c r="H121" i="37"/>
  <c r="AT8" i="37"/>
  <c r="AI100" i="37"/>
  <c r="B259" i="37"/>
  <c r="N103" i="37"/>
  <c r="N7" i="37" s="1"/>
  <c r="AD7" i="37"/>
  <c r="BI24" i="37"/>
  <c r="AE7" i="37"/>
  <c r="O103" i="37"/>
  <c r="O7" i="37" s="1"/>
  <c r="AH111" i="37" l="1"/>
  <c r="AI111" i="37"/>
  <c r="K6" i="37"/>
  <c r="I255" i="37"/>
  <c r="I121" i="37"/>
  <c r="J249" i="37"/>
  <c r="AI103" i="37"/>
  <c r="AH103" i="37"/>
  <c r="B7" i="37"/>
  <c r="A7" i="37" s="1"/>
  <c r="AT9" i="37"/>
  <c r="J255" i="37" l="1"/>
  <c r="J121" i="37"/>
  <c r="K249" i="37"/>
  <c r="K255" i="37" l="1"/>
  <c r="K121" i="37"/>
  <c r="L249" i="37"/>
  <c r="AB124" i="36"/>
  <c r="AB60" i="36"/>
  <c r="AA121" i="36"/>
  <c r="AA109" i="36"/>
  <c r="AA108" i="36"/>
  <c r="AA107" i="36"/>
  <c r="AA106" i="36"/>
  <c r="AA105" i="36"/>
  <c r="AA110" i="36" s="1"/>
  <c r="AA104" i="36"/>
  <c r="AA95" i="36"/>
  <c r="AA111" i="36" s="1"/>
  <c r="AA83" i="36"/>
  <c r="AA79" i="36"/>
  <c r="AA65" i="36"/>
  <c r="AA100" i="36" s="1"/>
  <c r="AA102" i="36" s="1"/>
  <c r="AA61" i="36"/>
  <c r="Z61" i="36"/>
  <c r="Z65" i="36"/>
  <c r="Z79" i="36"/>
  <c r="Z83" i="36"/>
  <c r="Z95" i="36"/>
  <c r="Z104" i="36"/>
  <c r="Z105" i="36"/>
  <c r="Z106" i="36"/>
  <c r="Z107" i="36"/>
  <c r="Z108" i="36"/>
  <c r="Z109" i="36"/>
  <c r="Z121" i="36"/>
  <c r="Y61" i="36"/>
  <c r="Y65" i="36"/>
  <c r="Y79" i="36"/>
  <c r="Y83" i="36"/>
  <c r="Y95" i="36"/>
  <c r="Y111" i="36" s="1"/>
  <c r="Y104" i="36"/>
  <c r="Y105" i="36"/>
  <c r="Y106" i="36"/>
  <c r="Y107" i="36"/>
  <c r="Y108" i="36"/>
  <c r="Y110" i="36" s="1"/>
  <c r="Y109" i="36"/>
  <c r="Y121" i="36"/>
  <c r="X61" i="36"/>
  <c r="X65" i="36"/>
  <c r="X79" i="36"/>
  <c r="X83" i="36"/>
  <c r="X95" i="36"/>
  <c r="X104" i="36"/>
  <c r="X105" i="36"/>
  <c r="X106" i="36"/>
  <c r="X107" i="36"/>
  <c r="X108" i="36"/>
  <c r="X109" i="36"/>
  <c r="X121" i="36"/>
  <c r="W61" i="36"/>
  <c r="W65" i="36"/>
  <c r="W79" i="36"/>
  <c r="W83" i="36"/>
  <c r="W95" i="36"/>
  <c r="W111" i="36" s="1"/>
  <c r="W104" i="36"/>
  <c r="W110" i="36" s="1"/>
  <c r="W105" i="36"/>
  <c r="W106" i="36"/>
  <c r="W107" i="36"/>
  <c r="W108" i="36"/>
  <c r="W109" i="36"/>
  <c r="W121" i="36"/>
  <c r="V61" i="36"/>
  <c r="V65" i="36"/>
  <c r="V79" i="36"/>
  <c r="V83" i="36"/>
  <c r="V95" i="36"/>
  <c r="V104" i="36"/>
  <c r="V105" i="36"/>
  <c r="V106" i="36"/>
  <c r="V107" i="36"/>
  <c r="V108" i="36"/>
  <c r="V109" i="36"/>
  <c r="V121" i="36"/>
  <c r="U61" i="36"/>
  <c r="U65" i="36"/>
  <c r="U79" i="36"/>
  <c r="U83" i="36"/>
  <c r="U95" i="36"/>
  <c r="U100" i="36" s="1"/>
  <c r="U102" i="36" s="1"/>
  <c r="U104" i="36"/>
  <c r="U105" i="36"/>
  <c r="U106" i="36"/>
  <c r="U107" i="36"/>
  <c r="U108" i="36"/>
  <c r="U109" i="36"/>
  <c r="U121" i="36"/>
  <c r="L255" i="37" l="1"/>
  <c r="M249" i="37"/>
  <c r="AA103" i="36"/>
  <c r="Z110" i="36"/>
  <c r="W100" i="36"/>
  <c r="W102" i="36" s="1"/>
  <c r="W103" i="36" s="1"/>
  <c r="Y100" i="36"/>
  <c r="Y102" i="36" s="1"/>
  <c r="Y103" i="36" s="1"/>
  <c r="Z100" i="36"/>
  <c r="Z102" i="36" s="1"/>
  <c r="Z103" i="36" s="1"/>
  <c r="Z111" i="36"/>
  <c r="X100" i="36"/>
  <c r="X102" i="36" s="1"/>
  <c r="X103" i="36" s="1"/>
  <c r="X110" i="36"/>
  <c r="X111" i="36" s="1"/>
  <c r="V110" i="36"/>
  <c r="V111" i="36" s="1"/>
  <c r="V100" i="36"/>
  <c r="V102" i="36" s="1"/>
  <c r="U110" i="36"/>
  <c r="U103" i="36" s="1"/>
  <c r="N249" i="37" l="1"/>
  <c r="M255" i="37"/>
  <c r="M121" i="37"/>
  <c r="V103" i="36"/>
  <c r="U111" i="36"/>
  <c r="O249" i="37" l="1"/>
  <c r="N255" i="37"/>
  <c r="N121" i="37"/>
  <c r="T61" i="36"/>
  <c r="T65" i="36"/>
  <c r="T79" i="36"/>
  <c r="T83" i="36"/>
  <c r="T95" i="36"/>
  <c r="T104" i="36"/>
  <c r="T105" i="36"/>
  <c r="T106" i="36"/>
  <c r="T107" i="36"/>
  <c r="T108" i="36"/>
  <c r="T109" i="36"/>
  <c r="T121" i="36"/>
  <c r="S61" i="36"/>
  <c r="S65" i="36"/>
  <c r="S79" i="36"/>
  <c r="S83" i="36"/>
  <c r="S95" i="36"/>
  <c r="S104" i="36"/>
  <c r="S105" i="36"/>
  <c r="S106" i="36"/>
  <c r="S107" i="36"/>
  <c r="S108" i="36"/>
  <c r="S109" i="36"/>
  <c r="S121" i="36"/>
  <c r="P249" i="37" l="1"/>
  <c r="O255" i="37"/>
  <c r="O121" i="37"/>
  <c r="T110" i="36"/>
  <c r="T111" i="36"/>
  <c r="T100" i="36"/>
  <c r="T102" i="36" s="1"/>
  <c r="T103" i="36" s="1"/>
  <c r="S110" i="36"/>
  <c r="S111" i="36" s="1"/>
  <c r="S100" i="36"/>
  <c r="S102" i="36" s="1"/>
  <c r="S103" i="36" s="1"/>
  <c r="Q249" i="37" l="1"/>
  <c r="P255" i="37"/>
  <c r="Q255" i="37" l="1"/>
  <c r="Q121" i="37"/>
  <c r="R249" i="37"/>
  <c r="R255" i="37" l="1"/>
  <c r="R121" i="37"/>
  <c r="S249" i="37"/>
  <c r="N60" i="36"/>
  <c r="M60" i="36"/>
  <c r="L124" i="36"/>
  <c r="L60" i="36"/>
  <c r="S255" i="37" l="1"/>
  <c r="S121" i="37"/>
  <c r="T249" i="37"/>
  <c r="K124" i="36"/>
  <c r="K62" i="36"/>
  <c r="K60" i="36"/>
  <c r="T255" i="37" l="1"/>
  <c r="T121" i="37"/>
  <c r="U249" i="37"/>
  <c r="J124" i="36"/>
  <c r="J60" i="36"/>
  <c r="U121" i="37" l="1"/>
  <c r="V249" i="37"/>
  <c r="U255" i="37"/>
  <c r="I124" i="36"/>
  <c r="I60" i="36"/>
  <c r="H124" i="36"/>
  <c r="H60" i="36"/>
  <c r="G124" i="36"/>
  <c r="F79" i="36"/>
  <c r="F83" i="36"/>
  <c r="G60" i="36"/>
  <c r="W249" i="37" l="1"/>
  <c r="V255" i="37"/>
  <c r="V121" i="37"/>
  <c r="F124" i="36"/>
  <c r="F60" i="36"/>
  <c r="X249" i="37" l="1"/>
  <c r="W255" i="37"/>
  <c r="W121" i="37"/>
  <c r="E124" i="36"/>
  <c r="E60" i="36"/>
  <c r="Y249" i="37" l="1"/>
  <c r="X255" i="37"/>
  <c r="X121" i="37"/>
  <c r="D61" i="36"/>
  <c r="D65" i="36"/>
  <c r="D79" i="36"/>
  <c r="D83" i="36"/>
  <c r="D95" i="36"/>
  <c r="D104" i="36"/>
  <c r="D105" i="36"/>
  <c r="D106" i="36"/>
  <c r="D107" i="36"/>
  <c r="D108" i="36"/>
  <c r="D109" i="36"/>
  <c r="D121" i="36"/>
  <c r="C61" i="36"/>
  <c r="C65" i="36"/>
  <c r="C79" i="36"/>
  <c r="C83" i="36"/>
  <c r="C95" i="36"/>
  <c r="C104" i="36"/>
  <c r="C105" i="36"/>
  <c r="C106" i="36"/>
  <c r="C107" i="36"/>
  <c r="C108" i="36"/>
  <c r="C109" i="36"/>
  <c r="C121" i="36"/>
  <c r="Y255" i="37" l="1"/>
  <c r="Z249" i="37"/>
  <c r="D110" i="36"/>
  <c r="D100" i="36"/>
  <c r="D102" i="36" s="1"/>
  <c r="D103" i="36" s="1"/>
  <c r="D111" i="36"/>
  <c r="C110" i="36"/>
  <c r="C111" i="36" s="1"/>
  <c r="C100" i="36"/>
  <c r="C102" i="36" s="1"/>
  <c r="C103" i="36" s="1"/>
  <c r="B121" i="36"/>
  <c r="B109" i="36"/>
  <c r="B108" i="36"/>
  <c r="B107" i="36"/>
  <c r="B106" i="36"/>
  <c r="B105" i="36"/>
  <c r="B104" i="36"/>
  <c r="B95" i="36"/>
  <c r="AF5" i="36" s="1"/>
  <c r="B83" i="36"/>
  <c r="B79" i="36"/>
  <c r="B65" i="36"/>
  <c r="AM17" i="36" s="1"/>
  <c r="B61" i="36"/>
  <c r="AG255" i="36"/>
  <c r="C255" i="36"/>
  <c r="E254" i="36"/>
  <c r="F254" i="36" s="1"/>
  <c r="G254" i="36" s="1"/>
  <c r="H254" i="36" s="1"/>
  <c r="I254" i="36" s="1"/>
  <c r="J254" i="36" s="1"/>
  <c r="K254" i="36" s="1"/>
  <c r="L254" i="36" s="1"/>
  <c r="M254" i="36" s="1"/>
  <c r="N254" i="36" s="1"/>
  <c r="O254" i="36" s="1"/>
  <c r="P254" i="36" s="1"/>
  <c r="Q254" i="36" s="1"/>
  <c r="R254" i="36" s="1"/>
  <c r="S254" i="36" s="1"/>
  <c r="T254" i="36" s="1"/>
  <c r="U254" i="36" s="1"/>
  <c r="V254" i="36" s="1"/>
  <c r="W254" i="36" s="1"/>
  <c r="X254" i="36" s="1"/>
  <c r="Y254" i="36" s="1"/>
  <c r="Z254" i="36" s="1"/>
  <c r="AA254" i="36" s="1"/>
  <c r="AB254" i="36" s="1"/>
  <c r="AC254" i="36" s="1"/>
  <c r="AD254" i="36" s="1"/>
  <c r="AE254" i="36" s="1"/>
  <c r="AF254" i="36" s="1"/>
  <c r="B254" i="36" s="1"/>
  <c r="D254" i="36"/>
  <c r="D253" i="36"/>
  <c r="E253" i="36" s="1"/>
  <c r="F253" i="36" s="1"/>
  <c r="G253" i="36" s="1"/>
  <c r="H253" i="36" s="1"/>
  <c r="I253" i="36" s="1"/>
  <c r="J253" i="36" s="1"/>
  <c r="K253" i="36" s="1"/>
  <c r="L253" i="36" s="1"/>
  <c r="M253" i="36" s="1"/>
  <c r="N253" i="36" s="1"/>
  <c r="O253" i="36" s="1"/>
  <c r="P253" i="36" s="1"/>
  <c r="Q253" i="36" s="1"/>
  <c r="R253" i="36" s="1"/>
  <c r="S253" i="36" s="1"/>
  <c r="T253" i="36" s="1"/>
  <c r="U253" i="36" s="1"/>
  <c r="V253" i="36" s="1"/>
  <c r="W253" i="36" s="1"/>
  <c r="X253" i="36" s="1"/>
  <c r="Y253" i="36" s="1"/>
  <c r="Z253" i="36" s="1"/>
  <c r="AA253" i="36" s="1"/>
  <c r="AB253" i="36" s="1"/>
  <c r="AC253" i="36" s="1"/>
  <c r="AD253" i="36" s="1"/>
  <c r="AE253" i="36" s="1"/>
  <c r="AF253" i="36" s="1"/>
  <c r="B253" i="36" s="1"/>
  <c r="I252" i="36"/>
  <c r="J252" i="36" s="1"/>
  <c r="K252" i="36" s="1"/>
  <c r="L252" i="36" s="1"/>
  <c r="M252" i="36" s="1"/>
  <c r="N252" i="36" s="1"/>
  <c r="O252" i="36" s="1"/>
  <c r="P252" i="36" s="1"/>
  <c r="Q252" i="36" s="1"/>
  <c r="R252" i="36" s="1"/>
  <c r="S252" i="36" s="1"/>
  <c r="T252" i="36" s="1"/>
  <c r="U252" i="36" s="1"/>
  <c r="V252" i="36" s="1"/>
  <c r="W252" i="36" s="1"/>
  <c r="X252" i="36" s="1"/>
  <c r="Y252" i="36" s="1"/>
  <c r="Z252" i="36" s="1"/>
  <c r="AA252" i="36" s="1"/>
  <c r="AB252" i="36" s="1"/>
  <c r="AC252" i="36" s="1"/>
  <c r="AD252" i="36" s="1"/>
  <c r="AE252" i="36" s="1"/>
  <c r="AF252" i="36" s="1"/>
  <c r="B252" i="36" s="1"/>
  <c r="E252" i="36"/>
  <c r="F252" i="36" s="1"/>
  <c r="G252" i="36" s="1"/>
  <c r="H252" i="36" s="1"/>
  <c r="D252" i="36"/>
  <c r="D251" i="36"/>
  <c r="E251" i="36" s="1"/>
  <c r="F251" i="36" s="1"/>
  <c r="G251" i="36" s="1"/>
  <c r="H251" i="36" s="1"/>
  <c r="I251" i="36" s="1"/>
  <c r="J251" i="36" s="1"/>
  <c r="K251" i="36" s="1"/>
  <c r="L251" i="36" s="1"/>
  <c r="M251" i="36" s="1"/>
  <c r="N251" i="36" s="1"/>
  <c r="O251" i="36" s="1"/>
  <c r="P251" i="36" s="1"/>
  <c r="Q251" i="36" s="1"/>
  <c r="R251" i="36" s="1"/>
  <c r="S251" i="36" s="1"/>
  <c r="T251" i="36" s="1"/>
  <c r="U251" i="36" s="1"/>
  <c r="V251" i="36" s="1"/>
  <c r="W251" i="36" s="1"/>
  <c r="X251" i="36" s="1"/>
  <c r="Y251" i="36" s="1"/>
  <c r="Z251" i="36" s="1"/>
  <c r="AA251" i="36" s="1"/>
  <c r="AB251" i="36" s="1"/>
  <c r="AC251" i="36" s="1"/>
  <c r="AD251" i="36" s="1"/>
  <c r="AE251" i="36" s="1"/>
  <c r="AF251" i="36" s="1"/>
  <c r="B251" i="36" s="1"/>
  <c r="M250" i="36"/>
  <c r="N250" i="36" s="1"/>
  <c r="O250" i="36" s="1"/>
  <c r="P250" i="36" s="1"/>
  <c r="Q250" i="36" s="1"/>
  <c r="R250" i="36" s="1"/>
  <c r="S250" i="36" s="1"/>
  <c r="T250" i="36" s="1"/>
  <c r="U250" i="36" s="1"/>
  <c r="V250" i="36" s="1"/>
  <c r="W250" i="36" s="1"/>
  <c r="X250" i="36" s="1"/>
  <c r="Y250" i="36" s="1"/>
  <c r="Z250" i="36" s="1"/>
  <c r="AA250" i="36" s="1"/>
  <c r="AB250" i="36" s="1"/>
  <c r="AC250" i="36" s="1"/>
  <c r="AD250" i="36" s="1"/>
  <c r="AE250" i="36" s="1"/>
  <c r="AF250" i="36" s="1"/>
  <c r="B250" i="36" s="1"/>
  <c r="E250" i="36"/>
  <c r="F250" i="36" s="1"/>
  <c r="G250" i="36" s="1"/>
  <c r="H250" i="36" s="1"/>
  <c r="I250" i="36" s="1"/>
  <c r="J250" i="36" s="1"/>
  <c r="K250" i="36" s="1"/>
  <c r="L250" i="36" s="1"/>
  <c r="D250" i="36"/>
  <c r="D249" i="36"/>
  <c r="D255" i="36" s="1"/>
  <c r="AG247" i="36"/>
  <c r="AF247" i="36"/>
  <c r="AE247" i="36"/>
  <c r="AD247" i="36"/>
  <c r="AC247" i="36"/>
  <c r="AB247" i="36"/>
  <c r="AA247" i="36"/>
  <c r="Z247" i="36"/>
  <c r="Y247" i="36"/>
  <c r="X247" i="36"/>
  <c r="W247" i="36"/>
  <c r="V247" i="36"/>
  <c r="U247" i="36"/>
  <c r="T247" i="36"/>
  <c r="S247" i="36"/>
  <c r="R247" i="36"/>
  <c r="Q247" i="36"/>
  <c r="P247" i="36"/>
  <c r="O247" i="36"/>
  <c r="N247" i="36"/>
  <c r="M247" i="36"/>
  <c r="L247" i="36"/>
  <c r="K247" i="36"/>
  <c r="J247" i="36"/>
  <c r="I247" i="36"/>
  <c r="H247" i="36"/>
  <c r="G247" i="36"/>
  <c r="F247" i="36"/>
  <c r="E247" i="36"/>
  <c r="D247" i="36"/>
  <c r="C247" i="36"/>
  <c r="B247" i="36"/>
  <c r="AI133" i="36"/>
  <c r="AH133" i="36"/>
  <c r="AI132" i="36"/>
  <c r="AH132" i="36"/>
  <c r="AI131" i="36"/>
  <c r="AH131" i="36"/>
  <c r="AI130" i="36"/>
  <c r="AH130" i="36"/>
  <c r="AI129" i="36"/>
  <c r="AH129" i="36"/>
  <c r="AI126" i="36"/>
  <c r="AH126" i="36"/>
  <c r="AI125" i="36"/>
  <c r="AH125" i="36"/>
  <c r="AI124" i="36"/>
  <c r="AH124" i="36"/>
  <c r="AI123" i="36"/>
  <c r="AH123" i="36"/>
  <c r="AI122" i="36"/>
  <c r="AH122" i="36"/>
  <c r="AI120" i="36"/>
  <c r="AH120" i="36"/>
  <c r="AI119" i="36"/>
  <c r="AH119" i="36"/>
  <c r="AI118" i="36"/>
  <c r="AH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R110" i="36"/>
  <c r="AZ23" i="36" s="1"/>
  <c r="AF109" i="36"/>
  <c r="AE109" i="36"/>
  <c r="AD109" i="36"/>
  <c r="AC109" i="36"/>
  <c r="AB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AF108" i="36"/>
  <c r="AE108" i="36"/>
  <c r="AD108" i="36"/>
  <c r="AC108" i="36"/>
  <c r="AB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AF107" i="36"/>
  <c r="AE107" i="36"/>
  <c r="AD107" i="36"/>
  <c r="AC107" i="36"/>
  <c r="AB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AF106" i="36"/>
  <c r="AE106" i="36"/>
  <c r="AD106" i="36"/>
  <c r="AC106" i="36"/>
  <c r="AB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AF105" i="36"/>
  <c r="AE105" i="36"/>
  <c r="AD105" i="36"/>
  <c r="AC105" i="36"/>
  <c r="AB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AF104" i="36"/>
  <c r="AF110" i="36" s="1"/>
  <c r="BJ23" i="36" s="1"/>
  <c r="AE104" i="36"/>
  <c r="AD104" i="36"/>
  <c r="AC104" i="36"/>
  <c r="AB104" i="36"/>
  <c r="R104" i="36"/>
  <c r="Q104" i="36"/>
  <c r="P104" i="36"/>
  <c r="P110" i="36" s="1"/>
  <c r="O104" i="36"/>
  <c r="N104" i="36"/>
  <c r="M104" i="36"/>
  <c r="L104" i="36"/>
  <c r="K104" i="36"/>
  <c r="J104" i="36"/>
  <c r="J110" i="36" s="1"/>
  <c r="I104" i="36"/>
  <c r="H104" i="36"/>
  <c r="G104" i="36"/>
  <c r="F104" i="36"/>
  <c r="E104" i="36"/>
  <c r="AI101" i="36"/>
  <c r="AH101" i="36"/>
  <c r="AI99" i="36"/>
  <c r="AH99" i="36"/>
  <c r="AG99" i="36"/>
  <c r="AI98" i="36"/>
  <c r="AH98" i="36"/>
  <c r="AI97" i="36"/>
  <c r="AH97" i="36"/>
  <c r="AI96" i="36"/>
  <c r="AH96" i="36"/>
  <c r="AG95" i="36"/>
  <c r="AF95" i="36"/>
  <c r="AE95" i="36"/>
  <c r="BI19" i="36" s="1"/>
  <c r="AD95" i="36"/>
  <c r="AC5" i="36" s="1"/>
  <c r="AC95" i="36"/>
  <c r="AB5" i="36" s="1"/>
  <c r="AB95" i="36"/>
  <c r="R95" i="36"/>
  <c r="Q5" i="36" s="1"/>
  <c r="Q95" i="36"/>
  <c r="AY19" i="36" s="1"/>
  <c r="P95" i="36"/>
  <c r="P111" i="36" s="1"/>
  <c r="O95" i="36"/>
  <c r="N95" i="36"/>
  <c r="AV19" i="36" s="1"/>
  <c r="M95" i="36"/>
  <c r="L95" i="36"/>
  <c r="K95" i="36"/>
  <c r="J5" i="36" s="1"/>
  <c r="J95" i="36"/>
  <c r="I5" i="36" s="1"/>
  <c r="I95" i="36"/>
  <c r="AS19" i="36" s="1"/>
  <c r="H95" i="36"/>
  <c r="G95" i="36"/>
  <c r="AR19" i="36" s="1"/>
  <c r="F95" i="36"/>
  <c r="E5" i="36" s="1"/>
  <c r="E95" i="36"/>
  <c r="D5" i="36" s="1"/>
  <c r="AI94" i="36"/>
  <c r="AH94" i="36"/>
  <c r="AI93" i="36"/>
  <c r="AH93" i="36"/>
  <c r="AI92" i="36"/>
  <c r="AH92" i="36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G83" i="36"/>
  <c r="AF83" i="36"/>
  <c r="BJ20" i="36" s="1"/>
  <c r="AD83" i="36"/>
  <c r="BH20" i="36" s="1"/>
  <c r="AC83" i="36"/>
  <c r="AB83" i="36"/>
  <c r="BF20" i="36"/>
  <c r="R83" i="36"/>
  <c r="AZ20" i="36" s="1"/>
  <c r="Q83" i="36"/>
  <c r="P83" i="36"/>
  <c r="O83" i="36"/>
  <c r="AW20" i="36" s="1"/>
  <c r="N83" i="36"/>
  <c r="AV20" i="36" s="1"/>
  <c r="M83" i="36"/>
  <c r="L83" i="36"/>
  <c r="AT20" i="36"/>
  <c r="J83" i="36"/>
  <c r="I83" i="36"/>
  <c r="AS20" i="36" s="1"/>
  <c r="H83" i="36"/>
  <c r="G83" i="36"/>
  <c r="E83" i="36"/>
  <c r="AI82" i="36"/>
  <c r="AH82" i="36"/>
  <c r="AI81" i="36"/>
  <c r="AH81" i="36"/>
  <c r="AI80" i="36"/>
  <c r="AH80" i="36"/>
  <c r="AF79" i="36"/>
  <c r="AD79" i="36"/>
  <c r="AC79" i="36"/>
  <c r="AB79" i="36"/>
  <c r="BA18" i="36"/>
  <c r="R79" i="36"/>
  <c r="AZ18" i="36" s="1"/>
  <c r="Q79" i="36"/>
  <c r="P79" i="36"/>
  <c r="O79" i="36"/>
  <c r="N79" i="36"/>
  <c r="M79" i="36"/>
  <c r="L79" i="36"/>
  <c r="K79" i="36"/>
  <c r="AT18" i="36" s="1"/>
  <c r="J79" i="36"/>
  <c r="I79" i="36"/>
  <c r="H79" i="36"/>
  <c r="G79" i="36"/>
  <c r="E79" i="36"/>
  <c r="AN18" i="36"/>
  <c r="AI78" i="36"/>
  <c r="AH78" i="36"/>
  <c r="AG78" i="36"/>
  <c r="AG79" i="36" s="1"/>
  <c r="BT77" i="36"/>
  <c r="AI77" i="36"/>
  <c r="AH77" i="36"/>
  <c r="BV76" i="36"/>
  <c r="AI76" i="36"/>
  <c r="AH76" i="36"/>
  <c r="AI75" i="36"/>
  <c r="AH75" i="36"/>
  <c r="AI74" i="36"/>
  <c r="AH74" i="36"/>
  <c r="BW73" i="36"/>
  <c r="BL73" i="36"/>
  <c r="BG73" i="36"/>
  <c r="AI73" i="36"/>
  <c r="AH73" i="36"/>
  <c r="AI72" i="36"/>
  <c r="AH72" i="36"/>
  <c r="BW71" i="36"/>
  <c r="BW78" i="36" s="1"/>
  <c r="BV71" i="36"/>
  <c r="BV78" i="36" s="1"/>
  <c r="BU71" i="36"/>
  <c r="BU78" i="36" s="1"/>
  <c r="BT71" i="36"/>
  <c r="BT78" i="36" s="1"/>
  <c r="BS71" i="36"/>
  <c r="BS78" i="36" s="1"/>
  <c r="BR71" i="36"/>
  <c r="BR78" i="36" s="1"/>
  <c r="BQ71" i="36"/>
  <c r="BQ78" i="36" s="1"/>
  <c r="BP71" i="36"/>
  <c r="BP78" i="36" s="1"/>
  <c r="BO71" i="36"/>
  <c r="BO78" i="36" s="1"/>
  <c r="BN71" i="36"/>
  <c r="BN78" i="36" s="1"/>
  <c r="BM71" i="36"/>
  <c r="BM78" i="36" s="1"/>
  <c r="BL71" i="36"/>
  <c r="BL78" i="36" s="1"/>
  <c r="BK71" i="36"/>
  <c r="BK78" i="36" s="1"/>
  <c r="BJ71" i="36"/>
  <c r="BJ78" i="36" s="1"/>
  <c r="BI71" i="36"/>
  <c r="BI78" i="36" s="1"/>
  <c r="BH71" i="36"/>
  <c r="BH78" i="36" s="1"/>
  <c r="BG71" i="36"/>
  <c r="BG78" i="36" s="1"/>
  <c r="BF71" i="36"/>
  <c r="BF78" i="36" s="1"/>
  <c r="BE71" i="36"/>
  <c r="BE78" i="36" s="1"/>
  <c r="BD71" i="36"/>
  <c r="BD78" i="36" s="1"/>
  <c r="BC71" i="36"/>
  <c r="BC78" i="36" s="1"/>
  <c r="BB71" i="36"/>
  <c r="BB78" i="36" s="1"/>
  <c r="BA71" i="36"/>
  <c r="BA78" i="36" s="1"/>
  <c r="AZ71" i="36"/>
  <c r="AZ78" i="36" s="1"/>
  <c r="AI71" i="36"/>
  <c r="AH71" i="36"/>
  <c r="BW70" i="36"/>
  <c r="BW77" i="36" s="1"/>
  <c r="BV70" i="36"/>
  <c r="BV77" i="36" s="1"/>
  <c r="BU70" i="36"/>
  <c r="BU77" i="36" s="1"/>
  <c r="BT70" i="36"/>
  <c r="BS70" i="36"/>
  <c r="BS77" i="36" s="1"/>
  <c r="BR70" i="36"/>
  <c r="BR77" i="36" s="1"/>
  <c r="BQ70" i="36"/>
  <c r="BQ77" i="36" s="1"/>
  <c r="BP70" i="36"/>
  <c r="BP77" i="36" s="1"/>
  <c r="BO70" i="36"/>
  <c r="BO77" i="36" s="1"/>
  <c r="BN70" i="36"/>
  <c r="BN77" i="36" s="1"/>
  <c r="BM70" i="36"/>
  <c r="BM77" i="36" s="1"/>
  <c r="BL70" i="36"/>
  <c r="BL77" i="36" s="1"/>
  <c r="BK70" i="36"/>
  <c r="BK77" i="36" s="1"/>
  <c r="BJ70" i="36"/>
  <c r="BJ77" i="36" s="1"/>
  <c r="BI70" i="36"/>
  <c r="BI77" i="36" s="1"/>
  <c r="BH70" i="36"/>
  <c r="BH77" i="36" s="1"/>
  <c r="BG70" i="36"/>
  <c r="BG77" i="36" s="1"/>
  <c r="BF70" i="36"/>
  <c r="BF77" i="36" s="1"/>
  <c r="BE70" i="36"/>
  <c r="BE77" i="36" s="1"/>
  <c r="BD70" i="36"/>
  <c r="BD77" i="36" s="1"/>
  <c r="BC70" i="36"/>
  <c r="BC77" i="36" s="1"/>
  <c r="BB70" i="36"/>
  <c r="BB77" i="36" s="1"/>
  <c r="BA70" i="36"/>
  <c r="BA77" i="36" s="1"/>
  <c r="AZ70" i="36"/>
  <c r="AZ77" i="36" s="1"/>
  <c r="AI70" i="36"/>
  <c r="AH70" i="36"/>
  <c r="BW69" i="36"/>
  <c r="BW76" i="36" s="1"/>
  <c r="BV69" i="36"/>
  <c r="BU69" i="36"/>
  <c r="BU76" i="36" s="1"/>
  <c r="BT69" i="36"/>
  <c r="BT76" i="36" s="1"/>
  <c r="BS69" i="36"/>
  <c r="BS76" i="36" s="1"/>
  <c r="BR69" i="36"/>
  <c r="BR76" i="36" s="1"/>
  <c r="BQ69" i="36"/>
  <c r="BQ76" i="36" s="1"/>
  <c r="BP69" i="36"/>
  <c r="BP76" i="36" s="1"/>
  <c r="BO69" i="36"/>
  <c r="BO76" i="36" s="1"/>
  <c r="BN69" i="36"/>
  <c r="BN76" i="36" s="1"/>
  <c r="BM69" i="36"/>
  <c r="BM76" i="36" s="1"/>
  <c r="BL69" i="36"/>
  <c r="BL76" i="36" s="1"/>
  <c r="BK69" i="36"/>
  <c r="BK76" i="36" s="1"/>
  <c r="BJ69" i="36"/>
  <c r="BJ76" i="36" s="1"/>
  <c r="BI69" i="36"/>
  <c r="BI76" i="36" s="1"/>
  <c r="BH69" i="36"/>
  <c r="BH76" i="36" s="1"/>
  <c r="BG69" i="36"/>
  <c r="BG76" i="36" s="1"/>
  <c r="BF69" i="36"/>
  <c r="BF76" i="36" s="1"/>
  <c r="BE69" i="36"/>
  <c r="BE76" i="36" s="1"/>
  <c r="BD69" i="36"/>
  <c r="BD76" i="36" s="1"/>
  <c r="BC69" i="36"/>
  <c r="BC76" i="36" s="1"/>
  <c r="BB69" i="36"/>
  <c r="BB76" i="36" s="1"/>
  <c r="BA69" i="36"/>
  <c r="BA76" i="36" s="1"/>
  <c r="AZ69" i="36"/>
  <c r="AZ76" i="36" s="1"/>
  <c r="AI69" i="36"/>
  <c r="AH69" i="36"/>
  <c r="BW68" i="36"/>
  <c r="BW75" i="36" s="1"/>
  <c r="BV68" i="36"/>
  <c r="BV75" i="36" s="1"/>
  <c r="BU68" i="36"/>
  <c r="BU75" i="36" s="1"/>
  <c r="BT68" i="36"/>
  <c r="BT75" i="36" s="1"/>
  <c r="BS68" i="36"/>
  <c r="BS75" i="36" s="1"/>
  <c r="BR68" i="36"/>
  <c r="BR75" i="36" s="1"/>
  <c r="BQ68" i="36"/>
  <c r="BQ75" i="36" s="1"/>
  <c r="BP68" i="36"/>
  <c r="BP75" i="36" s="1"/>
  <c r="BO68" i="36"/>
  <c r="BO75" i="36" s="1"/>
  <c r="BN68" i="36"/>
  <c r="BN75" i="36" s="1"/>
  <c r="BM68" i="36"/>
  <c r="BM75" i="36" s="1"/>
  <c r="BL68" i="36"/>
  <c r="BL75" i="36" s="1"/>
  <c r="BK68" i="36"/>
  <c r="BK75" i="36" s="1"/>
  <c r="BJ68" i="36"/>
  <c r="BJ75" i="36" s="1"/>
  <c r="BI68" i="36"/>
  <c r="BI75" i="36" s="1"/>
  <c r="BH68" i="36"/>
  <c r="BH75" i="36" s="1"/>
  <c r="BG68" i="36"/>
  <c r="BG75" i="36" s="1"/>
  <c r="BF68" i="36"/>
  <c r="BF75" i="36" s="1"/>
  <c r="BE68" i="36"/>
  <c r="BE75" i="36" s="1"/>
  <c r="BD68" i="36"/>
  <c r="BD75" i="36" s="1"/>
  <c r="BC68" i="36"/>
  <c r="BC75" i="36" s="1"/>
  <c r="BB68" i="36"/>
  <c r="BB75" i="36" s="1"/>
  <c r="BA68" i="36"/>
  <c r="BA75" i="36" s="1"/>
  <c r="AZ68" i="36"/>
  <c r="AZ75" i="36" s="1"/>
  <c r="AI68" i="36"/>
  <c r="AH68" i="36"/>
  <c r="BW67" i="36"/>
  <c r="BW74" i="36" s="1"/>
  <c r="BV67" i="36"/>
  <c r="BV74" i="36" s="1"/>
  <c r="BU67" i="36"/>
  <c r="BU74" i="36" s="1"/>
  <c r="BT67" i="36"/>
  <c r="BT74" i="36" s="1"/>
  <c r="BS67" i="36"/>
  <c r="BS74" i="36" s="1"/>
  <c r="BR67" i="36"/>
  <c r="BR74" i="36" s="1"/>
  <c r="BQ67" i="36"/>
  <c r="BQ74" i="36" s="1"/>
  <c r="BP67" i="36"/>
  <c r="BP74" i="36" s="1"/>
  <c r="BO67" i="36"/>
  <c r="BO74" i="36" s="1"/>
  <c r="BN67" i="36"/>
  <c r="BN74" i="36" s="1"/>
  <c r="BM67" i="36"/>
  <c r="BM74" i="36" s="1"/>
  <c r="BL67" i="36"/>
  <c r="BL74" i="36" s="1"/>
  <c r="BK67" i="36"/>
  <c r="BK74" i="36" s="1"/>
  <c r="BJ67" i="36"/>
  <c r="BJ74" i="36" s="1"/>
  <c r="BI67" i="36"/>
  <c r="BI74" i="36" s="1"/>
  <c r="BH67" i="36"/>
  <c r="BH74" i="36" s="1"/>
  <c r="BG67" i="36"/>
  <c r="BG74" i="36" s="1"/>
  <c r="BF67" i="36"/>
  <c r="BF74" i="36" s="1"/>
  <c r="BE67" i="36"/>
  <c r="BE74" i="36" s="1"/>
  <c r="BD67" i="36"/>
  <c r="BD74" i="36" s="1"/>
  <c r="BC67" i="36"/>
  <c r="BC74" i="36" s="1"/>
  <c r="BB67" i="36"/>
  <c r="BB74" i="36" s="1"/>
  <c r="BA67" i="36"/>
  <c r="BA74" i="36" s="1"/>
  <c r="AZ67" i="36"/>
  <c r="AZ74" i="36" s="1"/>
  <c r="AI67" i="36"/>
  <c r="AH67" i="36"/>
  <c r="BW66" i="36"/>
  <c r="BV66" i="36"/>
  <c r="BV73" i="36" s="1"/>
  <c r="BU66" i="36"/>
  <c r="BU73" i="36" s="1"/>
  <c r="BT66" i="36"/>
  <c r="BT73" i="36" s="1"/>
  <c r="BS66" i="36"/>
  <c r="BS73" i="36" s="1"/>
  <c r="BR66" i="36"/>
  <c r="BR73" i="36" s="1"/>
  <c r="BQ66" i="36"/>
  <c r="BQ73" i="36" s="1"/>
  <c r="BP66" i="36"/>
  <c r="BP73" i="36" s="1"/>
  <c r="BO66" i="36"/>
  <c r="BO73" i="36" s="1"/>
  <c r="BN66" i="36"/>
  <c r="BN73" i="36" s="1"/>
  <c r="BM66" i="36"/>
  <c r="BM73" i="36" s="1"/>
  <c r="BL66" i="36"/>
  <c r="BK66" i="36"/>
  <c r="BK73" i="36" s="1"/>
  <c r="BJ66" i="36"/>
  <c r="BJ73" i="36" s="1"/>
  <c r="BI66" i="36"/>
  <c r="BI73" i="36" s="1"/>
  <c r="BH66" i="36"/>
  <c r="BH73" i="36" s="1"/>
  <c r="BG66" i="36"/>
  <c r="BF66" i="36"/>
  <c r="BF73" i="36" s="1"/>
  <c r="BE66" i="36"/>
  <c r="BE73" i="36" s="1"/>
  <c r="BD66" i="36"/>
  <c r="BD73" i="36" s="1"/>
  <c r="BC66" i="36"/>
  <c r="BC73" i="36" s="1"/>
  <c r="BB66" i="36"/>
  <c r="BB73" i="36" s="1"/>
  <c r="BA66" i="36"/>
  <c r="BA73" i="36" s="1"/>
  <c r="AZ66" i="36"/>
  <c r="AZ73" i="36" s="1"/>
  <c r="AI66" i="36"/>
  <c r="AH66" i="36"/>
  <c r="AG65" i="36"/>
  <c r="AD65" i="36"/>
  <c r="BH17" i="36" s="1"/>
  <c r="AC65" i="36"/>
  <c r="AB65" i="36"/>
  <c r="BE17" i="36"/>
  <c r="BA17" i="36"/>
  <c r="R65" i="36"/>
  <c r="AZ17" i="36" s="1"/>
  <c r="Q65" i="36"/>
  <c r="P65" i="36"/>
  <c r="AX17" i="36" s="1"/>
  <c r="O65" i="36"/>
  <c r="N65" i="36"/>
  <c r="AV17" i="36" s="1"/>
  <c r="M65" i="36"/>
  <c r="L65" i="36"/>
  <c r="K65" i="36"/>
  <c r="J65" i="36"/>
  <c r="I65" i="36"/>
  <c r="H65" i="36"/>
  <c r="G65" i="36"/>
  <c r="AR17" i="36" s="1"/>
  <c r="F65" i="36"/>
  <c r="E65" i="36"/>
  <c r="AI64" i="36"/>
  <c r="AH64" i="36"/>
  <c r="AI63" i="36"/>
  <c r="AH63" i="36"/>
  <c r="AI62" i="36"/>
  <c r="AH62" i="36"/>
  <c r="AG61" i="36"/>
  <c r="AG100" i="36" s="1"/>
  <c r="AD61" i="36"/>
  <c r="BH16" i="36" s="1"/>
  <c r="AC61" i="36"/>
  <c r="AB61" i="36"/>
  <c r="AA7" i="36"/>
  <c r="Y7" i="36"/>
  <c r="X7" i="36"/>
  <c r="W7" i="36"/>
  <c r="S7" i="36"/>
  <c r="R61" i="36"/>
  <c r="AZ16" i="36" s="1"/>
  <c r="Q61" i="36"/>
  <c r="AY16" i="36" s="1"/>
  <c r="P100" i="36"/>
  <c r="P102" i="36" s="1"/>
  <c r="P103" i="36" s="1"/>
  <c r="P7" i="36" s="1"/>
  <c r="O61" i="36"/>
  <c r="N61" i="36"/>
  <c r="M61" i="36"/>
  <c r="L61" i="36"/>
  <c r="K61" i="36"/>
  <c r="J61" i="36"/>
  <c r="I61" i="36"/>
  <c r="H61" i="36"/>
  <c r="G61" i="36"/>
  <c r="F61" i="36"/>
  <c r="AQ16" i="36" s="1"/>
  <c r="E61" i="36"/>
  <c r="C7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BF23" i="36"/>
  <c r="BE23" i="36"/>
  <c r="BB23" i="36"/>
  <c r="BA23" i="36"/>
  <c r="AX23" i="36"/>
  <c r="AO23" i="36"/>
  <c r="AN23" i="36"/>
  <c r="AI23" i="36"/>
  <c r="AH23" i="36"/>
  <c r="AI22" i="36"/>
  <c r="AH22" i="36"/>
  <c r="BJ21" i="36"/>
  <c r="BI21" i="36"/>
  <c r="BH21" i="36"/>
  <c r="BG21" i="36"/>
  <c r="BF21" i="36"/>
  <c r="BE21" i="36"/>
  <c r="BD21" i="36"/>
  <c r="BC21" i="36"/>
  <c r="BB21" i="36"/>
  <c r="BA21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I21" i="36"/>
  <c r="AH21" i="36"/>
  <c r="BI20" i="36"/>
  <c r="BG20" i="36"/>
  <c r="BE20" i="36"/>
  <c r="BD20" i="36"/>
  <c r="BC20" i="36"/>
  <c r="BB20" i="36"/>
  <c r="BA20" i="36"/>
  <c r="AY20" i="36"/>
  <c r="AX20" i="36"/>
  <c r="AU20" i="36"/>
  <c r="AR20" i="36"/>
  <c r="AQ20" i="36"/>
  <c r="AP20" i="36"/>
  <c r="AO20" i="36"/>
  <c r="AN20" i="36"/>
  <c r="AI20" i="36"/>
  <c r="AH20" i="36"/>
  <c r="BJ19" i="36"/>
  <c r="BF19" i="36"/>
  <c r="BE19" i="36"/>
  <c r="BD19" i="36"/>
  <c r="BC19" i="36"/>
  <c r="BB19" i="36"/>
  <c r="BA19" i="36"/>
  <c r="AX19" i="36"/>
  <c r="AW19" i="36"/>
  <c r="AU19" i="36"/>
  <c r="AO19" i="36"/>
  <c r="AN19" i="36"/>
  <c r="AI19" i="36"/>
  <c r="AH19" i="36"/>
  <c r="BI18" i="36"/>
  <c r="BH18" i="36"/>
  <c r="BG18" i="36"/>
  <c r="BF18" i="36"/>
  <c r="BE18" i="36"/>
  <c r="BD18" i="36"/>
  <c r="BC18" i="36"/>
  <c r="BC22" i="36" s="1"/>
  <c r="BB18" i="36"/>
  <c r="AY18" i="36"/>
  <c r="AX18" i="36"/>
  <c r="AW18" i="36"/>
  <c r="AV18" i="36"/>
  <c r="AU18" i="36"/>
  <c r="AS18" i="36"/>
  <c r="AR18" i="36"/>
  <c r="AQ18" i="36"/>
  <c r="AP18" i="36"/>
  <c r="AO18" i="36"/>
  <c r="AI18" i="36"/>
  <c r="AH18" i="36"/>
  <c r="BJ17" i="36"/>
  <c r="BI17" i="36"/>
  <c r="BG17" i="36"/>
  <c r="BF17" i="36"/>
  <c r="BD17" i="36"/>
  <c r="BC17" i="36"/>
  <c r="BB17" i="36"/>
  <c r="AY17" i="36"/>
  <c r="AW17" i="36"/>
  <c r="AU17" i="36"/>
  <c r="AT17" i="36"/>
  <c r="AS17" i="36"/>
  <c r="AQ17" i="36"/>
  <c r="AP17" i="36"/>
  <c r="AO17" i="36"/>
  <c r="AI17" i="36"/>
  <c r="AH17" i="36"/>
  <c r="BI16" i="36"/>
  <c r="BF16" i="36"/>
  <c r="BD16" i="36"/>
  <c r="BC16" i="36"/>
  <c r="BB16" i="36"/>
  <c r="BB22" i="36" s="1"/>
  <c r="BB24" i="36" s="1"/>
  <c r="AW16" i="36"/>
  <c r="AV16" i="36"/>
  <c r="AU16" i="36"/>
  <c r="AS16" i="36"/>
  <c r="AR16" i="36"/>
  <c r="AO16" i="36"/>
  <c r="AN16" i="36"/>
  <c r="AM16" i="36"/>
  <c r="AI16" i="36"/>
  <c r="AH16" i="36"/>
  <c r="AI15" i="36"/>
  <c r="AH15" i="36"/>
  <c r="AI14" i="36"/>
  <c r="AH14" i="36"/>
  <c r="AI13" i="36"/>
  <c r="AH13" i="36"/>
  <c r="AL12" i="36"/>
  <c r="AI12" i="36"/>
  <c r="AH12" i="36"/>
  <c r="AI11" i="36"/>
  <c r="AH11" i="36"/>
  <c r="T7" i="36"/>
  <c r="D7" i="36"/>
  <c r="Z5" i="36"/>
  <c r="Y5" i="36"/>
  <c r="X5" i="36"/>
  <c r="W5" i="36"/>
  <c r="V5" i="36"/>
  <c r="U5" i="36"/>
  <c r="T5" i="36"/>
  <c r="S5" i="36"/>
  <c r="R5" i="36"/>
  <c r="O5" i="36"/>
  <c r="N5" i="36"/>
  <c r="M5" i="36"/>
  <c r="L5" i="36"/>
  <c r="G5" i="36"/>
  <c r="C5" i="36"/>
  <c r="B5" i="36"/>
  <c r="AG4" i="36"/>
  <c r="K4" i="36"/>
  <c r="E4" i="36"/>
  <c r="H4" i="36" s="1"/>
  <c r="B4" i="36"/>
  <c r="D261" i="36" s="1"/>
  <c r="AG3" i="36"/>
  <c r="AG2" i="36"/>
  <c r="AG6" i="36" s="1"/>
  <c r="Z255" i="37" l="1"/>
  <c r="AA249" i="37"/>
  <c r="AF111" i="36"/>
  <c r="AE5" i="36"/>
  <c r="AF100" i="36"/>
  <c r="AF102" i="36" s="1"/>
  <c r="AF103" i="36" s="1"/>
  <c r="AF7" i="36" s="1"/>
  <c r="BJ18" i="36"/>
  <c r="AE100" i="36"/>
  <c r="AE102" i="36" s="1"/>
  <c r="AD5" i="36"/>
  <c r="AE110" i="36"/>
  <c r="BI23" i="36" s="1"/>
  <c r="BI22" i="36"/>
  <c r="BI24" i="36" s="1"/>
  <c r="BH19" i="36"/>
  <c r="BH22" i="36" s="1"/>
  <c r="AD100" i="36"/>
  <c r="AD102" i="36" s="1"/>
  <c r="AC100" i="36"/>
  <c r="AC102" i="36" s="1"/>
  <c r="AB110" i="36"/>
  <c r="BG23" i="36" s="1"/>
  <c r="AA5" i="36"/>
  <c r="BG19" i="36"/>
  <c r="AB100" i="36"/>
  <c r="AB102" i="36" s="1"/>
  <c r="AB103" i="36" s="1"/>
  <c r="AB7" i="36" s="1"/>
  <c r="BG16" i="36"/>
  <c r="BG22" i="36" s="1"/>
  <c r="BG24" i="36" s="1"/>
  <c r="BF22" i="36"/>
  <c r="BF24" i="36" s="1"/>
  <c r="BD22" i="36"/>
  <c r="R111" i="36"/>
  <c r="AZ19" i="36"/>
  <c r="AZ22" i="36"/>
  <c r="AZ24" i="36" s="1"/>
  <c r="Q110" i="36"/>
  <c r="AY23" i="36" s="1"/>
  <c r="Q100" i="36"/>
  <c r="Q102" i="36" s="1"/>
  <c r="Q103" i="36" s="1"/>
  <c r="Q7" i="36" s="1"/>
  <c r="P5" i="36"/>
  <c r="Q111" i="36"/>
  <c r="AY22" i="36"/>
  <c r="AY24" i="36" s="1"/>
  <c r="O110" i="36"/>
  <c r="AW23" i="36" s="1"/>
  <c r="O100" i="36"/>
  <c r="O102" i="36" s="1"/>
  <c r="O103" i="36" s="1"/>
  <c r="O7" i="36" s="1"/>
  <c r="AW22" i="36"/>
  <c r="AW24" i="36" s="1"/>
  <c r="AV22" i="36"/>
  <c r="N100" i="36"/>
  <c r="N102" i="36" s="1"/>
  <c r="M100" i="36"/>
  <c r="M102" i="36" s="1"/>
  <c r="AU22" i="36"/>
  <c r="L110" i="36"/>
  <c r="L111" i="36" s="1"/>
  <c r="K5" i="36"/>
  <c r="L100" i="36"/>
  <c r="L102" i="36" s="1"/>
  <c r="L103" i="36" s="1"/>
  <c r="L7" i="36" s="1"/>
  <c r="AH109" i="36"/>
  <c r="AT19" i="36"/>
  <c r="K110" i="36"/>
  <c r="AT23" i="36" s="1"/>
  <c r="K100" i="36"/>
  <c r="K102" i="36" s="1"/>
  <c r="J111" i="36"/>
  <c r="H5" i="36"/>
  <c r="I110" i="36"/>
  <c r="AS23" i="36"/>
  <c r="I111" i="36"/>
  <c r="I100" i="36"/>
  <c r="I102" i="36" s="1"/>
  <c r="I103" i="36" s="1"/>
  <c r="I7" i="36" s="1"/>
  <c r="AS22" i="36"/>
  <c r="AS24" i="36" s="1"/>
  <c r="H110" i="36"/>
  <c r="H111" i="36" s="1"/>
  <c r="AI83" i="36"/>
  <c r="H100" i="36"/>
  <c r="H102" i="36" s="1"/>
  <c r="H103" i="36" s="1"/>
  <c r="H7" i="36" s="1"/>
  <c r="AQ19" i="36"/>
  <c r="F5" i="36"/>
  <c r="G110" i="36"/>
  <c r="AR23" i="36" s="1"/>
  <c r="G100" i="36"/>
  <c r="G102" i="36" s="1"/>
  <c r="AR22" i="36"/>
  <c r="AR24" i="36" s="1"/>
  <c r="F100" i="36"/>
  <c r="F102" i="36" s="1"/>
  <c r="AQ22" i="36"/>
  <c r="AP19" i="36"/>
  <c r="AI105" i="36"/>
  <c r="E100" i="36"/>
  <c r="E102" i="36" s="1"/>
  <c r="AI79" i="36"/>
  <c r="AP16" i="36"/>
  <c r="AP22" i="36" s="1"/>
  <c r="AO22" i="36"/>
  <c r="AO24" i="36" s="1"/>
  <c r="B110" i="36"/>
  <c r="AM23" i="36" s="1"/>
  <c r="B111" i="36"/>
  <c r="AM19" i="36"/>
  <c r="AI104" i="36"/>
  <c r="B100" i="36"/>
  <c r="B102" i="36" s="1"/>
  <c r="B103" i="36" s="1"/>
  <c r="AM18" i="36"/>
  <c r="AH65" i="36"/>
  <c r="AI65" i="36"/>
  <c r="AL13" i="36"/>
  <c r="G103" i="36"/>
  <c r="G7" i="36" s="1"/>
  <c r="BA16" i="36"/>
  <c r="BA22" i="36" s="1"/>
  <c r="BA24" i="36" s="1"/>
  <c r="AT16" i="36"/>
  <c r="AT22" i="36" s="1"/>
  <c r="AT24" i="36" s="1"/>
  <c r="BJ16" i="36"/>
  <c r="AH79" i="36"/>
  <c r="AG102" i="36"/>
  <c r="AI106" i="36"/>
  <c r="AI107" i="36"/>
  <c r="AM20" i="36"/>
  <c r="AM22" i="36" s="1"/>
  <c r="J100" i="36"/>
  <c r="J102" i="36" s="1"/>
  <c r="J103" i="36" s="1"/>
  <c r="J7" i="36" s="1"/>
  <c r="R100" i="36"/>
  <c r="R102" i="36" s="1"/>
  <c r="R103" i="36" s="1"/>
  <c r="R7" i="36" s="1"/>
  <c r="Z7" i="36"/>
  <c r="AH61" i="36"/>
  <c r="AI95" i="36"/>
  <c r="AH95" i="36"/>
  <c r="BE16" i="36"/>
  <c r="BE22" i="36" s="1"/>
  <c r="BE24" i="36" s="1"/>
  <c r="AX16" i="36"/>
  <c r="AX22" i="36" s="1"/>
  <c r="AX24" i="36" s="1"/>
  <c r="AN17" i="36"/>
  <c r="AN22" i="36" s="1"/>
  <c r="AN24" i="36" s="1"/>
  <c r="M111" i="36"/>
  <c r="BG82" i="36" a="1"/>
  <c r="AD111" i="36"/>
  <c r="E110" i="36"/>
  <c r="AP23" i="36" s="1"/>
  <c r="M110" i="36"/>
  <c r="AU23" i="36" s="1"/>
  <c r="AU24" i="36" s="1"/>
  <c r="BC23" i="36"/>
  <c r="BC24" i="36" s="1"/>
  <c r="AC110" i="36"/>
  <c r="AC111" i="36" s="1"/>
  <c r="AI61" i="36"/>
  <c r="AH83" i="36"/>
  <c r="G111" i="36"/>
  <c r="O111" i="36"/>
  <c r="AE111" i="36"/>
  <c r="F110" i="36"/>
  <c r="AQ23" i="36" s="1"/>
  <c r="N110" i="36"/>
  <c r="AV23" i="36" s="1"/>
  <c r="BD23" i="36"/>
  <c r="BD24" i="36" s="1"/>
  <c r="AD110" i="36"/>
  <c r="BH23" i="36" s="1"/>
  <c r="AI108" i="36"/>
  <c r="AI109" i="36"/>
  <c r="AH104" i="36"/>
  <c r="AH105" i="36"/>
  <c r="E249" i="36"/>
  <c r="AH106" i="36"/>
  <c r="AH107" i="36"/>
  <c r="AH108" i="36"/>
  <c r="AF61" i="35"/>
  <c r="AF65" i="35"/>
  <c r="AF79" i="35"/>
  <c r="AF83" i="35"/>
  <c r="AF95" i="35"/>
  <c r="AF104" i="35"/>
  <c r="AF105" i="35"/>
  <c r="AF106" i="35"/>
  <c r="AF107" i="35"/>
  <c r="AF108" i="35"/>
  <c r="AF109" i="35"/>
  <c r="AF121" i="35"/>
  <c r="AA255" i="37" l="1"/>
  <c r="AA121" i="37"/>
  <c r="AB249" i="37"/>
  <c r="BJ22" i="36"/>
  <c r="BJ24" i="36" s="1"/>
  <c r="AE103" i="36"/>
  <c r="AE7" i="36" s="1"/>
  <c r="AD103" i="36"/>
  <c r="AD7" i="36" s="1"/>
  <c r="BH24" i="36"/>
  <c r="AB111" i="36"/>
  <c r="AV24" i="36"/>
  <c r="K103" i="36"/>
  <c r="K7" i="36" s="1"/>
  <c r="K111" i="36"/>
  <c r="F111" i="36"/>
  <c r="AQ24" i="36"/>
  <c r="AP24" i="36"/>
  <c r="AM24" i="36"/>
  <c r="AT8" i="36"/>
  <c r="F249" i="36"/>
  <c r="E255" i="36"/>
  <c r="E121" i="36"/>
  <c r="E111" i="36"/>
  <c r="AI100" i="36"/>
  <c r="AH100" i="36"/>
  <c r="V7" i="36"/>
  <c r="AC103" i="36"/>
  <c r="AC7" i="36" s="1"/>
  <c r="B259" i="36"/>
  <c r="C259" i="36"/>
  <c r="F103" i="36"/>
  <c r="F7" i="36" s="1"/>
  <c r="M103" i="36"/>
  <c r="M7" i="36" s="1"/>
  <c r="AI110" i="36"/>
  <c r="N103" i="36"/>
  <c r="N7" i="36" s="1"/>
  <c r="U7" i="36"/>
  <c r="AH110" i="36"/>
  <c r="E103" i="36"/>
  <c r="E7" i="36" s="1"/>
  <c r="BK105" i="36"/>
  <c r="BI104" i="36"/>
  <c r="BG103" i="36"/>
  <c r="BK101" i="36"/>
  <c r="BI100" i="36"/>
  <c r="BG99" i="36"/>
  <c r="BK97" i="36"/>
  <c r="BI96" i="36"/>
  <c r="BG95" i="36"/>
  <c r="BK93" i="36"/>
  <c r="BI92" i="36"/>
  <c r="BG91" i="36"/>
  <c r="BK89" i="36"/>
  <c r="BI88" i="36"/>
  <c r="BG87" i="36"/>
  <c r="BK85" i="36"/>
  <c r="BI84" i="36"/>
  <c r="BG83" i="36"/>
  <c r="BJ105" i="36"/>
  <c r="BH104" i="36"/>
  <c r="BL102" i="36"/>
  <c r="BJ101" i="36"/>
  <c r="BH100" i="36"/>
  <c r="BL98" i="36"/>
  <c r="BJ97" i="36"/>
  <c r="BH96" i="36"/>
  <c r="BL94" i="36"/>
  <c r="BJ93" i="36"/>
  <c r="BH92" i="36"/>
  <c r="BL90" i="36"/>
  <c r="BJ89" i="36"/>
  <c r="BH88" i="36"/>
  <c r="BL86" i="36"/>
  <c r="BJ85" i="36"/>
  <c r="BH84" i="36"/>
  <c r="BL82" i="36"/>
  <c r="BI105" i="36"/>
  <c r="BG104" i="36"/>
  <c r="BK102" i="36"/>
  <c r="BI101" i="36"/>
  <c r="BG100" i="36"/>
  <c r="BK98" i="36"/>
  <c r="BI97" i="36"/>
  <c r="BG96" i="36"/>
  <c r="BK94" i="36"/>
  <c r="BI93" i="36"/>
  <c r="BG92" i="36"/>
  <c r="BK90" i="36"/>
  <c r="BI89" i="36"/>
  <c r="BG88" i="36"/>
  <c r="BK86" i="36"/>
  <c r="BI85" i="36"/>
  <c r="BG84" i="36"/>
  <c r="BK82" i="36"/>
  <c r="BH105" i="36"/>
  <c r="BL103" i="36"/>
  <c r="BJ102" i="36"/>
  <c r="BH101" i="36"/>
  <c r="BL99" i="36"/>
  <c r="BJ98" i="36"/>
  <c r="BH97" i="36"/>
  <c r="BL95" i="36"/>
  <c r="BJ94" i="36"/>
  <c r="BH93" i="36"/>
  <c r="BL91" i="36"/>
  <c r="BJ90" i="36"/>
  <c r="BH89" i="36"/>
  <c r="BL87" i="36"/>
  <c r="BJ86" i="36"/>
  <c r="BH85" i="36"/>
  <c r="BL83" i="36"/>
  <c r="BJ82" i="36"/>
  <c r="BG105" i="36"/>
  <c r="BK103" i="36"/>
  <c r="BI102" i="36"/>
  <c r="BG101" i="36"/>
  <c r="BK99" i="36"/>
  <c r="BI98" i="36"/>
  <c r="BG97" i="36"/>
  <c r="BK95" i="36"/>
  <c r="BI94" i="36"/>
  <c r="BG93" i="36"/>
  <c r="BK91" i="36"/>
  <c r="BI90" i="36"/>
  <c r="BG89" i="36"/>
  <c r="BK87" i="36"/>
  <c r="BI86" i="36"/>
  <c r="BG85" i="36"/>
  <c r="BK83" i="36"/>
  <c r="BI82" i="36"/>
  <c r="BL104" i="36"/>
  <c r="BJ103" i="36"/>
  <c r="BH102" i="36"/>
  <c r="BL100" i="36"/>
  <c r="BJ99" i="36"/>
  <c r="BH98" i="36"/>
  <c r="BL96" i="36"/>
  <c r="BJ95" i="36"/>
  <c r="BH94" i="36"/>
  <c r="BL92" i="36"/>
  <c r="BJ91" i="36"/>
  <c r="BH90" i="36"/>
  <c r="BL88" i="36"/>
  <c r="BJ87" i="36"/>
  <c r="BH86" i="36"/>
  <c r="BL84" i="36"/>
  <c r="BJ83" i="36"/>
  <c r="BH82" i="36"/>
  <c r="BL105" i="36"/>
  <c r="BJ104" i="36"/>
  <c r="BH103" i="36"/>
  <c r="BL101" i="36"/>
  <c r="BJ100" i="36"/>
  <c r="BH99" i="36"/>
  <c r="BL97" i="36"/>
  <c r="BJ96" i="36"/>
  <c r="BH95" i="36"/>
  <c r="BL93" i="36"/>
  <c r="BJ92" i="36"/>
  <c r="BH91" i="36"/>
  <c r="BL89" i="36"/>
  <c r="BJ88" i="36"/>
  <c r="BH87" i="36"/>
  <c r="BL85" i="36"/>
  <c r="BJ84" i="36"/>
  <c r="BH83" i="36"/>
  <c r="BK100" i="36"/>
  <c r="BG90" i="36"/>
  <c r="BI99" i="36"/>
  <c r="BK88" i="36"/>
  <c r="BI95" i="36"/>
  <c r="BK84" i="36"/>
  <c r="BG98" i="36"/>
  <c r="BI87" i="36"/>
  <c r="BK96" i="36"/>
  <c r="BG86" i="36"/>
  <c r="BK104" i="36"/>
  <c r="BG94" i="36"/>
  <c r="BI83" i="36"/>
  <c r="BI91" i="36"/>
  <c r="BI103" i="36"/>
  <c r="BK92" i="36"/>
  <c r="BG82" i="36"/>
  <c r="BG102" i="36"/>
  <c r="N111" i="36"/>
  <c r="AF110" i="35"/>
  <c r="AF111" i="35"/>
  <c r="AF100" i="35"/>
  <c r="AF102" i="35" s="1"/>
  <c r="AF103" i="35" s="1"/>
  <c r="AE61" i="35"/>
  <c r="AE65" i="35"/>
  <c r="AE79" i="35"/>
  <c r="AE83" i="35"/>
  <c r="AE95" i="35"/>
  <c r="AE104" i="35"/>
  <c r="AE105" i="35"/>
  <c r="AE106" i="35"/>
  <c r="AE107" i="35"/>
  <c r="AE108" i="35"/>
  <c r="AE109" i="35"/>
  <c r="AE121" i="35"/>
  <c r="AB255" i="37" l="1"/>
  <c r="AC249" i="37"/>
  <c r="AH111" i="36"/>
  <c r="AT9" i="36"/>
  <c r="AI111" i="36"/>
  <c r="K6" i="36"/>
  <c r="G249" i="36"/>
  <c r="F255" i="36"/>
  <c r="F121" i="36"/>
  <c r="AH102" i="36"/>
  <c r="AI102" i="36"/>
  <c r="AE110" i="35"/>
  <c r="AE111" i="35"/>
  <c r="AE100" i="35"/>
  <c r="AE102" i="35" s="1"/>
  <c r="AE103" i="35" s="1"/>
  <c r="AD61" i="35"/>
  <c r="AD65" i="35"/>
  <c r="AD79" i="35"/>
  <c r="AD83" i="35"/>
  <c r="AD95" i="35"/>
  <c r="AD104" i="35"/>
  <c r="AD105" i="35"/>
  <c r="AD106" i="35"/>
  <c r="AD107" i="35"/>
  <c r="AD108" i="35"/>
  <c r="AD109" i="35"/>
  <c r="AD121" i="35"/>
  <c r="AC61" i="35"/>
  <c r="AC65" i="35"/>
  <c r="AC79" i="35"/>
  <c r="AC83" i="35"/>
  <c r="AC95" i="35"/>
  <c r="AC104" i="35"/>
  <c r="AC105" i="35"/>
  <c r="AC106" i="35"/>
  <c r="AC107" i="35"/>
  <c r="AC108" i="35"/>
  <c r="AC109" i="35"/>
  <c r="AC121" i="35"/>
  <c r="AB61" i="35"/>
  <c r="AB65" i="35"/>
  <c r="AB79" i="35"/>
  <c r="AB83" i="35"/>
  <c r="AB95" i="35"/>
  <c r="AB104" i="35"/>
  <c r="AB105" i="35"/>
  <c r="AB106" i="35"/>
  <c r="AB107" i="35"/>
  <c r="AB108" i="35"/>
  <c r="AB109" i="35"/>
  <c r="AB121" i="35"/>
  <c r="AD249" i="37" l="1"/>
  <c r="AC255" i="37"/>
  <c r="AI103" i="36"/>
  <c r="B7" i="36"/>
  <c r="A7" i="36" s="1"/>
  <c r="AH103" i="36"/>
  <c r="H249" i="36"/>
  <c r="G255" i="36"/>
  <c r="G121" i="36"/>
  <c r="AD100" i="35"/>
  <c r="AD102" i="35" s="1"/>
  <c r="AD103" i="35" s="1"/>
  <c r="AD110" i="35"/>
  <c r="AD111" i="35"/>
  <c r="AC100" i="35"/>
  <c r="AC102" i="35" s="1"/>
  <c r="AC110" i="35"/>
  <c r="AB110" i="35"/>
  <c r="AB111" i="35"/>
  <c r="AB100" i="35"/>
  <c r="AB102" i="35" s="1"/>
  <c r="AB103" i="35" s="1"/>
  <c r="AE249" i="37" l="1"/>
  <c r="AD255" i="37"/>
  <c r="I249" i="36"/>
  <c r="H255" i="36"/>
  <c r="H121" i="36"/>
  <c r="AC103" i="35"/>
  <c r="AC111" i="35"/>
  <c r="AF249" i="37" l="1"/>
  <c r="AE255" i="37"/>
  <c r="I255" i="36"/>
  <c r="I121" i="36"/>
  <c r="J249" i="36"/>
  <c r="AF255" i="37" l="1"/>
  <c r="B249" i="37"/>
  <c r="J255" i="36"/>
  <c r="J121" i="36"/>
  <c r="K249" i="36"/>
  <c r="B255" i="37" l="1"/>
  <c r="K255" i="36"/>
  <c r="K121" i="36"/>
  <c r="L249" i="36"/>
  <c r="AI121" i="37" l="1"/>
  <c r="AH121" i="37"/>
  <c r="L255" i="36"/>
  <c r="L121" i="36"/>
  <c r="M249" i="36"/>
  <c r="Q124" i="35"/>
  <c r="Q60" i="35"/>
  <c r="N249" i="36" l="1"/>
  <c r="M255" i="36"/>
  <c r="M121" i="36"/>
  <c r="O249" i="36" l="1"/>
  <c r="N121" i="36"/>
  <c r="N255" i="36"/>
  <c r="P124" i="35"/>
  <c r="P60" i="35"/>
  <c r="O124" i="35"/>
  <c r="O60" i="35"/>
  <c r="P249" i="36" l="1"/>
  <c r="O255" i="36"/>
  <c r="O121" i="36"/>
  <c r="Q249" i="36" l="1"/>
  <c r="P255" i="36"/>
  <c r="N124" i="35"/>
  <c r="N60" i="35"/>
  <c r="Q255" i="36" l="1"/>
  <c r="Q121" i="36"/>
  <c r="R249" i="36"/>
  <c r="R255" i="36" l="1"/>
  <c r="R121" i="36"/>
  <c r="S249" i="36"/>
  <c r="S255" i="36" l="1"/>
  <c r="T249" i="36"/>
  <c r="T255" i="36" l="1"/>
  <c r="U249" i="36"/>
  <c r="V249" i="36" l="1"/>
  <c r="U255" i="36"/>
  <c r="W249" i="36" l="1"/>
  <c r="V255" i="36"/>
  <c r="X249" i="36" l="1"/>
  <c r="W255" i="36"/>
  <c r="Y249" i="36" l="1"/>
  <c r="X255" i="36"/>
  <c r="Y255" i="36" l="1"/>
  <c r="Z249" i="36"/>
  <c r="Z255" i="36" l="1"/>
  <c r="AA249" i="36"/>
  <c r="AA255" i="36" l="1"/>
  <c r="AB249" i="36"/>
  <c r="AB255" i="36" l="1"/>
  <c r="AB121" i="36"/>
  <c r="AC249" i="36"/>
  <c r="AC121" i="36" l="1"/>
  <c r="AD249" i="36"/>
  <c r="AC255" i="36"/>
  <c r="AE249" i="36" l="1"/>
  <c r="AD121" i="36"/>
  <c r="AD255" i="36"/>
  <c r="AF249" i="36" l="1"/>
  <c r="AE255" i="36"/>
  <c r="AE121" i="36"/>
  <c r="AF255" i="36" l="1"/>
  <c r="AF121" i="36"/>
  <c r="B249" i="36"/>
  <c r="B255" i="36" l="1"/>
  <c r="AI121" i="36" l="1"/>
  <c r="AH121" i="36"/>
  <c r="M124" i="35" l="1"/>
  <c r="M60" i="35"/>
  <c r="M61" i="35"/>
  <c r="M65" i="35"/>
  <c r="AG255" i="35" l="1"/>
  <c r="AG78" i="35" s="1"/>
  <c r="C255" i="35"/>
  <c r="E254" i="35"/>
  <c r="D254" i="35"/>
  <c r="D121" i="35" s="1"/>
  <c r="E253" i="35"/>
  <c r="F253" i="35" s="1"/>
  <c r="G253" i="35" s="1"/>
  <c r="H253" i="35" s="1"/>
  <c r="I253" i="35" s="1"/>
  <c r="J253" i="35" s="1"/>
  <c r="K253" i="35" s="1"/>
  <c r="L253" i="35" s="1"/>
  <c r="M253" i="35" s="1"/>
  <c r="N253" i="35" s="1"/>
  <c r="O253" i="35" s="1"/>
  <c r="P253" i="35" s="1"/>
  <c r="Q253" i="35" s="1"/>
  <c r="R253" i="35" s="1"/>
  <c r="S253" i="35" s="1"/>
  <c r="T253" i="35" s="1"/>
  <c r="U253" i="35" s="1"/>
  <c r="V253" i="35" s="1"/>
  <c r="W253" i="35" s="1"/>
  <c r="X253" i="35" s="1"/>
  <c r="Y253" i="35" s="1"/>
  <c r="Z253" i="35" s="1"/>
  <c r="AA253" i="35" s="1"/>
  <c r="AB253" i="35" s="1"/>
  <c r="AC253" i="35" s="1"/>
  <c r="AD253" i="35" s="1"/>
  <c r="AE253" i="35" s="1"/>
  <c r="AF253" i="35" s="1"/>
  <c r="B253" i="35" s="1"/>
  <c r="D253" i="35"/>
  <c r="S252" i="35"/>
  <c r="T252" i="35" s="1"/>
  <c r="U252" i="35" s="1"/>
  <c r="V252" i="35" s="1"/>
  <c r="W252" i="35" s="1"/>
  <c r="X252" i="35" s="1"/>
  <c r="Y252" i="35" s="1"/>
  <c r="Z252" i="35" s="1"/>
  <c r="AA252" i="35" s="1"/>
  <c r="AB252" i="35" s="1"/>
  <c r="AC252" i="35" s="1"/>
  <c r="AD252" i="35" s="1"/>
  <c r="AE252" i="35" s="1"/>
  <c r="AF252" i="35" s="1"/>
  <c r="B252" i="35" s="1"/>
  <c r="D252" i="35"/>
  <c r="E252" i="35" s="1"/>
  <c r="F252" i="35" s="1"/>
  <c r="G252" i="35" s="1"/>
  <c r="H252" i="35" s="1"/>
  <c r="I252" i="35" s="1"/>
  <c r="J252" i="35" s="1"/>
  <c r="K252" i="35" s="1"/>
  <c r="L252" i="35" s="1"/>
  <c r="M252" i="35" s="1"/>
  <c r="N252" i="35" s="1"/>
  <c r="O252" i="35" s="1"/>
  <c r="P252" i="35" s="1"/>
  <c r="Q252" i="35" s="1"/>
  <c r="R252" i="35" s="1"/>
  <c r="G251" i="35"/>
  <c r="H251" i="35" s="1"/>
  <c r="I251" i="35" s="1"/>
  <c r="J251" i="35" s="1"/>
  <c r="K251" i="35" s="1"/>
  <c r="L251" i="35" s="1"/>
  <c r="M251" i="35" s="1"/>
  <c r="N251" i="35" s="1"/>
  <c r="O251" i="35" s="1"/>
  <c r="P251" i="35" s="1"/>
  <c r="Q251" i="35" s="1"/>
  <c r="R251" i="35" s="1"/>
  <c r="S251" i="35" s="1"/>
  <c r="T251" i="35" s="1"/>
  <c r="U251" i="35" s="1"/>
  <c r="V251" i="35" s="1"/>
  <c r="W251" i="35" s="1"/>
  <c r="X251" i="35" s="1"/>
  <c r="Y251" i="35" s="1"/>
  <c r="Z251" i="35" s="1"/>
  <c r="AA251" i="35" s="1"/>
  <c r="AB251" i="35" s="1"/>
  <c r="AC251" i="35" s="1"/>
  <c r="AD251" i="35" s="1"/>
  <c r="AE251" i="35" s="1"/>
  <c r="AF251" i="35" s="1"/>
  <c r="B251" i="35" s="1"/>
  <c r="F251" i="35"/>
  <c r="E251" i="35"/>
  <c r="D251" i="35"/>
  <c r="D250" i="35"/>
  <c r="D255" i="35" s="1"/>
  <c r="F249" i="35"/>
  <c r="G249" i="35" s="1"/>
  <c r="E249" i="35"/>
  <c r="D249" i="35"/>
  <c r="AG247" i="35"/>
  <c r="AF247" i="35"/>
  <c r="AE247" i="35"/>
  <c r="AD247" i="35"/>
  <c r="AC247" i="35"/>
  <c r="AB247" i="35"/>
  <c r="AA247" i="35"/>
  <c r="Z247" i="35"/>
  <c r="Z121" i="35" s="1"/>
  <c r="Y247" i="35"/>
  <c r="Y121" i="35" s="1"/>
  <c r="X247" i="35"/>
  <c r="W247" i="35"/>
  <c r="V247" i="35"/>
  <c r="U247" i="35"/>
  <c r="T247" i="35"/>
  <c r="S247" i="35"/>
  <c r="R247" i="35"/>
  <c r="Q247" i="35"/>
  <c r="P247" i="35"/>
  <c r="O247" i="35"/>
  <c r="N247" i="35"/>
  <c r="M247" i="35"/>
  <c r="L247" i="35"/>
  <c r="K247" i="35"/>
  <c r="J247" i="35"/>
  <c r="I247" i="35"/>
  <c r="H247" i="35"/>
  <c r="G247" i="35"/>
  <c r="F247" i="35"/>
  <c r="E247" i="35"/>
  <c r="D247" i="35"/>
  <c r="C247" i="35"/>
  <c r="B247" i="35"/>
  <c r="AI133" i="35"/>
  <c r="AH133" i="35"/>
  <c r="AI132" i="35"/>
  <c r="AH132" i="35"/>
  <c r="AI131" i="35"/>
  <c r="AH131" i="35"/>
  <c r="AI130" i="35"/>
  <c r="AH130" i="35"/>
  <c r="AI129" i="35"/>
  <c r="AH129" i="35"/>
  <c r="AI126" i="35"/>
  <c r="AH126" i="35"/>
  <c r="AI125" i="35"/>
  <c r="AH125" i="35"/>
  <c r="AI124" i="35"/>
  <c r="AH124" i="35"/>
  <c r="AI123" i="35"/>
  <c r="AH123" i="35"/>
  <c r="AI122" i="35"/>
  <c r="AH122" i="35"/>
  <c r="C121" i="35"/>
  <c r="AI120" i="35"/>
  <c r="AH120" i="35"/>
  <c r="AI119" i="35"/>
  <c r="AH119" i="35"/>
  <c r="AI118" i="35"/>
  <c r="AH118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A109" i="35"/>
  <c r="Z109" i="35"/>
  <c r="Y109" i="35"/>
  <c r="X109" i="35"/>
  <c r="W109" i="35"/>
  <c r="V109" i="35"/>
  <c r="U109" i="35"/>
  <c r="T109" i="35"/>
  <c r="S109" i="35"/>
  <c r="R109" i="35"/>
  <c r="Q109" i="35"/>
  <c r="P109" i="35"/>
  <c r="O109" i="35"/>
  <c r="N109" i="35"/>
  <c r="M109" i="35"/>
  <c r="L109" i="35"/>
  <c r="K109" i="35"/>
  <c r="J109" i="35"/>
  <c r="I109" i="35"/>
  <c r="H109" i="35"/>
  <c r="G109" i="35"/>
  <c r="F109" i="35"/>
  <c r="E109" i="35"/>
  <c r="D109" i="35"/>
  <c r="C109" i="35"/>
  <c r="B109" i="35"/>
  <c r="AA108" i="35"/>
  <c r="Z108" i="35"/>
  <c r="Y108" i="35"/>
  <c r="X108" i="35"/>
  <c r="W108" i="35"/>
  <c r="V108" i="35"/>
  <c r="U108" i="35"/>
  <c r="T108" i="35"/>
  <c r="S108" i="35"/>
  <c r="R108" i="35"/>
  <c r="Q108" i="35"/>
  <c r="P108" i="35"/>
  <c r="O108" i="35"/>
  <c r="N108" i="35"/>
  <c r="M108" i="35"/>
  <c r="L108" i="35"/>
  <c r="K108" i="35"/>
  <c r="J108" i="35"/>
  <c r="I108" i="35"/>
  <c r="H108" i="35"/>
  <c r="G108" i="35"/>
  <c r="F108" i="35"/>
  <c r="E108" i="35"/>
  <c r="D108" i="35"/>
  <c r="C108" i="35"/>
  <c r="B108" i="35"/>
  <c r="AA107" i="35"/>
  <c r="Z107" i="35"/>
  <c r="Y107" i="35"/>
  <c r="X107" i="35"/>
  <c r="W107" i="35"/>
  <c r="V107" i="35"/>
  <c r="U107" i="35"/>
  <c r="T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F107" i="35"/>
  <c r="E107" i="35"/>
  <c r="D107" i="35"/>
  <c r="C107" i="35"/>
  <c r="B107" i="35"/>
  <c r="BG23" i="35"/>
  <c r="AA106" i="35"/>
  <c r="Z106" i="35"/>
  <c r="Y106" i="35"/>
  <c r="X106" i="35"/>
  <c r="W106" i="35"/>
  <c r="V106" i="35"/>
  <c r="U106" i="35"/>
  <c r="T106" i="35"/>
  <c r="S106" i="35"/>
  <c r="R106" i="35"/>
  <c r="Q106" i="35"/>
  <c r="P106" i="35"/>
  <c r="O106" i="35"/>
  <c r="N106" i="35"/>
  <c r="M106" i="35"/>
  <c r="L106" i="35"/>
  <c r="K106" i="35"/>
  <c r="J106" i="35"/>
  <c r="I106" i="35"/>
  <c r="H106" i="35"/>
  <c r="G106" i="35"/>
  <c r="F106" i="35"/>
  <c r="E106" i="35"/>
  <c r="D106" i="35"/>
  <c r="C106" i="35"/>
  <c r="B106" i="35"/>
  <c r="AA105" i="35"/>
  <c r="Z105" i="35"/>
  <c r="Y105" i="35"/>
  <c r="X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B105" i="35"/>
  <c r="AA104" i="35"/>
  <c r="Z104" i="35"/>
  <c r="Y104" i="35"/>
  <c r="X104" i="35"/>
  <c r="W104" i="35"/>
  <c r="V104" i="35"/>
  <c r="U104" i="35"/>
  <c r="T104" i="35"/>
  <c r="S104" i="35"/>
  <c r="R104" i="35"/>
  <c r="Q104" i="35"/>
  <c r="P104" i="35"/>
  <c r="O104" i="35"/>
  <c r="O110" i="35" s="1"/>
  <c r="AW23" i="35" s="1"/>
  <c r="N104" i="35"/>
  <c r="N110" i="35" s="1"/>
  <c r="AV23" i="35" s="1"/>
  <c r="M104" i="35"/>
  <c r="L104" i="35"/>
  <c r="K104" i="35"/>
  <c r="J104" i="35"/>
  <c r="J110" i="35" s="1"/>
  <c r="I104" i="35"/>
  <c r="H104" i="35"/>
  <c r="G104" i="35"/>
  <c r="G110" i="35" s="1"/>
  <c r="AR23" i="35" s="1"/>
  <c r="F104" i="35"/>
  <c r="F110" i="35" s="1"/>
  <c r="AQ23" i="35" s="1"/>
  <c r="E104" i="35"/>
  <c r="D104" i="35"/>
  <c r="C104" i="35"/>
  <c r="B104" i="35"/>
  <c r="B110" i="35" s="1"/>
  <c r="AI101" i="35"/>
  <c r="AH101" i="35"/>
  <c r="AB7" i="35"/>
  <c r="AI99" i="35"/>
  <c r="AH99" i="35"/>
  <c r="AG99" i="35"/>
  <c r="AI98" i="35"/>
  <c r="AH98" i="35"/>
  <c r="AI97" i="35"/>
  <c r="AH97" i="35"/>
  <c r="AI96" i="35"/>
  <c r="AH96" i="35"/>
  <c r="AG95" i="35"/>
  <c r="AA95" i="35"/>
  <c r="Z5" i="35" s="1"/>
  <c r="Z95" i="35"/>
  <c r="Y95" i="35"/>
  <c r="X5" i="35" s="1"/>
  <c r="X95" i="35"/>
  <c r="BE19" i="35" s="1"/>
  <c r="W95" i="35"/>
  <c r="V5" i="35" s="1"/>
  <c r="V95" i="35"/>
  <c r="BD19" i="35" s="1"/>
  <c r="U95" i="35"/>
  <c r="BC19" i="35" s="1"/>
  <c r="T95" i="35"/>
  <c r="S5" i="35" s="1"/>
  <c r="S95" i="35"/>
  <c r="BA19" i="35" s="1"/>
  <c r="R95" i="35"/>
  <c r="AZ19" i="35" s="1"/>
  <c r="Q95" i="35"/>
  <c r="AY19" i="35" s="1"/>
  <c r="P95" i="35"/>
  <c r="O5" i="35" s="1"/>
  <c r="O95" i="35"/>
  <c r="N95" i="35"/>
  <c r="M5" i="35" s="1"/>
  <c r="M95" i="35"/>
  <c r="AU19" i="35" s="1"/>
  <c r="L95" i="35"/>
  <c r="K95" i="35"/>
  <c r="J5" i="35" s="1"/>
  <c r="J95" i="35"/>
  <c r="I95" i="35"/>
  <c r="H5" i="35" s="1"/>
  <c r="H95" i="35"/>
  <c r="G95" i="35"/>
  <c r="F5" i="35" s="1"/>
  <c r="F95" i="35"/>
  <c r="E5" i="35" s="1"/>
  <c r="E95" i="35"/>
  <c r="D5" i="35" s="1"/>
  <c r="D95" i="35"/>
  <c r="AO19" i="35" s="1"/>
  <c r="C95" i="35"/>
  <c r="AN19" i="35" s="1"/>
  <c r="B95" i="35"/>
  <c r="AF5" i="35" s="1"/>
  <c r="AI94" i="35"/>
  <c r="AH94" i="35"/>
  <c r="AI93" i="35"/>
  <c r="AH93" i="35"/>
  <c r="AI92" i="35"/>
  <c r="AH92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G83" i="35"/>
  <c r="AG102" i="35" s="1"/>
  <c r="BI20" i="35"/>
  <c r="AA83" i="35"/>
  <c r="Z83" i="35"/>
  <c r="Y83" i="35"/>
  <c r="X83" i="35"/>
  <c r="W83" i="35"/>
  <c r="V83" i="35"/>
  <c r="U83" i="35"/>
  <c r="T83" i="35"/>
  <c r="S83" i="35"/>
  <c r="R83" i="35"/>
  <c r="Q83" i="35"/>
  <c r="P83" i="35"/>
  <c r="AX20" i="35" s="1"/>
  <c r="O83" i="35"/>
  <c r="AW20" i="35" s="1"/>
  <c r="N83" i="35"/>
  <c r="M83" i="35"/>
  <c r="L83" i="35"/>
  <c r="K83" i="35"/>
  <c r="J83" i="35"/>
  <c r="I83" i="35"/>
  <c r="AS20" i="35" s="1"/>
  <c r="H83" i="35"/>
  <c r="G83" i="35"/>
  <c r="F83" i="35"/>
  <c r="E83" i="35"/>
  <c r="D83" i="35"/>
  <c r="C83" i="35"/>
  <c r="B83" i="35"/>
  <c r="AI82" i="35"/>
  <c r="AH82" i="35"/>
  <c r="AI81" i="35"/>
  <c r="AH81" i="35"/>
  <c r="AI80" i="35"/>
  <c r="AH80" i="35"/>
  <c r="AG79" i="35"/>
  <c r="BJ18" i="35"/>
  <c r="AA79" i="35"/>
  <c r="Z79" i="35"/>
  <c r="BF18" i="35" s="1"/>
  <c r="Y79" i="35"/>
  <c r="X79" i="35"/>
  <c r="BE18" i="35" s="1"/>
  <c r="W79" i="35"/>
  <c r="V79" i="35"/>
  <c r="BD18" i="35" s="1"/>
  <c r="U79" i="35"/>
  <c r="T79" i="35"/>
  <c r="S79" i="35"/>
  <c r="BA18" i="35" s="1"/>
  <c r="R79" i="35"/>
  <c r="AZ18" i="35" s="1"/>
  <c r="Q79" i="35"/>
  <c r="P79" i="35"/>
  <c r="O79" i="35"/>
  <c r="N79" i="35"/>
  <c r="AV18" i="35" s="1"/>
  <c r="M79" i="35"/>
  <c r="L79" i="35"/>
  <c r="K79" i="35"/>
  <c r="J79" i="35"/>
  <c r="I79" i="35"/>
  <c r="H79" i="35"/>
  <c r="G79" i="35"/>
  <c r="AR18" i="35" s="1"/>
  <c r="F79" i="35"/>
  <c r="AQ18" i="35" s="1"/>
  <c r="E79" i="35"/>
  <c r="D79" i="35"/>
  <c r="C79" i="35"/>
  <c r="B79" i="35"/>
  <c r="BT78" i="35"/>
  <c r="BP78" i="35"/>
  <c r="BO78" i="35"/>
  <c r="BK78" i="35"/>
  <c r="BH78" i="35"/>
  <c r="BD78" i="35"/>
  <c r="AZ78" i="35"/>
  <c r="AI78" i="35"/>
  <c r="AH78" i="35"/>
  <c r="BK77" i="35"/>
  <c r="AI77" i="35"/>
  <c r="AH77" i="35"/>
  <c r="BP76" i="35"/>
  <c r="BI76" i="35"/>
  <c r="BD76" i="35"/>
  <c r="AZ76" i="35"/>
  <c r="AI76" i="35"/>
  <c r="AH76" i="35"/>
  <c r="BJ75" i="35"/>
  <c r="AI75" i="35"/>
  <c r="AH75" i="35"/>
  <c r="BP74" i="35"/>
  <c r="BL74" i="35"/>
  <c r="BK74" i="35"/>
  <c r="BI74" i="35"/>
  <c r="BH74" i="35"/>
  <c r="BD74" i="35"/>
  <c r="AZ74" i="35"/>
  <c r="AI74" i="35"/>
  <c r="AH74" i="35"/>
  <c r="AI73" i="35"/>
  <c r="AH73" i="35"/>
  <c r="AI72" i="35"/>
  <c r="AH72" i="35"/>
  <c r="BW71" i="35"/>
  <c r="BW78" i="35" s="1"/>
  <c r="BV71" i="35"/>
  <c r="BV78" i="35" s="1"/>
  <c r="BU71" i="35"/>
  <c r="BU78" i="35" s="1"/>
  <c r="BT71" i="35"/>
  <c r="BS71" i="35"/>
  <c r="BS78" i="35" s="1"/>
  <c r="BR71" i="35"/>
  <c r="BR78" i="35" s="1"/>
  <c r="BQ71" i="35"/>
  <c r="BQ78" i="35" s="1"/>
  <c r="BP71" i="35"/>
  <c r="BO71" i="35"/>
  <c r="BN71" i="35"/>
  <c r="BN78" i="35" s="1"/>
  <c r="BM71" i="35"/>
  <c r="BM78" i="35" s="1"/>
  <c r="BL71" i="35"/>
  <c r="BL78" i="35" s="1"/>
  <c r="BK71" i="35"/>
  <c r="BJ71" i="35"/>
  <c r="BJ78" i="35" s="1"/>
  <c r="BI71" i="35"/>
  <c r="BI78" i="35" s="1"/>
  <c r="BH71" i="35"/>
  <c r="BG71" i="35"/>
  <c r="BG78" i="35" s="1"/>
  <c r="BF71" i="35"/>
  <c r="BF78" i="35" s="1"/>
  <c r="BE71" i="35"/>
  <c r="BE78" i="35" s="1"/>
  <c r="BD71" i="35"/>
  <c r="BC71" i="35"/>
  <c r="BC78" i="35" s="1"/>
  <c r="BB71" i="35"/>
  <c r="BB78" i="35" s="1"/>
  <c r="BA71" i="35"/>
  <c r="BA78" i="35" s="1"/>
  <c r="AZ71" i="35"/>
  <c r="AI71" i="35"/>
  <c r="AH71" i="35"/>
  <c r="BW70" i="35"/>
  <c r="BW77" i="35" s="1"/>
  <c r="BV70" i="35"/>
  <c r="BV77" i="35" s="1"/>
  <c r="BU70" i="35"/>
  <c r="BU77" i="35" s="1"/>
  <c r="BT70" i="35"/>
  <c r="BT77" i="35" s="1"/>
  <c r="BS70" i="35"/>
  <c r="BS77" i="35" s="1"/>
  <c r="BR70" i="35"/>
  <c r="BR77" i="35" s="1"/>
  <c r="BQ70" i="35"/>
  <c r="BQ77" i="35" s="1"/>
  <c r="BP70" i="35"/>
  <c r="BP77" i="35" s="1"/>
  <c r="BO70" i="35"/>
  <c r="BO77" i="35" s="1"/>
  <c r="BN70" i="35"/>
  <c r="BN77" i="35" s="1"/>
  <c r="BM70" i="35"/>
  <c r="BM77" i="35" s="1"/>
  <c r="BL70" i="35"/>
  <c r="BL77" i="35" s="1"/>
  <c r="BK70" i="35"/>
  <c r="BJ70" i="35"/>
  <c r="BJ77" i="35" s="1"/>
  <c r="BI70" i="35"/>
  <c r="BI77" i="35" s="1"/>
  <c r="BH70" i="35"/>
  <c r="BH77" i="35" s="1"/>
  <c r="BG70" i="35"/>
  <c r="BG77" i="35" s="1"/>
  <c r="BF70" i="35"/>
  <c r="BF77" i="35" s="1"/>
  <c r="BE70" i="35"/>
  <c r="BE77" i="35" s="1"/>
  <c r="BD70" i="35"/>
  <c r="BD77" i="35" s="1"/>
  <c r="BC70" i="35"/>
  <c r="BC77" i="35" s="1"/>
  <c r="BB70" i="35"/>
  <c r="BB77" i="35" s="1"/>
  <c r="BA70" i="35"/>
  <c r="BA77" i="35" s="1"/>
  <c r="AZ70" i="35"/>
  <c r="AZ77" i="35" s="1"/>
  <c r="AI70" i="35"/>
  <c r="AH70" i="35"/>
  <c r="BW69" i="35"/>
  <c r="BW76" i="35" s="1"/>
  <c r="BV69" i="35"/>
  <c r="BV76" i="35" s="1"/>
  <c r="BU69" i="35"/>
  <c r="BU76" i="35" s="1"/>
  <c r="BT69" i="35"/>
  <c r="BT76" i="35" s="1"/>
  <c r="BS69" i="35"/>
  <c r="BS76" i="35" s="1"/>
  <c r="BR69" i="35"/>
  <c r="BR76" i="35" s="1"/>
  <c r="BQ69" i="35"/>
  <c r="BQ76" i="35" s="1"/>
  <c r="BP69" i="35"/>
  <c r="BO69" i="35"/>
  <c r="BO76" i="35" s="1"/>
  <c r="BN69" i="35"/>
  <c r="BN76" i="35" s="1"/>
  <c r="BM69" i="35"/>
  <c r="BM76" i="35" s="1"/>
  <c r="BL69" i="35"/>
  <c r="BL76" i="35" s="1"/>
  <c r="BK69" i="35"/>
  <c r="BK76" i="35" s="1"/>
  <c r="BJ69" i="35"/>
  <c r="BJ76" i="35" s="1"/>
  <c r="BI69" i="35"/>
  <c r="BH69" i="35"/>
  <c r="BH76" i="35" s="1"/>
  <c r="BG69" i="35"/>
  <c r="BG76" i="35" s="1"/>
  <c r="BF69" i="35"/>
  <c r="BF76" i="35" s="1"/>
  <c r="BE69" i="35"/>
  <c r="BE76" i="35" s="1"/>
  <c r="BD69" i="35"/>
  <c r="BC69" i="35"/>
  <c r="BC76" i="35" s="1"/>
  <c r="BB69" i="35"/>
  <c r="BB76" i="35" s="1"/>
  <c r="BA69" i="35"/>
  <c r="BA76" i="35" s="1"/>
  <c r="AZ69" i="35"/>
  <c r="AI69" i="35"/>
  <c r="AH69" i="35"/>
  <c r="BW68" i="35"/>
  <c r="BW75" i="35" s="1"/>
  <c r="BV68" i="35"/>
  <c r="BV75" i="35" s="1"/>
  <c r="BU68" i="35"/>
  <c r="BU75" i="35" s="1"/>
  <c r="BT68" i="35"/>
  <c r="BT75" i="35" s="1"/>
  <c r="BS68" i="35"/>
  <c r="BS75" i="35" s="1"/>
  <c r="BR68" i="35"/>
  <c r="BR75" i="35" s="1"/>
  <c r="BQ68" i="35"/>
  <c r="BQ75" i="35" s="1"/>
  <c r="BP68" i="35"/>
  <c r="BP75" i="35" s="1"/>
  <c r="BO68" i="35"/>
  <c r="BO75" i="35" s="1"/>
  <c r="BN68" i="35"/>
  <c r="BN75" i="35" s="1"/>
  <c r="BM68" i="35"/>
  <c r="BM75" i="35" s="1"/>
  <c r="BL68" i="35"/>
  <c r="BL75" i="35" s="1"/>
  <c r="BK68" i="35"/>
  <c r="BK75" i="35" s="1"/>
  <c r="BJ68" i="35"/>
  <c r="BI68" i="35"/>
  <c r="BI75" i="35" s="1"/>
  <c r="BH68" i="35"/>
  <c r="BH75" i="35" s="1"/>
  <c r="BG68" i="35"/>
  <c r="BG75" i="35" s="1"/>
  <c r="BF68" i="35"/>
  <c r="BF75" i="35" s="1"/>
  <c r="BE68" i="35"/>
  <c r="BE75" i="35" s="1"/>
  <c r="BD68" i="35"/>
  <c r="BD75" i="35" s="1"/>
  <c r="BC68" i="35"/>
  <c r="BC75" i="35" s="1"/>
  <c r="BB68" i="35"/>
  <c r="BB75" i="35" s="1"/>
  <c r="BA68" i="35"/>
  <c r="BA75" i="35" s="1"/>
  <c r="AZ68" i="35"/>
  <c r="AZ75" i="35" s="1"/>
  <c r="AI68" i="35"/>
  <c r="AH68" i="35"/>
  <c r="BW67" i="35"/>
  <c r="BW74" i="35" s="1"/>
  <c r="BV67" i="35"/>
  <c r="BV74" i="35" s="1"/>
  <c r="BU67" i="35"/>
  <c r="BU74" i="35" s="1"/>
  <c r="BT67" i="35"/>
  <c r="BT74" i="35" s="1"/>
  <c r="BS67" i="35"/>
  <c r="BS74" i="35" s="1"/>
  <c r="BR67" i="35"/>
  <c r="BR74" i="35" s="1"/>
  <c r="BQ67" i="35"/>
  <c r="BQ74" i="35" s="1"/>
  <c r="BP67" i="35"/>
  <c r="BO67" i="35"/>
  <c r="BO74" i="35" s="1"/>
  <c r="BN67" i="35"/>
  <c r="BN74" i="35" s="1"/>
  <c r="BM67" i="35"/>
  <c r="BM74" i="35" s="1"/>
  <c r="BL67" i="35"/>
  <c r="BK67" i="35"/>
  <c r="BJ67" i="35"/>
  <c r="BJ74" i="35" s="1"/>
  <c r="BI67" i="35"/>
  <c r="BH67" i="35"/>
  <c r="BG67" i="35"/>
  <c r="BG74" i="35" s="1"/>
  <c r="BF67" i="35"/>
  <c r="BF74" i="35" s="1"/>
  <c r="BE67" i="35"/>
  <c r="BE74" i="35" s="1"/>
  <c r="BD67" i="35"/>
  <c r="BC67" i="35"/>
  <c r="BC74" i="35" s="1"/>
  <c r="BB67" i="35"/>
  <c r="BB74" i="35" s="1"/>
  <c r="BA67" i="35"/>
  <c r="BA74" i="35" s="1"/>
  <c r="AZ67" i="35"/>
  <c r="AI67" i="35"/>
  <c r="AH67" i="35"/>
  <c r="BW66" i="35"/>
  <c r="BW73" i="35" s="1"/>
  <c r="BV66" i="35"/>
  <c r="BV73" i="35" s="1"/>
  <c r="BU66" i="35"/>
  <c r="BU73" i="35" s="1"/>
  <c r="BT66" i="35"/>
  <c r="BT73" i="35" s="1"/>
  <c r="BS66" i="35"/>
  <c r="BS73" i="35" s="1"/>
  <c r="BR66" i="35"/>
  <c r="BR73" i="35" s="1"/>
  <c r="BQ66" i="35"/>
  <c r="BQ73" i="35" s="1"/>
  <c r="BP66" i="35"/>
  <c r="BP73" i="35" s="1"/>
  <c r="BO66" i="35"/>
  <c r="BO73" i="35" s="1"/>
  <c r="BN66" i="35"/>
  <c r="BN73" i="35" s="1"/>
  <c r="BM66" i="35"/>
  <c r="BM73" i="35" s="1"/>
  <c r="BL66" i="35"/>
  <c r="BL73" i="35" s="1"/>
  <c r="BK66" i="35"/>
  <c r="BK73" i="35" s="1"/>
  <c r="BJ66" i="35"/>
  <c r="BJ73" i="35" s="1"/>
  <c r="BI66" i="35"/>
  <c r="BI73" i="35" s="1"/>
  <c r="BH66" i="35"/>
  <c r="BH73" i="35" s="1"/>
  <c r="BG66" i="35"/>
  <c r="BG73" i="35" s="1"/>
  <c r="BF66" i="35"/>
  <c r="BF73" i="35" s="1"/>
  <c r="BE66" i="35"/>
  <c r="BE73" i="35" s="1"/>
  <c r="BD66" i="35"/>
  <c r="BD73" i="35" s="1"/>
  <c r="BC66" i="35"/>
  <c r="BC73" i="35" s="1"/>
  <c r="BB66" i="35"/>
  <c r="BB73" i="35" s="1"/>
  <c r="BA66" i="35"/>
  <c r="BA73" i="35" s="1"/>
  <c r="AZ66" i="35"/>
  <c r="AZ73" i="35" s="1"/>
  <c r="AI66" i="35"/>
  <c r="AH66" i="35"/>
  <c r="AG65" i="35"/>
  <c r="BI17" i="35"/>
  <c r="BH17" i="35"/>
  <c r="AA65" i="35"/>
  <c r="Z65" i="35"/>
  <c r="BF17" i="35" s="1"/>
  <c r="Y65" i="35"/>
  <c r="X65" i="35"/>
  <c r="BE17" i="35" s="1"/>
  <c r="W65" i="35"/>
  <c r="V65" i="35"/>
  <c r="BD17" i="35" s="1"/>
  <c r="U65" i="35"/>
  <c r="BC17" i="35" s="1"/>
  <c r="T65" i="35"/>
  <c r="BB17" i="35" s="1"/>
  <c r="S65" i="35"/>
  <c r="BA17" i="35" s="1"/>
  <c r="R65" i="35"/>
  <c r="AZ17" i="35" s="1"/>
  <c r="Q65" i="35"/>
  <c r="AY17" i="35" s="1"/>
  <c r="P65" i="35"/>
  <c r="O65" i="35"/>
  <c r="AW17" i="35" s="1"/>
  <c r="N65" i="35"/>
  <c r="AV17" i="35" s="1"/>
  <c r="AU17" i="35"/>
  <c r="L65" i="35"/>
  <c r="K65" i="35"/>
  <c r="J65" i="35"/>
  <c r="I65" i="35"/>
  <c r="H65" i="35"/>
  <c r="G65" i="35"/>
  <c r="AR17" i="35" s="1"/>
  <c r="F65" i="35"/>
  <c r="AQ17" i="35" s="1"/>
  <c r="E65" i="35"/>
  <c r="AP17" i="35" s="1"/>
  <c r="D65" i="35"/>
  <c r="AO17" i="35" s="1"/>
  <c r="C65" i="35"/>
  <c r="B65" i="35"/>
  <c r="AM17" i="35" s="1"/>
  <c r="AI64" i="35"/>
  <c r="AH64" i="35"/>
  <c r="AI63" i="35"/>
  <c r="AH63" i="35"/>
  <c r="AI62" i="35"/>
  <c r="AH62" i="35"/>
  <c r="AG61" i="35"/>
  <c r="AG100" i="35" s="1"/>
  <c r="BI16" i="35"/>
  <c r="AD7" i="35"/>
  <c r="AC7" i="35"/>
  <c r="AA61" i="35"/>
  <c r="Z61" i="35"/>
  <c r="Y61" i="35"/>
  <c r="X61" i="35"/>
  <c r="W61" i="35"/>
  <c r="V61" i="35"/>
  <c r="BD16" i="35" s="1"/>
  <c r="U61" i="35"/>
  <c r="T61" i="35"/>
  <c r="S61" i="35"/>
  <c r="R61" i="35"/>
  <c r="Q61" i="35"/>
  <c r="P61" i="35"/>
  <c r="O61" i="35"/>
  <c r="N61" i="35"/>
  <c r="L61" i="35"/>
  <c r="K61" i="35"/>
  <c r="J61" i="35"/>
  <c r="I61" i="35"/>
  <c r="H61" i="35"/>
  <c r="G61" i="35"/>
  <c r="AR16" i="35" s="1"/>
  <c r="F61" i="35"/>
  <c r="AQ16" i="35" s="1"/>
  <c r="E61" i="35"/>
  <c r="D61" i="35"/>
  <c r="AO16" i="35" s="1"/>
  <c r="C61" i="35"/>
  <c r="B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BI23" i="35"/>
  <c r="BH23" i="35"/>
  <c r="AI23" i="35"/>
  <c r="AH23" i="35"/>
  <c r="AI22" i="35"/>
  <c r="AH22" i="35"/>
  <c r="BJ21" i="35"/>
  <c r="BI21" i="35"/>
  <c r="BH21" i="35"/>
  <c r="BG21" i="35"/>
  <c r="BF21" i="35"/>
  <c r="BE21" i="35"/>
  <c r="BD21" i="35"/>
  <c r="BC21" i="35"/>
  <c r="BB21" i="35"/>
  <c r="BA21" i="35"/>
  <c r="AZ21" i="35"/>
  <c r="AY21" i="35"/>
  <c r="AX21" i="35"/>
  <c r="AW21" i="35"/>
  <c r="AV21" i="35"/>
  <c r="AU21" i="35"/>
  <c r="AT21" i="35"/>
  <c r="AS21" i="35"/>
  <c r="AR21" i="35"/>
  <c r="AQ21" i="35"/>
  <c r="AP21" i="35"/>
  <c r="AO21" i="35"/>
  <c r="AN21" i="35"/>
  <c r="AM21" i="35"/>
  <c r="AI21" i="35"/>
  <c r="AH21" i="35"/>
  <c r="BJ20" i="35"/>
  <c r="BH20" i="35"/>
  <c r="BG20" i="35"/>
  <c r="BF20" i="35"/>
  <c r="BE20" i="35"/>
  <c r="BD20" i="35"/>
  <c r="BC20" i="35"/>
  <c r="BB20" i="35"/>
  <c r="BA20" i="35"/>
  <c r="AZ20" i="35"/>
  <c r="AY20" i="35"/>
  <c r="AV20" i="35"/>
  <c r="AT20" i="35"/>
  <c r="AR20" i="35"/>
  <c r="AQ20" i="35"/>
  <c r="AP20" i="35"/>
  <c r="AO20" i="35"/>
  <c r="AN20" i="35"/>
  <c r="AM20" i="35"/>
  <c r="AI20" i="35"/>
  <c r="AH20" i="35"/>
  <c r="BJ19" i="35"/>
  <c r="BI19" i="35"/>
  <c r="BH19" i="35"/>
  <c r="AR19" i="35"/>
  <c r="AI19" i="35"/>
  <c r="AH19" i="35"/>
  <c r="BI18" i="35"/>
  <c r="BH18" i="35"/>
  <c r="BG18" i="35"/>
  <c r="BC18" i="35"/>
  <c r="BB18" i="35"/>
  <c r="AY18" i="35"/>
  <c r="AX18" i="35"/>
  <c r="AW18" i="35"/>
  <c r="AU18" i="35"/>
  <c r="AT18" i="35"/>
  <c r="AS18" i="35"/>
  <c r="AP18" i="35"/>
  <c r="AO18" i="35"/>
  <c r="AN18" i="35"/>
  <c r="AM18" i="35"/>
  <c r="AI18" i="35"/>
  <c r="AH18" i="35"/>
  <c r="BJ17" i="35"/>
  <c r="BG17" i="35"/>
  <c r="AX17" i="35"/>
  <c r="AT17" i="35"/>
  <c r="AS17" i="35"/>
  <c r="AN17" i="35"/>
  <c r="AI17" i="35"/>
  <c r="AH17" i="35"/>
  <c r="BJ16" i="35"/>
  <c r="BH16" i="35"/>
  <c r="BG16" i="35"/>
  <c r="BE16" i="35"/>
  <c r="BC16" i="35"/>
  <c r="BB16" i="35"/>
  <c r="AZ16" i="35"/>
  <c r="AY16" i="35"/>
  <c r="AX16" i="35"/>
  <c r="AT16" i="35"/>
  <c r="AN16" i="35"/>
  <c r="AI16" i="35"/>
  <c r="AH16" i="35"/>
  <c r="AI15" i="35"/>
  <c r="AH15" i="35"/>
  <c r="AI14" i="35"/>
  <c r="AH14" i="35"/>
  <c r="AI13" i="35"/>
  <c r="AH13" i="35"/>
  <c r="AL12" i="35"/>
  <c r="AI12" i="35"/>
  <c r="AH12" i="35"/>
  <c r="AI11" i="35"/>
  <c r="AH11" i="35"/>
  <c r="AE5" i="35"/>
  <c r="AD5" i="35"/>
  <c r="AC5" i="35"/>
  <c r="AB5" i="35"/>
  <c r="AA5" i="35"/>
  <c r="K5" i="35"/>
  <c r="I5" i="35"/>
  <c r="G5" i="35"/>
  <c r="K4" i="35"/>
  <c r="E4" i="35"/>
  <c r="H4" i="35" s="1"/>
  <c r="B4" i="35"/>
  <c r="D261" i="35" s="1"/>
  <c r="AG3" i="35"/>
  <c r="AG2" i="35"/>
  <c r="AA121" i="34"/>
  <c r="AA109" i="34"/>
  <c r="AA108" i="34"/>
  <c r="AA107" i="34"/>
  <c r="AA106" i="34"/>
  <c r="AA105" i="34"/>
  <c r="AA104" i="34"/>
  <c r="AA110" i="34" s="1"/>
  <c r="AA95" i="34"/>
  <c r="AA111" i="34" s="1"/>
  <c r="AA83" i="34"/>
  <c r="AA79" i="34"/>
  <c r="AA65" i="34"/>
  <c r="AA61" i="34"/>
  <c r="AA100" i="34" s="1"/>
  <c r="AA102" i="34" s="1"/>
  <c r="Z61" i="34"/>
  <c r="Z65" i="34"/>
  <c r="Z79" i="34"/>
  <c r="Z83" i="34"/>
  <c r="Z95" i="34"/>
  <c r="Z104" i="34"/>
  <c r="Z105" i="34"/>
  <c r="Z106" i="34"/>
  <c r="Z107" i="34"/>
  <c r="Z108" i="34"/>
  <c r="Z109" i="34"/>
  <c r="Z121" i="34"/>
  <c r="Y61" i="34"/>
  <c r="Y65" i="34"/>
  <c r="Y79" i="34"/>
  <c r="Y83" i="34"/>
  <c r="Y95" i="34"/>
  <c r="Y104" i="34"/>
  <c r="Y105" i="34"/>
  <c r="Y106" i="34"/>
  <c r="Y107" i="34"/>
  <c r="Y108" i="34"/>
  <c r="Y109" i="34"/>
  <c r="Y121" i="34"/>
  <c r="X61" i="34"/>
  <c r="X65" i="34"/>
  <c r="X79" i="34"/>
  <c r="X83" i="34"/>
  <c r="X95" i="34"/>
  <c r="X104" i="34"/>
  <c r="X105" i="34"/>
  <c r="X106" i="34"/>
  <c r="X107" i="34"/>
  <c r="X108" i="34"/>
  <c r="X109" i="34"/>
  <c r="X121" i="34"/>
  <c r="W61" i="34"/>
  <c r="W65" i="34"/>
  <c r="W79" i="34"/>
  <c r="W83" i="34"/>
  <c r="W95" i="34"/>
  <c r="W104" i="34"/>
  <c r="W105" i="34"/>
  <c r="W106" i="34"/>
  <c r="W107" i="34"/>
  <c r="W108" i="34"/>
  <c r="W109" i="34"/>
  <c r="W121" i="34"/>
  <c r="V61" i="34"/>
  <c r="V65" i="34"/>
  <c r="V79" i="34"/>
  <c r="V83" i="34"/>
  <c r="V95" i="34"/>
  <c r="V104" i="34"/>
  <c r="V105" i="34"/>
  <c r="V106" i="34"/>
  <c r="V107" i="34"/>
  <c r="V108" i="34"/>
  <c r="V109" i="34"/>
  <c r="V121" i="34"/>
  <c r="U61" i="34"/>
  <c r="U65" i="34"/>
  <c r="U79" i="34"/>
  <c r="U83" i="34"/>
  <c r="U95" i="34"/>
  <c r="U104" i="34"/>
  <c r="U105" i="34"/>
  <c r="U106" i="34"/>
  <c r="U107" i="34"/>
  <c r="U108" i="34"/>
  <c r="U109" i="34"/>
  <c r="U121" i="34"/>
  <c r="AA110" i="35" l="1"/>
  <c r="AA111" i="35" s="1"/>
  <c r="Z110" i="35"/>
  <c r="BF23" i="35" s="1"/>
  <c r="Y5" i="35"/>
  <c r="BF19" i="35"/>
  <c r="Z100" i="35"/>
  <c r="Z102" i="35" s="1"/>
  <c r="Z103" i="35" s="1"/>
  <c r="Z7" i="35" s="1"/>
  <c r="Y110" i="35"/>
  <c r="Y111" i="35" s="1"/>
  <c r="W5" i="35"/>
  <c r="U5" i="35"/>
  <c r="W110" i="35"/>
  <c r="W111" i="35" s="1"/>
  <c r="V110" i="35"/>
  <c r="BD23" i="35" s="1"/>
  <c r="W100" i="35"/>
  <c r="W102" i="35" s="1"/>
  <c r="W103" i="35" s="1"/>
  <c r="W7" i="35" s="1"/>
  <c r="U110" i="35"/>
  <c r="BC23" i="35" s="1"/>
  <c r="T5" i="35"/>
  <c r="BC22" i="35"/>
  <c r="U100" i="35"/>
  <c r="U102" i="35" s="1"/>
  <c r="U103" i="35" s="1"/>
  <c r="U7" i="35" s="1"/>
  <c r="BD22" i="35"/>
  <c r="T110" i="35"/>
  <c r="BB23" i="35" s="1"/>
  <c r="BB19" i="35"/>
  <c r="T111" i="35"/>
  <c r="S110" i="35"/>
  <c r="BA23" i="35" s="1"/>
  <c r="R5" i="35"/>
  <c r="S111" i="35"/>
  <c r="T100" i="35"/>
  <c r="T102" i="35" s="1"/>
  <c r="T103" i="35" s="1"/>
  <c r="T7" i="35" s="1"/>
  <c r="BB22" i="35"/>
  <c r="BB24" i="35" s="1"/>
  <c r="R110" i="35"/>
  <c r="AZ23" i="35" s="1"/>
  <c r="Q5" i="35"/>
  <c r="AZ22" i="35"/>
  <c r="AZ24" i="35" s="1"/>
  <c r="R100" i="35"/>
  <c r="R102" i="35" s="1"/>
  <c r="R103" i="35" s="1"/>
  <c r="R7" i="35" s="1"/>
  <c r="P5" i="35"/>
  <c r="Q110" i="35"/>
  <c r="AY23" i="35" s="1"/>
  <c r="AY22" i="35"/>
  <c r="AY24" i="35" s="1"/>
  <c r="Q100" i="35"/>
  <c r="Q102" i="35" s="1"/>
  <c r="Q103" i="35" s="1"/>
  <c r="Q7" i="35" s="1"/>
  <c r="AX19" i="35"/>
  <c r="AX22" i="35" s="1"/>
  <c r="O111" i="35"/>
  <c r="AW19" i="35"/>
  <c r="N5" i="35"/>
  <c r="AV19" i="35"/>
  <c r="N100" i="35"/>
  <c r="N102" i="35" s="1"/>
  <c r="N103" i="35" s="1"/>
  <c r="N7" i="35" s="1"/>
  <c r="M110" i="35"/>
  <c r="AU23" i="35" s="1"/>
  <c r="M100" i="35"/>
  <c r="M102" i="35" s="1"/>
  <c r="M103" i="35" s="1"/>
  <c r="M7" i="35" s="1"/>
  <c r="L5" i="35"/>
  <c r="AU20" i="35"/>
  <c r="AU16" i="35"/>
  <c r="AU22" i="35" s="1"/>
  <c r="L110" i="35"/>
  <c r="L111" i="35" s="1"/>
  <c r="AT19" i="35"/>
  <c r="AT22" i="35"/>
  <c r="K110" i="35"/>
  <c r="K111" i="35" s="1"/>
  <c r="J100" i="35"/>
  <c r="J102" i="35" s="1"/>
  <c r="J103" i="35" s="1"/>
  <c r="J7" i="35" s="1"/>
  <c r="J111" i="35"/>
  <c r="AS19" i="35"/>
  <c r="I110" i="35"/>
  <c r="G111" i="35"/>
  <c r="AQ19" i="35"/>
  <c r="AP19" i="35"/>
  <c r="E100" i="35"/>
  <c r="E102" i="35" s="1"/>
  <c r="E103" i="35" s="1"/>
  <c r="E7" i="35" s="1"/>
  <c r="E110" i="35"/>
  <c r="AP23" i="35" s="1"/>
  <c r="AQ22" i="35"/>
  <c r="AQ24" i="35" s="1"/>
  <c r="AP16" i="35"/>
  <c r="C5" i="35"/>
  <c r="AO22" i="35"/>
  <c r="C110" i="35"/>
  <c r="AN23" i="35" s="1"/>
  <c r="AN22" i="35"/>
  <c r="B5" i="35"/>
  <c r="AH79" i="35"/>
  <c r="AH106" i="35"/>
  <c r="AI79" i="35"/>
  <c r="B100" i="35"/>
  <c r="B102" i="35" s="1"/>
  <c r="AR22" i="35"/>
  <c r="AR24" i="35" s="1"/>
  <c r="AM23" i="35"/>
  <c r="I111" i="35"/>
  <c r="AS23" i="35"/>
  <c r="AP22" i="35"/>
  <c r="AP24" i="35" s="1"/>
  <c r="BH22" i="35"/>
  <c r="BH24" i="35" s="1"/>
  <c r="BJ22" i="35"/>
  <c r="O100" i="35"/>
  <c r="O102" i="35" s="1"/>
  <c r="O103" i="35" s="1"/>
  <c r="O7" i="35" s="1"/>
  <c r="AW16" i="35"/>
  <c r="AW22" i="35" s="1"/>
  <c r="AW24" i="35" s="1"/>
  <c r="BI22" i="35"/>
  <c r="BI24" i="35" s="1"/>
  <c r="AI83" i="35"/>
  <c r="AH83" i="35"/>
  <c r="V100" i="35"/>
  <c r="V102" i="35" s="1"/>
  <c r="V103" i="35" s="1"/>
  <c r="V7" i="35" s="1"/>
  <c r="I100" i="35"/>
  <c r="I102" i="35" s="1"/>
  <c r="I103" i="35" s="1"/>
  <c r="I7" i="35" s="1"/>
  <c r="AS16" i="35"/>
  <c r="AS22" i="35" s="1"/>
  <c r="Y100" i="35"/>
  <c r="Y102" i="35" s="1"/>
  <c r="Y103" i="35" s="1"/>
  <c r="Y7" i="35" s="1"/>
  <c r="G100" i="35"/>
  <c r="G102" i="35" s="1"/>
  <c r="AH65" i="35"/>
  <c r="AE7" i="35"/>
  <c r="S100" i="35"/>
  <c r="S102" i="35" s="1"/>
  <c r="S103" i="35" s="1"/>
  <c r="S7" i="35" s="1"/>
  <c r="BA16" i="35"/>
  <c r="BA22" i="35" s="1"/>
  <c r="BA24" i="35" s="1"/>
  <c r="AI65" i="35"/>
  <c r="L100" i="35"/>
  <c r="L102" i="35" s="1"/>
  <c r="L103" i="35" s="1"/>
  <c r="L7" i="35" s="1"/>
  <c r="AH109" i="35"/>
  <c r="AI109" i="35"/>
  <c r="D110" i="35"/>
  <c r="AO23" i="35" s="1"/>
  <c r="E250" i="35"/>
  <c r="F100" i="35"/>
  <c r="F102" i="35" s="1"/>
  <c r="F103" i="35" s="1"/>
  <c r="F7" i="35" s="1"/>
  <c r="AH61" i="35"/>
  <c r="BE22" i="35"/>
  <c r="C100" i="35"/>
  <c r="C102" i="35" s="1"/>
  <c r="C103" i="35" s="1"/>
  <c r="C7" i="35" s="1"/>
  <c r="K100" i="35"/>
  <c r="K102" i="35" s="1"/>
  <c r="K103" i="35" s="1"/>
  <c r="K7" i="35" s="1"/>
  <c r="AA100" i="35"/>
  <c r="AA102" i="35" s="1"/>
  <c r="AA103" i="35" s="1"/>
  <c r="AA7" i="35" s="1"/>
  <c r="AI61" i="35"/>
  <c r="AM16" i="35"/>
  <c r="AV16" i="35"/>
  <c r="AV22" i="35" s="1"/>
  <c r="AV24" i="35" s="1"/>
  <c r="BF16" i="35"/>
  <c r="BF22" i="35" s="1"/>
  <c r="BF24" i="35" s="1"/>
  <c r="D100" i="35"/>
  <c r="D102" i="35" s="1"/>
  <c r="D103" i="35" s="1"/>
  <c r="D7" i="35" s="1"/>
  <c r="AI105" i="35"/>
  <c r="AH108" i="35"/>
  <c r="AI108" i="35"/>
  <c r="D111" i="35"/>
  <c r="AG4" i="35"/>
  <c r="AG6" i="35" s="1"/>
  <c r="AL13" i="35"/>
  <c r="BG82" i="35" a="1"/>
  <c r="AH105" i="35"/>
  <c r="AI106" i="35"/>
  <c r="AI107" i="35"/>
  <c r="F254" i="35"/>
  <c r="G254" i="35" s="1"/>
  <c r="H254" i="35" s="1"/>
  <c r="I254" i="35" s="1"/>
  <c r="J254" i="35" s="1"/>
  <c r="K254" i="35" s="1"/>
  <c r="L254" i="35" s="1"/>
  <c r="M254" i="35" s="1"/>
  <c r="N254" i="35" s="1"/>
  <c r="O254" i="35" s="1"/>
  <c r="P254" i="35" s="1"/>
  <c r="Q254" i="35" s="1"/>
  <c r="R254" i="35" s="1"/>
  <c r="S254" i="35" s="1"/>
  <c r="T254" i="35" s="1"/>
  <c r="U254" i="35" s="1"/>
  <c r="V254" i="35" s="1"/>
  <c r="W254" i="35" s="1"/>
  <c r="X254" i="35" s="1"/>
  <c r="Y254" i="35" s="1"/>
  <c r="Z254" i="35" s="1"/>
  <c r="AA254" i="35" s="1"/>
  <c r="AB254" i="35" s="1"/>
  <c r="AC254" i="35" s="1"/>
  <c r="AD254" i="35" s="1"/>
  <c r="AE254" i="35" s="1"/>
  <c r="AF254" i="35" s="1"/>
  <c r="B254" i="35" s="1"/>
  <c r="E121" i="35"/>
  <c r="B111" i="35"/>
  <c r="AI95" i="35"/>
  <c r="AM19" i="35"/>
  <c r="R111" i="35"/>
  <c r="AH95" i="35"/>
  <c r="AH104" i="35"/>
  <c r="AI104" i="35"/>
  <c r="H100" i="35"/>
  <c r="H102" i="35" s="1"/>
  <c r="P100" i="35"/>
  <c r="P102" i="35" s="1"/>
  <c r="X100" i="35"/>
  <c r="X102" i="35" s="1"/>
  <c r="H249" i="35"/>
  <c r="G121" i="35"/>
  <c r="F121" i="35"/>
  <c r="BG19" i="35"/>
  <c r="BG22" i="35" s="1"/>
  <c r="BG24" i="35" s="1"/>
  <c r="M111" i="35"/>
  <c r="U111" i="35"/>
  <c r="H110" i="35"/>
  <c r="H111" i="35" s="1"/>
  <c r="P110" i="35"/>
  <c r="AX23" i="35" s="1"/>
  <c r="X110" i="35"/>
  <c r="BE23" i="35" s="1"/>
  <c r="BJ23" i="35"/>
  <c r="F111" i="35"/>
  <c r="N111" i="35"/>
  <c r="V111" i="35"/>
  <c r="AH107" i="35"/>
  <c r="AA103" i="34"/>
  <c r="Z100" i="34"/>
  <c r="Z102" i="34" s="1"/>
  <c r="Z110" i="34"/>
  <c r="Y110" i="34"/>
  <c r="Y111" i="34" s="1"/>
  <c r="Y100" i="34"/>
  <c r="Y102" i="34" s="1"/>
  <c r="X110" i="34"/>
  <c r="X111" i="34" s="1"/>
  <c r="X100" i="34"/>
  <c r="X102" i="34" s="1"/>
  <c r="W110" i="34"/>
  <c r="W111" i="34" s="1"/>
  <c r="W100" i="34"/>
  <c r="W102" i="34" s="1"/>
  <c r="V110" i="34"/>
  <c r="V111" i="34"/>
  <c r="V100" i="34"/>
  <c r="V102" i="34" s="1"/>
  <c r="V103" i="34" s="1"/>
  <c r="U110" i="34"/>
  <c r="U111" i="34" s="1"/>
  <c r="U100" i="34"/>
  <c r="U102" i="34" s="1"/>
  <c r="T61" i="34"/>
  <c r="T65" i="34"/>
  <c r="T79" i="34"/>
  <c r="T83" i="34"/>
  <c r="T95" i="34"/>
  <c r="T104" i="34"/>
  <c r="T105" i="34"/>
  <c r="T106" i="34"/>
  <c r="T107" i="34"/>
  <c r="T108" i="34"/>
  <c r="T109" i="34"/>
  <c r="T121" i="34"/>
  <c r="S60" i="34"/>
  <c r="S61" i="34"/>
  <c r="S65" i="34"/>
  <c r="S79" i="34"/>
  <c r="S83" i="34"/>
  <c r="S95" i="34"/>
  <c r="S104" i="34"/>
  <c r="S105" i="34"/>
  <c r="S106" i="34"/>
  <c r="S107" i="34"/>
  <c r="S108" i="34"/>
  <c r="S109" i="34"/>
  <c r="S121" i="34"/>
  <c r="R60" i="34"/>
  <c r="Q60" i="34"/>
  <c r="P60" i="34"/>
  <c r="Z111" i="35" l="1"/>
  <c r="X103" i="35"/>
  <c r="X7" i="35" s="1"/>
  <c r="BD24" i="35"/>
  <c r="BC24" i="35"/>
  <c r="Q111" i="35"/>
  <c r="AX24" i="35"/>
  <c r="P103" i="35"/>
  <c r="P7" i="35" s="1"/>
  <c r="P111" i="35"/>
  <c r="AU24" i="35"/>
  <c r="AT23" i="35"/>
  <c r="AT24" i="35" s="1"/>
  <c r="H103" i="35"/>
  <c r="H7" i="35" s="1"/>
  <c r="E111" i="35"/>
  <c r="AO24" i="35"/>
  <c r="C111" i="35"/>
  <c r="AN24" i="35"/>
  <c r="BE24" i="35"/>
  <c r="C259" i="35"/>
  <c r="B259" i="35"/>
  <c r="G103" i="35"/>
  <c r="G7" i="35" s="1"/>
  <c r="B103" i="35"/>
  <c r="AI102" i="35"/>
  <c r="AH102" i="35"/>
  <c r="I249" i="35"/>
  <c r="H121" i="35"/>
  <c r="AM22" i="35"/>
  <c r="AS24" i="35"/>
  <c r="AI110" i="35"/>
  <c r="AF7" i="35"/>
  <c r="F250" i="35"/>
  <c r="E255" i="35"/>
  <c r="AH100" i="35"/>
  <c r="BJ24" i="35"/>
  <c r="BI105" i="35"/>
  <c r="BG104" i="35"/>
  <c r="BK102" i="35"/>
  <c r="BI101" i="35"/>
  <c r="BG100" i="35"/>
  <c r="BK98" i="35"/>
  <c r="BI97" i="35"/>
  <c r="BG96" i="35"/>
  <c r="BK94" i="35"/>
  <c r="BI93" i="35"/>
  <c r="BG92" i="35"/>
  <c r="BK90" i="35"/>
  <c r="BI89" i="35"/>
  <c r="BG88" i="35"/>
  <c r="BK86" i="35"/>
  <c r="BI85" i="35"/>
  <c r="BG84" i="35"/>
  <c r="BK82" i="35"/>
  <c r="BL104" i="35"/>
  <c r="BJ103" i="35"/>
  <c r="BH102" i="35"/>
  <c r="BL100" i="35"/>
  <c r="BJ99" i="35"/>
  <c r="BH98" i="35"/>
  <c r="BL96" i="35"/>
  <c r="BJ95" i="35"/>
  <c r="BH94" i="35"/>
  <c r="BL92" i="35"/>
  <c r="BJ91" i="35"/>
  <c r="BH90" i="35"/>
  <c r="BL88" i="35"/>
  <c r="BJ87" i="35"/>
  <c r="BH86" i="35"/>
  <c r="BL84" i="35"/>
  <c r="BJ83" i="35"/>
  <c r="BH82" i="35"/>
  <c r="BK104" i="35"/>
  <c r="BG103" i="35"/>
  <c r="BH101" i="35"/>
  <c r="BI99" i="35"/>
  <c r="BK97" i="35"/>
  <c r="BL95" i="35"/>
  <c r="BG94" i="35"/>
  <c r="BI92" i="35"/>
  <c r="BJ90" i="35"/>
  <c r="BK88" i="35"/>
  <c r="BG87" i="35"/>
  <c r="BH85" i="35"/>
  <c r="BI83" i="35"/>
  <c r="BK105" i="35"/>
  <c r="BL103" i="35"/>
  <c r="BG102" i="35"/>
  <c r="BI100" i="35"/>
  <c r="BJ98" i="35"/>
  <c r="BK96" i="35"/>
  <c r="BG95" i="35"/>
  <c r="BH93" i="35"/>
  <c r="BI91" i="35"/>
  <c r="BK89" i="35"/>
  <c r="BL87" i="35"/>
  <c r="BG86" i="35"/>
  <c r="BI84" i="35"/>
  <c r="BJ82" i="35"/>
  <c r="BL105" i="35"/>
  <c r="BI103" i="35"/>
  <c r="BG101" i="35"/>
  <c r="BL98" i="35"/>
  <c r="BI96" i="35"/>
  <c r="BL93" i="35"/>
  <c r="BK91" i="35"/>
  <c r="BH89" i="35"/>
  <c r="BL86" i="35"/>
  <c r="BJ84" i="35"/>
  <c r="BG82" i="35"/>
  <c r="BJ105" i="35"/>
  <c r="BH103" i="35"/>
  <c r="BK100" i="35"/>
  <c r="BI98" i="35"/>
  <c r="BH96" i="35"/>
  <c r="BK93" i="35"/>
  <c r="BH91" i="35"/>
  <c r="BG89" i="35"/>
  <c r="BJ86" i="35"/>
  <c r="BH84" i="35"/>
  <c r="BH99" i="35"/>
  <c r="BJ94" i="35"/>
  <c r="BI87" i="35"/>
  <c r="BH105" i="35"/>
  <c r="BL102" i="35"/>
  <c r="BJ100" i="35"/>
  <c r="BG98" i="35"/>
  <c r="BK95" i="35"/>
  <c r="BJ93" i="35"/>
  <c r="BG91" i="35"/>
  <c r="BJ88" i="35"/>
  <c r="BI86" i="35"/>
  <c r="BL83" i="35"/>
  <c r="BH100" i="35"/>
  <c r="BI95" i="35"/>
  <c r="BL90" i="35"/>
  <c r="BI88" i="35"/>
  <c r="BL85" i="35"/>
  <c r="BH104" i="35"/>
  <c r="BK101" i="35"/>
  <c r="BG97" i="35"/>
  <c r="BH92" i="35"/>
  <c r="BL89" i="35"/>
  <c r="BL82" i="35"/>
  <c r="BG105" i="35"/>
  <c r="BJ102" i="35"/>
  <c r="BL97" i="35"/>
  <c r="BG93" i="35"/>
  <c r="BK83" i="35"/>
  <c r="BJ104" i="35"/>
  <c r="BI102" i="35"/>
  <c r="BL99" i="35"/>
  <c r="BJ97" i="35"/>
  <c r="BH95" i="35"/>
  <c r="BK92" i="35"/>
  <c r="BI90" i="35"/>
  <c r="BH88" i="35"/>
  <c r="BK85" i="35"/>
  <c r="BH83" i="35"/>
  <c r="BI104" i="35"/>
  <c r="BL101" i="35"/>
  <c r="BK99" i="35"/>
  <c r="BH97" i="35"/>
  <c r="BL94" i="35"/>
  <c r="BJ92" i="35"/>
  <c r="BG90" i="35"/>
  <c r="BK87" i="35"/>
  <c r="BJ85" i="35"/>
  <c r="BG83" i="35"/>
  <c r="BG85" i="35"/>
  <c r="BK103" i="35"/>
  <c r="BJ101" i="35"/>
  <c r="BG99" i="35"/>
  <c r="BJ96" i="35"/>
  <c r="BI94" i="35"/>
  <c r="BL91" i="35"/>
  <c r="BJ89" i="35"/>
  <c r="BH87" i="35"/>
  <c r="BK84" i="35"/>
  <c r="BI82" i="35"/>
  <c r="AI100" i="35"/>
  <c r="X111" i="35"/>
  <c r="AH110" i="35"/>
  <c r="Z103" i="34"/>
  <c r="Z111" i="34"/>
  <c r="Y103" i="34"/>
  <c r="X103" i="34"/>
  <c r="W103" i="34"/>
  <c r="U103" i="34"/>
  <c r="T110" i="34"/>
  <c r="T111" i="34" s="1"/>
  <c r="T100" i="34"/>
  <c r="T102" i="34" s="1"/>
  <c r="S110" i="34"/>
  <c r="S111" i="34" s="1"/>
  <c r="S100" i="34"/>
  <c r="S102" i="34" s="1"/>
  <c r="AI111" i="35" l="1"/>
  <c r="K6" i="35"/>
  <c r="AM24" i="35"/>
  <c r="AT9" i="35" s="1"/>
  <c r="AT8" i="35"/>
  <c r="G250" i="35"/>
  <c r="F255" i="35"/>
  <c r="AI103" i="35"/>
  <c r="AH103" i="35"/>
  <c r="B7" i="35"/>
  <c r="A7" i="35" s="1"/>
  <c r="AH111" i="35"/>
  <c r="I121" i="35"/>
  <c r="J249" i="35"/>
  <c r="T103" i="34"/>
  <c r="S103" i="34"/>
  <c r="J121" i="35" l="1"/>
  <c r="K249" i="35"/>
  <c r="H250" i="35"/>
  <c r="G255" i="35"/>
  <c r="D61" i="34"/>
  <c r="D65" i="34"/>
  <c r="D79" i="34"/>
  <c r="D83" i="34"/>
  <c r="D95" i="34"/>
  <c r="D104" i="34"/>
  <c r="D105" i="34"/>
  <c r="D106" i="34"/>
  <c r="D107" i="34"/>
  <c r="D108" i="34"/>
  <c r="D109" i="34"/>
  <c r="D121" i="34"/>
  <c r="C61" i="34"/>
  <c r="C65" i="34"/>
  <c r="C79" i="34"/>
  <c r="C83" i="34"/>
  <c r="C95" i="34"/>
  <c r="C104" i="34"/>
  <c r="C105" i="34"/>
  <c r="C106" i="34"/>
  <c r="C107" i="34"/>
  <c r="C108" i="34"/>
  <c r="C109" i="34"/>
  <c r="C121" i="34"/>
  <c r="I250" i="35" l="1"/>
  <c r="H255" i="35"/>
  <c r="K121" i="35"/>
  <c r="L249" i="35"/>
  <c r="C100" i="34"/>
  <c r="C102" i="34" s="1"/>
  <c r="D110" i="34"/>
  <c r="D111" i="34"/>
  <c r="D100" i="34"/>
  <c r="D102" i="34" s="1"/>
  <c r="D103" i="34" s="1"/>
  <c r="C110" i="34"/>
  <c r="C111" i="34"/>
  <c r="C103" i="34"/>
  <c r="B121" i="34"/>
  <c r="B109" i="34"/>
  <c r="B108" i="34"/>
  <c r="B107" i="34"/>
  <c r="B106" i="34"/>
  <c r="B105" i="34"/>
  <c r="B104" i="34"/>
  <c r="B110" i="34" s="1"/>
  <c r="B95" i="34"/>
  <c r="B83" i="34"/>
  <c r="AM20" i="34" s="1"/>
  <c r="B79" i="34"/>
  <c r="B65" i="34"/>
  <c r="B61" i="34"/>
  <c r="AG255" i="34"/>
  <c r="C255" i="34"/>
  <c r="D254" i="34"/>
  <c r="E254" i="34" s="1"/>
  <c r="F254" i="34" s="1"/>
  <c r="G254" i="34" s="1"/>
  <c r="H254" i="34" s="1"/>
  <c r="I254" i="34" s="1"/>
  <c r="J254" i="34" s="1"/>
  <c r="K254" i="34" s="1"/>
  <c r="L254" i="34" s="1"/>
  <c r="M254" i="34" s="1"/>
  <c r="N254" i="34" s="1"/>
  <c r="O254" i="34" s="1"/>
  <c r="P254" i="34" s="1"/>
  <c r="Q254" i="34" s="1"/>
  <c r="R254" i="34" s="1"/>
  <c r="S254" i="34" s="1"/>
  <c r="T254" i="34" s="1"/>
  <c r="U254" i="34" s="1"/>
  <c r="V254" i="34" s="1"/>
  <c r="W254" i="34" s="1"/>
  <c r="X254" i="34" s="1"/>
  <c r="Y254" i="34" s="1"/>
  <c r="Z254" i="34" s="1"/>
  <c r="AA254" i="34" s="1"/>
  <c r="AB254" i="34" s="1"/>
  <c r="AC254" i="34" s="1"/>
  <c r="AD254" i="34" s="1"/>
  <c r="AE254" i="34" s="1"/>
  <c r="AF254" i="34" s="1"/>
  <c r="B254" i="34" s="1"/>
  <c r="E253" i="34"/>
  <c r="F253" i="34" s="1"/>
  <c r="G253" i="34" s="1"/>
  <c r="H253" i="34" s="1"/>
  <c r="I253" i="34" s="1"/>
  <c r="J253" i="34" s="1"/>
  <c r="K253" i="34" s="1"/>
  <c r="L253" i="34" s="1"/>
  <c r="M253" i="34" s="1"/>
  <c r="N253" i="34" s="1"/>
  <c r="O253" i="34" s="1"/>
  <c r="P253" i="34" s="1"/>
  <c r="Q253" i="34" s="1"/>
  <c r="R253" i="34" s="1"/>
  <c r="S253" i="34" s="1"/>
  <c r="T253" i="34" s="1"/>
  <c r="U253" i="34" s="1"/>
  <c r="V253" i="34" s="1"/>
  <c r="W253" i="34" s="1"/>
  <c r="X253" i="34" s="1"/>
  <c r="Y253" i="34" s="1"/>
  <c r="Z253" i="34" s="1"/>
  <c r="AA253" i="34" s="1"/>
  <c r="AB253" i="34" s="1"/>
  <c r="AC253" i="34" s="1"/>
  <c r="AD253" i="34" s="1"/>
  <c r="AE253" i="34" s="1"/>
  <c r="AF253" i="34" s="1"/>
  <c r="B253" i="34" s="1"/>
  <c r="D253" i="34"/>
  <c r="E252" i="34"/>
  <c r="F252" i="34" s="1"/>
  <c r="G252" i="34" s="1"/>
  <c r="H252" i="34" s="1"/>
  <c r="I252" i="34" s="1"/>
  <c r="J252" i="34" s="1"/>
  <c r="K252" i="34" s="1"/>
  <c r="L252" i="34" s="1"/>
  <c r="M252" i="34" s="1"/>
  <c r="N252" i="34" s="1"/>
  <c r="O252" i="34" s="1"/>
  <c r="P252" i="34" s="1"/>
  <c r="Q252" i="34" s="1"/>
  <c r="R252" i="34" s="1"/>
  <c r="S252" i="34" s="1"/>
  <c r="T252" i="34" s="1"/>
  <c r="U252" i="34" s="1"/>
  <c r="V252" i="34" s="1"/>
  <c r="W252" i="34" s="1"/>
  <c r="X252" i="34" s="1"/>
  <c r="Y252" i="34" s="1"/>
  <c r="Z252" i="34" s="1"/>
  <c r="AA252" i="34" s="1"/>
  <c r="AB252" i="34" s="1"/>
  <c r="AC252" i="34" s="1"/>
  <c r="AD252" i="34" s="1"/>
  <c r="AE252" i="34" s="1"/>
  <c r="AF252" i="34" s="1"/>
  <c r="B252" i="34" s="1"/>
  <c r="D252" i="34"/>
  <c r="F251" i="34"/>
  <c r="G251" i="34" s="1"/>
  <c r="H251" i="34" s="1"/>
  <c r="I251" i="34" s="1"/>
  <c r="J251" i="34" s="1"/>
  <c r="K251" i="34" s="1"/>
  <c r="L251" i="34" s="1"/>
  <c r="M251" i="34" s="1"/>
  <c r="N251" i="34" s="1"/>
  <c r="O251" i="34" s="1"/>
  <c r="P251" i="34" s="1"/>
  <c r="Q251" i="34" s="1"/>
  <c r="R251" i="34" s="1"/>
  <c r="S251" i="34" s="1"/>
  <c r="T251" i="34" s="1"/>
  <c r="U251" i="34" s="1"/>
  <c r="V251" i="34" s="1"/>
  <c r="W251" i="34" s="1"/>
  <c r="X251" i="34" s="1"/>
  <c r="Y251" i="34" s="1"/>
  <c r="Z251" i="34" s="1"/>
  <c r="AA251" i="34" s="1"/>
  <c r="AB251" i="34" s="1"/>
  <c r="AC251" i="34" s="1"/>
  <c r="AD251" i="34" s="1"/>
  <c r="AE251" i="34" s="1"/>
  <c r="AF251" i="34" s="1"/>
  <c r="B251" i="34" s="1"/>
  <c r="D251" i="34"/>
  <c r="E251" i="34" s="1"/>
  <c r="E250" i="34"/>
  <c r="F250" i="34" s="1"/>
  <c r="G250" i="34" s="1"/>
  <c r="H250" i="34" s="1"/>
  <c r="I250" i="34" s="1"/>
  <c r="J250" i="34" s="1"/>
  <c r="K250" i="34" s="1"/>
  <c r="L250" i="34" s="1"/>
  <c r="M250" i="34" s="1"/>
  <c r="N250" i="34" s="1"/>
  <c r="O250" i="34" s="1"/>
  <c r="P250" i="34" s="1"/>
  <c r="Q250" i="34" s="1"/>
  <c r="R250" i="34" s="1"/>
  <c r="S250" i="34" s="1"/>
  <c r="T250" i="34" s="1"/>
  <c r="U250" i="34" s="1"/>
  <c r="V250" i="34" s="1"/>
  <c r="W250" i="34" s="1"/>
  <c r="X250" i="34" s="1"/>
  <c r="Y250" i="34" s="1"/>
  <c r="Z250" i="34" s="1"/>
  <c r="AA250" i="34" s="1"/>
  <c r="AB250" i="34" s="1"/>
  <c r="AC250" i="34" s="1"/>
  <c r="AD250" i="34" s="1"/>
  <c r="AE250" i="34" s="1"/>
  <c r="AF250" i="34" s="1"/>
  <c r="B250" i="34" s="1"/>
  <c r="D250" i="34"/>
  <c r="D249" i="34"/>
  <c r="AG247" i="34"/>
  <c r="AF247" i="34"/>
  <c r="AE247" i="34"/>
  <c r="AD247" i="34"/>
  <c r="AC247" i="34"/>
  <c r="AB247" i="34"/>
  <c r="AA247" i="34"/>
  <c r="Z247" i="34"/>
  <c r="Y247" i="34"/>
  <c r="X247" i="34"/>
  <c r="W247" i="34"/>
  <c r="V247" i="34"/>
  <c r="U247" i="34"/>
  <c r="T247" i="34"/>
  <c r="S247" i="34"/>
  <c r="R247" i="34"/>
  <c r="Q247" i="34"/>
  <c r="P247" i="34"/>
  <c r="O247" i="34"/>
  <c r="N247" i="34"/>
  <c r="M247" i="34"/>
  <c r="L247" i="34"/>
  <c r="K247" i="34"/>
  <c r="J247" i="34"/>
  <c r="I247" i="34"/>
  <c r="H247" i="34"/>
  <c r="G247" i="34"/>
  <c r="F247" i="34"/>
  <c r="E247" i="34"/>
  <c r="D247" i="34"/>
  <c r="C247" i="34"/>
  <c r="B247" i="34"/>
  <c r="AI133" i="34"/>
  <c r="AH133" i="34"/>
  <c r="AI132" i="34"/>
  <c r="AH132" i="34"/>
  <c r="AI131" i="34"/>
  <c r="AH131" i="34"/>
  <c r="AI130" i="34"/>
  <c r="AH130" i="34"/>
  <c r="AI129" i="34"/>
  <c r="AH129" i="34"/>
  <c r="AI126" i="34"/>
  <c r="AH126" i="34"/>
  <c r="AI125" i="34"/>
  <c r="AH125" i="34"/>
  <c r="AI124" i="34"/>
  <c r="AH124" i="34"/>
  <c r="AI123" i="34"/>
  <c r="AH123" i="34"/>
  <c r="AI122" i="34"/>
  <c r="AH122" i="34"/>
  <c r="AI120" i="34"/>
  <c r="AH120" i="34"/>
  <c r="AI119" i="34"/>
  <c r="AH119" i="34"/>
  <c r="AI118" i="34"/>
  <c r="AH118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BF23" i="34"/>
  <c r="Y7" i="34"/>
  <c r="AO23" i="34"/>
  <c r="AN23" i="34"/>
  <c r="AF109" i="34"/>
  <c r="AE109" i="34"/>
  <c r="AD109" i="34"/>
  <c r="AC109" i="34"/>
  <c r="AB109" i="34"/>
  <c r="R109" i="34"/>
  <c r="Q109" i="34"/>
  <c r="P109" i="34"/>
  <c r="O109" i="34"/>
  <c r="N109" i="34"/>
  <c r="M109" i="34"/>
  <c r="L109" i="34"/>
  <c r="K109" i="34"/>
  <c r="J109" i="34"/>
  <c r="I109" i="34"/>
  <c r="H109" i="34"/>
  <c r="G109" i="34"/>
  <c r="F109" i="34"/>
  <c r="E109" i="34"/>
  <c r="AF108" i="34"/>
  <c r="AE108" i="34"/>
  <c r="AD108" i="34"/>
  <c r="AC108" i="34"/>
  <c r="AB108" i="34"/>
  <c r="BA23" i="34"/>
  <c r="R108" i="34"/>
  <c r="Q108" i="34"/>
  <c r="P108" i="34"/>
  <c r="O108" i="34"/>
  <c r="N108" i="34"/>
  <c r="M108" i="34"/>
  <c r="L108" i="34"/>
  <c r="K108" i="34"/>
  <c r="J108" i="34"/>
  <c r="I108" i="34"/>
  <c r="H108" i="34"/>
  <c r="G108" i="34"/>
  <c r="F108" i="34"/>
  <c r="E108" i="34"/>
  <c r="AF107" i="34"/>
  <c r="AE107" i="34"/>
  <c r="AD107" i="34"/>
  <c r="AC107" i="34"/>
  <c r="AB107" i="34"/>
  <c r="BB23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7" i="34"/>
  <c r="E107" i="34"/>
  <c r="AF106" i="34"/>
  <c r="AE106" i="34"/>
  <c r="AD106" i="34"/>
  <c r="AC106" i="34"/>
  <c r="AB106" i="34"/>
  <c r="R106" i="34"/>
  <c r="Q106" i="34"/>
  <c r="P106" i="34"/>
  <c r="O106" i="34"/>
  <c r="N106" i="34"/>
  <c r="M106" i="34"/>
  <c r="L106" i="34"/>
  <c r="K106" i="34"/>
  <c r="J106" i="34"/>
  <c r="I106" i="34"/>
  <c r="H106" i="34"/>
  <c r="G106" i="34"/>
  <c r="F106" i="34"/>
  <c r="E106" i="34"/>
  <c r="AF105" i="34"/>
  <c r="AE105" i="34"/>
  <c r="AD105" i="34"/>
  <c r="AC105" i="34"/>
  <c r="AB105" i="34"/>
  <c r="R105" i="34"/>
  <c r="Q105" i="34"/>
  <c r="P105" i="34"/>
  <c r="O105" i="34"/>
  <c r="N105" i="34"/>
  <c r="M105" i="34"/>
  <c r="L105" i="34"/>
  <c r="K105" i="34"/>
  <c r="J105" i="34"/>
  <c r="I105" i="34"/>
  <c r="H105" i="34"/>
  <c r="AH105" i="34" s="1"/>
  <c r="G105" i="34"/>
  <c r="F105" i="34"/>
  <c r="E105" i="34"/>
  <c r="AF104" i="34"/>
  <c r="AE104" i="34"/>
  <c r="AD104" i="34"/>
  <c r="AC104" i="34"/>
  <c r="AB104" i="34"/>
  <c r="R104" i="34"/>
  <c r="Q104" i="34"/>
  <c r="P104" i="34"/>
  <c r="O104" i="34"/>
  <c r="O110" i="34" s="1"/>
  <c r="N104" i="34"/>
  <c r="M104" i="34"/>
  <c r="L104" i="34"/>
  <c r="K104" i="34"/>
  <c r="J104" i="34"/>
  <c r="J110" i="34" s="1"/>
  <c r="I104" i="34"/>
  <c r="I110" i="34" s="1"/>
  <c r="AS23" i="34" s="1"/>
  <c r="H104" i="34"/>
  <c r="G104" i="34"/>
  <c r="F104" i="34"/>
  <c r="E104" i="34"/>
  <c r="AI101" i="34"/>
  <c r="AH101" i="34"/>
  <c r="AG100" i="34"/>
  <c r="AI99" i="34"/>
  <c r="AH99" i="34"/>
  <c r="AG99" i="34"/>
  <c r="AI98" i="34"/>
  <c r="AH98" i="34"/>
  <c r="AI97" i="34"/>
  <c r="AH97" i="34"/>
  <c r="AI96" i="34"/>
  <c r="AH96" i="34"/>
  <c r="AG95" i="34"/>
  <c r="AF95" i="34"/>
  <c r="AE5" i="34" s="1"/>
  <c r="AE95" i="34"/>
  <c r="AD95" i="34"/>
  <c r="AC5" i="34" s="1"/>
  <c r="AC95" i="34"/>
  <c r="AB5" i="34" s="1"/>
  <c r="AB95" i="34"/>
  <c r="X5" i="34"/>
  <c r="S5" i="34"/>
  <c r="BA19" i="34"/>
  <c r="R95" i="34"/>
  <c r="Q95" i="34"/>
  <c r="AY19" i="34" s="1"/>
  <c r="P95" i="34"/>
  <c r="AX19" i="34" s="1"/>
  <c r="O95" i="34"/>
  <c r="O111" i="34" s="1"/>
  <c r="N95" i="34"/>
  <c r="AV19" i="34" s="1"/>
  <c r="M95" i="34"/>
  <c r="AU19" i="34" s="1"/>
  <c r="L95" i="34"/>
  <c r="K95" i="34"/>
  <c r="J5" i="34" s="1"/>
  <c r="J95" i="34"/>
  <c r="I95" i="34"/>
  <c r="H95" i="34"/>
  <c r="G5" i="34" s="1"/>
  <c r="G95" i="34"/>
  <c r="AR19" i="34" s="1"/>
  <c r="F95" i="34"/>
  <c r="AQ19" i="34" s="1"/>
  <c r="E95" i="34"/>
  <c r="AP19" i="34" s="1"/>
  <c r="B5" i="34"/>
  <c r="AI94" i="34"/>
  <c r="AH94" i="34"/>
  <c r="AI93" i="34"/>
  <c r="AH93" i="34"/>
  <c r="AI92" i="34"/>
  <c r="AH92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3" i="34"/>
  <c r="AG4" i="34" s="1"/>
  <c r="AF83" i="34"/>
  <c r="AE83" i="34"/>
  <c r="BI20" i="34" s="1"/>
  <c r="AD83" i="34"/>
  <c r="BH20" i="34" s="1"/>
  <c r="AC83" i="34"/>
  <c r="AB83" i="34"/>
  <c r="BG20" i="34" s="1"/>
  <c r="BF20" i="34"/>
  <c r="BB20" i="34"/>
  <c r="BA20" i="34"/>
  <c r="R83" i="34"/>
  <c r="AZ20" i="34" s="1"/>
  <c r="Q83" i="34"/>
  <c r="AY20" i="34" s="1"/>
  <c r="P83" i="34"/>
  <c r="AX20" i="34" s="1"/>
  <c r="O83" i="34"/>
  <c r="N83" i="34"/>
  <c r="M83" i="34"/>
  <c r="L83" i="34"/>
  <c r="K83" i="34"/>
  <c r="AT20" i="34" s="1"/>
  <c r="J83" i="34"/>
  <c r="I83" i="34"/>
  <c r="AS20" i="34" s="1"/>
  <c r="H83" i="34"/>
  <c r="G83" i="34"/>
  <c r="F83" i="34"/>
  <c r="E83" i="34"/>
  <c r="AO20" i="34"/>
  <c r="AN20" i="34"/>
  <c r="AI82" i="34"/>
  <c r="AH82" i="34"/>
  <c r="AI81" i="34"/>
  <c r="AH81" i="34"/>
  <c r="AI80" i="34"/>
  <c r="AH80" i="34"/>
  <c r="AF79" i="34"/>
  <c r="AE79" i="34"/>
  <c r="AD79" i="34"/>
  <c r="AC79" i="34"/>
  <c r="AB79" i="34"/>
  <c r="BG18" i="34" s="1"/>
  <c r="BF18" i="34"/>
  <c r="BC18" i="34"/>
  <c r="BB18" i="34"/>
  <c r="R79" i="34"/>
  <c r="AZ18" i="34" s="1"/>
  <c r="Q79" i="34"/>
  <c r="AY18" i="34" s="1"/>
  <c r="P79" i="34"/>
  <c r="O79" i="34"/>
  <c r="N79" i="34"/>
  <c r="M79" i="34"/>
  <c r="AU18" i="34" s="1"/>
  <c r="L79" i="34"/>
  <c r="K79" i="34"/>
  <c r="AT18" i="34" s="1"/>
  <c r="J79" i="34"/>
  <c r="I79" i="34"/>
  <c r="AS18" i="34" s="1"/>
  <c r="H79" i="34"/>
  <c r="G79" i="34"/>
  <c r="AR18" i="34" s="1"/>
  <c r="F79" i="34"/>
  <c r="E79" i="34"/>
  <c r="AO18" i="34"/>
  <c r="AN18" i="34"/>
  <c r="BU78" i="34"/>
  <c r="BK78" i="34"/>
  <c r="BE78" i="34"/>
  <c r="AI78" i="34"/>
  <c r="AH78" i="34"/>
  <c r="AG78" i="34"/>
  <c r="AG79" i="34" s="1"/>
  <c r="BC77" i="34"/>
  <c r="AI77" i="34"/>
  <c r="AH77" i="34"/>
  <c r="BU76" i="34"/>
  <c r="BH76" i="34"/>
  <c r="AI76" i="34"/>
  <c r="AH76" i="34"/>
  <c r="BQ75" i="34"/>
  <c r="BG75" i="34"/>
  <c r="AI75" i="34"/>
  <c r="AH75" i="34"/>
  <c r="BO74" i="34"/>
  <c r="BG74" i="34"/>
  <c r="BF74" i="34"/>
  <c r="BD74" i="34"/>
  <c r="BC74" i="34"/>
  <c r="AI74" i="34"/>
  <c r="AH74" i="34"/>
  <c r="BP73" i="34"/>
  <c r="AI73" i="34"/>
  <c r="AH73" i="34"/>
  <c r="AI72" i="34"/>
  <c r="AH72" i="34"/>
  <c r="BW71" i="34"/>
  <c r="BW78" i="34" s="1"/>
  <c r="BV71" i="34"/>
  <c r="BV78" i="34" s="1"/>
  <c r="BU71" i="34"/>
  <c r="BT71" i="34"/>
  <c r="BT78" i="34" s="1"/>
  <c r="BS71" i="34"/>
  <c r="BS78" i="34" s="1"/>
  <c r="BR71" i="34"/>
  <c r="BR78" i="34" s="1"/>
  <c r="BQ71" i="34"/>
  <c r="BQ78" i="34" s="1"/>
  <c r="BP71" i="34"/>
  <c r="BP78" i="34" s="1"/>
  <c r="BO71" i="34"/>
  <c r="BO78" i="34" s="1"/>
  <c r="BN71" i="34"/>
  <c r="BN78" i="34" s="1"/>
  <c r="BM71" i="34"/>
  <c r="BM78" i="34" s="1"/>
  <c r="BL71" i="34"/>
  <c r="BL78" i="34" s="1"/>
  <c r="BK71" i="34"/>
  <c r="BJ71" i="34"/>
  <c r="BJ78" i="34" s="1"/>
  <c r="BI71" i="34"/>
  <c r="BI78" i="34" s="1"/>
  <c r="BH71" i="34"/>
  <c r="BH78" i="34" s="1"/>
  <c r="BG71" i="34"/>
  <c r="BG78" i="34" s="1"/>
  <c r="BF71" i="34"/>
  <c r="BF78" i="34" s="1"/>
  <c r="BE71" i="34"/>
  <c r="BD71" i="34"/>
  <c r="BD78" i="34" s="1"/>
  <c r="BC71" i="34"/>
  <c r="BC78" i="34" s="1"/>
  <c r="BB71" i="34"/>
  <c r="BB78" i="34" s="1"/>
  <c r="BA71" i="34"/>
  <c r="BA78" i="34" s="1"/>
  <c r="AZ71" i="34"/>
  <c r="AZ78" i="34" s="1"/>
  <c r="AI71" i="34"/>
  <c r="AH71" i="34"/>
  <c r="BW70" i="34"/>
  <c r="BW77" i="34" s="1"/>
  <c r="BV70" i="34"/>
  <c r="BV77" i="34" s="1"/>
  <c r="BU70" i="34"/>
  <c r="BU77" i="34" s="1"/>
  <c r="BT70" i="34"/>
  <c r="BT77" i="34" s="1"/>
  <c r="BS70" i="34"/>
  <c r="BS77" i="34" s="1"/>
  <c r="BR70" i="34"/>
  <c r="BR77" i="34" s="1"/>
  <c r="BQ70" i="34"/>
  <c r="BQ77" i="34" s="1"/>
  <c r="BP70" i="34"/>
  <c r="BP77" i="34" s="1"/>
  <c r="BO70" i="34"/>
  <c r="BO77" i="34" s="1"/>
  <c r="BN70" i="34"/>
  <c r="BN77" i="34" s="1"/>
  <c r="BM70" i="34"/>
  <c r="BM77" i="34" s="1"/>
  <c r="BL70" i="34"/>
  <c r="BL77" i="34" s="1"/>
  <c r="BK70" i="34"/>
  <c r="BK77" i="34" s="1"/>
  <c r="BJ70" i="34"/>
  <c r="BJ77" i="34" s="1"/>
  <c r="BI70" i="34"/>
  <c r="BI77" i="34" s="1"/>
  <c r="BH70" i="34"/>
  <c r="BH77" i="34" s="1"/>
  <c r="BG70" i="34"/>
  <c r="BG77" i="34" s="1"/>
  <c r="BF70" i="34"/>
  <c r="BF77" i="34" s="1"/>
  <c r="BE70" i="34"/>
  <c r="BE77" i="34" s="1"/>
  <c r="BD70" i="34"/>
  <c r="BD77" i="34" s="1"/>
  <c r="BC70" i="34"/>
  <c r="BB70" i="34"/>
  <c r="BB77" i="34" s="1"/>
  <c r="BA70" i="34"/>
  <c r="BA77" i="34" s="1"/>
  <c r="AZ70" i="34"/>
  <c r="AZ77" i="34" s="1"/>
  <c r="AI70" i="34"/>
  <c r="AH70" i="34"/>
  <c r="BW69" i="34"/>
  <c r="BW76" i="34" s="1"/>
  <c r="BV69" i="34"/>
  <c r="BV76" i="34" s="1"/>
  <c r="BU69" i="34"/>
  <c r="BT69" i="34"/>
  <c r="BT76" i="34" s="1"/>
  <c r="BS69" i="34"/>
  <c r="BS76" i="34" s="1"/>
  <c r="BR69" i="34"/>
  <c r="BR76" i="34" s="1"/>
  <c r="BQ69" i="34"/>
  <c r="BQ76" i="34" s="1"/>
  <c r="BP69" i="34"/>
  <c r="BP76" i="34" s="1"/>
  <c r="BO69" i="34"/>
  <c r="BO76" i="34" s="1"/>
  <c r="BN69" i="34"/>
  <c r="BN76" i="34" s="1"/>
  <c r="BM69" i="34"/>
  <c r="BM76" i="34" s="1"/>
  <c r="BL69" i="34"/>
  <c r="BL76" i="34" s="1"/>
  <c r="BK69" i="34"/>
  <c r="BK76" i="34" s="1"/>
  <c r="BJ69" i="34"/>
  <c r="BJ76" i="34" s="1"/>
  <c r="BI69" i="34"/>
  <c r="BI76" i="34" s="1"/>
  <c r="BH69" i="34"/>
  <c r="BG69" i="34"/>
  <c r="BG76" i="34" s="1"/>
  <c r="BF69" i="34"/>
  <c r="BF76" i="34" s="1"/>
  <c r="BE69" i="34"/>
  <c r="BE76" i="34" s="1"/>
  <c r="BD69" i="34"/>
  <c r="BD76" i="34" s="1"/>
  <c r="BC69" i="34"/>
  <c r="BC76" i="34" s="1"/>
  <c r="BB69" i="34"/>
  <c r="BB76" i="34" s="1"/>
  <c r="BA69" i="34"/>
  <c r="BA76" i="34" s="1"/>
  <c r="AZ69" i="34"/>
  <c r="AZ76" i="34" s="1"/>
  <c r="AI69" i="34"/>
  <c r="AH69" i="34"/>
  <c r="BW68" i="34"/>
  <c r="BW75" i="34" s="1"/>
  <c r="BV68" i="34"/>
  <c r="BV75" i="34" s="1"/>
  <c r="BU68" i="34"/>
  <c r="BU75" i="34" s="1"/>
  <c r="BT68" i="34"/>
  <c r="BT75" i="34" s="1"/>
  <c r="BS68" i="34"/>
  <c r="BS75" i="34" s="1"/>
  <c r="BR68" i="34"/>
  <c r="BR75" i="34" s="1"/>
  <c r="BQ68" i="34"/>
  <c r="BP68" i="34"/>
  <c r="BP75" i="34" s="1"/>
  <c r="BO68" i="34"/>
  <c r="BO75" i="34" s="1"/>
  <c r="BN68" i="34"/>
  <c r="BN75" i="34" s="1"/>
  <c r="BM68" i="34"/>
  <c r="BM75" i="34" s="1"/>
  <c r="BL68" i="34"/>
  <c r="BL75" i="34" s="1"/>
  <c r="BK68" i="34"/>
  <c r="BK75" i="34" s="1"/>
  <c r="BJ68" i="34"/>
  <c r="BJ75" i="34" s="1"/>
  <c r="BI68" i="34"/>
  <c r="BI75" i="34" s="1"/>
  <c r="BH68" i="34"/>
  <c r="BH75" i="34" s="1"/>
  <c r="BG68" i="34"/>
  <c r="BF68" i="34"/>
  <c r="BF75" i="34" s="1"/>
  <c r="BE68" i="34"/>
  <c r="BE75" i="34" s="1"/>
  <c r="BD68" i="34"/>
  <c r="BD75" i="34" s="1"/>
  <c r="BC68" i="34"/>
  <c r="BC75" i="34" s="1"/>
  <c r="BB68" i="34"/>
  <c r="BB75" i="34" s="1"/>
  <c r="BA68" i="34"/>
  <c r="BA75" i="34" s="1"/>
  <c r="AZ68" i="34"/>
  <c r="AZ75" i="34" s="1"/>
  <c r="AI68" i="34"/>
  <c r="AH68" i="34"/>
  <c r="BW67" i="34"/>
  <c r="BW74" i="34" s="1"/>
  <c r="BV67" i="34"/>
  <c r="BV74" i="34" s="1"/>
  <c r="BU67" i="34"/>
  <c r="BU74" i="34" s="1"/>
  <c r="BT67" i="34"/>
  <c r="BT74" i="34" s="1"/>
  <c r="BS67" i="34"/>
  <c r="BS74" i="34" s="1"/>
  <c r="BR67" i="34"/>
  <c r="BR74" i="34" s="1"/>
  <c r="BQ67" i="34"/>
  <c r="BQ74" i="34" s="1"/>
  <c r="BP67" i="34"/>
  <c r="BP74" i="34" s="1"/>
  <c r="BO67" i="34"/>
  <c r="BN67" i="34"/>
  <c r="BN74" i="34" s="1"/>
  <c r="BM67" i="34"/>
  <c r="BM74" i="34" s="1"/>
  <c r="BL67" i="34"/>
  <c r="BL74" i="34" s="1"/>
  <c r="BK67" i="34"/>
  <c r="BK74" i="34" s="1"/>
  <c r="BJ67" i="34"/>
  <c r="BJ74" i="34" s="1"/>
  <c r="BI67" i="34"/>
  <c r="BI74" i="34" s="1"/>
  <c r="BH67" i="34"/>
  <c r="BH74" i="34" s="1"/>
  <c r="BG67" i="34"/>
  <c r="BF67" i="34"/>
  <c r="BE67" i="34"/>
  <c r="BE74" i="34" s="1"/>
  <c r="BD67" i="34"/>
  <c r="BC67" i="34"/>
  <c r="BB67" i="34"/>
  <c r="BB74" i="34" s="1"/>
  <c r="BA67" i="34"/>
  <c r="BA74" i="34" s="1"/>
  <c r="AZ67" i="34"/>
  <c r="AZ74" i="34" s="1"/>
  <c r="AI67" i="34"/>
  <c r="AH67" i="34"/>
  <c r="BW66" i="34"/>
  <c r="BW73" i="34" s="1"/>
  <c r="BV66" i="34"/>
  <c r="BV73" i="34" s="1"/>
  <c r="BU66" i="34"/>
  <c r="BU73" i="34" s="1"/>
  <c r="BT66" i="34"/>
  <c r="BT73" i="34" s="1"/>
  <c r="BS66" i="34"/>
  <c r="BS73" i="34" s="1"/>
  <c r="BR66" i="34"/>
  <c r="BR73" i="34" s="1"/>
  <c r="BQ66" i="34"/>
  <c r="BQ73" i="34" s="1"/>
  <c r="BP66" i="34"/>
  <c r="BO66" i="34"/>
  <c r="BO73" i="34" s="1"/>
  <c r="BN66" i="34"/>
  <c r="BN73" i="34" s="1"/>
  <c r="BM66" i="34"/>
  <c r="BM73" i="34" s="1"/>
  <c r="BL66" i="34"/>
  <c r="BL73" i="34" s="1"/>
  <c r="BK66" i="34"/>
  <c r="BK73" i="34" s="1"/>
  <c r="BJ66" i="34"/>
  <c r="BJ73" i="34" s="1"/>
  <c r="BI66" i="34"/>
  <c r="BI73" i="34" s="1"/>
  <c r="BH66" i="34"/>
  <c r="BH73" i="34" s="1"/>
  <c r="BG66" i="34"/>
  <c r="BG73" i="34" s="1"/>
  <c r="BF66" i="34"/>
  <c r="BF73" i="34" s="1"/>
  <c r="BE66" i="34"/>
  <c r="BE73" i="34" s="1"/>
  <c r="BD66" i="34"/>
  <c r="BD73" i="34" s="1"/>
  <c r="BC66" i="34"/>
  <c r="BC73" i="34" s="1"/>
  <c r="BB66" i="34"/>
  <c r="BB73" i="34" s="1"/>
  <c r="BA66" i="34"/>
  <c r="BA73" i="34" s="1"/>
  <c r="AZ66" i="34"/>
  <c r="AZ73" i="34" s="1"/>
  <c r="AI66" i="34"/>
  <c r="AH66" i="34"/>
  <c r="AG65" i="34"/>
  <c r="AF65" i="34"/>
  <c r="AE65" i="34"/>
  <c r="AD65" i="34"/>
  <c r="AC65" i="34"/>
  <c r="AB65" i="34"/>
  <c r="BG17" i="34" s="1"/>
  <c r="BF17" i="34"/>
  <c r="BA17" i="34"/>
  <c r="R65" i="34"/>
  <c r="AZ17" i="34" s="1"/>
  <c r="Q65" i="34"/>
  <c r="AY17" i="34" s="1"/>
  <c r="P65" i="34"/>
  <c r="AX17" i="34" s="1"/>
  <c r="O65" i="34"/>
  <c r="N65" i="34"/>
  <c r="M65" i="34"/>
  <c r="L65" i="34"/>
  <c r="K65" i="34"/>
  <c r="J65" i="34"/>
  <c r="I65" i="34"/>
  <c r="H65" i="34"/>
  <c r="G65" i="34"/>
  <c r="AR17" i="34" s="1"/>
  <c r="F65" i="34"/>
  <c r="AQ17" i="34" s="1"/>
  <c r="E65" i="34"/>
  <c r="AO17" i="34"/>
  <c r="AN17" i="34"/>
  <c r="AM17" i="34"/>
  <c r="AI64" i="34"/>
  <c r="AH64" i="34"/>
  <c r="AI63" i="34"/>
  <c r="AH63" i="34"/>
  <c r="AI62" i="34"/>
  <c r="AH62" i="34"/>
  <c r="AG61" i="34"/>
  <c r="AF61" i="34"/>
  <c r="AE61" i="34"/>
  <c r="AD61" i="34"/>
  <c r="AC61" i="34"/>
  <c r="AB61" i="34"/>
  <c r="W7" i="34"/>
  <c r="R61" i="34"/>
  <c r="Q61" i="34"/>
  <c r="AY16" i="34" s="1"/>
  <c r="P61" i="34"/>
  <c r="AX16" i="34" s="1"/>
  <c r="O61" i="34"/>
  <c r="N61" i="34"/>
  <c r="M61" i="34"/>
  <c r="L61" i="34"/>
  <c r="K61" i="34"/>
  <c r="AT16" i="34" s="1"/>
  <c r="J61" i="34"/>
  <c r="I61" i="34"/>
  <c r="H61" i="34"/>
  <c r="G61" i="34"/>
  <c r="F61" i="34"/>
  <c r="E61" i="34"/>
  <c r="AP16" i="34" s="1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W23" i="34"/>
  <c r="AI23" i="34"/>
  <c r="AH23" i="34"/>
  <c r="AI22" i="34"/>
  <c r="AH22" i="34"/>
  <c r="BJ21" i="34"/>
  <c r="BI21" i="34"/>
  <c r="BH21" i="34"/>
  <c r="BG21" i="34"/>
  <c r="BF21" i="34"/>
  <c r="BE21" i="34"/>
  <c r="BD21" i="34"/>
  <c r="BC21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AI21" i="34"/>
  <c r="AH21" i="34"/>
  <c r="BJ20" i="34"/>
  <c r="BE20" i="34"/>
  <c r="BD20" i="34"/>
  <c r="BC20" i="34"/>
  <c r="AW20" i="34"/>
  <c r="AV20" i="34"/>
  <c r="AU20" i="34"/>
  <c r="AR20" i="34"/>
  <c r="AQ20" i="34"/>
  <c r="AI20" i="34"/>
  <c r="AH20" i="34"/>
  <c r="BF19" i="34"/>
  <c r="BE19" i="34"/>
  <c r="BD19" i="34"/>
  <c r="BC19" i="34"/>
  <c r="AI19" i="34"/>
  <c r="AH19" i="34"/>
  <c r="BJ18" i="34"/>
  <c r="BI18" i="34"/>
  <c r="BH18" i="34"/>
  <c r="BE18" i="34"/>
  <c r="BD18" i="34"/>
  <c r="BA18" i="34"/>
  <c r="AX18" i="34"/>
  <c r="AW18" i="34"/>
  <c r="AV18" i="34"/>
  <c r="AQ18" i="34"/>
  <c r="AP18" i="34"/>
  <c r="AI18" i="34"/>
  <c r="AH18" i="34"/>
  <c r="BJ17" i="34"/>
  <c r="BI17" i="34"/>
  <c r="BH17" i="34"/>
  <c r="BE17" i="34"/>
  <c r="BD17" i="34"/>
  <c r="BC17" i="34"/>
  <c r="BB17" i="34"/>
  <c r="AW17" i="34"/>
  <c r="AV17" i="34"/>
  <c r="AU17" i="34"/>
  <c r="AT17" i="34"/>
  <c r="AS17" i="34"/>
  <c r="AP17" i="34"/>
  <c r="AI17" i="34"/>
  <c r="AH17" i="34"/>
  <c r="BJ16" i="34"/>
  <c r="BI16" i="34"/>
  <c r="BE16" i="34"/>
  <c r="BD16" i="34"/>
  <c r="BC16" i="34"/>
  <c r="BB16" i="34"/>
  <c r="AW16" i="34"/>
  <c r="AV16" i="34"/>
  <c r="AU16" i="34"/>
  <c r="AR16" i="34"/>
  <c r="AQ16" i="34"/>
  <c r="AO16" i="34"/>
  <c r="AN16" i="34"/>
  <c r="AM16" i="34"/>
  <c r="AI16" i="34"/>
  <c r="AH16" i="34"/>
  <c r="AI15" i="34"/>
  <c r="AH15" i="34"/>
  <c r="AI14" i="34"/>
  <c r="AH14" i="34"/>
  <c r="AI13" i="34"/>
  <c r="AH13" i="34"/>
  <c r="AL12" i="34"/>
  <c r="AI12" i="34"/>
  <c r="AH12" i="34"/>
  <c r="AI11" i="34"/>
  <c r="AH11" i="34"/>
  <c r="W5" i="34"/>
  <c r="V5" i="34"/>
  <c r="U5" i="34"/>
  <c r="T5" i="34"/>
  <c r="N5" i="34"/>
  <c r="L5" i="34"/>
  <c r="E5" i="34"/>
  <c r="D5" i="34"/>
  <c r="C5" i="34"/>
  <c r="K4" i="34"/>
  <c r="E4" i="34"/>
  <c r="H4" i="34" s="1"/>
  <c r="B4" i="34"/>
  <c r="D261" i="34" s="1"/>
  <c r="AG3" i="34"/>
  <c r="AG2" i="34"/>
  <c r="AG6" i="34" s="1"/>
  <c r="AF61" i="33"/>
  <c r="AF65" i="33"/>
  <c r="AF79" i="33"/>
  <c r="AF83" i="33"/>
  <c r="AF95" i="33"/>
  <c r="AF104" i="33"/>
  <c r="AF105" i="33"/>
  <c r="AF106" i="33"/>
  <c r="AF107" i="33"/>
  <c r="AF108" i="33"/>
  <c r="AF109" i="33"/>
  <c r="AF121" i="33"/>
  <c r="AE61" i="33"/>
  <c r="AE65" i="33"/>
  <c r="AE79" i="33"/>
  <c r="AE83" i="33"/>
  <c r="AE95" i="33"/>
  <c r="AE104" i="33"/>
  <c r="AE105" i="33"/>
  <c r="AE106" i="33"/>
  <c r="AE107" i="33"/>
  <c r="AE108" i="33"/>
  <c r="AE109" i="33"/>
  <c r="AE121" i="33"/>
  <c r="AA121" i="33"/>
  <c r="AA109" i="33"/>
  <c r="AA108" i="33"/>
  <c r="AA107" i="33"/>
  <c r="AA106" i="33"/>
  <c r="AA105" i="33"/>
  <c r="AA104" i="33"/>
  <c r="AA110" i="33" s="1"/>
  <c r="AA95" i="33"/>
  <c r="AA83" i="33"/>
  <c r="AA79" i="33"/>
  <c r="AA65" i="33"/>
  <c r="AA61" i="33"/>
  <c r="Z61" i="33"/>
  <c r="Z65" i="33"/>
  <c r="Z79" i="33"/>
  <c r="Z83" i="33"/>
  <c r="Z95" i="33"/>
  <c r="Z104" i="33"/>
  <c r="Z110" i="33" s="1"/>
  <c r="Z105" i="33"/>
  <c r="Z106" i="33"/>
  <c r="Z107" i="33"/>
  <c r="Z108" i="33"/>
  <c r="Z109" i="33"/>
  <c r="Z121" i="33"/>
  <c r="L121" i="35" l="1"/>
  <c r="M249" i="35"/>
  <c r="J250" i="35"/>
  <c r="I255" i="35"/>
  <c r="BJ19" i="34"/>
  <c r="BJ22" i="34" s="1"/>
  <c r="AF100" i="34"/>
  <c r="AF102" i="34" s="1"/>
  <c r="AE111" i="34"/>
  <c r="AE110" i="34"/>
  <c r="BI23" i="34" s="1"/>
  <c r="BI19" i="34"/>
  <c r="AD5" i="34"/>
  <c r="BI22" i="34"/>
  <c r="BI24" i="34" s="1"/>
  <c r="AE100" i="34"/>
  <c r="AE102" i="34" s="1"/>
  <c r="AE103" i="34" s="1"/>
  <c r="AE7" i="34" s="1"/>
  <c r="BH19" i="34"/>
  <c r="AD100" i="34"/>
  <c r="AD102" i="34" s="1"/>
  <c r="BH16" i="34"/>
  <c r="AB110" i="34"/>
  <c r="BG23" i="34" s="1"/>
  <c r="R110" i="34"/>
  <c r="AZ23" i="34" s="1"/>
  <c r="AI109" i="34"/>
  <c r="Q110" i="34"/>
  <c r="AY23" i="34" s="1"/>
  <c r="AY22" i="34"/>
  <c r="AY24" i="34" s="1"/>
  <c r="AI107" i="34"/>
  <c r="O5" i="34"/>
  <c r="O100" i="34"/>
  <c r="O102" i="34" s="1"/>
  <c r="O103" i="34" s="1"/>
  <c r="O7" i="34" s="1"/>
  <c r="AX22" i="34"/>
  <c r="P100" i="34"/>
  <c r="P102" i="34" s="1"/>
  <c r="AW19" i="34"/>
  <c r="AW22" i="34"/>
  <c r="AW24" i="34" s="1"/>
  <c r="AV22" i="34"/>
  <c r="N100" i="34"/>
  <c r="N102" i="34" s="1"/>
  <c r="M5" i="34"/>
  <c r="L110" i="34"/>
  <c r="L111" i="34" s="1"/>
  <c r="J100" i="34"/>
  <c r="J102" i="34" s="1"/>
  <c r="J103" i="34" s="1"/>
  <c r="J7" i="34" s="1"/>
  <c r="AI79" i="34"/>
  <c r="AH83" i="34"/>
  <c r="AI108" i="34"/>
  <c r="G110" i="34"/>
  <c r="AR23" i="34" s="1"/>
  <c r="F5" i="34"/>
  <c r="AP20" i="34"/>
  <c r="AR22" i="34"/>
  <c r="AR24" i="34" s="1"/>
  <c r="G100" i="34"/>
  <c r="G102" i="34" s="1"/>
  <c r="G103" i="34" s="1"/>
  <c r="G7" i="34" s="1"/>
  <c r="F100" i="34"/>
  <c r="F102" i="34" s="1"/>
  <c r="H100" i="34"/>
  <c r="H102" i="34" s="1"/>
  <c r="AQ22" i="34"/>
  <c r="AP22" i="34"/>
  <c r="B100" i="34"/>
  <c r="B102" i="34" s="1"/>
  <c r="B103" i="34" s="1"/>
  <c r="B111" i="34"/>
  <c r="AH107" i="34"/>
  <c r="AL13" i="34"/>
  <c r="I111" i="34"/>
  <c r="AH65" i="34"/>
  <c r="AI83" i="34"/>
  <c r="AA5" i="34"/>
  <c r="BG19" i="34"/>
  <c r="D7" i="34"/>
  <c r="L100" i="34"/>
  <c r="L102" i="34" s="1"/>
  <c r="T7" i="34"/>
  <c r="AB100" i="34"/>
  <c r="AB102" i="34" s="1"/>
  <c r="BG16" i="34"/>
  <c r="R100" i="34"/>
  <c r="R102" i="34" s="1"/>
  <c r="R103" i="34" s="1"/>
  <c r="R7" i="34" s="1"/>
  <c r="AZ16" i="34"/>
  <c r="AI65" i="34"/>
  <c r="V7" i="34"/>
  <c r="AH104" i="34"/>
  <c r="D255" i="34"/>
  <c r="BD22" i="34"/>
  <c r="AO19" i="34"/>
  <c r="AO22" i="34" s="1"/>
  <c r="AO24" i="34" s="1"/>
  <c r="Q100" i="34"/>
  <c r="Q102" i="34" s="1"/>
  <c r="Q103" i="34" s="1"/>
  <c r="Q7" i="34" s="1"/>
  <c r="AM23" i="34"/>
  <c r="AI104" i="34"/>
  <c r="K110" i="34"/>
  <c r="AT23" i="34" s="1"/>
  <c r="E249" i="34"/>
  <c r="Z7" i="34"/>
  <c r="BF16" i="34"/>
  <c r="BF22" i="34" s="1"/>
  <c r="BF24" i="34" s="1"/>
  <c r="AT19" i="34"/>
  <c r="AT22" i="34" s="1"/>
  <c r="AI95" i="34"/>
  <c r="C7" i="34"/>
  <c r="S7" i="34"/>
  <c r="BA16" i="34"/>
  <c r="BA22" i="34" s="1"/>
  <c r="BA24" i="34" s="1"/>
  <c r="BB19" i="34"/>
  <c r="R5" i="34"/>
  <c r="BC22" i="34"/>
  <c r="AN19" i="34"/>
  <c r="AN22" i="34" s="1"/>
  <c r="AN24" i="34" s="1"/>
  <c r="K5" i="34"/>
  <c r="BE22" i="34"/>
  <c r="H5" i="34"/>
  <c r="AS19" i="34"/>
  <c r="Q111" i="34"/>
  <c r="P5" i="34"/>
  <c r="AI105" i="34"/>
  <c r="AI106" i="34"/>
  <c r="AH61" i="34"/>
  <c r="Z5" i="34"/>
  <c r="K100" i="34"/>
  <c r="K102" i="34" s="1"/>
  <c r="AI61" i="34"/>
  <c r="BB22" i="34"/>
  <c r="BB24" i="34" s="1"/>
  <c r="BG82" i="34" a="1"/>
  <c r="AH79" i="34"/>
  <c r="AM18" i="34"/>
  <c r="AU22" i="34"/>
  <c r="AU24" i="34" s="1"/>
  <c r="I100" i="34"/>
  <c r="I102" i="34" s="1"/>
  <c r="I103" i="34" s="1"/>
  <c r="I7" i="34" s="1"/>
  <c r="AS16" i="34"/>
  <c r="AS22" i="34" s="1"/>
  <c r="AS24" i="34" s="1"/>
  <c r="AM19" i="34"/>
  <c r="AF5" i="34"/>
  <c r="I5" i="34"/>
  <c r="J111" i="34"/>
  <c r="Q5" i="34"/>
  <c r="AZ19" i="34"/>
  <c r="Y5" i="34"/>
  <c r="AH95" i="34"/>
  <c r="AG102" i="34"/>
  <c r="E100" i="34"/>
  <c r="E102" i="34" s="1"/>
  <c r="M100" i="34"/>
  <c r="M102" i="34" s="1"/>
  <c r="U7" i="34"/>
  <c r="AC100" i="34"/>
  <c r="AC102" i="34" s="1"/>
  <c r="E110" i="34"/>
  <c r="AP23" i="34" s="1"/>
  <c r="AP24" i="34" s="1"/>
  <c r="M110" i="34"/>
  <c r="AU23" i="34" s="1"/>
  <c r="BC23" i="34"/>
  <c r="AC110" i="34"/>
  <c r="AC111" i="34" s="1"/>
  <c r="F110" i="34"/>
  <c r="AQ23" i="34" s="1"/>
  <c r="N110" i="34"/>
  <c r="AV23" i="34" s="1"/>
  <c r="BD23" i="34"/>
  <c r="AD110" i="34"/>
  <c r="BH23" i="34" s="1"/>
  <c r="H110" i="34"/>
  <c r="H111" i="34" s="1"/>
  <c r="P110" i="34"/>
  <c r="AF110" i="34"/>
  <c r="AH109" i="34"/>
  <c r="AH106" i="34"/>
  <c r="AH108" i="34"/>
  <c r="AF110" i="33"/>
  <c r="AF111" i="33" s="1"/>
  <c r="AF100" i="33"/>
  <c r="AF102" i="33" s="1"/>
  <c r="AE110" i="33"/>
  <c r="AE111" i="33" s="1"/>
  <c r="AE100" i="33"/>
  <c r="AE102" i="33" s="1"/>
  <c r="AE103" i="33" s="1"/>
  <c r="AA100" i="33"/>
  <c r="AA102" i="33" s="1"/>
  <c r="AA103" i="33" s="1"/>
  <c r="AA111" i="33"/>
  <c r="Z111" i="33"/>
  <c r="Z100" i="33"/>
  <c r="Z102" i="33" s="1"/>
  <c r="Z103" i="33" s="1"/>
  <c r="Y61" i="33"/>
  <c r="Y65" i="33"/>
  <c r="Y79" i="33"/>
  <c r="Y83" i="33"/>
  <c r="Y95" i="33"/>
  <c r="Y104" i="33"/>
  <c r="Y105" i="33"/>
  <c r="Y106" i="33"/>
  <c r="Y107" i="33"/>
  <c r="Y108" i="33"/>
  <c r="Y109" i="33"/>
  <c r="Y121" i="33"/>
  <c r="X61" i="33"/>
  <c r="X65" i="33"/>
  <c r="X79" i="33"/>
  <c r="X83" i="33"/>
  <c r="X95" i="33"/>
  <c r="X104" i="33"/>
  <c r="X105" i="33"/>
  <c r="X106" i="33"/>
  <c r="X107" i="33"/>
  <c r="X108" i="33"/>
  <c r="X109" i="33"/>
  <c r="X121" i="33"/>
  <c r="W61" i="33"/>
  <c r="W65" i="33"/>
  <c r="W79" i="33"/>
  <c r="W83" i="33"/>
  <c r="W95" i="33"/>
  <c r="W104" i="33"/>
  <c r="W105" i="33"/>
  <c r="W106" i="33"/>
  <c r="W107" i="33"/>
  <c r="W108" i="33"/>
  <c r="W109" i="33"/>
  <c r="W121" i="33"/>
  <c r="V60" i="33"/>
  <c r="V61" i="33"/>
  <c r="V65" i="33"/>
  <c r="V79" i="33"/>
  <c r="V83" i="33"/>
  <c r="V95" i="33"/>
  <c r="V104" i="33"/>
  <c r="V105" i="33"/>
  <c r="V106" i="33"/>
  <c r="V107" i="33"/>
  <c r="V108" i="33"/>
  <c r="V109" i="33"/>
  <c r="V121" i="33"/>
  <c r="K250" i="35" l="1"/>
  <c r="J255" i="35"/>
  <c r="N249" i="35"/>
  <c r="M121" i="35"/>
  <c r="AF103" i="34"/>
  <c r="AF7" i="34" s="1"/>
  <c r="BH22" i="34"/>
  <c r="BH24" i="34" s="1"/>
  <c r="AD103" i="34"/>
  <c r="AD7" i="34" s="1"/>
  <c r="AC103" i="34"/>
  <c r="AC7" i="34" s="1"/>
  <c r="AB103" i="34"/>
  <c r="AB7" i="34" s="1"/>
  <c r="AB111" i="34"/>
  <c r="BC24" i="34"/>
  <c r="R111" i="34"/>
  <c r="N103" i="34"/>
  <c r="N7" i="34" s="1"/>
  <c r="AV24" i="34"/>
  <c r="N111" i="34"/>
  <c r="M111" i="34"/>
  <c r="L103" i="34"/>
  <c r="L7" i="34" s="1"/>
  <c r="AT24" i="34"/>
  <c r="K103" i="34"/>
  <c r="K7" i="34" s="1"/>
  <c r="K111" i="34"/>
  <c r="G111" i="34"/>
  <c r="F111" i="34"/>
  <c r="E111" i="34"/>
  <c r="E103" i="34"/>
  <c r="E7" i="34" s="1"/>
  <c r="AQ24" i="34"/>
  <c r="AH100" i="34"/>
  <c r="AM22" i="34"/>
  <c r="AM24" i="34" s="1"/>
  <c r="BG22" i="34"/>
  <c r="BG24" i="34" s="1"/>
  <c r="P111" i="34"/>
  <c r="AX23" i="34"/>
  <c r="AX24" i="34" s="1"/>
  <c r="AI110" i="34"/>
  <c r="B259" i="34"/>
  <c r="AA7" i="34"/>
  <c r="F249" i="34"/>
  <c r="E255" i="34"/>
  <c r="E121" i="34"/>
  <c r="C259" i="34"/>
  <c r="M103" i="34"/>
  <c r="M7" i="34" s="1"/>
  <c r="P103" i="34"/>
  <c r="P7" i="34" s="1"/>
  <c r="AF111" i="34"/>
  <c r="BJ23" i="34"/>
  <c r="BJ24" i="34" s="1"/>
  <c r="AD111" i="34"/>
  <c r="AH110" i="34"/>
  <c r="BD24" i="34"/>
  <c r="AZ22" i="34"/>
  <c r="AZ24" i="34" s="1"/>
  <c r="H103" i="34"/>
  <c r="H7" i="34" s="1"/>
  <c r="AI100" i="34"/>
  <c r="BE23" i="34"/>
  <c r="BE24" i="34" s="1"/>
  <c r="X7" i="34"/>
  <c r="BK105" i="34"/>
  <c r="BI104" i="34"/>
  <c r="BG103" i="34"/>
  <c r="BK101" i="34"/>
  <c r="BI100" i="34"/>
  <c r="BG99" i="34"/>
  <c r="BK97" i="34"/>
  <c r="BI96" i="34"/>
  <c r="BG95" i="34"/>
  <c r="BK93" i="34"/>
  <c r="BI92" i="34"/>
  <c r="BG91" i="34"/>
  <c r="BK89" i="34"/>
  <c r="BI88" i="34"/>
  <c r="BG87" i="34"/>
  <c r="BK85" i="34"/>
  <c r="BI84" i="34"/>
  <c r="BG83" i="34"/>
  <c r="BJ105" i="34"/>
  <c r="BH104" i="34"/>
  <c r="BL102" i="34"/>
  <c r="BJ101" i="34"/>
  <c r="BH100" i="34"/>
  <c r="BL98" i="34"/>
  <c r="BJ97" i="34"/>
  <c r="BH96" i="34"/>
  <c r="BL94" i="34"/>
  <c r="BJ93" i="34"/>
  <c r="BH92" i="34"/>
  <c r="BL90" i="34"/>
  <c r="BJ89" i="34"/>
  <c r="BH88" i="34"/>
  <c r="BL86" i="34"/>
  <c r="BJ85" i="34"/>
  <c r="BH84" i="34"/>
  <c r="BL82" i="34"/>
  <c r="BI105" i="34"/>
  <c r="BH105" i="34"/>
  <c r="BL103" i="34"/>
  <c r="BJ102" i="34"/>
  <c r="BH101" i="34"/>
  <c r="BL99" i="34"/>
  <c r="BJ98" i="34"/>
  <c r="BH97" i="34"/>
  <c r="BL95" i="34"/>
  <c r="BJ94" i="34"/>
  <c r="BH93" i="34"/>
  <c r="BL91" i="34"/>
  <c r="BJ90" i="34"/>
  <c r="BH89" i="34"/>
  <c r="BL87" i="34"/>
  <c r="BJ86" i="34"/>
  <c r="BH85" i="34"/>
  <c r="BL83" i="34"/>
  <c r="BJ82" i="34"/>
  <c r="BG105" i="34"/>
  <c r="BH103" i="34"/>
  <c r="BL100" i="34"/>
  <c r="BK98" i="34"/>
  <c r="BK96" i="34"/>
  <c r="BI94" i="34"/>
  <c r="BJ92" i="34"/>
  <c r="BH90" i="34"/>
  <c r="BG88" i="34"/>
  <c r="BG86" i="34"/>
  <c r="BK83" i="34"/>
  <c r="BL104" i="34"/>
  <c r="BK102" i="34"/>
  <c r="BK100" i="34"/>
  <c r="BI98" i="34"/>
  <c r="BJ96" i="34"/>
  <c r="BH94" i="34"/>
  <c r="BG92" i="34"/>
  <c r="BG90" i="34"/>
  <c r="BK87" i="34"/>
  <c r="BL85" i="34"/>
  <c r="BJ83" i="34"/>
  <c r="BK104" i="34"/>
  <c r="BI102" i="34"/>
  <c r="BJ100" i="34"/>
  <c r="BH98" i="34"/>
  <c r="BG96" i="34"/>
  <c r="BG94" i="34"/>
  <c r="BK91" i="34"/>
  <c r="BL89" i="34"/>
  <c r="BJ87" i="34"/>
  <c r="BI85" i="34"/>
  <c r="BI83" i="34"/>
  <c r="BJ104" i="34"/>
  <c r="BH102" i="34"/>
  <c r="BG100" i="34"/>
  <c r="BG98" i="34"/>
  <c r="BK95" i="34"/>
  <c r="BL93" i="34"/>
  <c r="BJ91" i="34"/>
  <c r="BI89" i="34"/>
  <c r="BI87" i="34"/>
  <c r="BG85" i="34"/>
  <c r="BH83" i="34"/>
  <c r="BI101" i="34"/>
  <c r="BG97" i="34"/>
  <c r="BL92" i="34"/>
  <c r="BK88" i="34"/>
  <c r="BJ84" i="34"/>
  <c r="BK86" i="34"/>
  <c r="BI86" i="34"/>
  <c r="BG102" i="34"/>
  <c r="BL84" i="34"/>
  <c r="BL105" i="34"/>
  <c r="BG101" i="34"/>
  <c r="BL96" i="34"/>
  <c r="BK92" i="34"/>
  <c r="BJ88" i="34"/>
  <c r="BG84" i="34"/>
  <c r="BI95" i="34"/>
  <c r="BL97" i="34"/>
  <c r="BG89" i="34"/>
  <c r="BL101" i="34"/>
  <c r="BI97" i="34"/>
  <c r="BK84" i="34"/>
  <c r="BG104" i="34"/>
  <c r="BK99" i="34"/>
  <c r="BJ95" i="34"/>
  <c r="BI91" i="34"/>
  <c r="BH87" i="34"/>
  <c r="BK82" i="34"/>
  <c r="BK103" i="34"/>
  <c r="BJ99" i="34"/>
  <c r="BH91" i="34"/>
  <c r="BI82" i="34"/>
  <c r="BJ103" i="34"/>
  <c r="BI99" i="34"/>
  <c r="BH95" i="34"/>
  <c r="BK90" i="34"/>
  <c r="BH82" i="34"/>
  <c r="BI93" i="34"/>
  <c r="BG93" i="34"/>
  <c r="BI103" i="34"/>
  <c r="BH99" i="34"/>
  <c r="BK94" i="34"/>
  <c r="BI90" i="34"/>
  <c r="BH86" i="34"/>
  <c r="BG82" i="34"/>
  <c r="BL88" i="34"/>
  <c r="F103" i="34"/>
  <c r="F7" i="34" s="1"/>
  <c r="AI102" i="34"/>
  <c r="AH102" i="34"/>
  <c r="AF103" i="33"/>
  <c r="Y100" i="33"/>
  <c r="Y102" i="33" s="1"/>
  <c r="Y110" i="33"/>
  <c r="X110" i="33"/>
  <c r="X111" i="33" s="1"/>
  <c r="X100" i="33"/>
  <c r="X102" i="33" s="1"/>
  <c r="X103" i="33" s="1"/>
  <c r="W110" i="33"/>
  <c r="W111" i="33" s="1"/>
  <c r="W100" i="33"/>
  <c r="W102" i="33" s="1"/>
  <c r="W103" i="33" s="1"/>
  <c r="V110" i="33"/>
  <c r="V111" i="33" s="1"/>
  <c r="V100" i="33"/>
  <c r="V102" i="33" s="1"/>
  <c r="V103" i="33" s="1"/>
  <c r="U60" i="33"/>
  <c r="U61" i="33"/>
  <c r="U65" i="33"/>
  <c r="U79" i="33"/>
  <c r="U83" i="33"/>
  <c r="U95" i="33"/>
  <c r="U104" i="33"/>
  <c r="U105" i="33"/>
  <c r="U106" i="33"/>
  <c r="U107" i="33"/>
  <c r="U108" i="33"/>
  <c r="U109" i="33"/>
  <c r="U121" i="33"/>
  <c r="T60" i="33"/>
  <c r="T61" i="33"/>
  <c r="T65" i="33"/>
  <c r="T79" i="33"/>
  <c r="T83" i="33"/>
  <c r="T95" i="33"/>
  <c r="T104" i="33"/>
  <c r="T105" i="33"/>
  <c r="T106" i="33"/>
  <c r="T107" i="33"/>
  <c r="T108" i="33"/>
  <c r="T109" i="33"/>
  <c r="T121" i="33"/>
  <c r="R60" i="33"/>
  <c r="S60" i="33"/>
  <c r="R61" i="33"/>
  <c r="S61" i="33"/>
  <c r="R65" i="33"/>
  <c r="S65" i="33"/>
  <c r="Q60" i="33"/>
  <c r="O249" i="35" l="1"/>
  <c r="N121" i="35"/>
  <c r="L250" i="35"/>
  <c r="K255" i="35"/>
  <c r="AI111" i="34"/>
  <c r="AH111" i="34"/>
  <c r="AH103" i="34"/>
  <c r="AI103" i="34"/>
  <c r="B7" i="34"/>
  <c r="A7" i="34" s="1"/>
  <c r="AT9" i="34"/>
  <c r="G249" i="34"/>
  <c r="F121" i="34"/>
  <c r="F255" i="34"/>
  <c r="AT8" i="34"/>
  <c r="K6" i="34"/>
  <c r="U110" i="33"/>
  <c r="U111" i="33" s="1"/>
  <c r="Y103" i="33"/>
  <c r="Y111" i="33"/>
  <c r="U100" i="33"/>
  <c r="U102" i="33" s="1"/>
  <c r="T110" i="33"/>
  <c r="T111" i="33" s="1"/>
  <c r="T100" i="33"/>
  <c r="T102" i="33" s="1"/>
  <c r="P60" i="33"/>
  <c r="M250" i="35" l="1"/>
  <c r="L255" i="35"/>
  <c r="P249" i="35"/>
  <c r="O121" i="35"/>
  <c r="H249" i="34"/>
  <c r="G121" i="34"/>
  <c r="G255" i="34"/>
  <c r="U103" i="33"/>
  <c r="T103" i="33"/>
  <c r="N250" i="35" l="1"/>
  <c r="M255" i="35"/>
  <c r="Q249" i="35"/>
  <c r="I249" i="34"/>
  <c r="H121" i="34"/>
  <c r="H255" i="34"/>
  <c r="G61" i="33"/>
  <c r="G65" i="33"/>
  <c r="G79" i="33"/>
  <c r="G83" i="33"/>
  <c r="O250" i="35" l="1"/>
  <c r="N255" i="35"/>
  <c r="Q121" i="35"/>
  <c r="R249" i="35"/>
  <c r="I255" i="34"/>
  <c r="I121" i="34"/>
  <c r="J249" i="34"/>
  <c r="D61" i="33"/>
  <c r="D65" i="33"/>
  <c r="D79" i="33"/>
  <c r="D83" i="33"/>
  <c r="AO20" i="33" s="1"/>
  <c r="D95" i="33"/>
  <c r="D100" i="33" s="1"/>
  <c r="D102" i="33" s="1"/>
  <c r="D104" i="33"/>
  <c r="D105" i="33"/>
  <c r="D106" i="33"/>
  <c r="D107" i="33"/>
  <c r="D108" i="33"/>
  <c r="D109" i="33"/>
  <c r="D121" i="33"/>
  <c r="C61" i="33"/>
  <c r="AN16" i="33" s="1"/>
  <c r="C65" i="33"/>
  <c r="C79" i="33"/>
  <c r="AN18" i="33" s="1"/>
  <c r="C83" i="33"/>
  <c r="C95" i="33"/>
  <c r="C104" i="33"/>
  <c r="C105" i="33"/>
  <c r="C106" i="33"/>
  <c r="C107" i="33"/>
  <c r="C108" i="33"/>
  <c r="C109" i="33"/>
  <c r="C121" i="33"/>
  <c r="B121" i="33"/>
  <c r="B109" i="33"/>
  <c r="B108" i="33"/>
  <c r="B107" i="33"/>
  <c r="B106" i="33"/>
  <c r="B105" i="33"/>
  <c r="B104" i="33"/>
  <c r="B110" i="33" s="1"/>
  <c r="B95" i="33"/>
  <c r="AF5" i="33" s="1"/>
  <c r="B83" i="33"/>
  <c r="B79" i="33"/>
  <c r="B65" i="33"/>
  <c r="B61" i="33"/>
  <c r="AG255" i="33"/>
  <c r="C255" i="33"/>
  <c r="M254" i="33"/>
  <c r="N254" i="33" s="1"/>
  <c r="O254" i="33" s="1"/>
  <c r="P254" i="33" s="1"/>
  <c r="Q254" i="33" s="1"/>
  <c r="R254" i="33" s="1"/>
  <c r="S254" i="33" s="1"/>
  <c r="T254" i="33" s="1"/>
  <c r="U254" i="33" s="1"/>
  <c r="V254" i="33" s="1"/>
  <c r="W254" i="33" s="1"/>
  <c r="X254" i="33" s="1"/>
  <c r="Y254" i="33" s="1"/>
  <c r="Z254" i="33" s="1"/>
  <c r="AA254" i="33" s="1"/>
  <c r="AB254" i="33" s="1"/>
  <c r="AC254" i="33" s="1"/>
  <c r="AD254" i="33" s="1"/>
  <c r="AE254" i="33" s="1"/>
  <c r="AF254" i="33" s="1"/>
  <c r="B254" i="33" s="1"/>
  <c r="L254" i="33"/>
  <c r="E254" i="33"/>
  <c r="F254" i="33" s="1"/>
  <c r="G254" i="33" s="1"/>
  <c r="H254" i="33" s="1"/>
  <c r="I254" i="33" s="1"/>
  <c r="J254" i="33" s="1"/>
  <c r="K254" i="33" s="1"/>
  <c r="D254" i="33"/>
  <c r="K253" i="33"/>
  <c r="L253" i="33" s="1"/>
  <c r="M253" i="33" s="1"/>
  <c r="N253" i="33" s="1"/>
  <c r="O253" i="33" s="1"/>
  <c r="P253" i="33" s="1"/>
  <c r="Q253" i="33" s="1"/>
  <c r="R253" i="33" s="1"/>
  <c r="S253" i="33" s="1"/>
  <c r="T253" i="33" s="1"/>
  <c r="U253" i="33" s="1"/>
  <c r="V253" i="33" s="1"/>
  <c r="W253" i="33" s="1"/>
  <c r="X253" i="33" s="1"/>
  <c r="Y253" i="33" s="1"/>
  <c r="Z253" i="33" s="1"/>
  <c r="AA253" i="33" s="1"/>
  <c r="AB253" i="33" s="1"/>
  <c r="AC253" i="33" s="1"/>
  <c r="AD253" i="33" s="1"/>
  <c r="AE253" i="33" s="1"/>
  <c r="AF253" i="33" s="1"/>
  <c r="B253" i="33" s="1"/>
  <c r="J253" i="33"/>
  <c r="E253" i="33"/>
  <c r="F253" i="33" s="1"/>
  <c r="G253" i="33" s="1"/>
  <c r="H253" i="33" s="1"/>
  <c r="I253" i="33" s="1"/>
  <c r="D253" i="33"/>
  <c r="H252" i="33"/>
  <c r="I252" i="33" s="1"/>
  <c r="J252" i="33" s="1"/>
  <c r="K252" i="33" s="1"/>
  <c r="L252" i="33" s="1"/>
  <c r="M252" i="33" s="1"/>
  <c r="N252" i="33" s="1"/>
  <c r="O252" i="33" s="1"/>
  <c r="P252" i="33" s="1"/>
  <c r="Q252" i="33" s="1"/>
  <c r="R252" i="33" s="1"/>
  <c r="S252" i="33" s="1"/>
  <c r="T252" i="33" s="1"/>
  <c r="U252" i="33" s="1"/>
  <c r="V252" i="33" s="1"/>
  <c r="W252" i="33" s="1"/>
  <c r="X252" i="33" s="1"/>
  <c r="Y252" i="33" s="1"/>
  <c r="Z252" i="33" s="1"/>
  <c r="AA252" i="33" s="1"/>
  <c r="AB252" i="33" s="1"/>
  <c r="AC252" i="33" s="1"/>
  <c r="AD252" i="33" s="1"/>
  <c r="AE252" i="33" s="1"/>
  <c r="AF252" i="33" s="1"/>
  <c r="B252" i="33" s="1"/>
  <c r="D252" i="33"/>
  <c r="E252" i="33" s="1"/>
  <c r="F252" i="33" s="1"/>
  <c r="G252" i="33" s="1"/>
  <c r="G251" i="33"/>
  <c r="H251" i="33" s="1"/>
  <c r="I251" i="33" s="1"/>
  <c r="J251" i="33" s="1"/>
  <c r="K251" i="33" s="1"/>
  <c r="L251" i="33" s="1"/>
  <c r="M251" i="33" s="1"/>
  <c r="N251" i="33" s="1"/>
  <c r="O251" i="33" s="1"/>
  <c r="P251" i="33" s="1"/>
  <c r="Q251" i="33" s="1"/>
  <c r="R251" i="33" s="1"/>
  <c r="S251" i="33" s="1"/>
  <c r="T251" i="33" s="1"/>
  <c r="U251" i="33" s="1"/>
  <c r="V251" i="33" s="1"/>
  <c r="W251" i="33" s="1"/>
  <c r="X251" i="33" s="1"/>
  <c r="Y251" i="33" s="1"/>
  <c r="Z251" i="33" s="1"/>
  <c r="AA251" i="33" s="1"/>
  <c r="AB251" i="33" s="1"/>
  <c r="AC251" i="33" s="1"/>
  <c r="AD251" i="33" s="1"/>
  <c r="AE251" i="33" s="1"/>
  <c r="AF251" i="33" s="1"/>
  <c r="B251" i="33" s="1"/>
  <c r="F251" i="33"/>
  <c r="E251" i="33"/>
  <c r="D251" i="33"/>
  <c r="D250" i="33"/>
  <c r="D255" i="33" s="1"/>
  <c r="E249" i="33"/>
  <c r="F249" i="33" s="1"/>
  <c r="G249" i="33" s="1"/>
  <c r="D249" i="33"/>
  <c r="AG247" i="33"/>
  <c r="AF247" i="33"/>
  <c r="AE247" i="33"/>
  <c r="AD247" i="33"/>
  <c r="AC247" i="33"/>
  <c r="AB247" i="33"/>
  <c r="AA247" i="33"/>
  <c r="Z247" i="33"/>
  <c r="Y247" i="33"/>
  <c r="X247" i="33"/>
  <c r="W247" i="33"/>
  <c r="V247" i="33"/>
  <c r="U247" i="33"/>
  <c r="T247" i="33"/>
  <c r="S247" i="33"/>
  <c r="R247" i="33"/>
  <c r="Q247" i="33"/>
  <c r="P247" i="33"/>
  <c r="O247" i="33"/>
  <c r="N247" i="33"/>
  <c r="M247" i="33"/>
  <c r="L247" i="33"/>
  <c r="K247" i="33"/>
  <c r="J247" i="33"/>
  <c r="I247" i="33"/>
  <c r="H247" i="33"/>
  <c r="G247" i="33"/>
  <c r="F247" i="33"/>
  <c r="E247" i="33"/>
  <c r="D247" i="33"/>
  <c r="C247" i="33"/>
  <c r="B247" i="33"/>
  <c r="AI133" i="33"/>
  <c r="AH133" i="33"/>
  <c r="AI132" i="33"/>
  <c r="AH132" i="33"/>
  <c r="AI131" i="33"/>
  <c r="AH131" i="33"/>
  <c r="AI130" i="33"/>
  <c r="AH130" i="33"/>
  <c r="AI129" i="33"/>
  <c r="AH129" i="33"/>
  <c r="AI126" i="33"/>
  <c r="AH126" i="33"/>
  <c r="AI125" i="33"/>
  <c r="AH125" i="33"/>
  <c r="AI124" i="33"/>
  <c r="AH124" i="33"/>
  <c r="AI123" i="33"/>
  <c r="AH123" i="33"/>
  <c r="AI122" i="33"/>
  <c r="AH122" i="33"/>
  <c r="F121" i="33"/>
  <c r="E121" i="33"/>
  <c r="AI120" i="33"/>
  <c r="AH120" i="33"/>
  <c r="AI119" i="33"/>
  <c r="AH119" i="33"/>
  <c r="AI118" i="33"/>
  <c r="AH118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BF23" i="33"/>
  <c r="AD109" i="33"/>
  <c r="AC109" i="33"/>
  <c r="AB109" i="33"/>
  <c r="S109" i="33"/>
  <c r="R109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AD108" i="33"/>
  <c r="AC108" i="33"/>
  <c r="AB108" i="33"/>
  <c r="S108" i="33"/>
  <c r="R108" i="33"/>
  <c r="Q108" i="33"/>
  <c r="P108" i="33"/>
  <c r="O108" i="33"/>
  <c r="N108" i="33"/>
  <c r="M108" i="33"/>
  <c r="L108" i="33"/>
  <c r="K108" i="33"/>
  <c r="J108" i="33"/>
  <c r="I108" i="33"/>
  <c r="H108" i="33"/>
  <c r="G108" i="33"/>
  <c r="F108" i="33"/>
  <c r="E108" i="33"/>
  <c r="AD107" i="33"/>
  <c r="AC107" i="33"/>
  <c r="AB107" i="33"/>
  <c r="AB110" i="33" s="1"/>
  <c r="BG23" i="33" s="1"/>
  <c r="S107" i="33"/>
  <c r="R107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AD106" i="33"/>
  <c r="AC106" i="33"/>
  <c r="AB106" i="33"/>
  <c r="BC23" i="33"/>
  <c r="S106" i="33"/>
  <c r="R106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AD105" i="33"/>
  <c r="AC105" i="33"/>
  <c r="AB105" i="33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AD104" i="33"/>
  <c r="AC104" i="33"/>
  <c r="AB104" i="33"/>
  <c r="S104" i="33"/>
  <c r="R104" i="33"/>
  <c r="R110" i="33" s="1"/>
  <c r="AZ23" i="33" s="1"/>
  <c r="Q104" i="33"/>
  <c r="P104" i="33"/>
  <c r="O104" i="33"/>
  <c r="O110" i="33" s="1"/>
  <c r="AW23" i="33" s="1"/>
  <c r="N104" i="33"/>
  <c r="M104" i="33"/>
  <c r="L104" i="33"/>
  <c r="K104" i="33"/>
  <c r="J104" i="33"/>
  <c r="I104" i="33"/>
  <c r="H104" i="33"/>
  <c r="G104" i="33"/>
  <c r="F104" i="33"/>
  <c r="E104" i="33"/>
  <c r="AI101" i="33"/>
  <c r="AH101" i="33"/>
  <c r="Z7" i="33"/>
  <c r="AI99" i="33"/>
  <c r="AH99" i="33"/>
  <c r="AG99" i="33"/>
  <c r="AI98" i="33"/>
  <c r="AH98" i="33"/>
  <c r="AI97" i="33"/>
  <c r="AH97" i="33"/>
  <c r="AI96" i="33"/>
  <c r="AH96" i="33"/>
  <c r="AG95" i="33"/>
  <c r="AD95" i="33"/>
  <c r="AC5" i="33" s="1"/>
  <c r="AC95" i="33"/>
  <c r="AB5" i="33" s="1"/>
  <c r="AB95" i="33"/>
  <c r="S95" i="33"/>
  <c r="S100" i="33" s="1"/>
  <c r="S102" i="33" s="1"/>
  <c r="R95" i="33"/>
  <c r="R100" i="33" s="1"/>
  <c r="R102" i="33" s="1"/>
  <c r="Q95" i="33"/>
  <c r="AY19" i="33" s="1"/>
  <c r="P95" i="33"/>
  <c r="O5" i="33" s="1"/>
  <c r="O95" i="33"/>
  <c r="N95" i="33"/>
  <c r="M5" i="33" s="1"/>
  <c r="M95" i="33"/>
  <c r="L95" i="33"/>
  <c r="K95" i="33"/>
  <c r="AT19" i="33" s="1"/>
  <c r="J95" i="33"/>
  <c r="I5" i="33" s="1"/>
  <c r="I95" i="33"/>
  <c r="H5" i="33" s="1"/>
  <c r="H95" i="33"/>
  <c r="G95" i="33"/>
  <c r="F5" i="33" s="1"/>
  <c r="F95" i="33"/>
  <c r="AQ19" i="33" s="1"/>
  <c r="E95" i="33"/>
  <c r="AP19" i="33" s="1"/>
  <c r="AI94" i="33"/>
  <c r="AH94" i="33"/>
  <c r="AI93" i="33"/>
  <c r="AH93" i="33"/>
  <c r="AI92" i="33"/>
  <c r="AH92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3" i="33"/>
  <c r="AD83" i="33"/>
  <c r="BH20" i="33" s="1"/>
  <c r="AC83" i="33"/>
  <c r="AB83" i="33"/>
  <c r="BG20" i="33" s="1"/>
  <c r="S83" i="33"/>
  <c r="R83" i="33"/>
  <c r="Q83" i="33"/>
  <c r="P83" i="33"/>
  <c r="O83" i="33"/>
  <c r="N83" i="33"/>
  <c r="M83" i="33"/>
  <c r="L83" i="33"/>
  <c r="K83" i="33"/>
  <c r="J83" i="33"/>
  <c r="I83" i="33"/>
  <c r="AS20" i="33" s="1"/>
  <c r="H83" i="33"/>
  <c r="F83" i="33"/>
  <c r="E83" i="33"/>
  <c r="AI82" i="33"/>
  <c r="AH82" i="33"/>
  <c r="AI81" i="33"/>
  <c r="AH81" i="33"/>
  <c r="AI80" i="33"/>
  <c r="AH80" i="33"/>
  <c r="AD79" i="33"/>
  <c r="BH18" i="33" s="1"/>
  <c r="AC79" i="33"/>
  <c r="AB79" i="33"/>
  <c r="S79" i="33"/>
  <c r="R79" i="33"/>
  <c r="Q79" i="33"/>
  <c r="AY18" i="33" s="1"/>
  <c r="P79" i="33"/>
  <c r="AX18" i="33" s="1"/>
  <c r="O79" i="33"/>
  <c r="AW18" i="33" s="1"/>
  <c r="N79" i="33"/>
  <c r="M79" i="33"/>
  <c r="L79" i="33"/>
  <c r="K79" i="33"/>
  <c r="J79" i="33"/>
  <c r="I79" i="33"/>
  <c r="AS18" i="33" s="1"/>
  <c r="H79" i="33"/>
  <c r="F79" i="33"/>
  <c r="AQ18" i="33" s="1"/>
  <c r="E79" i="33"/>
  <c r="AP18" i="33" s="1"/>
  <c r="BT78" i="33"/>
  <c r="BS78" i="33"/>
  <c r="BD78" i="33"/>
  <c r="BC78" i="33"/>
  <c r="BA78" i="33"/>
  <c r="AI78" i="33"/>
  <c r="AH78" i="33"/>
  <c r="AG78" i="33"/>
  <c r="AG79" i="33" s="1"/>
  <c r="BW77" i="33"/>
  <c r="BU77" i="33"/>
  <c r="BT77" i="33"/>
  <c r="BG77" i="33"/>
  <c r="BE77" i="33"/>
  <c r="AI77" i="33"/>
  <c r="AH77" i="33"/>
  <c r="BH76" i="33"/>
  <c r="BF76" i="33"/>
  <c r="BA76" i="33"/>
  <c r="AI76" i="33"/>
  <c r="AH76" i="33"/>
  <c r="BK75" i="33"/>
  <c r="AI75" i="33"/>
  <c r="AH75" i="33"/>
  <c r="BU74" i="33"/>
  <c r="BT74" i="33"/>
  <c r="BM74" i="33"/>
  <c r="BK74" i="33"/>
  <c r="BJ74" i="33"/>
  <c r="BE74" i="33"/>
  <c r="BD74" i="33"/>
  <c r="BC74" i="33"/>
  <c r="BB74" i="33"/>
  <c r="AI74" i="33"/>
  <c r="AH74" i="33"/>
  <c r="BS73" i="33"/>
  <c r="BN73" i="33"/>
  <c r="BK73" i="33"/>
  <c r="BC73" i="33"/>
  <c r="AI73" i="33"/>
  <c r="AH73" i="33"/>
  <c r="AI72" i="33"/>
  <c r="AH72" i="33"/>
  <c r="BW71" i="33"/>
  <c r="BW78" i="33" s="1"/>
  <c r="BV71" i="33"/>
  <c r="BV78" i="33" s="1"/>
  <c r="BU71" i="33"/>
  <c r="BU78" i="33" s="1"/>
  <c r="BT71" i="33"/>
  <c r="BS71" i="33"/>
  <c r="BR71" i="33"/>
  <c r="BR78" i="33" s="1"/>
  <c r="BQ71" i="33"/>
  <c r="BQ78" i="33" s="1"/>
  <c r="BP71" i="33"/>
  <c r="BP78" i="33" s="1"/>
  <c r="BO71" i="33"/>
  <c r="BO78" i="33" s="1"/>
  <c r="BN71" i="33"/>
  <c r="BN78" i="33" s="1"/>
  <c r="BM71" i="33"/>
  <c r="BM78" i="33" s="1"/>
  <c r="BL71" i="33"/>
  <c r="BL78" i="33" s="1"/>
  <c r="BK71" i="33"/>
  <c r="BK78" i="33" s="1"/>
  <c r="BJ71" i="33"/>
  <c r="BJ78" i="33" s="1"/>
  <c r="BI71" i="33"/>
  <c r="BI78" i="33" s="1"/>
  <c r="BH71" i="33"/>
  <c r="BH78" i="33" s="1"/>
  <c r="BG71" i="33"/>
  <c r="BG78" i="33" s="1"/>
  <c r="BF71" i="33"/>
  <c r="BF78" i="33" s="1"/>
  <c r="BE71" i="33"/>
  <c r="BE78" i="33" s="1"/>
  <c r="BD71" i="33"/>
  <c r="BC71" i="33"/>
  <c r="BB71" i="33"/>
  <c r="BB78" i="33" s="1"/>
  <c r="BA71" i="33"/>
  <c r="AZ71" i="33"/>
  <c r="AZ78" i="33" s="1"/>
  <c r="AI71" i="33"/>
  <c r="AH71" i="33"/>
  <c r="BW70" i="33"/>
  <c r="BV70" i="33"/>
  <c r="BV77" i="33" s="1"/>
  <c r="BU70" i="33"/>
  <c r="BT70" i="33"/>
  <c r="BS70" i="33"/>
  <c r="BS77" i="33" s="1"/>
  <c r="BR70" i="33"/>
  <c r="BR77" i="33" s="1"/>
  <c r="BQ70" i="33"/>
  <c r="BQ77" i="33" s="1"/>
  <c r="BP70" i="33"/>
  <c r="BP77" i="33" s="1"/>
  <c r="BO70" i="33"/>
  <c r="BO77" i="33" s="1"/>
  <c r="BN70" i="33"/>
  <c r="BN77" i="33" s="1"/>
  <c r="BM70" i="33"/>
  <c r="BM77" i="33" s="1"/>
  <c r="BL70" i="33"/>
  <c r="BL77" i="33" s="1"/>
  <c r="BK70" i="33"/>
  <c r="BK77" i="33" s="1"/>
  <c r="BJ70" i="33"/>
  <c r="BJ77" i="33" s="1"/>
  <c r="BI70" i="33"/>
  <c r="BI77" i="33" s="1"/>
  <c r="BH70" i="33"/>
  <c r="BH77" i="33" s="1"/>
  <c r="BG70" i="33"/>
  <c r="BF70" i="33"/>
  <c r="BF77" i="33" s="1"/>
  <c r="BE70" i="33"/>
  <c r="BD70" i="33"/>
  <c r="BD77" i="33" s="1"/>
  <c r="BC70" i="33"/>
  <c r="BC77" i="33" s="1"/>
  <c r="BB70" i="33"/>
  <c r="BB77" i="33" s="1"/>
  <c r="BA70" i="33"/>
  <c r="BA77" i="33" s="1"/>
  <c r="AZ70" i="33"/>
  <c r="AZ77" i="33" s="1"/>
  <c r="AI70" i="33"/>
  <c r="AH70" i="33"/>
  <c r="BW69" i="33"/>
  <c r="BW76" i="33" s="1"/>
  <c r="BV69" i="33"/>
  <c r="BV76" i="33" s="1"/>
  <c r="BU69" i="33"/>
  <c r="BU76" i="33" s="1"/>
  <c r="BT69" i="33"/>
  <c r="BT76" i="33" s="1"/>
  <c r="BS69" i="33"/>
  <c r="BS76" i="33" s="1"/>
  <c r="BR69" i="33"/>
  <c r="BR76" i="33" s="1"/>
  <c r="BQ69" i="33"/>
  <c r="BQ76" i="33" s="1"/>
  <c r="BP69" i="33"/>
  <c r="BP76" i="33" s="1"/>
  <c r="BO69" i="33"/>
  <c r="BO76" i="33" s="1"/>
  <c r="BN69" i="33"/>
  <c r="BN76" i="33" s="1"/>
  <c r="BM69" i="33"/>
  <c r="BM76" i="33" s="1"/>
  <c r="BL69" i="33"/>
  <c r="BL76" i="33" s="1"/>
  <c r="BK69" i="33"/>
  <c r="BK76" i="33" s="1"/>
  <c r="BJ69" i="33"/>
  <c r="BJ76" i="33" s="1"/>
  <c r="BI69" i="33"/>
  <c r="BI76" i="33" s="1"/>
  <c r="BH69" i="33"/>
  <c r="BG69" i="33"/>
  <c r="BG76" i="33" s="1"/>
  <c r="BF69" i="33"/>
  <c r="BE69" i="33"/>
  <c r="BE76" i="33" s="1"/>
  <c r="BD69" i="33"/>
  <c r="BD76" i="33" s="1"/>
  <c r="BC69" i="33"/>
  <c r="BC76" i="33" s="1"/>
  <c r="BB69" i="33"/>
  <c r="BB76" i="33" s="1"/>
  <c r="BA69" i="33"/>
  <c r="AZ69" i="33"/>
  <c r="AZ76" i="33" s="1"/>
  <c r="AI69" i="33"/>
  <c r="AH69" i="33"/>
  <c r="BW68" i="33"/>
  <c r="BW75" i="33" s="1"/>
  <c r="BV68" i="33"/>
  <c r="BV75" i="33" s="1"/>
  <c r="BU68" i="33"/>
  <c r="BU75" i="33" s="1"/>
  <c r="BT68" i="33"/>
  <c r="BT75" i="33" s="1"/>
  <c r="BS68" i="33"/>
  <c r="BS75" i="33" s="1"/>
  <c r="BR68" i="33"/>
  <c r="BR75" i="33" s="1"/>
  <c r="BQ68" i="33"/>
  <c r="BQ75" i="33" s="1"/>
  <c r="BP68" i="33"/>
  <c r="BP75" i="33" s="1"/>
  <c r="BO68" i="33"/>
  <c r="BO75" i="33" s="1"/>
  <c r="BN68" i="33"/>
  <c r="BN75" i="33" s="1"/>
  <c r="BM68" i="33"/>
  <c r="BM75" i="33" s="1"/>
  <c r="BL68" i="33"/>
  <c r="BL75" i="33" s="1"/>
  <c r="BK68" i="33"/>
  <c r="BJ68" i="33"/>
  <c r="BJ75" i="33" s="1"/>
  <c r="BI68" i="33"/>
  <c r="BI75" i="33" s="1"/>
  <c r="BH68" i="33"/>
  <c r="BH75" i="33" s="1"/>
  <c r="BG68" i="33"/>
  <c r="BG75" i="33" s="1"/>
  <c r="BF68" i="33"/>
  <c r="BF75" i="33" s="1"/>
  <c r="BE68" i="33"/>
  <c r="BE75" i="33" s="1"/>
  <c r="BD68" i="33"/>
  <c r="BD75" i="33" s="1"/>
  <c r="BC68" i="33"/>
  <c r="BC75" i="33" s="1"/>
  <c r="BB68" i="33"/>
  <c r="BB75" i="33" s="1"/>
  <c r="BA68" i="33"/>
  <c r="BA75" i="33" s="1"/>
  <c r="AZ68" i="33"/>
  <c r="AZ75" i="33" s="1"/>
  <c r="AI68" i="33"/>
  <c r="AH68" i="33"/>
  <c r="BW67" i="33"/>
  <c r="BW74" i="33" s="1"/>
  <c r="BV67" i="33"/>
  <c r="BV74" i="33" s="1"/>
  <c r="BU67" i="33"/>
  <c r="BT67" i="33"/>
  <c r="BS67" i="33"/>
  <c r="BS74" i="33" s="1"/>
  <c r="BR67" i="33"/>
  <c r="BR74" i="33" s="1"/>
  <c r="BQ67" i="33"/>
  <c r="BQ74" i="33" s="1"/>
  <c r="BP67" i="33"/>
  <c r="BP74" i="33" s="1"/>
  <c r="BO67" i="33"/>
  <c r="BO74" i="33" s="1"/>
  <c r="BN67" i="33"/>
  <c r="BN74" i="33" s="1"/>
  <c r="BM67" i="33"/>
  <c r="BL67" i="33"/>
  <c r="BL74" i="33" s="1"/>
  <c r="BK67" i="33"/>
  <c r="BJ67" i="33"/>
  <c r="BI67" i="33"/>
  <c r="BI74" i="33" s="1"/>
  <c r="BH67" i="33"/>
  <c r="BH74" i="33" s="1"/>
  <c r="BG67" i="33"/>
  <c r="BG74" i="33" s="1"/>
  <c r="BF67" i="33"/>
  <c r="BF74" i="33" s="1"/>
  <c r="BE67" i="33"/>
  <c r="BD67" i="33"/>
  <c r="BC67" i="33"/>
  <c r="BB67" i="33"/>
  <c r="BA67" i="33"/>
  <c r="BA74" i="33" s="1"/>
  <c r="AZ67" i="33"/>
  <c r="AZ74" i="33" s="1"/>
  <c r="AI67" i="33"/>
  <c r="AH67" i="33"/>
  <c r="BW66" i="33"/>
  <c r="BW73" i="33" s="1"/>
  <c r="BV66" i="33"/>
  <c r="BV73" i="33" s="1"/>
  <c r="BU66" i="33"/>
  <c r="BU73" i="33" s="1"/>
  <c r="BT66" i="33"/>
  <c r="BT73" i="33" s="1"/>
  <c r="BS66" i="33"/>
  <c r="BR66" i="33"/>
  <c r="BR73" i="33" s="1"/>
  <c r="BQ66" i="33"/>
  <c r="BQ73" i="33" s="1"/>
  <c r="BP66" i="33"/>
  <c r="BP73" i="33" s="1"/>
  <c r="BO66" i="33"/>
  <c r="BO73" i="33" s="1"/>
  <c r="BN66" i="33"/>
  <c r="BM66" i="33"/>
  <c r="BM73" i="33" s="1"/>
  <c r="BL66" i="33"/>
  <c r="BL73" i="33" s="1"/>
  <c r="BK66" i="33"/>
  <c r="BJ66" i="33"/>
  <c r="BJ73" i="33" s="1"/>
  <c r="BI66" i="33"/>
  <c r="BI73" i="33" s="1"/>
  <c r="BH66" i="33"/>
  <c r="BH73" i="33" s="1"/>
  <c r="BG66" i="33"/>
  <c r="BG73" i="33" s="1"/>
  <c r="BF66" i="33"/>
  <c r="BF73" i="33" s="1"/>
  <c r="BE66" i="33"/>
  <c r="BE73" i="33" s="1"/>
  <c r="BD66" i="33"/>
  <c r="BD73" i="33" s="1"/>
  <c r="BC66" i="33"/>
  <c r="BB66" i="33"/>
  <c r="BB73" i="33" s="1"/>
  <c r="BA66" i="33"/>
  <c r="BA73" i="33" s="1"/>
  <c r="AZ66" i="33"/>
  <c r="AZ73" i="33" s="1"/>
  <c r="AI66" i="33"/>
  <c r="AH66" i="33"/>
  <c r="AG65" i="33"/>
  <c r="BJ17" i="33"/>
  <c r="BI17" i="33"/>
  <c r="AD65" i="33"/>
  <c r="BH17" i="33" s="1"/>
  <c r="AC65" i="33"/>
  <c r="AB65" i="33"/>
  <c r="BD17" i="33"/>
  <c r="Q65" i="33"/>
  <c r="AY17" i="33" s="1"/>
  <c r="P65" i="33"/>
  <c r="AX17" i="33" s="1"/>
  <c r="O65" i="33"/>
  <c r="AW17" i="33" s="1"/>
  <c r="N65" i="33"/>
  <c r="AV17" i="33" s="1"/>
  <c r="M65" i="33"/>
  <c r="AU17" i="33" s="1"/>
  <c r="L65" i="33"/>
  <c r="K65" i="33"/>
  <c r="J65" i="33"/>
  <c r="I65" i="33"/>
  <c r="H65" i="33"/>
  <c r="AR17" i="33"/>
  <c r="F65" i="33"/>
  <c r="AQ17" i="33" s="1"/>
  <c r="E65" i="33"/>
  <c r="AI64" i="33"/>
  <c r="AH64" i="33"/>
  <c r="AI63" i="33"/>
  <c r="AH63" i="33"/>
  <c r="AI62" i="33"/>
  <c r="AH62" i="33"/>
  <c r="AG61" i="33"/>
  <c r="AG100" i="33" s="1"/>
  <c r="AF7" i="33"/>
  <c r="BI16" i="33"/>
  <c r="AD61" i="33"/>
  <c r="AC61" i="33"/>
  <c r="AB61" i="33"/>
  <c r="X7" i="33"/>
  <c r="W7" i="33"/>
  <c r="T7" i="33"/>
  <c r="Q61" i="33"/>
  <c r="P61" i="33"/>
  <c r="O61" i="33"/>
  <c r="AW16" i="33" s="1"/>
  <c r="N61" i="33"/>
  <c r="AV16" i="33" s="1"/>
  <c r="M61" i="33"/>
  <c r="L61" i="33"/>
  <c r="K61" i="33"/>
  <c r="AT16" i="33" s="1"/>
  <c r="J61" i="33"/>
  <c r="I61" i="33"/>
  <c r="H61" i="33"/>
  <c r="F61" i="33"/>
  <c r="E61" i="33"/>
  <c r="E100" i="33" s="1"/>
  <c r="E102" i="33" s="1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BJ23" i="33"/>
  <c r="BI23" i="33"/>
  <c r="BB23" i="33"/>
  <c r="AI23" i="33"/>
  <c r="AH23" i="33"/>
  <c r="AI22" i="33"/>
  <c r="AH22" i="33"/>
  <c r="BJ21" i="33"/>
  <c r="BI21" i="33"/>
  <c r="BH21" i="33"/>
  <c r="BG21" i="33"/>
  <c r="BF21" i="33"/>
  <c r="BE21" i="33"/>
  <c r="BD21" i="33"/>
  <c r="BC21" i="33"/>
  <c r="BB21" i="33"/>
  <c r="BA21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I21" i="33"/>
  <c r="AH21" i="33"/>
  <c r="BJ20" i="33"/>
  <c r="BI20" i="33"/>
  <c r="BF20" i="33"/>
  <c r="BE20" i="33"/>
  <c r="BD20" i="33"/>
  <c r="BC20" i="33"/>
  <c r="BB20" i="33"/>
  <c r="BA20" i="33"/>
  <c r="AZ20" i="33"/>
  <c r="AY20" i="33"/>
  <c r="AX20" i="33"/>
  <c r="AW20" i="33"/>
  <c r="AV20" i="33"/>
  <c r="AU20" i="33"/>
  <c r="AT20" i="33"/>
  <c r="AR20" i="33"/>
  <c r="AQ20" i="33"/>
  <c r="AP20" i="33"/>
  <c r="AN20" i="33"/>
  <c r="AM20" i="33"/>
  <c r="AI20" i="33"/>
  <c r="AH20" i="33"/>
  <c r="BJ19" i="33"/>
  <c r="BI19" i="33"/>
  <c r="BF19" i="33"/>
  <c r="BE19" i="33"/>
  <c r="BD19" i="33"/>
  <c r="BC19" i="33"/>
  <c r="BB19" i="33"/>
  <c r="AZ19" i="33"/>
  <c r="AN19" i="33"/>
  <c r="AI19" i="33"/>
  <c r="AH19" i="33"/>
  <c r="BJ18" i="33"/>
  <c r="BI18" i="33"/>
  <c r="BG18" i="33"/>
  <c r="BF18" i="33"/>
  <c r="BE18" i="33"/>
  <c r="BD18" i="33"/>
  <c r="BC18" i="33"/>
  <c r="BB18" i="33"/>
  <c r="BA18" i="33"/>
  <c r="AZ18" i="33"/>
  <c r="AV18" i="33"/>
  <c r="AU18" i="33"/>
  <c r="AT18" i="33"/>
  <c r="AR18" i="33"/>
  <c r="AO18" i="33"/>
  <c r="AM18" i="33"/>
  <c r="AI18" i="33"/>
  <c r="AH18" i="33"/>
  <c r="BG17" i="33"/>
  <c r="BF17" i="33"/>
  <c r="BE17" i="33"/>
  <c r="BC17" i="33"/>
  <c r="BB17" i="33"/>
  <c r="BA17" i="33"/>
  <c r="AZ17" i="33"/>
  <c r="AT17" i="33"/>
  <c r="AS17" i="33"/>
  <c r="AP17" i="33"/>
  <c r="AO17" i="33"/>
  <c r="AN17" i="33"/>
  <c r="AI17" i="33"/>
  <c r="AH17" i="33"/>
  <c r="BH16" i="33"/>
  <c r="BG16" i="33"/>
  <c r="BF16" i="33"/>
  <c r="BC16" i="33"/>
  <c r="BB16" i="33"/>
  <c r="BA16" i="33"/>
  <c r="AZ16" i="33"/>
  <c r="AU16" i="33"/>
  <c r="AS16" i="33"/>
  <c r="AR16" i="33"/>
  <c r="AP16" i="33"/>
  <c r="AO16" i="33"/>
  <c r="AM16" i="33"/>
  <c r="AI16" i="33"/>
  <c r="AH16" i="33"/>
  <c r="AI15" i="33"/>
  <c r="AH15" i="33"/>
  <c r="AI14" i="33"/>
  <c r="AH14" i="33"/>
  <c r="AI13" i="33"/>
  <c r="AH13" i="33"/>
  <c r="AL12" i="33"/>
  <c r="AI12" i="33"/>
  <c r="AH12" i="33"/>
  <c r="AI11" i="33"/>
  <c r="AH11" i="33"/>
  <c r="AE5" i="33"/>
  <c r="AD5" i="33"/>
  <c r="AA5" i="33"/>
  <c r="Z5" i="33"/>
  <c r="Y5" i="33"/>
  <c r="X5" i="33"/>
  <c r="W5" i="33"/>
  <c r="V5" i="33"/>
  <c r="U5" i="33"/>
  <c r="T5" i="33"/>
  <c r="S5" i="33"/>
  <c r="Q5" i="33"/>
  <c r="J5" i="33"/>
  <c r="G5" i="33"/>
  <c r="D5" i="33"/>
  <c r="B5" i="33"/>
  <c r="AG4" i="33"/>
  <c r="K4" i="33"/>
  <c r="E4" i="33"/>
  <c r="H4" i="33" s="1"/>
  <c r="B4" i="33"/>
  <c r="D261" i="33" s="1"/>
  <c r="AG3" i="33"/>
  <c r="AG2" i="33"/>
  <c r="AG6" i="33" s="1"/>
  <c r="AF61" i="32"/>
  <c r="AF65" i="32"/>
  <c r="AF79" i="32"/>
  <c r="AF83" i="32"/>
  <c r="AF95" i="32"/>
  <c r="AF104" i="32"/>
  <c r="AF105" i="32"/>
  <c r="AF106" i="32"/>
  <c r="AF107" i="32"/>
  <c r="AF108" i="32"/>
  <c r="AF109" i="32"/>
  <c r="AF121" i="32"/>
  <c r="AE102" i="32"/>
  <c r="AE61" i="32"/>
  <c r="AE65" i="32"/>
  <c r="AE79" i="32"/>
  <c r="AE83" i="32"/>
  <c r="AE95" i="32"/>
  <c r="AE104" i="32"/>
  <c r="AE105" i="32"/>
  <c r="AE106" i="32"/>
  <c r="AE110" i="32" s="1"/>
  <c r="AE107" i="32"/>
  <c r="AE108" i="32"/>
  <c r="AE109" i="32"/>
  <c r="AE121" i="32"/>
  <c r="R121" i="35" l="1"/>
  <c r="S249" i="35"/>
  <c r="P250" i="35"/>
  <c r="O255" i="35"/>
  <c r="J255" i="34"/>
  <c r="J121" i="34"/>
  <c r="K249" i="34"/>
  <c r="BI22" i="33"/>
  <c r="BI24" i="33" s="1"/>
  <c r="AD100" i="33"/>
  <c r="AD102" i="33" s="1"/>
  <c r="BH19" i="33"/>
  <c r="AC110" i="33"/>
  <c r="AC100" i="33"/>
  <c r="AC102" i="33" s="1"/>
  <c r="AC103" i="33" s="1"/>
  <c r="AC7" i="33" s="1"/>
  <c r="AB111" i="33"/>
  <c r="BG19" i="33"/>
  <c r="AI83" i="33"/>
  <c r="BG22" i="33"/>
  <c r="BG24" i="33" s="1"/>
  <c r="AB100" i="33"/>
  <c r="AB102" i="33" s="1"/>
  <c r="AB103" i="33" s="1"/>
  <c r="AB7" i="33" s="1"/>
  <c r="AZ22" i="33"/>
  <c r="AZ24" i="33" s="1"/>
  <c r="O111" i="33"/>
  <c r="BF22" i="33"/>
  <c r="BF24" i="33" s="1"/>
  <c r="BC22" i="33"/>
  <c r="BC24" i="33" s="1"/>
  <c r="BB22" i="33"/>
  <c r="BB24" i="33" s="1"/>
  <c r="BA19" i="33"/>
  <c r="BA22" i="33" s="1"/>
  <c r="R5" i="33"/>
  <c r="P5" i="33"/>
  <c r="Q110" i="33"/>
  <c r="AY23" i="33" s="1"/>
  <c r="Q100" i="33"/>
  <c r="Q102" i="33" s="1"/>
  <c r="Q103" i="33" s="1"/>
  <c r="Q7" i="33" s="1"/>
  <c r="AY16" i="33"/>
  <c r="P110" i="33"/>
  <c r="AX23" i="33" s="1"/>
  <c r="AX19" i="33"/>
  <c r="P100" i="33"/>
  <c r="P102" i="33" s="1"/>
  <c r="N5" i="33"/>
  <c r="AW19" i="33"/>
  <c r="AW22" i="33" s="1"/>
  <c r="AW24" i="33" s="1"/>
  <c r="AV19" i="33"/>
  <c r="AV22" i="33"/>
  <c r="M110" i="33"/>
  <c r="AU23" i="33" s="1"/>
  <c r="L5" i="33"/>
  <c r="AU19" i="33"/>
  <c r="AU22" i="33" s="1"/>
  <c r="M100" i="33"/>
  <c r="M102" i="33" s="1"/>
  <c r="L100" i="33"/>
  <c r="L102" i="33" s="1"/>
  <c r="K5" i="33"/>
  <c r="L110" i="33"/>
  <c r="L111" i="33" s="1"/>
  <c r="AT22" i="33"/>
  <c r="K100" i="33"/>
  <c r="K102" i="33" s="1"/>
  <c r="J110" i="33"/>
  <c r="J100" i="33"/>
  <c r="J102" i="33" s="1"/>
  <c r="J103" i="33" s="1"/>
  <c r="J7" i="33" s="1"/>
  <c r="AS19" i="33"/>
  <c r="AS22" i="33"/>
  <c r="H110" i="33"/>
  <c r="H111" i="33"/>
  <c r="H100" i="33"/>
  <c r="H102" i="33" s="1"/>
  <c r="H103" i="33" s="1"/>
  <c r="H7" i="33" s="1"/>
  <c r="AR19" i="33"/>
  <c r="AR22" i="33"/>
  <c r="G100" i="33"/>
  <c r="G102" i="33" s="1"/>
  <c r="G110" i="33"/>
  <c r="AR23" i="33" s="1"/>
  <c r="AI108" i="33"/>
  <c r="G111" i="33"/>
  <c r="AI104" i="33"/>
  <c r="E5" i="33"/>
  <c r="F100" i="33"/>
  <c r="F102" i="33" s="1"/>
  <c r="AQ16" i="33"/>
  <c r="AQ22" i="33" s="1"/>
  <c r="E110" i="33"/>
  <c r="AP23" i="33" s="1"/>
  <c r="AP22" i="33"/>
  <c r="AP24" i="33" s="1"/>
  <c r="AI79" i="33"/>
  <c r="AO19" i="33"/>
  <c r="C5" i="33"/>
  <c r="D110" i="33"/>
  <c r="AO23" i="33" s="1"/>
  <c r="AI107" i="33"/>
  <c r="AO22" i="33"/>
  <c r="C110" i="33"/>
  <c r="AN22" i="33"/>
  <c r="C111" i="33"/>
  <c r="AH104" i="33"/>
  <c r="C100" i="33"/>
  <c r="C102" i="33" s="1"/>
  <c r="C103" i="33" s="1"/>
  <c r="AI65" i="33"/>
  <c r="AM19" i="33"/>
  <c r="B100" i="33"/>
  <c r="B102" i="33" s="1"/>
  <c r="AH106" i="33"/>
  <c r="B111" i="33"/>
  <c r="B103" i="33"/>
  <c r="AI105" i="33"/>
  <c r="AM17" i="33"/>
  <c r="AM22" i="33" s="1"/>
  <c r="AY22" i="33"/>
  <c r="AY24" i="33" s="1"/>
  <c r="R103" i="33"/>
  <c r="R7" i="33" s="1"/>
  <c r="AA7" i="33"/>
  <c r="BH22" i="33"/>
  <c r="I100" i="33"/>
  <c r="I102" i="33" s="1"/>
  <c r="Y7" i="33"/>
  <c r="AH109" i="33"/>
  <c r="AG102" i="33"/>
  <c r="N100" i="33"/>
  <c r="N102" i="33" s="1"/>
  <c r="E103" i="33"/>
  <c r="E7" i="33" s="1"/>
  <c r="U7" i="33"/>
  <c r="AH105" i="33"/>
  <c r="AI106" i="33"/>
  <c r="I110" i="33"/>
  <c r="AS23" i="33" s="1"/>
  <c r="AS24" i="33" s="1"/>
  <c r="BJ16" i="33"/>
  <c r="BJ22" i="33" s="1"/>
  <c r="BJ24" i="33" s="1"/>
  <c r="AH79" i="33"/>
  <c r="BG82" i="33" a="1"/>
  <c r="AI95" i="33"/>
  <c r="J111" i="33"/>
  <c r="R111" i="33"/>
  <c r="AH95" i="33"/>
  <c r="O100" i="33"/>
  <c r="O102" i="33" s="1"/>
  <c r="O103" i="33" s="1"/>
  <c r="O7" i="33" s="1"/>
  <c r="AE7" i="33"/>
  <c r="K110" i="33"/>
  <c r="S110" i="33"/>
  <c r="BE23" i="33"/>
  <c r="AH61" i="33"/>
  <c r="AH65" i="33"/>
  <c r="AH83" i="33"/>
  <c r="H249" i="33"/>
  <c r="G121" i="33"/>
  <c r="E250" i="33"/>
  <c r="AL13" i="33"/>
  <c r="BD16" i="33"/>
  <c r="BD22" i="33" s="1"/>
  <c r="AI61" i="33"/>
  <c r="BE16" i="33"/>
  <c r="BE22" i="33" s="1"/>
  <c r="BE24" i="33" s="1"/>
  <c r="E111" i="33"/>
  <c r="AC111" i="33"/>
  <c r="F110" i="33"/>
  <c r="AQ23" i="33" s="1"/>
  <c r="N110" i="33"/>
  <c r="AV23" i="33" s="1"/>
  <c r="AV24" i="33" s="1"/>
  <c r="BD23" i="33"/>
  <c r="AD110" i="33"/>
  <c r="BH23" i="33" s="1"/>
  <c r="AX16" i="33"/>
  <c r="AI109" i="33"/>
  <c r="AH107" i="33"/>
  <c r="AH108" i="33"/>
  <c r="AF110" i="32"/>
  <c r="AF111" i="32" s="1"/>
  <c r="AF100" i="32"/>
  <c r="AF102" i="32" s="1"/>
  <c r="AF103" i="32" s="1"/>
  <c r="AE111" i="32"/>
  <c r="AE100" i="32"/>
  <c r="AE103" i="32" s="1"/>
  <c r="Q250" i="35" l="1"/>
  <c r="P255" i="35"/>
  <c r="S121" i="35"/>
  <c r="T249" i="35"/>
  <c r="K255" i="34"/>
  <c r="K121" i="34"/>
  <c r="L249" i="34"/>
  <c r="Q111" i="33"/>
  <c r="M103" i="33"/>
  <c r="M7" i="33" s="1"/>
  <c r="AU24" i="33"/>
  <c r="AX22" i="33"/>
  <c r="AX24" i="33" s="1"/>
  <c r="P103" i="33"/>
  <c r="P7" i="33" s="1"/>
  <c r="P111" i="33"/>
  <c r="N103" i="33"/>
  <c r="N7" i="33" s="1"/>
  <c r="N111" i="33"/>
  <c r="M111" i="33"/>
  <c r="L103" i="33"/>
  <c r="L7" i="33" s="1"/>
  <c r="K103" i="33"/>
  <c r="K7" i="33" s="1"/>
  <c r="I103" i="33"/>
  <c r="I7" i="33" s="1"/>
  <c r="G103" i="33"/>
  <c r="G7" i="33" s="1"/>
  <c r="AR24" i="33"/>
  <c r="AQ24" i="33"/>
  <c r="AO24" i="33"/>
  <c r="D111" i="33"/>
  <c r="D103" i="33"/>
  <c r="D7" i="33" s="1"/>
  <c r="BK105" i="33"/>
  <c r="BI104" i="33"/>
  <c r="BG103" i="33"/>
  <c r="BK101" i="33"/>
  <c r="BI100" i="33"/>
  <c r="BG99" i="33"/>
  <c r="BK97" i="33"/>
  <c r="BI96" i="33"/>
  <c r="BG95" i="33"/>
  <c r="BK93" i="33"/>
  <c r="BI92" i="33"/>
  <c r="BG91" i="33"/>
  <c r="BK89" i="33"/>
  <c r="BI88" i="33"/>
  <c r="BG87" i="33"/>
  <c r="BK85" i="33"/>
  <c r="BI84" i="33"/>
  <c r="BG83" i="33"/>
  <c r="BJ105" i="33"/>
  <c r="BH104" i="33"/>
  <c r="BL102" i="33"/>
  <c r="BJ101" i="33"/>
  <c r="BH100" i="33"/>
  <c r="BL98" i="33"/>
  <c r="BJ97" i="33"/>
  <c r="BH96" i="33"/>
  <c r="BL94" i="33"/>
  <c r="BJ93" i="33"/>
  <c r="BH92" i="33"/>
  <c r="BL90" i="33"/>
  <c r="BJ89" i="33"/>
  <c r="BH88" i="33"/>
  <c r="BL86" i="33"/>
  <c r="BJ85" i="33"/>
  <c r="BH84" i="33"/>
  <c r="BL82" i="33"/>
  <c r="BI105" i="33"/>
  <c r="BG104" i="33"/>
  <c r="BK102" i="33"/>
  <c r="BI101" i="33"/>
  <c r="BG100" i="33"/>
  <c r="BK98" i="33"/>
  <c r="BI97" i="33"/>
  <c r="BG96" i="33"/>
  <c r="BK94" i="33"/>
  <c r="BI93" i="33"/>
  <c r="BG92" i="33"/>
  <c r="BK90" i="33"/>
  <c r="BI89" i="33"/>
  <c r="BG88" i="33"/>
  <c r="BK86" i="33"/>
  <c r="BI85" i="33"/>
  <c r="BG84" i="33"/>
  <c r="BK82" i="33"/>
  <c r="BL104" i="33"/>
  <c r="BJ103" i="33"/>
  <c r="BH102" i="33"/>
  <c r="BL100" i="33"/>
  <c r="BJ99" i="33"/>
  <c r="BH98" i="33"/>
  <c r="BL96" i="33"/>
  <c r="BJ95" i="33"/>
  <c r="BH94" i="33"/>
  <c r="BL92" i="33"/>
  <c r="BJ91" i="33"/>
  <c r="BH90" i="33"/>
  <c r="BL88" i="33"/>
  <c r="BJ87" i="33"/>
  <c r="BH86" i="33"/>
  <c r="BL84" i="33"/>
  <c r="BJ83" i="33"/>
  <c r="BH82" i="33"/>
  <c r="BJ104" i="33"/>
  <c r="BL101" i="33"/>
  <c r="BH99" i="33"/>
  <c r="BJ96" i="33"/>
  <c r="BL93" i="33"/>
  <c r="BH91" i="33"/>
  <c r="BJ88" i="33"/>
  <c r="BL85" i="33"/>
  <c r="BH83" i="33"/>
  <c r="BG89" i="33"/>
  <c r="BL103" i="33"/>
  <c r="BH101" i="33"/>
  <c r="BJ98" i="33"/>
  <c r="BL95" i="33"/>
  <c r="BH93" i="33"/>
  <c r="BJ90" i="33"/>
  <c r="BL87" i="33"/>
  <c r="BH85" i="33"/>
  <c r="BJ82" i="33"/>
  <c r="BK99" i="33"/>
  <c r="BK103" i="33"/>
  <c r="BG101" i="33"/>
  <c r="BI98" i="33"/>
  <c r="BK95" i="33"/>
  <c r="BG93" i="33"/>
  <c r="BI90" i="33"/>
  <c r="BK87" i="33"/>
  <c r="BG85" i="33"/>
  <c r="BI82" i="33"/>
  <c r="BG105" i="33"/>
  <c r="BI94" i="33"/>
  <c r="BK83" i="33"/>
  <c r="BI103" i="33"/>
  <c r="BK100" i="33"/>
  <c r="BG98" i="33"/>
  <c r="BI95" i="33"/>
  <c r="BK92" i="33"/>
  <c r="BG90" i="33"/>
  <c r="BI87" i="33"/>
  <c r="BK84" i="33"/>
  <c r="BG82" i="33"/>
  <c r="BL105" i="33"/>
  <c r="BH103" i="33"/>
  <c r="BJ100" i="33"/>
  <c r="BL97" i="33"/>
  <c r="BH95" i="33"/>
  <c r="BJ92" i="33"/>
  <c r="BL89" i="33"/>
  <c r="BH87" i="33"/>
  <c r="BJ84" i="33"/>
  <c r="BG97" i="33"/>
  <c r="BH105" i="33"/>
  <c r="BJ102" i="33"/>
  <c r="BL99" i="33"/>
  <c r="BH97" i="33"/>
  <c r="BJ94" i="33"/>
  <c r="BL91" i="33"/>
  <c r="BH89" i="33"/>
  <c r="BJ86" i="33"/>
  <c r="BL83" i="33"/>
  <c r="BI102" i="33"/>
  <c r="BK91" i="33"/>
  <c r="BI86" i="33"/>
  <c r="BK104" i="33"/>
  <c r="BG102" i="33"/>
  <c r="BI99" i="33"/>
  <c r="BK96" i="33"/>
  <c r="BG94" i="33"/>
  <c r="BI91" i="33"/>
  <c r="BK88" i="33"/>
  <c r="BG86" i="33"/>
  <c r="BI83" i="33"/>
  <c r="BH24" i="33"/>
  <c r="C259" i="33"/>
  <c r="AT8" i="33"/>
  <c r="BD24" i="33"/>
  <c r="AM23" i="33"/>
  <c r="AM24" i="33" s="1"/>
  <c r="AI110" i="33"/>
  <c r="AH110" i="33"/>
  <c r="AI102" i="33"/>
  <c r="AH102" i="33"/>
  <c r="V7" i="33"/>
  <c r="AH100" i="33"/>
  <c r="AD111" i="33"/>
  <c r="F250" i="33"/>
  <c r="E255" i="33"/>
  <c r="S111" i="33"/>
  <c r="BA23" i="33"/>
  <c r="BA24" i="33" s="1"/>
  <c r="S103" i="33"/>
  <c r="S7" i="33" s="1"/>
  <c r="AI100" i="33"/>
  <c r="I111" i="33"/>
  <c r="AD103" i="33"/>
  <c r="AD7" i="33" s="1"/>
  <c r="K111" i="33"/>
  <c r="AT23" i="33"/>
  <c r="AT24" i="33" s="1"/>
  <c r="F111" i="33"/>
  <c r="I249" i="33"/>
  <c r="H121" i="33"/>
  <c r="AN23" i="33"/>
  <c r="AN24" i="33" s="1"/>
  <c r="C7" i="33"/>
  <c r="B259" i="33"/>
  <c r="F103" i="33"/>
  <c r="F7" i="33" s="1"/>
  <c r="T121" i="35" l="1"/>
  <c r="U249" i="35"/>
  <c r="R250" i="35"/>
  <c r="Q255" i="35"/>
  <c r="L255" i="34"/>
  <c r="L121" i="34"/>
  <c r="M249" i="34"/>
  <c r="AI111" i="33"/>
  <c r="AH111" i="33"/>
  <c r="G250" i="33"/>
  <c r="F255" i="33"/>
  <c r="AT9" i="33"/>
  <c r="AI103" i="33"/>
  <c r="B7" i="33"/>
  <c r="A7" i="33" s="1"/>
  <c r="AH103" i="33"/>
  <c r="I121" i="33"/>
  <c r="J249" i="33"/>
  <c r="K6" i="33"/>
  <c r="S250" i="35" l="1"/>
  <c r="R255" i="35"/>
  <c r="U121" i="35"/>
  <c r="V249" i="35"/>
  <c r="N249" i="34"/>
  <c r="M255" i="34"/>
  <c r="M121" i="34"/>
  <c r="J121" i="33"/>
  <c r="K249" i="33"/>
  <c r="H250" i="33"/>
  <c r="G255" i="33"/>
  <c r="M61" i="32"/>
  <c r="M65" i="32"/>
  <c r="M79" i="32"/>
  <c r="M83" i="32"/>
  <c r="M95" i="32"/>
  <c r="M104" i="32"/>
  <c r="M105" i="32"/>
  <c r="M106" i="32"/>
  <c r="M107" i="32"/>
  <c r="M108" i="32"/>
  <c r="M109" i="32"/>
  <c r="W249" i="35" l="1"/>
  <c r="V121" i="35"/>
  <c r="T250" i="35"/>
  <c r="S255" i="35"/>
  <c r="O249" i="34"/>
  <c r="N255" i="34"/>
  <c r="N121" i="34"/>
  <c r="I250" i="33"/>
  <c r="H255" i="33"/>
  <c r="K121" i="33"/>
  <c r="L249" i="33"/>
  <c r="M110" i="32"/>
  <c r="M111" i="32" s="1"/>
  <c r="M100" i="32"/>
  <c r="M102" i="32" s="1"/>
  <c r="L83" i="32"/>
  <c r="L95" i="32"/>
  <c r="L104" i="32"/>
  <c r="L105" i="32"/>
  <c r="L106" i="32"/>
  <c r="L107" i="32"/>
  <c r="L108" i="32"/>
  <c r="L109" i="32"/>
  <c r="K83" i="32"/>
  <c r="K95" i="32"/>
  <c r="K104" i="32"/>
  <c r="K105" i="32"/>
  <c r="K106" i="32"/>
  <c r="K107" i="32"/>
  <c r="K108" i="32"/>
  <c r="K109" i="32"/>
  <c r="J83" i="32"/>
  <c r="J95" i="32"/>
  <c r="J100" i="32" s="1"/>
  <c r="J102" i="32" s="1"/>
  <c r="J104" i="32"/>
  <c r="J105" i="32"/>
  <c r="J106" i="32"/>
  <c r="J107" i="32"/>
  <c r="J108" i="32"/>
  <c r="J109" i="32"/>
  <c r="I83" i="32"/>
  <c r="I95" i="32"/>
  <c r="I100" i="32" s="1"/>
  <c r="I102" i="32" s="1"/>
  <c r="I104" i="32"/>
  <c r="I105" i="32"/>
  <c r="I106" i="32"/>
  <c r="I107" i="32"/>
  <c r="I108" i="32"/>
  <c r="I109" i="32"/>
  <c r="H83" i="32"/>
  <c r="H95" i="32"/>
  <c r="H104" i="32"/>
  <c r="H105" i="32"/>
  <c r="H106" i="32"/>
  <c r="H107" i="32"/>
  <c r="H108" i="32"/>
  <c r="H109" i="32"/>
  <c r="G83" i="32"/>
  <c r="G95" i="32"/>
  <c r="G104" i="32"/>
  <c r="G105" i="32"/>
  <c r="G106" i="32"/>
  <c r="G107" i="32"/>
  <c r="G108" i="32"/>
  <c r="G109" i="32"/>
  <c r="U250" i="35" l="1"/>
  <c r="T255" i="35"/>
  <c r="X249" i="35"/>
  <c r="W121" i="35"/>
  <c r="P249" i="34"/>
  <c r="O255" i="34"/>
  <c r="O121" i="34"/>
  <c r="L121" i="33"/>
  <c r="M249" i="33"/>
  <c r="J250" i="33"/>
  <c r="I255" i="33"/>
  <c r="M103" i="32"/>
  <c r="L110" i="32"/>
  <c r="L111" i="32" s="1"/>
  <c r="L100" i="32"/>
  <c r="L102" i="32" s="1"/>
  <c r="L103" i="32" s="1"/>
  <c r="K110" i="32"/>
  <c r="K111" i="32" s="1"/>
  <c r="K100" i="32"/>
  <c r="K102" i="32" s="1"/>
  <c r="J110" i="32"/>
  <c r="J111" i="32" s="1"/>
  <c r="I110" i="32"/>
  <c r="I103" i="32" s="1"/>
  <c r="H110" i="32"/>
  <c r="H111" i="32" s="1"/>
  <c r="H100" i="32"/>
  <c r="H102" i="32" s="1"/>
  <c r="H103" i="32" s="1"/>
  <c r="G110" i="32"/>
  <c r="G100" i="32"/>
  <c r="G102" i="32" s="1"/>
  <c r="G103" i="32" s="1"/>
  <c r="G111" i="32"/>
  <c r="F83" i="32"/>
  <c r="F95" i="32"/>
  <c r="F104" i="32"/>
  <c r="F105" i="32"/>
  <c r="F106" i="32"/>
  <c r="F107" i="32"/>
  <c r="F108" i="32"/>
  <c r="F109" i="32"/>
  <c r="E60" i="32"/>
  <c r="E83" i="32"/>
  <c r="E95" i="32"/>
  <c r="E104" i="32"/>
  <c r="E105" i="32"/>
  <c r="E106" i="32"/>
  <c r="E107" i="32"/>
  <c r="E108" i="32"/>
  <c r="E109" i="32"/>
  <c r="Y249" i="35" l="1"/>
  <c r="X121" i="35"/>
  <c r="V250" i="35"/>
  <c r="U255" i="35"/>
  <c r="Q249" i="34"/>
  <c r="P255" i="34"/>
  <c r="K250" i="33"/>
  <c r="J255" i="33"/>
  <c r="N249" i="33"/>
  <c r="M121" i="33"/>
  <c r="F100" i="32"/>
  <c r="F102" i="32" s="1"/>
  <c r="K103" i="32"/>
  <c r="J103" i="32"/>
  <c r="I111" i="32"/>
  <c r="F110" i="32"/>
  <c r="F103" i="32" s="1"/>
  <c r="E110" i="32"/>
  <c r="E111" i="32" s="1"/>
  <c r="E100" i="32"/>
  <c r="E102" i="32" s="1"/>
  <c r="E103" i="32" s="1"/>
  <c r="D124" i="32"/>
  <c r="AI124" i="32" s="1"/>
  <c r="D60" i="32"/>
  <c r="D83" i="32"/>
  <c r="AP20" i="32"/>
  <c r="C124" i="32"/>
  <c r="C60" i="32"/>
  <c r="C83" i="32"/>
  <c r="C95" i="32"/>
  <c r="C104" i="32"/>
  <c r="C105" i="32"/>
  <c r="C106" i="32"/>
  <c r="C107" i="32"/>
  <c r="C108" i="32"/>
  <c r="C109" i="32"/>
  <c r="B124" i="32"/>
  <c r="AH124" i="32" s="1"/>
  <c r="B60" i="32"/>
  <c r="AG255" i="32"/>
  <c r="AG78" i="32" s="1"/>
  <c r="AG79" i="32" s="1"/>
  <c r="AG3" i="32" s="1"/>
  <c r="C255" i="32"/>
  <c r="D254" i="32"/>
  <c r="E254" i="32" s="1"/>
  <c r="F254" i="32" s="1"/>
  <c r="G254" i="32" s="1"/>
  <c r="H254" i="32" s="1"/>
  <c r="I254" i="32" s="1"/>
  <c r="J254" i="32" s="1"/>
  <c r="K254" i="32" s="1"/>
  <c r="L254" i="32" s="1"/>
  <c r="M254" i="32" s="1"/>
  <c r="N254" i="32" s="1"/>
  <c r="O254" i="32" s="1"/>
  <c r="P254" i="32" s="1"/>
  <c r="Q254" i="32" s="1"/>
  <c r="R254" i="32" s="1"/>
  <c r="S254" i="32" s="1"/>
  <c r="T254" i="32" s="1"/>
  <c r="U254" i="32" s="1"/>
  <c r="V254" i="32" s="1"/>
  <c r="W254" i="32" s="1"/>
  <c r="X254" i="32" s="1"/>
  <c r="Y254" i="32" s="1"/>
  <c r="Z254" i="32" s="1"/>
  <c r="AA254" i="32" s="1"/>
  <c r="AB254" i="32" s="1"/>
  <c r="AC254" i="32" s="1"/>
  <c r="AD254" i="32" s="1"/>
  <c r="AE254" i="32" s="1"/>
  <c r="AF254" i="32" s="1"/>
  <c r="B254" i="32" s="1"/>
  <c r="D253" i="32"/>
  <c r="E253" i="32" s="1"/>
  <c r="F253" i="32" s="1"/>
  <c r="G253" i="32" s="1"/>
  <c r="H253" i="32" s="1"/>
  <c r="I253" i="32" s="1"/>
  <c r="J253" i="32" s="1"/>
  <c r="K253" i="32" s="1"/>
  <c r="L253" i="32" s="1"/>
  <c r="M253" i="32" s="1"/>
  <c r="N253" i="32" s="1"/>
  <c r="O253" i="32" s="1"/>
  <c r="P253" i="32" s="1"/>
  <c r="Q253" i="32" s="1"/>
  <c r="R253" i="32" s="1"/>
  <c r="S253" i="32" s="1"/>
  <c r="T253" i="32" s="1"/>
  <c r="U253" i="32" s="1"/>
  <c r="V253" i="32" s="1"/>
  <c r="W253" i="32" s="1"/>
  <c r="X253" i="32" s="1"/>
  <c r="Y253" i="32" s="1"/>
  <c r="Z253" i="32" s="1"/>
  <c r="AA253" i="32" s="1"/>
  <c r="AB253" i="32" s="1"/>
  <c r="AC253" i="32" s="1"/>
  <c r="AD253" i="32" s="1"/>
  <c r="AE253" i="32" s="1"/>
  <c r="AF253" i="32" s="1"/>
  <c r="B253" i="32" s="1"/>
  <c r="D252" i="32"/>
  <c r="E252" i="32" s="1"/>
  <c r="F252" i="32" s="1"/>
  <c r="G252" i="32" s="1"/>
  <c r="H252" i="32" s="1"/>
  <c r="I252" i="32" s="1"/>
  <c r="J252" i="32" s="1"/>
  <c r="K252" i="32" s="1"/>
  <c r="L252" i="32" s="1"/>
  <c r="M252" i="32" s="1"/>
  <c r="N252" i="32" s="1"/>
  <c r="O252" i="32" s="1"/>
  <c r="P252" i="32" s="1"/>
  <c r="Q252" i="32" s="1"/>
  <c r="R252" i="32" s="1"/>
  <c r="S252" i="32" s="1"/>
  <c r="T252" i="32" s="1"/>
  <c r="U252" i="32" s="1"/>
  <c r="V252" i="32" s="1"/>
  <c r="W252" i="32" s="1"/>
  <c r="X252" i="32" s="1"/>
  <c r="Y252" i="32" s="1"/>
  <c r="Z252" i="32" s="1"/>
  <c r="AA252" i="32" s="1"/>
  <c r="AB252" i="32" s="1"/>
  <c r="AC252" i="32" s="1"/>
  <c r="AD252" i="32" s="1"/>
  <c r="AE252" i="32" s="1"/>
  <c r="AF252" i="32" s="1"/>
  <c r="B252" i="32" s="1"/>
  <c r="D251" i="32"/>
  <c r="E251" i="32" s="1"/>
  <c r="F251" i="32" s="1"/>
  <c r="G251" i="32" s="1"/>
  <c r="H251" i="32" s="1"/>
  <c r="I251" i="32" s="1"/>
  <c r="J251" i="32" s="1"/>
  <c r="K251" i="32" s="1"/>
  <c r="L251" i="32" s="1"/>
  <c r="M251" i="32" s="1"/>
  <c r="N251" i="32" s="1"/>
  <c r="O251" i="32" s="1"/>
  <c r="P251" i="32" s="1"/>
  <c r="Q251" i="32" s="1"/>
  <c r="R251" i="32" s="1"/>
  <c r="S251" i="32" s="1"/>
  <c r="T251" i="32" s="1"/>
  <c r="U251" i="32" s="1"/>
  <c r="V251" i="32" s="1"/>
  <c r="W251" i="32" s="1"/>
  <c r="X251" i="32" s="1"/>
  <c r="Y251" i="32" s="1"/>
  <c r="Z251" i="32" s="1"/>
  <c r="AA251" i="32" s="1"/>
  <c r="AB251" i="32" s="1"/>
  <c r="AC251" i="32" s="1"/>
  <c r="AD251" i="32" s="1"/>
  <c r="AE251" i="32" s="1"/>
  <c r="AF251" i="32" s="1"/>
  <c r="B251" i="32" s="1"/>
  <c r="E250" i="32"/>
  <c r="F250" i="32" s="1"/>
  <c r="G250" i="32" s="1"/>
  <c r="H250" i="32" s="1"/>
  <c r="I250" i="32" s="1"/>
  <c r="J250" i="32" s="1"/>
  <c r="K250" i="32" s="1"/>
  <c r="L250" i="32" s="1"/>
  <c r="M250" i="32" s="1"/>
  <c r="N250" i="32" s="1"/>
  <c r="O250" i="32" s="1"/>
  <c r="P250" i="32" s="1"/>
  <c r="Q250" i="32" s="1"/>
  <c r="R250" i="32" s="1"/>
  <c r="S250" i="32" s="1"/>
  <c r="T250" i="32" s="1"/>
  <c r="U250" i="32" s="1"/>
  <c r="V250" i="32" s="1"/>
  <c r="W250" i="32" s="1"/>
  <c r="X250" i="32" s="1"/>
  <c r="Y250" i="32" s="1"/>
  <c r="Z250" i="32" s="1"/>
  <c r="AA250" i="32" s="1"/>
  <c r="AB250" i="32" s="1"/>
  <c r="AC250" i="32" s="1"/>
  <c r="AD250" i="32" s="1"/>
  <c r="AE250" i="32" s="1"/>
  <c r="AF250" i="32" s="1"/>
  <c r="B250" i="32" s="1"/>
  <c r="D250" i="32"/>
  <c r="D249" i="32"/>
  <c r="AG247" i="32"/>
  <c r="AF247" i="32"/>
  <c r="AE247" i="32"/>
  <c r="AD247" i="32"/>
  <c r="AC247" i="32"/>
  <c r="AB247" i="32"/>
  <c r="AA247" i="32"/>
  <c r="Z247" i="32"/>
  <c r="Z121" i="32" s="1"/>
  <c r="Y247" i="32"/>
  <c r="X247" i="32"/>
  <c r="W247" i="32"/>
  <c r="V247" i="32"/>
  <c r="U247" i="32"/>
  <c r="T247" i="32"/>
  <c r="S247" i="32"/>
  <c r="R247" i="32"/>
  <c r="Q247" i="32"/>
  <c r="P247" i="32"/>
  <c r="O247" i="32"/>
  <c r="N247" i="32"/>
  <c r="M247" i="32"/>
  <c r="L247" i="32"/>
  <c r="K247" i="32"/>
  <c r="J247" i="32"/>
  <c r="I247" i="32"/>
  <c r="H247" i="32"/>
  <c r="G247" i="32"/>
  <c r="F247" i="32"/>
  <c r="E247" i="32"/>
  <c r="D247" i="32"/>
  <c r="C247" i="32"/>
  <c r="B247" i="32"/>
  <c r="AI133" i="32"/>
  <c r="AH133" i="32"/>
  <c r="AI132" i="32"/>
  <c r="AH132" i="32"/>
  <c r="AI131" i="32"/>
  <c r="AH131" i="32"/>
  <c r="AI130" i="32"/>
  <c r="AH130" i="32"/>
  <c r="AI129" i="32"/>
  <c r="AH129" i="32"/>
  <c r="AI126" i="32"/>
  <c r="AH126" i="32"/>
  <c r="AI125" i="32"/>
  <c r="AH125" i="32"/>
  <c r="AI123" i="32"/>
  <c r="AH123" i="32"/>
  <c r="AI122" i="32"/>
  <c r="AH122" i="32"/>
  <c r="Y121" i="32"/>
  <c r="C121" i="32"/>
  <c r="AI120" i="32"/>
  <c r="AH120" i="32"/>
  <c r="AI119" i="32"/>
  <c r="AH119" i="32"/>
  <c r="AI118" i="32"/>
  <c r="AH118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D109" i="32"/>
  <c r="AC109" i="32"/>
  <c r="AB109" i="32"/>
  <c r="AA109" i="32"/>
  <c r="Z109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D109" i="32"/>
  <c r="B109" i="32"/>
  <c r="AD108" i="32"/>
  <c r="AC108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D108" i="32"/>
  <c r="B108" i="32"/>
  <c r="AD107" i="32"/>
  <c r="AC107" i="32"/>
  <c r="AB107" i="32"/>
  <c r="AA107" i="32"/>
  <c r="Z107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D107" i="32"/>
  <c r="B107" i="32"/>
  <c r="AD106" i="32"/>
  <c r="AC106" i="32"/>
  <c r="AB106" i="32"/>
  <c r="AA106" i="32"/>
  <c r="Z106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D106" i="32"/>
  <c r="B106" i="32"/>
  <c r="AD105" i="32"/>
  <c r="AC105" i="32"/>
  <c r="AB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D105" i="32"/>
  <c r="B105" i="32"/>
  <c r="AD104" i="32"/>
  <c r="AC104" i="32"/>
  <c r="AB104" i="32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D104" i="32"/>
  <c r="B104" i="32"/>
  <c r="AI101" i="32"/>
  <c r="AH101" i="32"/>
  <c r="AI99" i="32"/>
  <c r="AH99" i="32"/>
  <c r="AG99" i="32"/>
  <c r="AI98" i="32"/>
  <c r="AH98" i="32"/>
  <c r="AI97" i="32"/>
  <c r="AH97" i="32"/>
  <c r="AI96" i="32"/>
  <c r="AH96" i="32"/>
  <c r="AG95" i="32"/>
  <c r="AD95" i="32"/>
  <c r="BH19" i="32" s="1"/>
  <c r="AC95" i="32"/>
  <c r="AB5" i="32" s="1"/>
  <c r="AB95" i="32"/>
  <c r="BG19" i="32" s="1"/>
  <c r="AA95" i="32"/>
  <c r="Z5" i="32" s="1"/>
  <c r="Z95" i="32"/>
  <c r="BF19" i="32" s="1"/>
  <c r="Y95" i="32"/>
  <c r="X5" i="32" s="1"/>
  <c r="X95" i="32"/>
  <c r="W5" i="32" s="1"/>
  <c r="W95" i="32"/>
  <c r="V95" i="32"/>
  <c r="U5" i="32" s="1"/>
  <c r="U95" i="32"/>
  <c r="BC19" i="32" s="1"/>
  <c r="T95" i="32"/>
  <c r="S5" i="32" s="1"/>
  <c r="S95" i="32"/>
  <c r="BA19" i="32" s="1"/>
  <c r="R95" i="32"/>
  <c r="AZ19" i="32" s="1"/>
  <c r="Q95" i="32"/>
  <c r="AY19" i="32" s="1"/>
  <c r="P95" i="32"/>
  <c r="O95" i="32"/>
  <c r="N95" i="32"/>
  <c r="AV19" i="32" s="1"/>
  <c r="AP19" i="32"/>
  <c r="D95" i="32"/>
  <c r="AO19" i="32" s="1"/>
  <c r="B95" i="32"/>
  <c r="AI94" i="32"/>
  <c r="AH94" i="32"/>
  <c r="AI93" i="32"/>
  <c r="AH93" i="32"/>
  <c r="AI92" i="32"/>
  <c r="AH92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3" i="32"/>
  <c r="BJ20" i="32"/>
  <c r="AD83" i="32"/>
  <c r="BH20" i="32" s="1"/>
  <c r="AC83" i="32"/>
  <c r="AB83" i="32"/>
  <c r="AA83" i="32"/>
  <c r="Z83" i="32"/>
  <c r="BF20" i="32" s="1"/>
  <c r="Y83" i="32"/>
  <c r="X83" i="32"/>
  <c r="W83" i="32"/>
  <c r="V83" i="32"/>
  <c r="BD20" i="32" s="1"/>
  <c r="U83" i="32"/>
  <c r="T83" i="32"/>
  <c r="BB20" i="32" s="1"/>
  <c r="S83" i="32"/>
  <c r="BA20" i="32" s="1"/>
  <c r="R83" i="32"/>
  <c r="AZ20" i="32" s="1"/>
  <c r="Q83" i="32"/>
  <c r="P83" i="32"/>
  <c r="O83" i="32"/>
  <c r="N83" i="32"/>
  <c r="B83" i="32"/>
  <c r="AI82" i="32"/>
  <c r="AH82" i="32"/>
  <c r="AI81" i="32"/>
  <c r="AH81" i="32"/>
  <c r="AI80" i="32"/>
  <c r="AH80" i="32"/>
  <c r="BJ18" i="32"/>
  <c r="AD79" i="32"/>
  <c r="BH18" i="32" s="1"/>
  <c r="AC79" i="32"/>
  <c r="AB79" i="32"/>
  <c r="AA79" i="32"/>
  <c r="Z79" i="32"/>
  <c r="BF18" i="32" s="1"/>
  <c r="Y79" i="32"/>
  <c r="X79" i="32"/>
  <c r="BE18" i="32" s="1"/>
  <c r="W79" i="32"/>
  <c r="V79" i="32"/>
  <c r="BD18" i="32" s="1"/>
  <c r="U79" i="32"/>
  <c r="BC18" i="32" s="1"/>
  <c r="T79" i="32"/>
  <c r="BB18" i="32" s="1"/>
  <c r="S79" i="32"/>
  <c r="BA18" i="32" s="1"/>
  <c r="R79" i="32"/>
  <c r="Q79" i="32"/>
  <c r="AY18" i="32" s="1"/>
  <c r="P79" i="32"/>
  <c r="O79" i="32"/>
  <c r="AW18" i="32" s="1"/>
  <c r="N79" i="32"/>
  <c r="AT18" i="32"/>
  <c r="AN18" i="32"/>
  <c r="BJ78" i="32"/>
  <c r="AI78" i="32"/>
  <c r="AH78" i="32"/>
  <c r="BM77" i="32"/>
  <c r="BL77" i="32"/>
  <c r="AI77" i="32"/>
  <c r="AH77" i="32"/>
  <c r="BV76" i="32"/>
  <c r="AI76" i="32"/>
  <c r="AH76" i="32"/>
  <c r="AI75" i="32"/>
  <c r="AH75" i="32"/>
  <c r="BR74" i="32"/>
  <c r="BJ74" i="32"/>
  <c r="BI74" i="32"/>
  <c r="BH74" i="32"/>
  <c r="AI74" i="32"/>
  <c r="AH74" i="32"/>
  <c r="BJ73" i="32"/>
  <c r="BH73" i="32"/>
  <c r="AI73" i="32"/>
  <c r="AH73" i="32"/>
  <c r="AI72" i="32"/>
  <c r="AH72" i="32"/>
  <c r="BW71" i="32"/>
  <c r="BW78" i="32" s="1"/>
  <c r="BV71" i="32"/>
  <c r="BV78" i="32" s="1"/>
  <c r="BU71" i="32"/>
  <c r="BU78" i="32" s="1"/>
  <c r="BT71" i="32"/>
  <c r="BT78" i="32" s="1"/>
  <c r="BS71" i="32"/>
  <c r="BS78" i="32" s="1"/>
  <c r="BR71" i="32"/>
  <c r="BR78" i="32" s="1"/>
  <c r="BQ71" i="32"/>
  <c r="BQ78" i="32" s="1"/>
  <c r="BP71" i="32"/>
  <c r="BP78" i="32" s="1"/>
  <c r="BO71" i="32"/>
  <c r="BO78" i="32" s="1"/>
  <c r="BN71" i="32"/>
  <c r="BN78" i="32" s="1"/>
  <c r="BM71" i="32"/>
  <c r="BM78" i="32" s="1"/>
  <c r="BL71" i="32"/>
  <c r="BL78" i="32" s="1"/>
  <c r="BK71" i="32"/>
  <c r="BK78" i="32" s="1"/>
  <c r="BJ71" i="32"/>
  <c r="BI71" i="32"/>
  <c r="BI78" i="32" s="1"/>
  <c r="BH71" i="32"/>
  <c r="BH78" i="32" s="1"/>
  <c r="BG71" i="32"/>
  <c r="BG78" i="32" s="1"/>
  <c r="BF71" i="32"/>
  <c r="BF78" i="32" s="1"/>
  <c r="BE71" i="32"/>
  <c r="BE78" i="32" s="1"/>
  <c r="BD71" i="32"/>
  <c r="BD78" i="32" s="1"/>
  <c r="BC71" i="32"/>
  <c r="BC78" i="32" s="1"/>
  <c r="BB71" i="32"/>
  <c r="BB78" i="32" s="1"/>
  <c r="BA71" i="32"/>
  <c r="BA78" i="32" s="1"/>
  <c r="AZ71" i="32"/>
  <c r="AZ78" i="32" s="1"/>
  <c r="AI71" i="32"/>
  <c r="AH71" i="32"/>
  <c r="BW70" i="32"/>
  <c r="BW77" i="32" s="1"/>
  <c r="BV70" i="32"/>
  <c r="BV77" i="32" s="1"/>
  <c r="BU70" i="32"/>
  <c r="BU77" i="32" s="1"/>
  <c r="BT70" i="32"/>
  <c r="BT77" i="32" s="1"/>
  <c r="BS70" i="32"/>
  <c r="BS77" i="32" s="1"/>
  <c r="BR70" i="32"/>
  <c r="BR77" i="32" s="1"/>
  <c r="BQ70" i="32"/>
  <c r="BQ77" i="32" s="1"/>
  <c r="BP70" i="32"/>
  <c r="BP77" i="32" s="1"/>
  <c r="BO70" i="32"/>
  <c r="BO77" i="32" s="1"/>
  <c r="BN70" i="32"/>
  <c r="BN77" i="32" s="1"/>
  <c r="BM70" i="32"/>
  <c r="BL70" i="32"/>
  <c r="BK70" i="32"/>
  <c r="BK77" i="32" s="1"/>
  <c r="BJ70" i="32"/>
  <c r="BJ77" i="32" s="1"/>
  <c r="BI70" i="32"/>
  <c r="BI77" i="32" s="1"/>
  <c r="BH70" i="32"/>
  <c r="BH77" i="32" s="1"/>
  <c r="BG70" i="32"/>
  <c r="BG77" i="32" s="1"/>
  <c r="BF70" i="32"/>
  <c r="BF77" i="32" s="1"/>
  <c r="BE70" i="32"/>
  <c r="BE77" i="32" s="1"/>
  <c r="BD70" i="32"/>
  <c r="BD77" i="32" s="1"/>
  <c r="BC70" i="32"/>
  <c r="BC77" i="32" s="1"/>
  <c r="BB70" i="32"/>
  <c r="BB77" i="32" s="1"/>
  <c r="BA70" i="32"/>
  <c r="BA77" i="32" s="1"/>
  <c r="AZ70" i="32"/>
  <c r="AZ77" i="32" s="1"/>
  <c r="AI70" i="32"/>
  <c r="AH70" i="32"/>
  <c r="BW69" i="32"/>
  <c r="BW76" i="32" s="1"/>
  <c r="BV69" i="32"/>
  <c r="BU69" i="32"/>
  <c r="BU76" i="32" s="1"/>
  <c r="BT69" i="32"/>
  <c r="BT76" i="32" s="1"/>
  <c r="BS69" i="32"/>
  <c r="BS76" i="32" s="1"/>
  <c r="BR69" i="32"/>
  <c r="BR76" i="32" s="1"/>
  <c r="BQ69" i="32"/>
  <c r="BQ76" i="32" s="1"/>
  <c r="BP69" i="32"/>
  <c r="BP76" i="32" s="1"/>
  <c r="BO69" i="32"/>
  <c r="BO76" i="32" s="1"/>
  <c r="BN69" i="32"/>
  <c r="BN76" i="32" s="1"/>
  <c r="BM69" i="32"/>
  <c r="BM76" i="32" s="1"/>
  <c r="BL69" i="32"/>
  <c r="BL76" i="32" s="1"/>
  <c r="BK69" i="32"/>
  <c r="BK76" i="32" s="1"/>
  <c r="BJ69" i="32"/>
  <c r="BJ76" i="32" s="1"/>
  <c r="BI69" i="32"/>
  <c r="BI76" i="32" s="1"/>
  <c r="BH69" i="32"/>
  <c r="BH76" i="32" s="1"/>
  <c r="BG69" i="32"/>
  <c r="BG76" i="32" s="1"/>
  <c r="BF69" i="32"/>
  <c r="BF76" i="32" s="1"/>
  <c r="BE69" i="32"/>
  <c r="BE76" i="32" s="1"/>
  <c r="BD69" i="32"/>
  <c r="BD76" i="32" s="1"/>
  <c r="BC69" i="32"/>
  <c r="BC76" i="32" s="1"/>
  <c r="BB69" i="32"/>
  <c r="BB76" i="32" s="1"/>
  <c r="BA69" i="32"/>
  <c r="BA76" i="32" s="1"/>
  <c r="AZ69" i="32"/>
  <c r="AZ76" i="32" s="1"/>
  <c r="AI69" i="32"/>
  <c r="AH69" i="32"/>
  <c r="BW68" i="32"/>
  <c r="BW75" i="32" s="1"/>
  <c r="BV68" i="32"/>
  <c r="BV75" i="32" s="1"/>
  <c r="BU68" i="32"/>
  <c r="BU75" i="32" s="1"/>
  <c r="BT68" i="32"/>
  <c r="BT75" i="32" s="1"/>
  <c r="BS68" i="32"/>
  <c r="BS75" i="32" s="1"/>
  <c r="BR68" i="32"/>
  <c r="BR75" i="32" s="1"/>
  <c r="BQ68" i="32"/>
  <c r="BQ75" i="32" s="1"/>
  <c r="BP68" i="32"/>
  <c r="BP75" i="32" s="1"/>
  <c r="BO68" i="32"/>
  <c r="BO75" i="32" s="1"/>
  <c r="BN68" i="32"/>
  <c r="BN75" i="32" s="1"/>
  <c r="BM68" i="32"/>
  <c r="BM75" i="32" s="1"/>
  <c r="BL68" i="32"/>
  <c r="BL75" i="32" s="1"/>
  <c r="BK68" i="32"/>
  <c r="BK75" i="32" s="1"/>
  <c r="BJ68" i="32"/>
  <c r="BJ75" i="32" s="1"/>
  <c r="BI68" i="32"/>
  <c r="BI75" i="32" s="1"/>
  <c r="BH68" i="32"/>
  <c r="BH75" i="32" s="1"/>
  <c r="BG68" i="32"/>
  <c r="BG75" i="32" s="1"/>
  <c r="BF68" i="32"/>
  <c r="BF75" i="32" s="1"/>
  <c r="BE68" i="32"/>
  <c r="BE75" i="32" s="1"/>
  <c r="BD68" i="32"/>
  <c r="BD75" i="32" s="1"/>
  <c r="BC68" i="32"/>
  <c r="BC75" i="32" s="1"/>
  <c r="BB68" i="32"/>
  <c r="BB75" i="32" s="1"/>
  <c r="BA68" i="32"/>
  <c r="BA75" i="32" s="1"/>
  <c r="AZ68" i="32"/>
  <c r="AZ75" i="32" s="1"/>
  <c r="AI68" i="32"/>
  <c r="AH68" i="32"/>
  <c r="BW67" i="32"/>
  <c r="BW74" i="32" s="1"/>
  <c r="BV67" i="32"/>
  <c r="BV74" i="32" s="1"/>
  <c r="BU67" i="32"/>
  <c r="BU74" i="32" s="1"/>
  <c r="BT67" i="32"/>
  <c r="BT74" i="32" s="1"/>
  <c r="BS67" i="32"/>
  <c r="BS74" i="32" s="1"/>
  <c r="BR67" i="32"/>
  <c r="BQ67" i="32"/>
  <c r="BQ74" i="32" s="1"/>
  <c r="BP67" i="32"/>
  <c r="BP74" i="32" s="1"/>
  <c r="BO67" i="32"/>
  <c r="BO74" i="32" s="1"/>
  <c r="BN67" i="32"/>
  <c r="BN74" i="32" s="1"/>
  <c r="BM67" i="32"/>
  <c r="BM74" i="32" s="1"/>
  <c r="BL67" i="32"/>
  <c r="BL74" i="32" s="1"/>
  <c r="BK67" i="32"/>
  <c r="BK74" i="32" s="1"/>
  <c r="BJ67" i="32"/>
  <c r="BI67" i="32"/>
  <c r="BH67" i="32"/>
  <c r="BG67" i="32"/>
  <c r="BG74" i="32" s="1"/>
  <c r="BF67" i="32"/>
  <c r="BF74" i="32" s="1"/>
  <c r="BE67" i="32"/>
  <c r="BE74" i="32" s="1"/>
  <c r="BD67" i="32"/>
  <c r="BD74" i="32" s="1"/>
  <c r="BC67" i="32"/>
  <c r="BC74" i="32" s="1"/>
  <c r="BB67" i="32"/>
  <c r="BB74" i="32" s="1"/>
  <c r="BA67" i="32"/>
  <c r="BA74" i="32" s="1"/>
  <c r="AZ67" i="32"/>
  <c r="AZ74" i="32" s="1"/>
  <c r="AI67" i="32"/>
  <c r="AH67" i="32"/>
  <c r="BW66" i="32"/>
  <c r="BW73" i="32" s="1"/>
  <c r="BV66" i="32"/>
  <c r="BV73" i="32" s="1"/>
  <c r="BU66" i="32"/>
  <c r="BU73" i="32" s="1"/>
  <c r="BT66" i="32"/>
  <c r="BT73" i="32" s="1"/>
  <c r="BS66" i="32"/>
  <c r="BS73" i="32" s="1"/>
  <c r="BR66" i="32"/>
  <c r="BR73" i="32" s="1"/>
  <c r="BQ66" i="32"/>
  <c r="BQ73" i="32" s="1"/>
  <c r="BP66" i="32"/>
  <c r="BP73" i="32" s="1"/>
  <c r="BO66" i="32"/>
  <c r="BO73" i="32" s="1"/>
  <c r="BN66" i="32"/>
  <c r="BN73" i="32" s="1"/>
  <c r="BM66" i="32"/>
  <c r="BM73" i="32" s="1"/>
  <c r="BL66" i="32"/>
  <c r="BL73" i="32" s="1"/>
  <c r="BK66" i="32"/>
  <c r="BK73" i="32" s="1"/>
  <c r="BJ66" i="32"/>
  <c r="BI66" i="32"/>
  <c r="BI73" i="32" s="1"/>
  <c r="BH66" i="32"/>
  <c r="BG66" i="32"/>
  <c r="BG73" i="32" s="1"/>
  <c r="BF66" i="32"/>
  <c r="BF73" i="32" s="1"/>
  <c r="BE66" i="32"/>
  <c r="BE73" i="32" s="1"/>
  <c r="BD66" i="32"/>
  <c r="BD73" i="32" s="1"/>
  <c r="BC66" i="32"/>
  <c r="BC73" i="32" s="1"/>
  <c r="BB66" i="32"/>
  <c r="BB73" i="32" s="1"/>
  <c r="BA66" i="32"/>
  <c r="BA73" i="32" s="1"/>
  <c r="AZ66" i="32"/>
  <c r="AZ73" i="32" s="1"/>
  <c r="AI66" i="32"/>
  <c r="AH66" i="32"/>
  <c r="AG65" i="32"/>
  <c r="AD65" i="32"/>
  <c r="BH17" i="32" s="1"/>
  <c r="AC65" i="32"/>
  <c r="AB65" i="32"/>
  <c r="BG17" i="32" s="1"/>
  <c r="AA65" i="32"/>
  <c r="Z65" i="32"/>
  <c r="BF17" i="32" s="1"/>
  <c r="Y65" i="32"/>
  <c r="X65" i="32"/>
  <c r="W65" i="32"/>
  <c r="V65" i="32"/>
  <c r="BD17" i="32" s="1"/>
  <c r="U65" i="32"/>
  <c r="BC17" i="32" s="1"/>
  <c r="T65" i="32"/>
  <c r="BB17" i="32" s="1"/>
  <c r="S65" i="32"/>
  <c r="BA17" i="32" s="1"/>
  <c r="R65" i="32"/>
  <c r="Q65" i="32"/>
  <c r="AY17" i="32" s="1"/>
  <c r="P65" i="32"/>
  <c r="AX17" i="32" s="1"/>
  <c r="O65" i="32"/>
  <c r="N65" i="32"/>
  <c r="AQ17" i="32"/>
  <c r="AP17" i="32"/>
  <c r="AO17" i="32"/>
  <c r="AI64" i="32"/>
  <c r="AH64" i="32"/>
  <c r="AI63" i="32"/>
  <c r="AH63" i="32"/>
  <c r="AI62" i="32"/>
  <c r="AH62" i="32"/>
  <c r="AG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AY16" i="32" s="1"/>
  <c r="P61" i="32"/>
  <c r="O61" i="32"/>
  <c r="N61" i="32"/>
  <c r="L7" i="32"/>
  <c r="I7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T23" i="32"/>
  <c r="AS23" i="32"/>
  <c r="AR23" i="32"/>
  <c r="AI23" i="32"/>
  <c r="AH23" i="32"/>
  <c r="AI22" i="32"/>
  <c r="AH22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I21" i="32"/>
  <c r="AH21" i="32"/>
  <c r="BI20" i="32"/>
  <c r="BG20" i="32"/>
  <c r="BE20" i="32"/>
  <c r="BC20" i="32"/>
  <c r="AY20" i="32"/>
  <c r="AX20" i="32"/>
  <c r="AW20" i="32"/>
  <c r="AV20" i="32"/>
  <c r="AU20" i="32"/>
  <c r="AT20" i="32"/>
  <c r="AS20" i="32"/>
  <c r="AR20" i="32"/>
  <c r="AQ20" i="32"/>
  <c r="AN20" i="32"/>
  <c r="AM20" i="32"/>
  <c r="AI20" i="32"/>
  <c r="AH20" i="32"/>
  <c r="BJ19" i="32"/>
  <c r="AU19" i="32"/>
  <c r="AT19" i="32"/>
  <c r="AS19" i="32"/>
  <c r="AR19" i="32"/>
  <c r="AQ19" i="32"/>
  <c r="AN19" i="32"/>
  <c r="AM19" i="32"/>
  <c r="AI19" i="32"/>
  <c r="AH19" i="32"/>
  <c r="BI18" i="32"/>
  <c r="BG18" i="32"/>
  <c r="AZ18" i="32"/>
  <c r="AX18" i="32"/>
  <c r="AV18" i="32"/>
  <c r="AU18" i="32"/>
  <c r="AS18" i="32"/>
  <c r="AR18" i="32"/>
  <c r="AQ18" i="32"/>
  <c r="AP18" i="32"/>
  <c r="AO18" i="32"/>
  <c r="AM18" i="32"/>
  <c r="AI18" i="32"/>
  <c r="AH18" i="32"/>
  <c r="BJ17" i="32"/>
  <c r="BI17" i="32"/>
  <c r="BE17" i="32"/>
  <c r="AZ17" i="32"/>
  <c r="AV17" i="32"/>
  <c r="AU17" i="32"/>
  <c r="AT17" i="32"/>
  <c r="AS17" i="32"/>
  <c r="AR17" i="32"/>
  <c r="AN17" i="32"/>
  <c r="AM17" i="32"/>
  <c r="AI17" i="32"/>
  <c r="AH17" i="32"/>
  <c r="BA16" i="32"/>
  <c r="AZ16" i="32"/>
  <c r="AX16" i="32"/>
  <c r="AT16" i="32"/>
  <c r="AS16" i="32"/>
  <c r="AR16" i="32"/>
  <c r="AQ16" i="32"/>
  <c r="AP16" i="32"/>
  <c r="AO16" i="32"/>
  <c r="AN16" i="32"/>
  <c r="AM16" i="32"/>
  <c r="AI16" i="32"/>
  <c r="AH16" i="32"/>
  <c r="AI15" i="32"/>
  <c r="AH15" i="32"/>
  <c r="AI14" i="32"/>
  <c r="AH14" i="32"/>
  <c r="AI13" i="32"/>
  <c r="AH13" i="32"/>
  <c r="AL12" i="32"/>
  <c r="AI12" i="32"/>
  <c r="AH12" i="32"/>
  <c r="AI11" i="32"/>
  <c r="AH11" i="32"/>
  <c r="H7" i="32"/>
  <c r="AF5" i="32"/>
  <c r="AE5" i="32"/>
  <c r="T5" i="32"/>
  <c r="Q5" i="32"/>
  <c r="M5" i="32"/>
  <c r="L5" i="32"/>
  <c r="K5" i="32"/>
  <c r="J5" i="32"/>
  <c r="I5" i="32"/>
  <c r="H5" i="32"/>
  <c r="G5" i="32"/>
  <c r="F5" i="32"/>
  <c r="E5" i="32"/>
  <c r="C5" i="32"/>
  <c r="B5" i="32"/>
  <c r="AG4" i="32"/>
  <c r="K4" i="32"/>
  <c r="E4" i="32"/>
  <c r="H4" i="32" s="1"/>
  <c r="B4" i="32"/>
  <c r="D261" i="32" s="1"/>
  <c r="AG2" i="32"/>
  <c r="AF124" i="31"/>
  <c r="AF60" i="31"/>
  <c r="AE95" i="31"/>
  <c r="AE100" i="31" s="1"/>
  <c r="AE102" i="31" s="1"/>
  <c r="AE104" i="31"/>
  <c r="AE105" i="31"/>
  <c r="AE106" i="31"/>
  <c r="AE107" i="31"/>
  <c r="AE108" i="31"/>
  <c r="AE109" i="31"/>
  <c r="AE121" i="31"/>
  <c r="AD95" i="31"/>
  <c r="AD100" i="31" s="1"/>
  <c r="AD102" i="31" s="1"/>
  <c r="AD104" i="31"/>
  <c r="AD105" i="31"/>
  <c r="AD106" i="31"/>
  <c r="AD107" i="31"/>
  <c r="AD108" i="31"/>
  <c r="AD109" i="31"/>
  <c r="AD121" i="31"/>
  <c r="AC95" i="31"/>
  <c r="AC104" i="31"/>
  <c r="AC105" i="31"/>
  <c r="AC106" i="31"/>
  <c r="AC107" i="31"/>
  <c r="AC108" i="31"/>
  <c r="AC109" i="31"/>
  <c r="AC121" i="31"/>
  <c r="AB95" i="31"/>
  <c r="AB100" i="31" s="1"/>
  <c r="AB102" i="31" s="1"/>
  <c r="AB104" i="31"/>
  <c r="AB105" i="31"/>
  <c r="AB106" i="31"/>
  <c r="AB107" i="31"/>
  <c r="AB108" i="31"/>
  <c r="AB109" i="31"/>
  <c r="AB121" i="31"/>
  <c r="W250" i="35" l="1"/>
  <c r="V255" i="35"/>
  <c r="Z249" i="35"/>
  <c r="Q255" i="34"/>
  <c r="R249" i="34"/>
  <c r="Q121" i="34"/>
  <c r="O249" i="33"/>
  <c r="N121" i="33"/>
  <c r="L250" i="33"/>
  <c r="K255" i="33"/>
  <c r="AA5" i="32"/>
  <c r="AA110" i="32"/>
  <c r="AA111" i="32" s="1"/>
  <c r="Y5" i="32"/>
  <c r="Y100" i="32"/>
  <c r="Y102" i="32" s="1"/>
  <c r="X100" i="32"/>
  <c r="X102" i="32" s="1"/>
  <c r="X103" i="32" s="1"/>
  <c r="X7" i="32" s="1"/>
  <c r="BE19" i="32"/>
  <c r="W100" i="32"/>
  <c r="W102" i="32" s="1"/>
  <c r="BB19" i="32"/>
  <c r="R5" i="32"/>
  <c r="S110" i="32"/>
  <c r="S111" i="32" s="1"/>
  <c r="X111" i="32"/>
  <c r="O110" i="32"/>
  <c r="AW23" i="32" s="1"/>
  <c r="W110" i="32"/>
  <c r="W111" i="32" s="1"/>
  <c r="BI23" i="32"/>
  <c r="AE7" i="32"/>
  <c r="BD19" i="32"/>
  <c r="AF7" i="32"/>
  <c r="BE16" i="32"/>
  <c r="BE22" i="32" s="1"/>
  <c r="BE24" i="32" s="1"/>
  <c r="Z100" i="32"/>
  <c r="Z102" i="32" s="1"/>
  <c r="BF16" i="32"/>
  <c r="BF22" i="32" s="1"/>
  <c r="X110" i="32"/>
  <c r="BE23" i="32" s="1"/>
  <c r="BJ23" i="32"/>
  <c r="T110" i="32"/>
  <c r="BB23" i="32" s="1"/>
  <c r="AB110" i="32"/>
  <c r="BG23" i="32" s="1"/>
  <c r="B100" i="32"/>
  <c r="Y110" i="32"/>
  <c r="Y111" i="32" s="1"/>
  <c r="D255" i="32"/>
  <c r="AG6" i="32"/>
  <c r="AG100" i="32"/>
  <c r="AC5" i="32"/>
  <c r="BI16" i="32"/>
  <c r="V5" i="32"/>
  <c r="AD5" i="32"/>
  <c r="BJ16" i="32"/>
  <c r="BJ22" i="32" s="1"/>
  <c r="BI19" i="32"/>
  <c r="BI22" i="32" s="1"/>
  <c r="BA23" i="32"/>
  <c r="U100" i="32"/>
  <c r="U102" i="32" s="1"/>
  <c r="AC100" i="32"/>
  <c r="AC102" i="32" s="1"/>
  <c r="Z110" i="32"/>
  <c r="BF23" i="32" s="1"/>
  <c r="E249" i="32"/>
  <c r="W103" i="32"/>
  <c r="W7" i="32" s="1"/>
  <c r="V100" i="32"/>
  <c r="V102" i="32" s="1"/>
  <c r="V103" i="32" s="1"/>
  <c r="V7" i="32" s="1"/>
  <c r="T100" i="32"/>
  <c r="T102" i="32" s="1"/>
  <c r="AB100" i="32"/>
  <c r="AB102" i="32" s="1"/>
  <c r="BA22" i="32"/>
  <c r="R110" i="32"/>
  <c r="AZ23" i="32" s="1"/>
  <c r="R100" i="32"/>
  <c r="R102" i="32" s="1"/>
  <c r="AZ22" i="32"/>
  <c r="Q110" i="32"/>
  <c r="AY23" i="32" s="1"/>
  <c r="P5" i="32"/>
  <c r="AY22" i="32"/>
  <c r="AH65" i="32"/>
  <c r="Q100" i="32"/>
  <c r="Q102" i="32" s="1"/>
  <c r="O5" i="32"/>
  <c r="P110" i="32"/>
  <c r="AX23" i="32" s="1"/>
  <c r="AX19" i="32"/>
  <c r="AX22" i="32" s="1"/>
  <c r="P100" i="32"/>
  <c r="P102" i="32" s="1"/>
  <c r="P103" i="32" s="1"/>
  <c r="P7" i="32" s="1"/>
  <c r="N100" i="32"/>
  <c r="N102" i="32" s="1"/>
  <c r="N5" i="32"/>
  <c r="AW19" i="32"/>
  <c r="AH79" i="32"/>
  <c r="AW17" i="32"/>
  <c r="O100" i="32"/>
  <c r="O102" i="32" s="1"/>
  <c r="AW16" i="32"/>
  <c r="AW22" i="32" s="1"/>
  <c r="AT22" i="32"/>
  <c r="AT24" i="32" s="1"/>
  <c r="AS22" i="32"/>
  <c r="AS24" i="32" s="1"/>
  <c r="AR22" i="32"/>
  <c r="AR24" i="32" s="1"/>
  <c r="F111" i="32"/>
  <c r="AQ22" i="32"/>
  <c r="D121" i="32"/>
  <c r="D100" i="32"/>
  <c r="D102" i="32" s="1"/>
  <c r="D5" i="32"/>
  <c r="AH105" i="32"/>
  <c r="AI105" i="32"/>
  <c r="D110" i="32"/>
  <c r="AO23" i="32" s="1"/>
  <c r="AP22" i="32"/>
  <c r="AO20" i="32"/>
  <c r="AO22" i="32" s="1"/>
  <c r="C110" i="32"/>
  <c r="AI106" i="32"/>
  <c r="C100" i="32"/>
  <c r="C102" i="32" s="1"/>
  <c r="C103" i="32" s="1"/>
  <c r="C7" i="32" s="1"/>
  <c r="C111" i="32"/>
  <c r="AN23" i="32"/>
  <c r="AH104" i="32"/>
  <c r="AN22" i="32"/>
  <c r="AM22" i="32"/>
  <c r="AH106" i="32"/>
  <c r="G7" i="32"/>
  <c r="C259" i="32"/>
  <c r="B259" i="32"/>
  <c r="BG16" i="32"/>
  <c r="BG22" i="32" s="1"/>
  <c r="AD100" i="32"/>
  <c r="AD102" i="32" s="1"/>
  <c r="AL13" i="32"/>
  <c r="AV16" i="32"/>
  <c r="AV22" i="32" s="1"/>
  <c r="BD16" i="32"/>
  <c r="BD22" i="32" s="1"/>
  <c r="K7" i="32"/>
  <c r="S100" i="32"/>
  <c r="S102" i="32" s="1"/>
  <c r="S103" i="32" s="1"/>
  <c r="S7" i="32" s="1"/>
  <c r="AA100" i="32"/>
  <c r="AA102" i="32" s="1"/>
  <c r="AA103" i="32" s="1"/>
  <c r="AA7" i="32" s="1"/>
  <c r="AI61" i="32"/>
  <c r="AI65" i="32"/>
  <c r="AI79" i="32"/>
  <c r="AI104" i="32"/>
  <c r="AI107" i="32"/>
  <c r="BG82" i="32" a="1"/>
  <c r="AG102" i="32"/>
  <c r="BH16" i="32"/>
  <c r="BH22" i="32" s="1"/>
  <c r="AI95" i="32"/>
  <c r="AH95" i="32"/>
  <c r="AP23" i="32"/>
  <c r="AU23" i="32"/>
  <c r="U110" i="32"/>
  <c r="BC23" i="32" s="1"/>
  <c r="AC110" i="32"/>
  <c r="AI83" i="32"/>
  <c r="AH83" i="32"/>
  <c r="AQ23" i="32"/>
  <c r="AQ24" i="32" s="1"/>
  <c r="N110" i="32"/>
  <c r="AV23" i="32" s="1"/>
  <c r="V110" i="32"/>
  <c r="BD23" i="32" s="1"/>
  <c r="AD110" i="32"/>
  <c r="BH23" i="32" s="1"/>
  <c r="B110" i="32"/>
  <c r="B111" i="32" s="1"/>
  <c r="BB16" i="32"/>
  <c r="BB22" i="32" s="1"/>
  <c r="BB24" i="32" s="1"/>
  <c r="T111" i="32"/>
  <c r="AH109" i="32"/>
  <c r="AU16" i="32"/>
  <c r="AU22" i="32" s="1"/>
  <c r="BC16" i="32"/>
  <c r="BC22" i="32" s="1"/>
  <c r="B102" i="32"/>
  <c r="J7" i="32"/>
  <c r="AH61" i="32"/>
  <c r="AI108" i="32"/>
  <c r="AI109" i="32"/>
  <c r="E255" i="32"/>
  <c r="AH107" i="32"/>
  <c r="AH108" i="32"/>
  <c r="AE110" i="31"/>
  <c r="AE103" i="31" s="1"/>
  <c r="AE111" i="31"/>
  <c r="AD110" i="31"/>
  <c r="AD103" i="31"/>
  <c r="AD111" i="31"/>
  <c r="AC110" i="31"/>
  <c r="AC111" i="31"/>
  <c r="AC100" i="31"/>
  <c r="AC102" i="31" s="1"/>
  <c r="AC103" i="31" s="1"/>
  <c r="AB110" i="31"/>
  <c r="AB103" i="31"/>
  <c r="AB111" i="31"/>
  <c r="AA249" i="35" l="1"/>
  <c r="X250" i="35"/>
  <c r="W255" i="35"/>
  <c r="R255" i="34"/>
  <c r="R121" i="34"/>
  <c r="S249" i="34"/>
  <c r="M250" i="33"/>
  <c r="L255" i="33"/>
  <c r="P249" i="33"/>
  <c r="O121" i="33"/>
  <c r="BJ24" i="32"/>
  <c r="BI24" i="32"/>
  <c r="AD103" i="32"/>
  <c r="AD7" i="32" s="1"/>
  <c r="AC103" i="32"/>
  <c r="AC7" i="32" s="1"/>
  <c r="BG24" i="32"/>
  <c r="AB111" i="32"/>
  <c r="Z103" i="32"/>
  <c r="Z7" i="32" s="1"/>
  <c r="Z111" i="32"/>
  <c r="BC24" i="32"/>
  <c r="BA24" i="32"/>
  <c r="AW24" i="32"/>
  <c r="F249" i="32"/>
  <c r="E121" i="32"/>
  <c r="Q103" i="32"/>
  <c r="Q7" i="32" s="1"/>
  <c r="O111" i="32"/>
  <c r="O103" i="32"/>
  <c r="O7" i="32" s="1"/>
  <c r="AC111" i="32"/>
  <c r="U111" i="32"/>
  <c r="BD24" i="32"/>
  <c r="AB103" i="32"/>
  <c r="AB7" i="32" s="1"/>
  <c r="R111" i="32"/>
  <c r="V111" i="32"/>
  <c r="T103" i="32"/>
  <c r="T7" i="32" s="1"/>
  <c r="Y103" i="32"/>
  <c r="Y7" i="32" s="1"/>
  <c r="BF24" i="32"/>
  <c r="AZ24" i="32"/>
  <c r="R103" i="32"/>
  <c r="R7" i="32" s="1"/>
  <c r="AY24" i="32"/>
  <c r="Q111" i="32"/>
  <c r="AX24" i="32"/>
  <c r="P111" i="32"/>
  <c r="AV24" i="32"/>
  <c r="AU24" i="32"/>
  <c r="AO24" i="32"/>
  <c r="AP24" i="32"/>
  <c r="D111" i="32"/>
  <c r="D103" i="32"/>
  <c r="D7" i="32" s="1"/>
  <c r="AN24" i="32"/>
  <c r="N103" i="32"/>
  <c r="N7" i="32" s="1"/>
  <c r="E7" i="32"/>
  <c r="F7" i="32"/>
  <c r="BK105" i="32"/>
  <c r="BI104" i="32"/>
  <c r="BG103" i="32"/>
  <c r="BK101" i="32"/>
  <c r="BI100" i="32"/>
  <c r="BG99" i="32"/>
  <c r="BK97" i="32"/>
  <c r="BI96" i="32"/>
  <c r="BG95" i="32"/>
  <c r="BK93" i="32"/>
  <c r="BI92" i="32"/>
  <c r="BG91" i="32"/>
  <c r="BK89" i="32"/>
  <c r="BI88" i="32"/>
  <c r="BG87" i="32"/>
  <c r="BK85" i="32"/>
  <c r="BI84" i="32"/>
  <c r="BG83" i="32"/>
  <c r="BJ105" i="32"/>
  <c r="BH104" i="32"/>
  <c r="BL102" i="32"/>
  <c r="BJ101" i="32"/>
  <c r="BH100" i="32"/>
  <c r="BL98" i="32"/>
  <c r="BJ97" i="32"/>
  <c r="BH96" i="32"/>
  <c r="BL94" i="32"/>
  <c r="BJ93" i="32"/>
  <c r="BH92" i="32"/>
  <c r="BL90" i="32"/>
  <c r="BJ89" i="32"/>
  <c r="BH88" i="32"/>
  <c r="BL86" i="32"/>
  <c r="BJ85" i="32"/>
  <c r="BH84" i="32"/>
  <c r="BL82" i="32"/>
  <c r="BI105" i="32"/>
  <c r="BG104" i="32"/>
  <c r="BK102" i="32"/>
  <c r="BI101" i="32"/>
  <c r="BG100" i="32"/>
  <c r="BK98" i="32"/>
  <c r="BI97" i="32"/>
  <c r="BG96" i="32"/>
  <c r="BK94" i="32"/>
  <c r="BI93" i="32"/>
  <c r="BG92" i="32"/>
  <c r="BK90" i="32"/>
  <c r="BI89" i="32"/>
  <c r="BG88" i="32"/>
  <c r="BK86" i="32"/>
  <c r="BI85" i="32"/>
  <c r="BG84" i="32"/>
  <c r="BK82" i="32"/>
  <c r="BH105" i="32"/>
  <c r="BL103" i="32"/>
  <c r="BJ102" i="32"/>
  <c r="BH101" i="32"/>
  <c r="BL99" i="32"/>
  <c r="BJ98" i="32"/>
  <c r="BH97" i="32"/>
  <c r="BL95" i="32"/>
  <c r="BJ94" i="32"/>
  <c r="BH93" i="32"/>
  <c r="BL91" i="32"/>
  <c r="BJ90" i="32"/>
  <c r="BH89" i="32"/>
  <c r="BL87" i="32"/>
  <c r="BJ86" i="32"/>
  <c r="BH85" i="32"/>
  <c r="BL83" i="32"/>
  <c r="BJ82" i="32"/>
  <c r="BL105" i="32"/>
  <c r="BJ104" i="32"/>
  <c r="BH103" i="32"/>
  <c r="BL101" i="32"/>
  <c r="BJ100" i="32"/>
  <c r="BH99" i="32"/>
  <c r="BL97" i="32"/>
  <c r="BJ96" i="32"/>
  <c r="BH95" i="32"/>
  <c r="BL93" i="32"/>
  <c r="BJ92" i="32"/>
  <c r="BH91" i="32"/>
  <c r="BL89" i="32"/>
  <c r="BJ88" i="32"/>
  <c r="BH87" i="32"/>
  <c r="BL85" i="32"/>
  <c r="BJ84" i="32"/>
  <c r="BH83" i="32"/>
  <c r="BI103" i="32"/>
  <c r="BJ99" i="32"/>
  <c r="BK95" i="32"/>
  <c r="BK92" i="32"/>
  <c r="BL88" i="32"/>
  <c r="BG85" i="32"/>
  <c r="BG82" i="32"/>
  <c r="BK100" i="32"/>
  <c r="BI82" i="32"/>
  <c r="BI102" i="32"/>
  <c r="BI99" i="32"/>
  <c r="BJ95" i="32"/>
  <c r="BK91" i="32"/>
  <c r="BK88" i="32"/>
  <c r="BL84" i="32"/>
  <c r="BL96" i="32"/>
  <c r="BH102" i="32"/>
  <c r="BI98" i="32"/>
  <c r="BI95" i="32"/>
  <c r="BJ91" i="32"/>
  <c r="BK87" i="32"/>
  <c r="BK84" i="32"/>
  <c r="BG93" i="32"/>
  <c r="BG105" i="32"/>
  <c r="BG102" i="32"/>
  <c r="BH98" i="32"/>
  <c r="BI94" i="32"/>
  <c r="BI91" i="32"/>
  <c r="BJ87" i="32"/>
  <c r="BK83" i="32"/>
  <c r="BK103" i="32"/>
  <c r="BH86" i="32"/>
  <c r="BL104" i="32"/>
  <c r="BG101" i="32"/>
  <c r="BG98" i="32"/>
  <c r="BH94" i="32"/>
  <c r="BI90" i="32"/>
  <c r="BI87" i="32"/>
  <c r="BJ83" i="32"/>
  <c r="BK104" i="32"/>
  <c r="BL100" i="32"/>
  <c r="BG97" i="32"/>
  <c r="BG94" i="32"/>
  <c r="BH90" i="32"/>
  <c r="BI86" i="32"/>
  <c r="BI83" i="32"/>
  <c r="BJ103" i="32"/>
  <c r="BK99" i="32"/>
  <c r="BK96" i="32"/>
  <c r="BL92" i="32"/>
  <c r="BG89" i="32"/>
  <c r="BG86" i="32"/>
  <c r="BH82" i="32"/>
  <c r="BG90" i="32"/>
  <c r="B103" i="32"/>
  <c r="AH102" i="32"/>
  <c r="AI102" i="32"/>
  <c r="AH110" i="32"/>
  <c r="AM23" i="32"/>
  <c r="AM24" i="32" s="1"/>
  <c r="AI110" i="32"/>
  <c r="AD111" i="32"/>
  <c r="U103" i="32"/>
  <c r="U7" i="32" s="1"/>
  <c r="K6" i="32"/>
  <c r="AT8" i="32"/>
  <c r="AH100" i="32"/>
  <c r="AI100" i="32"/>
  <c r="BH24" i="32"/>
  <c r="N111" i="32"/>
  <c r="M7" i="32"/>
  <c r="Y250" i="35" l="1"/>
  <c r="X255" i="35"/>
  <c r="AA121" i="35"/>
  <c r="AB249" i="35"/>
  <c r="S255" i="34"/>
  <c r="T249" i="34"/>
  <c r="Q249" i="33"/>
  <c r="N250" i="33"/>
  <c r="M255" i="33"/>
  <c r="G249" i="32"/>
  <c r="F121" i="32"/>
  <c r="F255" i="32"/>
  <c r="AI111" i="32"/>
  <c r="AT9" i="32"/>
  <c r="AH111" i="32"/>
  <c r="AI103" i="32"/>
  <c r="AH103" i="32"/>
  <c r="B7" i="32"/>
  <c r="A7" i="32" s="1"/>
  <c r="Z250" i="35" l="1"/>
  <c r="Y255" i="35"/>
  <c r="AC249" i="35"/>
  <c r="T255" i="34"/>
  <c r="U249" i="34"/>
  <c r="O250" i="33"/>
  <c r="N255" i="33"/>
  <c r="Q121" i="33"/>
  <c r="R249" i="33"/>
  <c r="G121" i="32"/>
  <c r="G255" i="32"/>
  <c r="H249" i="32"/>
  <c r="AD249" i="35" l="1"/>
  <c r="AA250" i="35"/>
  <c r="Z255" i="35"/>
  <c r="V249" i="34"/>
  <c r="U255" i="34"/>
  <c r="R121" i="33"/>
  <c r="S249" i="33"/>
  <c r="P250" i="33"/>
  <c r="O255" i="33"/>
  <c r="H121" i="32"/>
  <c r="I249" i="32"/>
  <c r="H255" i="32"/>
  <c r="AE249" i="35" l="1"/>
  <c r="AB250" i="35"/>
  <c r="AA255" i="35"/>
  <c r="W249" i="34"/>
  <c r="V255" i="34"/>
  <c r="Q250" i="33"/>
  <c r="P255" i="33"/>
  <c r="S121" i="33"/>
  <c r="T249" i="33"/>
  <c r="I121" i="32"/>
  <c r="I255" i="32"/>
  <c r="J249" i="32"/>
  <c r="AF249" i="35" l="1"/>
  <c r="AC250" i="35"/>
  <c r="AB255" i="35"/>
  <c r="X249" i="34"/>
  <c r="W255" i="34"/>
  <c r="U249" i="33"/>
  <c r="R250" i="33"/>
  <c r="Q255" i="33"/>
  <c r="J121" i="32"/>
  <c r="J255" i="32"/>
  <c r="K249" i="32"/>
  <c r="V60" i="31"/>
  <c r="B249" i="35" l="1"/>
  <c r="AD250" i="35"/>
  <c r="AC255" i="35"/>
  <c r="Y249" i="34"/>
  <c r="X255" i="34"/>
  <c r="S250" i="33"/>
  <c r="R255" i="33"/>
  <c r="V249" i="33"/>
  <c r="K121" i="32"/>
  <c r="K255" i="32"/>
  <c r="L249" i="32"/>
  <c r="AE250" i="35" l="1"/>
  <c r="AD255" i="35"/>
  <c r="B121" i="35"/>
  <c r="Y255" i="34"/>
  <c r="Z249" i="34"/>
  <c r="W249" i="33"/>
  <c r="T250" i="33"/>
  <c r="S255" i="33"/>
  <c r="L121" i="32"/>
  <c r="L255" i="32"/>
  <c r="M249" i="32"/>
  <c r="AF250" i="35" l="1"/>
  <c r="AE255" i="35"/>
  <c r="AH121" i="35"/>
  <c r="AI121" i="35"/>
  <c r="Z255" i="34"/>
  <c r="AA249" i="34"/>
  <c r="U250" i="33"/>
  <c r="T255" i="33"/>
  <c r="X249" i="33"/>
  <c r="M121" i="32"/>
  <c r="N249" i="32"/>
  <c r="M255" i="32"/>
  <c r="B250" i="35" l="1"/>
  <c r="B255" i="35" s="1"/>
  <c r="AF255" i="35"/>
  <c r="AA255" i="34"/>
  <c r="AB249" i="34"/>
  <c r="Y249" i="33"/>
  <c r="V250" i="33"/>
  <c r="U255" i="33"/>
  <c r="O249" i="32"/>
  <c r="N255" i="32"/>
  <c r="N121" i="32"/>
  <c r="AB255" i="34" l="1"/>
  <c r="AB121" i="34"/>
  <c r="AC249" i="34"/>
  <c r="W250" i="33"/>
  <c r="V255" i="33"/>
  <c r="Z249" i="33"/>
  <c r="P249" i="32"/>
  <c r="O255" i="32"/>
  <c r="O121" i="32"/>
  <c r="AC121" i="34" l="1"/>
  <c r="AD249" i="34"/>
  <c r="AC255" i="34"/>
  <c r="AA249" i="33"/>
  <c r="X250" i="33"/>
  <c r="W255" i="33"/>
  <c r="Q249" i="32"/>
  <c r="P255" i="32"/>
  <c r="AE249" i="34" l="1"/>
  <c r="AD255" i="34"/>
  <c r="AD121" i="34"/>
  <c r="AB249" i="33"/>
  <c r="Y250" i="33"/>
  <c r="X255" i="33"/>
  <c r="R249" i="32"/>
  <c r="Q255" i="32"/>
  <c r="Q121" i="32"/>
  <c r="R124" i="31"/>
  <c r="R60" i="31"/>
  <c r="Q60" i="31"/>
  <c r="P124" i="31"/>
  <c r="P60" i="31"/>
  <c r="AF249" i="34" l="1"/>
  <c r="AE255" i="34"/>
  <c r="AE121" i="34"/>
  <c r="Z250" i="33"/>
  <c r="Y255" i="33"/>
  <c r="AB121" i="33"/>
  <c r="AC249" i="33"/>
  <c r="R255" i="32"/>
  <c r="R121" i="32"/>
  <c r="S249" i="32"/>
  <c r="O125" i="31"/>
  <c r="O124" i="31"/>
  <c r="O60" i="31"/>
  <c r="N124" i="31"/>
  <c r="N60" i="31"/>
  <c r="M124" i="31"/>
  <c r="M60" i="31"/>
  <c r="L124" i="31"/>
  <c r="L60" i="31"/>
  <c r="K124" i="31"/>
  <c r="K60" i="31"/>
  <c r="J124" i="31"/>
  <c r="J60" i="31"/>
  <c r="I124" i="31"/>
  <c r="I60" i="31"/>
  <c r="H124" i="31"/>
  <c r="E79" i="31"/>
  <c r="B65" i="31"/>
  <c r="C65" i="31"/>
  <c r="D65" i="31"/>
  <c r="E65" i="31"/>
  <c r="F65" i="31"/>
  <c r="H60" i="31"/>
  <c r="G124" i="31"/>
  <c r="F124" i="31"/>
  <c r="G60" i="31"/>
  <c r="F60" i="31"/>
  <c r="AF255" i="34" l="1"/>
  <c r="AF121" i="34"/>
  <c r="B249" i="34"/>
  <c r="AC121" i="33"/>
  <c r="AD249" i="33"/>
  <c r="AA250" i="33"/>
  <c r="Z255" i="33"/>
  <c r="S255" i="32"/>
  <c r="S121" i="32"/>
  <c r="T249" i="32"/>
  <c r="B255" i="34" l="1"/>
  <c r="AB250" i="33"/>
  <c r="AA255" i="33"/>
  <c r="AE249" i="33"/>
  <c r="AD121" i="33"/>
  <c r="T255" i="32"/>
  <c r="T121" i="32"/>
  <c r="U249" i="32"/>
  <c r="AI121" i="34" l="1"/>
  <c r="AH121" i="34"/>
  <c r="AF249" i="33"/>
  <c r="AC250" i="33"/>
  <c r="AB255" i="33"/>
  <c r="U121" i="32"/>
  <c r="V249" i="32"/>
  <c r="U255" i="32"/>
  <c r="AD250" i="33" l="1"/>
  <c r="AC255" i="33"/>
  <c r="B249" i="33"/>
  <c r="W249" i="32"/>
  <c r="V121" i="32"/>
  <c r="V255" i="32"/>
  <c r="AE250" i="33" l="1"/>
  <c r="AD255" i="33"/>
  <c r="X249" i="32"/>
  <c r="W255" i="32"/>
  <c r="W121" i="32"/>
  <c r="AF250" i="33" l="1"/>
  <c r="AE255" i="33"/>
  <c r="AI121" i="33"/>
  <c r="AH121" i="33"/>
  <c r="Y249" i="32"/>
  <c r="X255" i="32"/>
  <c r="X121" i="32"/>
  <c r="B250" i="33" l="1"/>
  <c r="B255" i="33" s="1"/>
  <c r="AF255" i="33"/>
  <c r="Y255" i="32"/>
  <c r="Z249" i="32"/>
  <c r="E124" i="31"/>
  <c r="E60" i="31"/>
  <c r="Z255" i="32" l="1"/>
  <c r="AA249" i="32"/>
  <c r="D95" i="31"/>
  <c r="D100" i="31" s="1"/>
  <c r="D102" i="31" s="1"/>
  <c r="D104" i="31"/>
  <c r="D105" i="31"/>
  <c r="D106" i="31"/>
  <c r="D107" i="31"/>
  <c r="D108" i="31"/>
  <c r="D109" i="31"/>
  <c r="D121" i="31"/>
  <c r="C95" i="31"/>
  <c r="C100" i="31" s="1"/>
  <c r="C102" i="31" s="1"/>
  <c r="C104" i="31"/>
  <c r="C105" i="31"/>
  <c r="C106" i="31"/>
  <c r="C107" i="31"/>
  <c r="C108" i="31"/>
  <c r="C109" i="31"/>
  <c r="C121" i="31"/>
  <c r="B121" i="31"/>
  <c r="B109" i="31"/>
  <c r="B108" i="31"/>
  <c r="B107" i="31"/>
  <c r="B106" i="31"/>
  <c r="B105" i="31"/>
  <c r="B104" i="31"/>
  <c r="B110" i="31" s="1"/>
  <c r="AM23" i="31" s="1"/>
  <c r="B95" i="31"/>
  <c r="AM19" i="31" s="1"/>
  <c r="AG255" i="31"/>
  <c r="C255" i="31"/>
  <c r="N254" i="31"/>
  <c r="O254" i="31" s="1"/>
  <c r="P254" i="31" s="1"/>
  <c r="Q254" i="31" s="1"/>
  <c r="R254" i="31" s="1"/>
  <c r="S254" i="31" s="1"/>
  <c r="T254" i="31" s="1"/>
  <c r="U254" i="31" s="1"/>
  <c r="V254" i="31" s="1"/>
  <c r="W254" i="31" s="1"/>
  <c r="X254" i="31" s="1"/>
  <c r="Y254" i="31" s="1"/>
  <c r="Z254" i="31" s="1"/>
  <c r="AA254" i="31" s="1"/>
  <c r="AB254" i="31" s="1"/>
  <c r="AC254" i="31" s="1"/>
  <c r="AD254" i="31" s="1"/>
  <c r="AE254" i="31" s="1"/>
  <c r="AF254" i="31" s="1"/>
  <c r="B254" i="31" s="1"/>
  <c r="M254" i="31"/>
  <c r="F254" i="31"/>
  <c r="G254" i="31" s="1"/>
  <c r="H254" i="31" s="1"/>
  <c r="I254" i="31" s="1"/>
  <c r="J254" i="31" s="1"/>
  <c r="K254" i="31" s="1"/>
  <c r="L254" i="31" s="1"/>
  <c r="E254" i="31"/>
  <c r="D254" i="31"/>
  <c r="S253" i="31"/>
  <c r="T253" i="31" s="1"/>
  <c r="U253" i="31" s="1"/>
  <c r="V253" i="31" s="1"/>
  <c r="W253" i="31" s="1"/>
  <c r="X253" i="31" s="1"/>
  <c r="Y253" i="31" s="1"/>
  <c r="Z253" i="31" s="1"/>
  <c r="AA253" i="31" s="1"/>
  <c r="AB253" i="31" s="1"/>
  <c r="AC253" i="31" s="1"/>
  <c r="AD253" i="31" s="1"/>
  <c r="AE253" i="31" s="1"/>
  <c r="AF253" i="31" s="1"/>
  <c r="B253" i="31" s="1"/>
  <c r="L253" i="31"/>
  <c r="M253" i="31" s="1"/>
  <c r="N253" i="31" s="1"/>
  <c r="O253" i="31" s="1"/>
  <c r="P253" i="31" s="1"/>
  <c r="Q253" i="31" s="1"/>
  <c r="R253" i="31" s="1"/>
  <c r="K253" i="31"/>
  <c r="D253" i="31"/>
  <c r="E253" i="31" s="1"/>
  <c r="F253" i="31" s="1"/>
  <c r="G253" i="31" s="1"/>
  <c r="H253" i="31" s="1"/>
  <c r="I253" i="31" s="1"/>
  <c r="J253" i="31" s="1"/>
  <c r="Q252" i="31"/>
  <c r="R252" i="31" s="1"/>
  <c r="S252" i="31" s="1"/>
  <c r="T252" i="31" s="1"/>
  <c r="U252" i="31" s="1"/>
  <c r="V252" i="31" s="1"/>
  <c r="W252" i="31" s="1"/>
  <c r="X252" i="31" s="1"/>
  <c r="Y252" i="31" s="1"/>
  <c r="Z252" i="31" s="1"/>
  <c r="AA252" i="31" s="1"/>
  <c r="AB252" i="31" s="1"/>
  <c r="AC252" i="31" s="1"/>
  <c r="AD252" i="31" s="1"/>
  <c r="AE252" i="31" s="1"/>
  <c r="AF252" i="31" s="1"/>
  <c r="B252" i="31" s="1"/>
  <c r="J252" i="31"/>
  <c r="K252" i="31" s="1"/>
  <c r="L252" i="31" s="1"/>
  <c r="M252" i="31" s="1"/>
  <c r="N252" i="31" s="1"/>
  <c r="O252" i="31" s="1"/>
  <c r="P252" i="31" s="1"/>
  <c r="I252" i="31"/>
  <c r="D252" i="31"/>
  <c r="E252" i="31" s="1"/>
  <c r="F252" i="31" s="1"/>
  <c r="G252" i="31" s="1"/>
  <c r="H252" i="31" s="1"/>
  <c r="P251" i="31"/>
  <c r="Q251" i="31" s="1"/>
  <c r="R251" i="31" s="1"/>
  <c r="S251" i="31" s="1"/>
  <c r="T251" i="31" s="1"/>
  <c r="U251" i="31" s="1"/>
  <c r="V251" i="31" s="1"/>
  <c r="W251" i="31" s="1"/>
  <c r="X251" i="31" s="1"/>
  <c r="Y251" i="31" s="1"/>
  <c r="Z251" i="31" s="1"/>
  <c r="AA251" i="31" s="1"/>
  <c r="AB251" i="31" s="1"/>
  <c r="AC251" i="31" s="1"/>
  <c r="AD251" i="31" s="1"/>
  <c r="AE251" i="31" s="1"/>
  <c r="AF251" i="31" s="1"/>
  <c r="B251" i="31" s="1"/>
  <c r="D251" i="31"/>
  <c r="E251" i="31" s="1"/>
  <c r="F251" i="31" s="1"/>
  <c r="G251" i="31" s="1"/>
  <c r="H251" i="31" s="1"/>
  <c r="I251" i="31" s="1"/>
  <c r="J251" i="31" s="1"/>
  <c r="K251" i="31" s="1"/>
  <c r="L251" i="31" s="1"/>
  <c r="M251" i="31" s="1"/>
  <c r="N251" i="31" s="1"/>
  <c r="O251" i="31" s="1"/>
  <c r="E250" i="31"/>
  <c r="F250" i="31" s="1"/>
  <c r="G250" i="31" s="1"/>
  <c r="H250" i="31" s="1"/>
  <c r="I250" i="31" s="1"/>
  <c r="J250" i="31" s="1"/>
  <c r="K250" i="31" s="1"/>
  <c r="L250" i="31" s="1"/>
  <c r="M250" i="31" s="1"/>
  <c r="N250" i="31" s="1"/>
  <c r="O250" i="31" s="1"/>
  <c r="P250" i="31" s="1"/>
  <c r="Q250" i="31" s="1"/>
  <c r="R250" i="31" s="1"/>
  <c r="S250" i="31" s="1"/>
  <c r="T250" i="31" s="1"/>
  <c r="U250" i="31" s="1"/>
  <c r="V250" i="31" s="1"/>
  <c r="W250" i="31" s="1"/>
  <c r="X250" i="31" s="1"/>
  <c r="Y250" i="31" s="1"/>
  <c r="Z250" i="31" s="1"/>
  <c r="AA250" i="31" s="1"/>
  <c r="AB250" i="31" s="1"/>
  <c r="AC250" i="31" s="1"/>
  <c r="AD250" i="31" s="1"/>
  <c r="AE250" i="31" s="1"/>
  <c r="AF250" i="31" s="1"/>
  <c r="B250" i="31" s="1"/>
  <c r="D250" i="31"/>
  <c r="D249" i="31"/>
  <c r="AG247" i="31"/>
  <c r="AF247" i="31"/>
  <c r="AE247" i="31"/>
  <c r="AD247" i="31"/>
  <c r="AC247" i="31"/>
  <c r="AB247" i="31"/>
  <c r="AA247" i="31"/>
  <c r="Z247" i="31"/>
  <c r="Z121" i="31" s="1"/>
  <c r="Y247" i="31"/>
  <c r="X247" i="31"/>
  <c r="W247" i="31"/>
  <c r="V247" i="31"/>
  <c r="U247" i="31"/>
  <c r="T247" i="31"/>
  <c r="S247" i="31"/>
  <c r="R247" i="31"/>
  <c r="Q247" i="31"/>
  <c r="P247" i="31"/>
  <c r="O247" i="31"/>
  <c r="N247" i="31"/>
  <c r="M247" i="31"/>
  <c r="L247" i="31"/>
  <c r="K247" i="31"/>
  <c r="J247" i="31"/>
  <c r="I247" i="31"/>
  <c r="H247" i="31"/>
  <c r="G247" i="31"/>
  <c r="F247" i="31"/>
  <c r="E247" i="31"/>
  <c r="D247" i="31"/>
  <c r="C247" i="31"/>
  <c r="B247" i="31"/>
  <c r="AI133" i="31"/>
  <c r="AH133" i="31"/>
  <c r="AI132" i="31"/>
  <c r="AH132" i="31"/>
  <c r="AI131" i="31"/>
  <c r="AH131" i="31"/>
  <c r="AI130" i="31"/>
  <c r="AH130" i="31"/>
  <c r="AI129" i="31"/>
  <c r="AH129" i="31"/>
  <c r="AI126" i="31"/>
  <c r="AH126" i="31"/>
  <c r="AI125" i="31"/>
  <c r="AH125" i="31"/>
  <c r="AI124" i="31"/>
  <c r="AH124" i="31"/>
  <c r="AI123" i="31"/>
  <c r="AH123" i="31"/>
  <c r="AI122" i="31"/>
  <c r="AH122" i="31"/>
  <c r="Y121" i="31"/>
  <c r="AI120" i="31"/>
  <c r="AH120" i="31"/>
  <c r="AI119" i="31"/>
  <c r="AH119" i="31"/>
  <c r="AI118" i="31"/>
  <c r="AH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F109" i="31"/>
  <c r="AA109" i="31"/>
  <c r="Z109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AF108" i="31"/>
  <c r="AA108" i="31"/>
  <c r="Z108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AF107" i="31"/>
  <c r="AA107" i="31"/>
  <c r="Z107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AF106" i="31"/>
  <c r="AA106" i="31"/>
  <c r="Z106" i="31"/>
  <c r="Z110" i="31" s="1"/>
  <c r="BF23" i="31" s="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AF105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AF104" i="31"/>
  <c r="AA104" i="31"/>
  <c r="AA110" i="31" s="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AI101" i="31"/>
  <c r="AH101" i="31"/>
  <c r="AI99" i="31"/>
  <c r="AH99" i="31"/>
  <c r="AG99" i="31"/>
  <c r="AG102" i="31" s="1"/>
  <c r="AI98" i="31"/>
  <c r="AH98" i="31"/>
  <c r="AI97" i="31"/>
  <c r="AH97" i="31"/>
  <c r="AI96" i="31"/>
  <c r="AH96" i="31"/>
  <c r="AG95" i="31"/>
  <c r="AF95" i="31"/>
  <c r="AE5" i="31" s="1"/>
  <c r="AA95" i="31"/>
  <c r="Z95" i="31"/>
  <c r="Y95" i="31"/>
  <c r="X5" i="31" s="1"/>
  <c r="X95" i="31"/>
  <c r="W5" i="31" s="1"/>
  <c r="W95" i="31"/>
  <c r="V5" i="31" s="1"/>
  <c r="V95" i="31"/>
  <c r="BD19" i="31" s="1"/>
  <c r="U95" i="31"/>
  <c r="BC19" i="31" s="1"/>
  <c r="T95" i="31"/>
  <c r="BB19" i="31" s="1"/>
  <c r="S95" i="31"/>
  <c r="BA19" i="31" s="1"/>
  <c r="R95" i="31"/>
  <c r="Q95" i="31"/>
  <c r="P5" i="31" s="1"/>
  <c r="P95" i="31"/>
  <c r="AX19" i="31" s="1"/>
  <c r="O95" i="31"/>
  <c r="AW19" i="31" s="1"/>
  <c r="N95" i="31"/>
  <c r="M95" i="31"/>
  <c r="AU19" i="31" s="1"/>
  <c r="L95" i="31"/>
  <c r="K5" i="31" s="1"/>
  <c r="K95" i="31"/>
  <c r="AT19" i="31" s="1"/>
  <c r="J95" i="31"/>
  <c r="I5" i="31" s="1"/>
  <c r="I95" i="31"/>
  <c r="AS19" i="31" s="1"/>
  <c r="H95" i="31"/>
  <c r="G95" i="31"/>
  <c r="AR19" i="31" s="1"/>
  <c r="F95" i="31"/>
  <c r="E5" i="31" s="1"/>
  <c r="E95" i="31"/>
  <c r="D5" i="31" s="1"/>
  <c r="AI94" i="31"/>
  <c r="AH94" i="31"/>
  <c r="AI93" i="31"/>
  <c r="AH93" i="31"/>
  <c r="AI92" i="31"/>
  <c r="AH92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3" i="31"/>
  <c r="Z83" i="31"/>
  <c r="Y83" i="31"/>
  <c r="X83" i="31"/>
  <c r="W83" i="31"/>
  <c r="V83" i="31"/>
  <c r="U83" i="31"/>
  <c r="BC20" i="31" s="1"/>
  <c r="T83" i="31"/>
  <c r="S83" i="31"/>
  <c r="BA20" i="31" s="1"/>
  <c r="R83" i="31"/>
  <c r="Q83" i="31"/>
  <c r="P83" i="31"/>
  <c r="O83" i="31"/>
  <c r="N83" i="31"/>
  <c r="M83" i="31"/>
  <c r="L83" i="31"/>
  <c r="K83" i="31"/>
  <c r="AT20" i="31" s="1"/>
  <c r="J83" i="31"/>
  <c r="I83" i="31"/>
  <c r="AS20" i="31" s="1"/>
  <c r="H83" i="31"/>
  <c r="G83" i="31"/>
  <c r="AR20" i="31" s="1"/>
  <c r="F83" i="31"/>
  <c r="AQ20" i="31" s="1"/>
  <c r="E83" i="31"/>
  <c r="AN20" i="31"/>
  <c r="AI82" i="31"/>
  <c r="AH82" i="31"/>
  <c r="AI81" i="31"/>
  <c r="AH81" i="31"/>
  <c r="AI80" i="31"/>
  <c r="AH80" i="31"/>
  <c r="Z79" i="31"/>
  <c r="BF18" i="31" s="1"/>
  <c r="Y79" i="31"/>
  <c r="X79" i="31"/>
  <c r="BE18" i="31" s="1"/>
  <c r="W79" i="31"/>
  <c r="V79" i="31"/>
  <c r="BD18" i="31" s="1"/>
  <c r="U79" i="31"/>
  <c r="BC18" i="31" s="1"/>
  <c r="T79" i="31"/>
  <c r="S79" i="31"/>
  <c r="R79" i="31"/>
  <c r="Q79" i="31"/>
  <c r="AY18" i="31" s="1"/>
  <c r="P79" i="31"/>
  <c r="AX18" i="31" s="1"/>
  <c r="O79" i="31"/>
  <c r="AW18" i="31" s="1"/>
  <c r="N79" i="31"/>
  <c r="M79" i="31"/>
  <c r="AU18" i="31" s="1"/>
  <c r="L79" i="31"/>
  <c r="K79" i="31"/>
  <c r="AT18" i="31" s="1"/>
  <c r="J79" i="31"/>
  <c r="I79" i="31"/>
  <c r="AS18" i="31" s="1"/>
  <c r="H79" i="31"/>
  <c r="G79" i="31"/>
  <c r="F79" i="31"/>
  <c r="BR78" i="31"/>
  <c r="BQ78" i="31"/>
  <c r="BJ78" i="31"/>
  <c r="BI78" i="31"/>
  <c r="BG78" i="31"/>
  <c r="AI78" i="31"/>
  <c r="AH78" i="31"/>
  <c r="AG78" i="31"/>
  <c r="AG79" i="31" s="1"/>
  <c r="BC77" i="31"/>
  <c r="BB77" i="31"/>
  <c r="AI77" i="31"/>
  <c r="AH77" i="31"/>
  <c r="BL76" i="31"/>
  <c r="AI76" i="31"/>
  <c r="AH76" i="31"/>
  <c r="BP75" i="31"/>
  <c r="BO75" i="31"/>
  <c r="AI75" i="31"/>
  <c r="AH75" i="31"/>
  <c r="BR74" i="31"/>
  <c r="BQ74" i="31"/>
  <c r="BP74" i="31"/>
  <c r="BJ74" i="31"/>
  <c r="BI74" i="31"/>
  <c r="BG74" i="31"/>
  <c r="AZ74" i="31"/>
  <c r="AI74" i="31"/>
  <c r="AH74" i="31"/>
  <c r="BW73" i="31"/>
  <c r="BR73" i="31"/>
  <c r="BP73" i="31"/>
  <c r="BO73" i="31"/>
  <c r="BK73" i="31"/>
  <c r="BJ73" i="31"/>
  <c r="BH73" i="31"/>
  <c r="AI73" i="31"/>
  <c r="AH73" i="31"/>
  <c r="AI72" i="31"/>
  <c r="AH72" i="31"/>
  <c r="BW71" i="31"/>
  <c r="BW78" i="31" s="1"/>
  <c r="BV71" i="31"/>
  <c r="BV78" i="31" s="1"/>
  <c r="BU71" i="31"/>
  <c r="BU78" i="31" s="1"/>
  <c r="BT71" i="31"/>
  <c r="BT78" i="31" s="1"/>
  <c r="BS71" i="31"/>
  <c r="BS78" i="31" s="1"/>
  <c r="BR71" i="31"/>
  <c r="BQ71" i="31"/>
  <c r="BP71" i="31"/>
  <c r="BP78" i="31" s="1"/>
  <c r="BO71" i="31"/>
  <c r="BO78" i="31" s="1"/>
  <c r="BN71" i="31"/>
  <c r="BN78" i="31" s="1"/>
  <c r="BM71" i="31"/>
  <c r="BM78" i="31" s="1"/>
  <c r="BL71" i="31"/>
  <c r="BL78" i="31" s="1"/>
  <c r="BK71" i="31"/>
  <c r="BK78" i="31" s="1"/>
  <c r="BJ71" i="31"/>
  <c r="BI71" i="31"/>
  <c r="BH71" i="31"/>
  <c r="BH78" i="31" s="1"/>
  <c r="BG71" i="31"/>
  <c r="BF71" i="31"/>
  <c r="BF78" i="31" s="1"/>
  <c r="BE71" i="31"/>
  <c r="BE78" i="31" s="1"/>
  <c r="BD71" i="31"/>
  <c r="BD78" i="31" s="1"/>
  <c r="BC71" i="31"/>
  <c r="BC78" i="31" s="1"/>
  <c r="BB71" i="31"/>
  <c r="BB78" i="31" s="1"/>
  <c r="BA71" i="31"/>
  <c r="BA78" i="31" s="1"/>
  <c r="AZ71" i="31"/>
  <c r="AZ78" i="31" s="1"/>
  <c r="AI71" i="31"/>
  <c r="AH71" i="31"/>
  <c r="BW70" i="31"/>
  <c r="BW77" i="31" s="1"/>
  <c r="BV70" i="31"/>
  <c r="BV77" i="31" s="1"/>
  <c r="BU70" i="31"/>
  <c r="BU77" i="31" s="1"/>
  <c r="BT70" i="31"/>
  <c r="BT77" i="31" s="1"/>
  <c r="BS70" i="31"/>
  <c r="BS77" i="31" s="1"/>
  <c r="BR70" i="31"/>
  <c r="BR77" i="31" s="1"/>
  <c r="BQ70" i="31"/>
  <c r="BQ77" i="31" s="1"/>
  <c r="BP70" i="31"/>
  <c r="BP77" i="31" s="1"/>
  <c r="BO70" i="31"/>
  <c r="BO77" i="31" s="1"/>
  <c r="BN70" i="31"/>
  <c r="BN77" i="31" s="1"/>
  <c r="BM70" i="31"/>
  <c r="BM77" i="31" s="1"/>
  <c r="BL70" i="31"/>
  <c r="BL77" i="31" s="1"/>
  <c r="BK70" i="31"/>
  <c r="BK77" i="31" s="1"/>
  <c r="BJ70" i="31"/>
  <c r="BJ77" i="31" s="1"/>
  <c r="BI70" i="31"/>
  <c r="BI77" i="31" s="1"/>
  <c r="BH70" i="31"/>
  <c r="BH77" i="31" s="1"/>
  <c r="BG70" i="31"/>
  <c r="BG77" i="31" s="1"/>
  <c r="BF70" i="31"/>
  <c r="BF77" i="31" s="1"/>
  <c r="BE70" i="31"/>
  <c r="BE77" i="31" s="1"/>
  <c r="BD70" i="31"/>
  <c r="BD77" i="31" s="1"/>
  <c r="BC70" i="31"/>
  <c r="BB70" i="31"/>
  <c r="BA70" i="31"/>
  <c r="BA77" i="31" s="1"/>
  <c r="AZ70" i="31"/>
  <c r="AZ77" i="31" s="1"/>
  <c r="AI70" i="31"/>
  <c r="AH70" i="31"/>
  <c r="BW69" i="31"/>
  <c r="BW76" i="31" s="1"/>
  <c r="BV69" i="31"/>
  <c r="BV76" i="31" s="1"/>
  <c r="BU69" i="31"/>
  <c r="BU76" i="31" s="1"/>
  <c r="BT69" i="31"/>
  <c r="BT76" i="31" s="1"/>
  <c r="BS69" i="31"/>
  <c r="BS76" i="31" s="1"/>
  <c r="BR69" i="31"/>
  <c r="BR76" i="31" s="1"/>
  <c r="BQ69" i="31"/>
  <c r="BQ76" i="31" s="1"/>
  <c r="BP69" i="31"/>
  <c r="BP76" i="31" s="1"/>
  <c r="BO69" i="31"/>
  <c r="BO76" i="31" s="1"/>
  <c r="BN69" i="31"/>
  <c r="BN76" i="31" s="1"/>
  <c r="BM69" i="31"/>
  <c r="BM76" i="31" s="1"/>
  <c r="BL69" i="31"/>
  <c r="BK69" i="31"/>
  <c r="BK76" i="31" s="1"/>
  <c r="BJ69" i="31"/>
  <c r="BJ76" i="31" s="1"/>
  <c r="BI69" i="31"/>
  <c r="BI76" i="31" s="1"/>
  <c r="BH69" i="31"/>
  <c r="BH76" i="31" s="1"/>
  <c r="BG69" i="31"/>
  <c r="BG76" i="31" s="1"/>
  <c r="BF69" i="31"/>
  <c r="BF76" i="31" s="1"/>
  <c r="BE69" i="31"/>
  <c r="BE76" i="31" s="1"/>
  <c r="BD69" i="31"/>
  <c r="BD76" i="31" s="1"/>
  <c r="BC69" i="31"/>
  <c r="BC76" i="31" s="1"/>
  <c r="BB69" i="31"/>
  <c r="BB76" i="31" s="1"/>
  <c r="BA69" i="31"/>
  <c r="BA76" i="31" s="1"/>
  <c r="AZ69" i="31"/>
  <c r="AZ76" i="31" s="1"/>
  <c r="AI69" i="31"/>
  <c r="AH69" i="31"/>
  <c r="BW68" i="31"/>
  <c r="BW75" i="31" s="1"/>
  <c r="BV68" i="31"/>
  <c r="BV75" i="31" s="1"/>
  <c r="BU68" i="31"/>
  <c r="BU75" i="31" s="1"/>
  <c r="BT68" i="31"/>
  <c r="BT75" i="31" s="1"/>
  <c r="BS68" i="31"/>
  <c r="BS75" i="31" s="1"/>
  <c r="BR68" i="31"/>
  <c r="BR75" i="31" s="1"/>
  <c r="BQ68" i="31"/>
  <c r="BQ75" i="31" s="1"/>
  <c r="BP68" i="31"/>
  <c r="BO68" i="31"/>
  <c r="BN68" i="31"/>
  <c r="BN75" i="31" s="1"/>
  <c r="BM68" i="31"/>
  <c r="BM75" i="31" s="1"/>
  <c r="BL68" i="31"/>
  <c r="BL75" i="31" s="1"/>
  <c r="BK68" i="31"/>
  <c r="BK75" i="31" s="1"/>
  <c r="BJ68" i="31"/>
  <c r="BJ75" i="31" s="1"/>
  <c r="BI68" i="31"/>
  <c r="BI75" i="31" s="1"/>
  <c r="BH68" i="31"/>
  <c r="BH75" i="31" s="1"/>
  <c r="BG68" i="31"/>
  <c r="BG75" i="31" s="1"/>
  <c r="BF68" i="31"/>
  <c r="BF75" i="31" s="1"/>
  <c r="BE68" i="31"/>
  <c r="BE75" i="31" s="1"/>
  <c r="BD68" i="31"/>
  <c r="BD75" i="31" s="1"/>
  <c r="BC68" i="31"/>
  <c r="BC75" i="31" s="1"/>
  <c r="BB68" i="31"/>
  <c r="BB75" i="31" s="1"/>
  <c r="BA68" i="31"/>
  <c r="BA75" i="31" s="1"/>
  <c r="AZ68" i="31"/>
  <c r="AZ75" i="31" s="1"/>
  <c r="AI68" i="31"/>
  <c r="AH68" i="31"/>
  <c r="BW67" i="31"/>
  <c r="BW74" i="31" s="1"/>
  <c r="BV67" i="31"/>
  <c r="BV74" i="31" s="1"/>
  <c r="BU67" i="31"/>
  <c r="BU74" i="31" s="1"/>
  <c r="BT67" i="31"/>
  <c r="BT74" i="31" s="1"/>
  <c r="BS67" i="31"/>
  <c r="BS74" i="31" s="1"/>
  <c r="BR67" i="31"/>
  <c r="BQ67" i="31"/>
  <c r="BP67" i="31"/>
  <c r="BO67" i="31"/>
  <c r="BO74" i="31" s="1"/>
  <c r="BN67" i="31"/>
  <c r="BN74" i="31" s="1"/>
  <c r="BM67" i="31"/>
  <c r="BM74" i="31" s="1"/>
  <c r="BL67" i="31"/>
  <c r="BL74" i="31" s="1"/>
  <c r="BK67" i="31"/>
  <c r="BK74" i="31" s="1"/>
  <c r="BJ67" i="31"/>
  <c r="BI67" i="31"/>
  <c r="BH67" i="31"/>
  <c r="BH74" i="31" s="1"/>
  <c r="BG67" i="31"/>
  <c r="BF67" i="31"/>
  <c r="BF74" i="31" s="1"/>
  <c r="BE67" i="31"/>
  <c r="BE74" i="31" s="1"/>
  <c r="BD67" i="31"/>
  <c r="BD74" i="31" s="1"/>
  <c r="BC67" i="31"/>
  <c r="BC74" i="31" s="1"/>
  <c r="BB67" i="31"/>
  <c r="BB74" i="31" s="1"/>
  <c r="BA67" i="31"/>
  <c r="BA74" i="31" s="1"/>
  <c r="AZ67" i="31"/>
  <c r="AI67" i="31"/>
  <c r="AH67" i="31"/>
  <c r="BW66" i="31"/>
  <c r="BV66" i="31"/>
  <c r="BV73" i="31" s="1"/>
  <c r="BU66" i="31"/>
  <c r="BU73" i="31" s="1"/>
  <c r="BT66" i="31"/>
  <c r="BT73" i="31" s="1"/>
  <c r="BS66" i="31"/>
  <c r="BS73" i="31" s="1"/>
  <c r="BR66" i="31"/>
  <c r="BQ66" i="31"/>
  <c r="BQ73" i="31" s="1"/>
  <c r="BP66" i="31"/>
  <c r="BO66" i="31"/>
  <c r="BN66" i="31"/>
  <c r="BN73" i="31" s="1"/>
  <c r="BM66" i="31"/>
  <c r="BM73" i="31" s="1"/>
  <c r="BL66" i="31"/>
  <c r="BL73" i="31" s="1"/>
  <c r="BK66" i="31"/>
  <c r="BJ66" i="31"/>
  <c r="BI66" i="31"/>
  <c r="BI73" i="31" s="1"/>
  <c r="BH66" i="31"/>
  <c r="BG66" i="31"/>
  <c r="BG73" i="31" s="1"/>
  <c r="BF66" i="31"/>
  <c r="BF73" i="31" s="1"/>
  <c r="BE66" i="31"/>
  <c r="BE73" i="31" s="1"/>
  <c r="BD66" i="31"/>
  <c r="BD73" i="31" s="1"/>
  <c r="BC66" i="31"/>
  <c r="BC73" i="31" s="1"/>
  <c r="BB66" i="31"/>
  <c r="BB73" i="31" s="1"/>
  <c r="BA66" i="31"/>
  <c r="BA73" i="31" s="1"/>
  <c r="AZ66" i="31"/>
  <c r="AZ73" i="31" s="1"/>
  <c r="AI66" i="31"/>
  <c r="AH66" i="31"/>
  <c r="AG65" i="31"/>
  <c r="BH17" i="31"/>
  <c r="BG17" i="31"/>
  <c r="Z65" i="31"/>
  <c r="BF17" i="31" s="1"/>
  <c r="Y65" i="31"/>
  <c r="X65" i="31"/>
  <c r="W65" i="31"/>
  <c r="V65" i="31"/>
  <c r="BD17" i="31" s="1"/>
  <c r="U65" i="31"/>
  <c r="BC17" i="31" s="1"/>
  <c r="T65" i="31"/>
  <c r="BB17" i="31" s="1"/>
  <c r="S65" i="31"/>
  <c r="R65" i="31"/>
  <c r="AZ17" i="31" s="1"/>
  <c r="Q65" i="31"/>
  <c r="AY17" i="31" s="1"/>
  <c r="P65" i="31"/>
  <c r="AX17" i="31" s="1"/>
  <c r="O65" i="31"/>
  <c r="AW17" i="31" s="1"/>
  <c r="N65" i="31"/>
  <c r="AV17" i="31" s="1"/>
  <c r="M65" i="31"/>
  <c r="AU17" i="31" s="1"/>
  <c r="L65" i="31"/>
  <c r="K65" i="31"/>
  <c r="J65" i="31"/>
  <c r="I65" i="31"/>
  <c r="AS17" i="31" s="1"/>
  <c r="H65" i="31"/>
  <c r="G65" i="31"/>
  <c r="AR17" i="31" s="1"/>
  <c r="AQ17" i="31"/>
  <c r="AN17" i="31"/>
  <c r="AI64" i="31"/>
  <c r="AH64" i="31"/>
  <c r="AI63" i="31"/>
  <c r="AH63" i="31"/>
  <c r="AI62" i="31"/>
  <c r="AH62" i="31"/>
  <c r="AG61" i="31"/>
  <c r="BJ16" i="31"/>
  <c r="BI16" i="31"/>
  <c r="Z61" i="31"/>
  <c r="Y61" i="31"/>
  <c r="X61" i="31"/>
  <c r="W61" i="31"/>
  <c r="V61" i="31"/>
  <c r="U61" i="31"/>
  <c r="T61" i="31"/>
  <c r="S61" i="31"/>
  <c r="BA16" i="31" s="1"/>
  <c r="R61" i="31"/>
  <c r="Q61" i="31"/>
  <c r="AY16" i="31" s="1"/>
  <c r="P61" i="31"/>
  <c r="O61" i="31"/>
  <c r="N61" i="31"/>
  <c r="AV16" i="31" s="1"/>
  <c r="M61" i="31"/>
  <c r="L61" i="31"/>
  <c r="K61" i="31"/>
  <c r="J61" i="31"/>
  <c r="I61" i="31"/>
  <c r="H61" i="31"/>
  <c r="G61" i="31"/>
  <c r="G100" i="31" s="1"/>
  <c r="G102" i="31" s="1"/>
  <c r="F61" i="31"/>
  <c r="AQ16" i="31" s="1"/>
  <c r="E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BJ21" i="31"/>
  <c r="BI21" i="31"/>
  <c r="BH21" i="31"/>
  <c r="BG21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I21" i="31"/>
  <c r="AH21" i="31"/>
  <c r="BJ20" i="31"/>
  <c r="BI20" i="31"/>
  <c r="BH20" i="31"/>
  <c r="BG20" i="31"/>
  <c r="BF20" i="31"/>
  <c r="BE20" i="31"/>
  <c r="BD20" i="31"/>
  <c r="BB20" i="31"/>
  <c r="AZ20" i="31"/>
  <c r="AY20" i="31"/>
  <c r="AX20" i="31"/>
  <c r="AW20" i="31"/>
  <c r="AV20" i="31"/>
  <c r="AU20" i="31"/>
  <c r="AP20" i="31"/>
  <c r="AO20" i="31"/>
  <c r="AM20" i="31"/>
  <c r="AI20" i="31"/>
  <c r="AH20" i="31"/>
  <c r="BI19" i="31"/>
  <c r="BH19" i="31"/>
  <c r="BG19" i="31"/>
  <c r="AV19" i="31"/>
  <c r="AI19" i="31"/>
  <c r="AH19" i="31"/>
  <c r="BJ18" i="31"/>
  <c r="BI18" i="31"/>
  <c r="BH18" i="31"/>
  <c r="BG18" i="31"/>
  <c r="BB18" i="31"/>
  <c r="BA18" i="31"/>
  <c r="AZ18" i="31"/>
  <c r="AV18" i="31"/>
  <c r="AR18" i="31"/>
  <c r="AQ18" i="31"/>
  <c r="AP18" i="31"/>
  <c r="AO18" i="31"/>
  <c r="AN18" i="31"/>
  <c r="AM18" i="31"/>
  <c r="AI18" i="31"/>
  <c r="AH18" i="31"/>
  <c r="BJ17" i="31"/>
  <c r="BI17" i="31"/>
  <c r="BE17" i="31"/>
  <c r="BA17" i="31"/>
  <c r="AT17" i="31"/>
  <c r="AP17" i="31"/>
  <c r="AO17" i="31"/>
  <c r="AM17" i="31"/>
  <c r="AI17" i="31"/>
  <c r="AH17" i="31"/>
  <c r="BH16" i="31"/>
  <c r="BD16" i="31"/>
  <c r="AS16" i="31"/>
  <c r="AN16" i="31"/>
  <c r="AM16" i="31"/>
  <c r="AI16" i="31"/>
  <c r="AH16" i="31"/>
  <c r="AI15" i="31"/>
  <c r="AH15" i="31"/>
  <c r="AI14" i="31"/>
  <c r="AH14" i="31"/>
  <c r="AI13" i="31"/>
  <c r="AH13" i="31"/>
  <c r="AL12" i="31"/>
  <c r="AI12" i="31"/>
  <c r="AH12" i="31"/>
  <c r="AI11" i="31"/>
  <c r="AH11" i="31"/>
  <c r="AD5" i="31"/>
  <c r="AC5" i="31"/>
  <c r="AB5" i="31"/>
  <c r="AA5" i="31"/>
  <c r="T5" i="31"/>
  <c r="S5" i="31"/>
  <c r="O5" i="31"/>
  <c r="M5" i="31"/>
  <c r="H5" i="31"/>
  <c r="G5" i="31"/>
  <c r="F5" i="31"/>
  <c r="AG4" i="31"/>
  <c r="K4" i="31"/>
  <c r="E4" i="31"/>
  <c r="H4" i="31" s="1"/>
  <c r="B4" i="31"/>
  <c r="D261" i="31" s="1"/>
  <c r="AG3" i="31"/>
  <c r="AG2" i="31"/>
  <c r="AG6" i="31" s="1"/>
  <c r="AF95" i="30"/>
  <c r="AF100" i="30" s="1"/>
  <c r="AF102" i="30" s="1"/>
  <c r="AF104" i="30"/>
  <c r="AF105" i="30"/>
  <c r="AF106" i="30"/>
  <c r="AF107" i="30"/>
  <c r="AF108" i="30"/>
  <c r="AF109" i="30"/>
  <c r="AF121" i="30"/>
  <c r="AE95" i="30"/>
  <c r="AE100" i="30" s="1"/>
  <c r="AE102" i="30" s="1"/>
  <c r="AE104" i="30"/>
  <c r="AE105" i="30"/>
  <c r="AE106" i="30"/>
  <c r="AE107" i="30"/>
  <c r="AE108" i="30"/>
  <c r="AE109" i="30"/>
  <c r="AE121" i="30"/>
  <c r="AA255" i="32" l="1"/>
  <c r="AA121" i="32"/>
  <c r="AB249" i="32"/>
  <c r="AF110" i="31"/>
  <c r="BJ23" i="31" s="1"/>
  <c r="BJ19" i="31"/>
  <c r="BI22" i="31"/>
  <c r="Z111" i="31"/>
  <c r="BF19" i="31"/>
  <c r="Y5" i="31"/>
  <c r="Z100" i="31"/>
  <c r="Z102" i="31" s="1"/>
  <c r="Z103" i="31" s="1"/>
  <c r="Z7" i="31" s="1"/>
  <c r="BF16" i="31"/>
  <c r="Y110" i="31"/>
  <c r="Y111" i="31" s="1"/>
  <c r="Y100" i="31"/>
  <c r="Y102" i="31" s="1"/>
  <c r="Y103" i="31" s="1"/>
  <c r="Y7" i="31" s="1"/>
  <c r="X110" i="31"/>
  <c r="BE23" i="31" s="1"/>
  <c r="BE19" i="31"/>
  <c r="X100" i="31"/>
  <c r="X102" i="31" s="1"/>
  <c r="X103" i="31" s="1"/>
  <c r="X7" i="31" s="1"/>
  <c r="BE16" i="31"/>
  <c r="W100" i="31"/>
  <c r="W102" i="31" s="1"/>
  <c r="U5" i="31"/>
  <c r="BD22" i="31"/>
  <c r="U100" i="31"/>
  <c r="U102" i="31" s="1"/>
  <c r="BC16" i="31"/>
  <c r="BC22" i="31" s="1"/>
  <c r="S110" i="31"/>
  <c r="BA23" i="31" s="1"/>
  <c r="BA22" i="31"/>
  <c r="BA24" i="31" s="1"/>
  <c r="R110" i="31"/>
  <c r="AZ23" i="31" s="1"/>
  <c r="Q5" i="31"/>
  <c r="AZ19" i="31"/>
  <c r="R100" i="31"/>
  <c r="R102" i="31" s="1"/>
  <c r="R103" i="31" s="1"/>
  <c r="R7" i="31" s="1"/>
  <c r="AZ16" i="31"/>
  <c r="Q110" i="31"/>
  <c r="AY23" i="31" s="1"/>
  <c r="AY19" i="31"/>
  <c r="AY22" i="31" s="1"/>
  <c r="Q100" i="31"/>
  <c r="Q102" i="31" s="1"/>
  <c r="Q103" i="31" s="1"/>
  <c r="Q7" i="31" s="1"/>
  <c r="P110" i="31"/>
  <c r="AX23" i="31" s="1"/>
  <c r="P100" i="31"/>
  <c r="P102" i="31" s="1"/>
  <c r="P103" i="31" s="1"/>
  <c r="P7" i="31" s="1"/>
  <c r="N5" i="31"/>
  <c r="O100" i="31"/>
  <c r="O102" i="31" s="1"/>
  <c r="AW16" i="31"/>
  <c r="AW22" i="31" s="1"/>
  <c r="AV22" i="31"/>
  <c r="L5" i="31"/>
  <c r="M100" i="31"/>
  <c r="M102" i="31" s="1"/>
  <c r="AU16" i="31"/>
  <c r="AU22" i="31" s="1"/>
  <c r="L100" i="31"/>
  <c r="L102" i="31" s="1"/>
  <c r="K110" i="31"/>
  <c r="AT23" i="31" s="1"/>
  <c r="J110" i="31"/>
  <c r="AH105" i="31"/>
  <c r="J111" i="31"/>
  <c r="J100" i="31"/>
  <c r="J102" i="31" s="1"/>
  <c r="J103" i="31" s="1"/>
  <c r="J7" i="31" s="1"/>
  <c r="I110" i="31"/>
  <c r="AS23" i="31" s="1"/>
  <c r="I100" i="31"/>
  <c r="I102" i="31" s="1"/>
  <c r="I103" i="31" s="1"/>
  <c r="I7" i="31" s="1"/>
  <c r="AS22" i="31"/>
  <c r="AS24" i="31" s="1"/>
  <c r="H110" i="31"/>
  <c r="H100" i="31"/>
  <c r="H102" i="31" s="1"/>
  <c r="H103" i="31" s="1"/>
  <c r="H7" i="31" s="1"/>
  <c r="G110" i="31"/>
  <c r="AR23" i="31" s="1"/>
  <c r="AR16" i="31"/>
  <c r="AR22" i="31" s="1"/>
  <c r="AR24" i="31" s="1"/>
  <c r="AQ19" i="31"/>
  <c r="AI79" i="31"/>
  <c r="AQ22" i="31"/>
  <c r="AP19" i="31"/>
  <c r="E100" i="31"/>
  <c r="E102" i="31" s="1"/>
  <c r="AP16" i="31"/>
  <c r="D110" i="31"/>
  <c r="D103" i="31" s="1"/>
  <c r="D111" i="31"/>
  <c r="AI108" i="31"/>
  <c r="C5" i="31"/>
  <c r="AO19" i="31"/>
  <c r="AH109" i="31"/>
  <c r="C110" i="31"/>
  <c r="AN23" i="31" s="1"/>
  <c r="C103" i="31"/>
  <c r="C111" i="31"/>
  <c r="AF5" i="31"/>
  <c r="AI95" i="31"/>
  <c r="B111" i="31"/>
  <c r="AM22" i="31"/>
  <c r="AM24" i="31" s="1"/>
  <c r="B100" i="31"/>
  <c r="B102" i="31" s="1"/>
  <c r="B103" i="31" s="1"/>
  <c r="AL13" i="31"/>
  <c r="BG16" i="31"/>
  <c r="BG22" i="31" s="1"/>
  <c r="AH65" i="31"/>
  <c r="AO16" i="31"/>
  <c r="BH22" i="31"/>
  <c r="AP22" i="31"/>
  <c r="BG82" i="31" a="1"/>
  <c r="T100" i="31"/>
  <c r="T102" i="31" s="1"/>
  <c r="BB16" i="31"/>
  <c r="BB22" i="31" s="1"/>
  <c r="BJ22" i="31"/>
  <c r="BJ24" i="31" s="1"/>
  <c r="BE22" i="31"/>
  <c r="BE24" i="31" s="1"/>
  <c r="F100" i="31"/>
  <c r="F102" i="31" s="1"/>
  <c r="F103" i="31" s="1"/>
  <c r="F7" i="31" s="1"/>
  <c r="N100" i="31"/>
  <c r="N102" i="31" s="1"/>
  <c r="V100" i="31"/>
  <c r="V102" i="31" s="1"/>
  <c r="V103" i="31" s="1"/>
  <c r="V7" i="31" s="1"/>
  <c r="BF22" i="31"/>
  <c r="BF24" i="31" s="1"/>
  <c r="G103" i="31"/>
  <c r="G7" i="31" s="1"/>
  <c r="AH83" i="31"/>
  <c r="AI83" i="31"/>
  <c r="AN19" i="31"/>
  <c r="AN22" i="31" s="1"/>
  <c r="B5" i="31"/>
  <c r="K111" i="31"/>
  <c r="J5" i="31"/>
  <c r="S111" i="31"/>
  <c r="R5" i="31"/>
  <c r="AA111" i="31"/>
  <c r="Z5" i="31"/>
  <c r="AE7" i="31"/>
  <c r="C7" i="31"/>
  <c r="K100" i="31"/>
  <c r="K102" i="31" s="1"/>
  <c r="K103" i="31" s="1"/>
  <c r="K7" i="31" s="1"/>
  <c r="S100" i="31"/>
  <c r="S102" i="31" s="1"/>
  <c r="S103" i="31" s="1"/>
  <c r="S7" i="31" s="1"/>
  <c r="AA100" i="31"/>
  <c r="AA102" i="31" s="1"/>
  <c r="AA103" i="31" s="1"/>
  <c r="AA7" i="31" s="1"/>
  <c r="AI61" i="31"/>
  <c r="AI65" i="31"/>
  <c r="AH95" i="31"/>
  <c r="AX16" i="31"/>
  <c r="AX22" i="31" s="1"/>
  <c r="AX24" i="31" s="1"/>
  <c r="AC7" i="31"/>
  <c r="AH79" i="31"/>
  <c r="AF100" i="31"/>
  <c r="AF102" i="31" s="1"/>
  <c r="AF103" i="31" s="1"/>
  <c r="AF7" i="31" s="1"/>
  <c r="E110" i="31"/>
  <c r="AP23" i="31" s="1"/>
  <c r="M110" i="31"/>
  <c r="AU23" i="31" s="1"/>
  <c r="U110" i="31"/>
  <c r="BC23" i="31" s="1"/>
  <c r="E111" i="31"/>
  <c r="F110" i="31"/>
  <c r="AQ23" i="31" s="1"/>
  <c r="N110" i="31"/>
  <c r="AV23" i="31" s="1"/>
  <c r="V110" i="31"/>
  <c r="BD23" i="31" s="1"/>
  <c r="BD24" i="31" s="1"/>
  <c r="BH23" i="31"/>
  <c r="N111" i="31"/>
  <c r="O110" i="31"/>
  <c r="AW23" i="31" s="1"/>
  <c r="AW24" i="31" s="1"/>
  <c r="W110" i="31"/>
  <c r="W111" i="31" s="1"/>
  <c r="BI23" i="31"/>
  <c r="BI24" i="31" s="1"/>
  <c r="G111" i="31"/>
  <c r="O111" i="31"/>
  <c r="AI107" i="31"/>
  <c r="D255" i="31"/>
  <c r="E249" i="31"/>
  <c r="AT16" i="31"/>
  <c r="AT22" i="31" s="1"/>
  <c r="AT24" i="31" s="1"/>
  <c r="AG100" i="31"/>
  <c r="H111" i="31"/>
  <c r="P111" i="31"/>
  <c r="X111" i="31"/>
  <c r="AF111" i="31"/>
  <c r="AH104" i="31"/>
  <c r="AI106" i="31"/>
  <c r="AO23" i="31"/>
  <c r="L110" i="31"/>
  <c r="L103" i="31" s="1"/>
  <c r="L7" i="31" s="1"/>
  <c r="T110" i="31"/>
  <c r="BB23" i="31" s="1"/>
  <c r="BG23" i="31"/>
  <c r="AH61" i="31"/>
  <c r="AI104" i="31"/>
  <c r="AI105" i="31"/>
  <c r="AI109" i="31"/>
  <c r="AH106" i="31"/>
  <c r="AH107" i="31"/>
  <c r="AH108" i="31"/>
  <c r="AF110" i="30"/>
  <c r="AF111" i="30" s="1"/>
  <c r="AE110" i="30"/>
  <c r="AE103" i="30" s="1"/>
  <c r="AE111" i="30"/>
  <c r="AD95" i="30"/>
  <c r="AD100" i="30" s="1"/>
  <c r="AD102" i="30" s="1"/>
  <c r="AD104" i="30"/>
  <c r="AD105" i="30"/>
  <c r="AD106" i="30"/>
  <c r="AD107" i="30"/>
  <c r="AD108" i="30"/>
  <c r="AD109" i="30"/>
  <c r="AD121" i="30"/>
  <c r="AC95" i="30"/>
  <c r="AC100" i="30" s="1"/>
  <c r="AC102" i="30" s="1"/>
  <c r="AC104" i="30"/>
  <c r="AC105" i="30"/>
  <c r="AC106" i="30"/>
  <c r="AC107" i="30"/>
  <c r="AC108" i="30"/>
  <c r="AC109" i="30"/>
  <c r="AC121" i="30"/>
  <c r="AB95" i="30"/>
  <c r="AB100" i="30" s="1"/>
  <c r="AB102" i="30" s="1"/>
  <c r="AB104" i="30"/>
  <c r="AB105" i="30"/>
  <c r="AB106" i="30"/>
  <c r="AB107" i="30"/>
  <c r="AB108" i="30"/>
  <c r="AB109" i="30"/>
  <c r="AB121" i="30"/>
  <c r="AB255" i="32" l="1"/>
  <c r="AB121" i="32"/>
  <c r="AC249" i="32"/>
  <c r="W103" i="31"/>
  <c r="W7" i="31" s="1"/>
  <c r="V111" i="31"/>
  <c r="BC24" i="31"/>
  <c r="T111" i="31"/>
  <c r="R111" i="31"/>
  <c r="AZ22" i="31"/>
  <c r="AZ24" i="31" s="1"/>
  <c r="Q111" i="31"/>
  <c r="AY24" i="31"/>
  <c r="N103" i="31"/>
  <c r="N7" i="31" s="1"/>
  <c r="AV24" i="31"/>
  <c r="AU24" i="31"/>
  <c r="I111" i="31"/>
  <c r="C259" i="31"/>
  <c r="F111" i="31"/>
  <c r="AQ24" i="31"/>
  <c r="E103" i="31"/>
  <c r="E7" i="31" s="1"/>
  <c r="AO22" i="31"/>
  <c r="AN24" i="31"/>
  <c r="AT8" i="31"/>
  <c r="AI110" i="31"/>
  <c r="F249" i="31"/>
  <c r="E255" i="31"/>
  <c r="E121" i="31"/>
  <c r="AH110" i="31"/>
  <c r="L111" i="31"/>
  <c r="AP24" i="31"/>
  <c r="BK105" i="31"/>
  <c r="BI104" i="31"/>
  <c r="BG103" i="31"/>
  <c r="BK101" i="31"/>
  <c r="BI100" i="31"/>
  <c r="BG99" i="31"/>
  <c r="BK97" i="31"/>
  <c r="BI96" i="31"/>
  <c r="BG95" i="31"/>
  <c r="BK93" i="31"/>
  <c r="BI92" i="31"/>
  <c r="BG91" i="31"/>
  <c r="BK89" i="31"/>
  <c r="BI88" i="31"/>
  <c r="BG87" i="31"/>
  <c r="BK85" i="31"/>
  <c r="BI84" i="31"/>
  <c r="BG83" i="31"/>
  <c r="BJ105" i="31"/>
  <c r="BH104" i="31"/>
  <c r="BL102" i="31"/>
  <c r="BJ101" i="31"/>
  <c r="BH100" i="31"/>
  <c r="BL98" i="31"/>
  <c r="BJ97" i="31"/>
  <c r="BH96" i="31"/>
  <c r="BL94" i="31"/>
  <c r="BJ93" i="31"/>
  <c r="BH92" i="31"/>
  <c r="BL90" i="31"/>
  <c r="BJ89" i="31"/>
  <c r="BH88" i="31"/>
  <c r="BL86" i="31"/>
  <c r="BJ85" i="31"/>
  <c r="BH84" i="31"/>
  <c r="BL82" i="31"/>
  <c r="BI105" i="31"/>
  <c r="BG104" i="31"/>
  <c r="BK102" i="31"/>
  <c r="BI101" i="31"/>
  <c r="BG100" i="31"/>
  <c r="BK98" i="31"/>
  <c r="BI97" i="31"/>
  <c r="BG96" i="31"/>
  <c r="BK94" i="31"/>
  <c r="BI93" i="31"/>
  <c r="BG92" i="31"/>
  <c r="BK90" i="31"/>
  <c r="BI89" i="31"/>
  <c r="BG88" i="31"/>
  <c r="BK86" i="31"/>
  <c r="BI85" i="31"/>
  <c r="BG84" i="31"/>
  <c r="BK82" i="31"/>
  <c r="BH105" i="31"/>
  <c r="BL103" i="31"/>
  <c r="BJ102" i="31"/>
  <c r="BH101" i="31"/>
  <c r="BL99" i="31"/>
  <c r="BJ98" i="31"/>
  <c r="BH97" i="31"/>
  <c r="BL95" i="31"/>
  <c r="BJ94" i="31"/>
  <c r="BH93" i="31"/>
  <c r="BL91" i="31"/>
  <c r="BJ90" i="31"/>
  <c r="BH89" i="31"/>
  <c r="BL87" i="31"/>
  <c r="BJ86" i="31"/>
  <c r="BH85" i="31"/>
  <c r="BL83" i="31"/>
  <c r="BJ82" i="31"/>
  <c r="BL105" i="31"/>
  <c r="BJ104" i="31"/>
  <c r="BH103" i="31"/>
  <c r="BL101" i="31"/>
  <c r="BJ100" i="31"/>
  <c r="BH99" i="31"/>
  <c r="BL97" i="31"/>
  <c r="BJ96" i="31"/>
  <c r="BH95" i="31"/>
  <c r="BL93" i="31"/>
  <c r="BJ92" i="31"/>
  <c r="BH91" i="31"/>
  <c r="BL89" i="31"/>
  <c r="BJ88" i="31"/>
  <c r="BH87" i="31"/>
  <c r="BL85" i="31"/>
  <c r="BJ84" i="31"/>
  <c r="BH83" i="31"/>
  <c r="BG105" i="31"/>
  <c r="BG102" i="31"/>
  <c r="BH98" i="31"/>
  <c r="BI94" i="31"/>
  <c r="BI91" i="31"/>
  <c r="BJ87" i="31"/>
  <c r="BK83" i="31"/>
  <c r="BL104" i="31"/>
  <c r="BG101" i="31"/>
  <c r="BG98" i="31"/>
  <c r="BH94" i="31"/>
  <c r="BI90" i="31"/>
  <c r="BI87" i="31"/>
  <c r="BJ83" i="31"/>
  <c r="BK104" i="31"/>
  <c r="BL100" i="31"/>
  <c r="BG97" i="31"/>
  <c r="BG94" i="31"/>
  <c r="BH90" i="31"/>
  <c r="BI86" i="31"/>
  <c r="BI83" i="31"/>
  <c r="BK103" i="31"/>
  <c r="BK100" i="31"/>
  <c r="BL96" i="31"/>
  <c r="BG93" i="31"/>
  <c r="BG90" i="31"/>
  <c r="BH86" i="31"/>
  <c r="BI82" i="31"/>
  <c r="BJ103" i="31"/>
  <c r="BK99" i="31"/>
  <c r="BK96" i="31"/>
  <c r="BL92" i="31"/>
  <c r="BG89" i="31"/>
  <c r="BG86" i="31"/>
  <c r="BH82" i="31"/>
  <c r="BI103" i="31"/>
  <c r="BJ99" i="31"/>
  <c r="BK95" i="31"/>
  <c r="BK92" i="31"/>
  <c r="BL88" i="31"/>
  <c r="BG85" i="31"/>
  <c r="BG82" i="31"/>
  <c r="BH102" i="31"/>
  <c r="BI98" i="31"/>
  <c r="BI95" i="31"/>
  <c r="BJ91" i="31"/>
  <c r="BK87" i="31"/>
  <c r="BK84" i="31"/>
  <c r="BI102" i="31"/>
  <c r="BI99" i="31"/>
  <c r="BJ95" i="31"/>
  <c r="BK91" i="31"/>
  <c r="BK88" i="31"/>
  <c r="BL84" i="31"/>
  <c r="AH102" i="31"/>
  <c r="AI102" i="31"/>
  <c r="D7" i="31"/>
  <c r="AB7" i="31"/>
  <c r="BH24" i="31"/>
  <c r="AH100" i="31"/>
  <c r="AO24" i="31"/>
  <c r="AI100" i="31"/>
  <c r="U111" i="31"/>
  <c r="U103" i="31"/>
  <c r="U7" i="31" s="1"/>
  <c r="O103" i="31"/>
  <c r="O7" i="31" s="1"/>
  <c r="AD7" i="31"/>
  <c r="BB24" i="31"/>
  <c r="BG24" i="31"/>
  <c r="M111" i="31"/>
  <c r="M103" i="31"/>
  <c r="M7" i="31" s="1"/>
  <c r="B259" i="31"/>
  <c r="T103" i="31"/>
  <c r="T7" i="31" s="1"/>
  <c r="AF103" i="30"/>
  <c r="AD110" i="30"/>
  <c r="AD103" i="30"/>
  <c r="AD111" i="30"/>
  <c r="AC110" i="30"/>
  <c r="AC111" i="30" s="1"/>
  <c r="AC103" i="30"/>
  <c r="AB110" i="30"/>
  <c r="AB111" i="30"/>
  <c r="AB103" i="30"/>
  <c r="AC121" i="32" l="1"/>
  <c r="AD249" i="32"/>
  <c r="AC255" i="32"/>
  <c r="K6" i="31"/>
  <c r="AT9" i="31"/>
  <c r="AI111" i="31"/>
  <c r="AH111" i="31"/>
  <c r="G249" i="31"/>
  <c r="F255" i="31"/>
  <c r="F121" i="31"/>
  <c r="AI103" i="31"/>
  <c r="AH103" i="31"/>
  <c r="B7" i="31"/>
  <c r="A7" i="31" s="1"/>
  <c r="AE249" i="32" l="1"/>
  <c r="AD121" i="32"/>
  <c r="AD255" i="32"/>
  <c r="H249" i="31"/>
  <c r="G255" i="31"/>
  <c r="G121" i="31"/>
  <c r="S60" i="30"/>
  <c r="AF249" i="32" l="1"/>
  <c r="AE255" i="32"/>
  <c r="I249" i="31"/>
  <c r="H255" i="31"/>
  <c r="H121" i="31"/>
  <c r="R124" i="30"/>
  <c r="R60" i="30"/>
  <c r="R61" i="30"/>
  <c r="R65" i="30"/>
  <c r="R79" i="30"/>
  <c r="R83" i="30"/>
  <c r="Q124" i="30"/>
  <c r="Q60" i="30"/>
  <c r="P124" i="30"/>
  <c r="P60" i="30"/>
  <c r="P61" i="30"/>
  <c r="P65" i="30"/>
  <c r="O124" i="30"/>
  <c r="O60" i="30"/>
  <c r="N124" i="30"/>
  <c r="N60" i="30"/>
  <c r="AF255" i="32" l="1"/>
  <c r="B249" i="32"/>
  <c r="I255" i="31"/>
  <c r="I121" i="31"/>
  <c r="J249" i="31"/>
  <c r="M124" i="30"/>
  <c r="M60" i="30"/>
  <c r="B255" i="32" l="1"/>
  <c r="B121" i="32"/>
  <c r="J255" i="31"/>
  <c r="J121" i="31"/>
  <c r="K249" i="31"/>
  <c r="K61" i="30"/>
  <c r="I61" i="30"/>
  <c r="I65" i="30"/>
  <c r="H61" i="30"/>
  <c r="H65" i="30"/>
  <c r="G61" i="30"/>
  <c r="G65" i="30"/>
  <c r="AI121" i="32" l="1"/>
  <c r="AH121" i="32"/>
  <c r="K255" i="31"/>
  <c r="K121" i="31"/>
  <c r="L249" i="31"/>
  <c r="F61" i="30"/>
  <c r="AG255" i="30"/>
  <c r="C255" i="30"/>
  <c r="D254" i="30"/>
  <c r="E253" i="30"/>
  <c r="F253" i="30" s="1"/>
  <c r="G253" i="30" s="1"/>
  <c r="H253" i="30" s="1"/>
  <c r="I253" i="30" s="1"/>
  <c r="J253" i="30" s="1"/>
  <c r="K253" i="30" s="1"/>
  <c r="L253" i="30" s="1"/>
  <c r="M253" i="30" s="1"/>
  <c r="N253" i="30" s="1"/>
  <c r="O253" i="30" s="1"/>
  <c r="P253" i="30" s="1"/>
  <c r="Q253" i="30" s="1"/>
  <c r="R253" i="30" s="1"/>
  <c r="S253" i="30" s="1"/>
  <c r="T253" i="30" s="1"/>
  <c r="U253" i="30" s="1"/>
  <c r="V253" i="30" s="1"/>
  <c r="W253" i="30" s="1"/>
  <c r="X253" i="30" s="1"/>
  <c r="Y253" i="30" s="1"/>
  <c r="Z253" i="30" s="1"/>
  <c r="AA253" i="30" s="1"/>
  <c r="AB253" i="30" s="1"/>
  <c r="AC253" i="30" s="1"/>
  <c r="AD253" i="30" s="1"/>
  <c r="AE253" i="30" s="1"/>
  <c r="AF253" i="30" s="1"/>
  <c r="B253" i="30" s="1"/>
  <c r="D253" i="30"/>
  <c r="D252" i="30"/>
  <c r="E252" i="30" s="1"/>
  <c r="F252" i="30" s="1"/>
  <c r="G252" i="30" s="1"/>
  <c r="H252" i="30" s="1"/>
  <c r="I252" i="30" s="1"/>
  <c r="J252" i="30" s="1"/>
  <c r="K252" i="30" s="1"/>
  <c r="L252" i="30" s="1"/>
  <c r="M252" i="30" s="1"/>
  <c r="N252" i="30" s="1"/>
  <c r="O252" i="30" s="1"/>
  <c r="P252" i="30" s="1"/>
  <c r="Q252" i="30" s="1"/>
  <c r="R252" i="30" s="1"/>
  <c r="S252" i="30" s="1"/>
  <c r="T252" i="30" s="1"/>
  <c r="U252" i="30" s="1"/>
  <c r="V252" i="30" s="1"/>
  <c r="W252" i="30" s="1"/>
  <c r="X252" i="30" s="1"/>
  <c r="Y252" i="30" s="1"/>
  <c r="Z252" i="30" s="1"/>
  <c r="AA252" i="30" s="1"/>
  <c r="AB252" i="30" s="1"/>
  <c r="AC252" i="30" s="1"/>
  <c r="AD252" i="30" s="1"/>
  <c r="AE252" i="30" s="1"/>
  <c r="AF252" i="30" s="1"/>
  <c r="B252" i="30" s="1"/>
  <c r="D251" i="30"/>
  <c r="E251" i="30" s="1"/>
  <c r="F251" i="30" s="1"/>
  <c r="G251" i="30" s="1"/>
  <c r="H251" i="30" s="1"/>
  <c r="I251" i="30" s="1"/>
  <c r="J251" i="30" s="1"/>
  <c r="K251" i="30" s="1"/>
  <c r="L251" i="30" s="1"/>
  <c r="M251" i="30" s="1"/>
  <c r="N251" i="30" s="1"/>
  <c r="O251" i="30" s="1"/>
  <c r="P251" i="30" s="1"/>
  <c r="Q251" i="30" s="1"/>
  <c r="R251" i="30" s="1"/>
  <c r="S251" i="30" s="1"/>
  <c r="T251" i="30" s="1"/>
  <c r="U251" i="30" s="1"/>
  <c r="V251" i="30" s="1"/>
  <c r="W251" i="30" s="1"/>
  <c r="X251" i="30" s="1"/>
  <c r="Y251" i="30" s="1"/>
  <c r="Z251" i="30" s="1"/>
  <c r="AA251" i="30" s="1"/>
  <c r="AB251" i="30" s="1"/>
  <c r="AC251" i="30" s="1"/>
  <c r="AD251" i="30" s="1"/>
  <c r="AE251" i="30" s="1"/>
  <c r="AF251" i="30" s="1"/>
  <c r="B251" i="30" s="1"/>
  <c r="D250" i="30"/>
  <c r="E250" i="30" s="1"/>
  <c r="F250" i="30" s="1"/>
  <c r="G250" i="30" s="1"/>
  <c r="H250" i="30" s="1"/>
  <c r="I250" i="30" s="1"/>
  <c r="J250" i="30" s="1"/>
  <c r="K250" i="30" s="1"/>
  <c r="L250" i="30" s="1"/>
  <c r="M250" i="30" s="1"/>
  <c r="N250" i="30" s="1"/>
  <c r="O250" i="30" s="1"/>
  <c r="P250" i="30" s="1"/>
  <c r="Q250" i="30" s="1"/>
  <c r="R250" i="30" s="1"/>
  <c r="S250" i="30" s="1"/>
  <c r="T250" i="30" s="1"/>
  <c r="U250" i="30" s="1"/>
  <c r="V250" i="30" s="1"/>
  <c r="W250" i="30" s="1"/>
  <c r="X250" i="30" s="1"/>
  <c r="Y250" i="30" s="1"/>
  <c r="Z250" i="30" s="1"/>
  <c r="AA250" i="30" s="1"/>
  <c r="AB250" i="30" s="1"/>
  <c r="AC250" i="30" s="1"/>
  <c r="AD250" i="30" s="1"/>
  <c r="AE250" i="30" s="1"/>
  <c r="AF250" i="30" s="1"/>
  <c r="B250" i="30" s="1"/>
  <c r="E249" i="30"/>
  <c r="F249" i="30" s="1"/>
  <c r="D249" i="30"/>
  <c r="AG247" i="30"/>
  <c r="AF247" i="30"/>
  <c r="AE247" i="30"/>
  <c r="AD247" i="30"/>
  <c r="AC247" i="30"/>
  <c r="AB247" i="30"/>
  <c r="AA247" i="30"/>
  <c r="Z247" i="30"/>
  <c r="Z121" i="30" s="1"/>
  <c r="Y247" i="30"/>
  <c r="Y121" i="30" s="1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B247" i="30"/>
  <c r="AI133" i="30"/>
  <c r="AH133" i="30"/>
  <c r="AI132" i="30"/>
  <c r="AH132" i="30"/>
  <c r="AI131" i="30"/>
  <c r="AH131" i="30"/>
  <c r="AI130" i="30"/>
  <c r="AH130" i="30"/>
  <c r="AI129" i="30"/>
  <c r="AH129" i="30"/>
  <c r="AI126" i="30"/>
  <c r="AH126" i="30"/>
  <c r="AI125" i="30"/>
  <c r="AH125" i="30"/>
  <c r="AI124" i="30"/>
  <c r="AH124" i="30"/>
  <c r="AI123" i="30"/>
  <c r="AH123" i="30"/>
  <c r="AI122" i="30"/>
  <c r="AH122" i="30"/>
  <c r="C121" i="30"/>
  <c r="AI120" i="30"/>
  <c r="AH120" i="30"/>
  <c r="AI119" i="30"/>
  <c r="AH119" i="30"/>
  <c r="AI118" i="30"/>
  <c r="AH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AI101" i="30"/>
  <c r="AH101" i="30"/>
  <c r="AI99" i="30"/>
  <c r="AH99" i="30"/>
  <c r="AG99" i="30"/>
  <c r="AG102" i="30" s="1"/>
  <c r="AI98" i="30"/>
  <c r="AH98" i="30"/>
  <c r="AI97" i="30"/>
  <c r="AH97" i="30"/>
  <c r="AI96" i="30"/>
  <c r="AH96" i="30"/>
  <c r="AG95" i="30"/>
  <c r="AD5" i="30"/>
  <c r="AA95" i="30"/>
  <c r="Z95" i="30"/>
  <c r="Y95" i="30"/>
  <c r="X95" i="30"/>
  <c r="BE19" i="30" s="1"/>
  <c r="W95" i="30"/>
  <c r="V5" i="30" s="1"/>
  <c r="V95" i="30"/>
  <c r="U95" i="30"/>
  <c r="T95" i="30"/>
  <c r="S95" i="30"/>
  <c r="R5" i="30" s="1"/>
  <c r="R95" i="30"/>
  <c r="Q95" i="30"/>
  <c r="AY19" i="30" s="1"/>
  <c r="P95" i="30"/>
  <c r="O5" i="30" s="1"/>
  <c r="O95" i="30"/>
  <c r="AW19" i="30" s="1"/>
  <c r="N95" i="30"/>
  <c r="AV19" i="30" s="1"/>
  <c r="M95" i="30"/>
  <c r="L5" i="30" s="1"/>
  <c r="L95" i="30"/>
  <c r="K5" i="30" s="1"/>
  <c r="K95" i="30"/>
  <c r="J5" i="30" s="1"/>
  <c r="J95" i="30"/>
  <c r="I95" i="30"/>
  <c r="I100" i="30" s="1"/>
  <c r="I102" i="30" s="1"/>
  <c r="H95" i="30"/>
  <c r="G95" i="30"/>
  <c r="F5" i="30" s="1"/>
  <c r="F95" i="30"/>
  <c r="E95" i="30"/>
  <c r="AP19" i="30" s="1"/>
  <c r="D95" i="30"/>
  <c r="AO19" i="30" s="1"/>
  <c r="C95" i="30"/>
  <c r="B5" i="30" s="1"/>
  <c r="B95" i="30"/>
  <c r="AI94" i="30"/>
  <c r="AH94" i="30"/>
  <c r="AI93" i="30"/>
  <c r="AH93" i="30"/>
  <c r="AI92" i="30"/>
  <c r="AH92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3" i="30"/>
  <c r="AG4" i="30" s="1"/>
  <c r="BG20" i="30"/>
  <c r="Z83" i="30"/>
  <c r="BF20" i="30" s="1"/>
  <c r="Y83" i="30"/>
  <c r="X83" i="30"/>
  <c r="BE20" i="30" s="1"/>
  <c r="W83" i="30"/>
  <c r="V83" i="30"/>
  <c r="BD20" i="30" s="1"/>
  <c r="U83" i="30"/>
  <c r="BC20" i="30" s="1"/>
  <c r="T83" i="30"/>
  <c r="BB20" i="30" s="1"/>
  <c r="S83" i="30"/>
  <c r="AZ20" i="30"/>
  <c r="Q83" i="30"/>
  <c r="AY20" i="30" s="1"/>
  <c r="P83" i="30"/>
  <c r="AX20" i="30" s="1"/>
  <c r="O83" i="30"/>
  <c r="N83" i="30"/>
  <c r="M83" i="30"/>
  <c r="AU20" i="30" s="1"/>
  <c r="L83" i="30"/>
  <c r="K83" i="30"/>
  <c r="J83" i="30"/>
  <c r="I83" i="30"/>
  <c r="AS20" i="30" s="1"/>
  <c r="H83" i="30"/>
  <c r="G83" i="30"/>
  <c r="F83" i="30"/>
  <c r="E83" i="30"/>
  <c r="AP20" i="30" s="1"/>
  <c r="D83" i="30"/>
  <c r="AO20" i="30" s="1"/>
  <c r="C83" i="30"/>
  <c r="B83" i="30"/>
  <c r="AI82" i="30"/>
  <c r="AH82" i="30"/>
  <c r="AI81" i="30"/>
  <c r="AH81" i="30"/>
  <c r="AI80" i="30"/>
  <c r="AH80" i="30"/>
  <c r="AG79" i="30"/>
  <c r="Z79" i="30"/>
  <c r="BF18" i="30" s="1"/>
  <c r="Y79" i="30"/>
  <c r="X79" i="30"/>
  <c r="W79" i="30"/>
  <c r="V79" i="30"/>
  <c r="BD18" i="30" s="1"/>
  <c r="U79" i="30"/>
  <c r="BC18" i="30" s="1"/>
  <c r="T79" i="30"/>
  <c r="BB18" i="30" s="1"/>
  <c r="S79" i="30"/>
  <c r="BA18" i="30" s="1"/>
  <c r="Q79" i="30"/>
  <c r="P79" i="30"/>
  <c r="O79" i="30"/>
  <c r="N79" i="30"/>
  <c r="M79" i="30"/>
  <c r="AU18" i="30" s="1"/>
  <c r="L79" i="30"/>
  <c r="K79" i="30"/>
  <c r="AT18" i="30" s="1"/>
  <c r="J79" i="30"/>
  <c r="I79" i="30"/>
  <c r="H79" i="30"/>
  <c r="G79" i="30"/>
  <c r="F79" i="30"/>
  <c r="AQ18" i="30" s="1"/>
  <c r="E79" i="30"/>
  <c r="AP18" i="30" s="1"/>
  <c r="D79" i="30"/>
  <c r="C79" i="30"/>
  <c r="AN18" i="30" s="1"/>
  <c r="B79" i="30"/>
  <c r="AM18" i="30" s="1"/>
  <c r="BW78" i="30"/>
  <c r="BO78" i="30"/>
  <c r="BI78" i="30"/>
  <c r="AZ78" i="30"/>
  <c r="AI78" i="30"/>
  <c r="AH78" i="30"/>
  <c r="AG78" i="30"/>
  <c r="BS77" i="30"/>
  <c r="AI77" i="30"/>
  <c r="AH77" i="30"/>
  <c r="BE76" i="30"/>
  <c r="AI76" i="30"/>
  <c r="AH76" i="30"/>
  <c r="BW75" i="30"/>
  <c r="BG75" i="30"/>
  <c r="AI75" i="30"/>
  <c r="AH75" i="30"/>
  <c r="BQ74" i="30"/>
  <c r="BO74" i="30"/>
  <c r="BI74" i="30"/>
  <c r="BG74" i="30"/>
  <c r="BD74" i="30"/>
  <c r="AI74" i="30"/>
  <c r="AH74" i="30"/>
  <c r="AI73" i="30"/>
  <c r="AH73" i="30"/>
  <c r="AI72" i="30"/>
  <c r="AH72" i="30"/>
  <c r="BW71" i="30"/>
  <c r="BV71" i="30"/>
  <c r="BV78" i="30" s="1"/>
  <c r="BU71" i="30"/>
  <c r="BU78" i="30" s="1"/>
  <c r="BT71" i="30"/>
  <c r="BT78" i="30" s="1"/>
  <c r="BS71" i="30"/>
  <c r="BS78" i="30" s="1"/>
  <c r="BR71" i="30"/>
  <c r="BR78" i="30" s="1"/>
  <c r="BQ71" i="30"/>
  <c r="BQ78" i="30" s="1"/>
  <c r="BP71" i="30"/>
  <c r="BP78" i="30" s="1"/>
  <c r="BO71" i="30"/>
  <c r="BN71" i="30"/>
  <c r="BN78" i="30" s="1"/>
  <c r="BM71" i="30"/>
  <c r="BM78" i="30" s="1"/>
  <c r="BL71" i="30"/>
  <c r="BL78" i="30" s="1"/>
  <c r="BK71" i="30"/>
  <c r="BK78" i="30" s="1"/>
  <c r="BJ71" i="30"/>
  <c r="BJ78" i="30" s="1"/>
  <c r="BI71" i="30"/>
  <c r="BH71" i="30"/>
  <c r="BH78" i="30" s="1"/>
  <c r="BG71" i="30"/>
  <c r="BG78" i="30" s="1"/>
  <c r="BF71" i="30"/>
  <c r="BF78" i="30" s="1"/>
  <c r="BE71" i="30"/>
  <c r="BE78" i="30" s="1"/>
  <c r="BD71" i="30"/>
  <c r="BD78" i="30" s="1"/>
  <c r="BC71" i="30"/>
  <c r="BC78" i="30" s="1"/>
  <c r="BB71" i="30"/>
  <c r="BB78" i="30" s="1"/>
  <c r="BA71" i="30"/>
  <c r="BA78" i="30" s="1"/>
  <c r="AZ71" i="30"/>
  <c r="AI71" i="30"/>
  <c r="AH71" i="30"/>
  <c r="BW70" i="30"/>
  <c r="BW77" i="30" s="1"/>
  <c r="BV70" i="30"/>
  <c r="BV77" i="30" s="1"/>
  <c r="BU70" i="30"/>
  <c r="BU77" i="30" s="1"/>
  <c r="BT70" i="30"/>
  <c r="BT77" i="30" s="1"/>
  <c r="BS70" i="30"/>
  <c r="BR70" i="30"/>
  <c r="BR77" i="30" s="1"/>
  <c r="BQ70" i="30"/>
  <c r="BQ77" i="30" s="1"/>
  <c r="BP70" i="30"/>
  <c r="BP77" i="30" s="1"/>
  <c r="BO70" i="30"/>
  <c r="BO77" i="30" s="1"/>
  <c r="BN70" i="30"/>
  <c r="BN77" i="30" s="1"/>
  <c r="BM70" i="30"/>
  <c r="BM77" i="30" s="1"/>
  <c r="BL70" i="30"/>
  <c r="BL77" i="30" s="1"/>
  <c r="BK70" i="30"/>
  <c r="BK77" i="30" s="1"/>
  <c r="BJ70" i="30"/>
  <c r="BJ77" i="30" s="1"/>
  <c r="BI70" i="30"/>
  <c r="BI77" i="30" s="1"/>
  <c r="BH70" i="30"/>
  <c r="BH77" i="30" s="1"/>
  <c r="BG70" i="30"/>
  <c r="BG77" i="30" s="1"/>
  <c r="BF70" i="30"/>
  <c r="BF77" i="30" s="1"/>
  <c r="BE70" i="30"/>
  <c r="BE77" i="30" s="1"/>
  <c r="BD70" i="30"/>
  <c r="BD77" i="30" s="1"/>
  <c r="BC70" i="30"/>
  <c r="BC77" i="30" s="1"/>
  <c r="BB70" i="30"/>
  <c r="BB77" i="30" s="1"/>
  <c r="BA70" i="30"/>
  <c r="BA77" i="30" s="1"/>
  <c r="AZ70" i="30"/>
  <c r="AZ77" i="30" s="1"/>
  <c r="AI70" i="30"/>
  <c r="AH70" i="30"/>
  <c r="BW69" i="30"/>
  <c r="BW76" i="30" s="1"/>
  <c r="BV69" i="30"/>
  <c r="BV76" i="30" s="1"/>
  <c r="BU69" i="30"/>
  <c r="BU76" i="30" s="1"/>
  <c r="BT69" i="30"/>
  <c r="BT76" i="30" s="1"/>
  <c r="BS69" i="30"/>
  <c r="BS76" i="30" s="1"/>
  <c r="BR69" i="30"/>
  <c r="BR76" i="30" s="1"/>
  <c r="BQ69" i="30"/>
  <c r="BQ76" i="30" s="1"/>
  <c r="BP69" i="30"/>
  <c r="BP76" i="30" s="1"/>
  <c r="BO69" i="30"/>
  <c r="BO76" i="30" s="1"/>
  <c r="BN69" i="30"/>
  <c r="BN76" i="30" s="1"/>
  <c r="BM69" i="30"/>
  <c r="BM76" i="30" s="1"/>
  <c r="BL69" i="30"/>
  <c r="BL76" i="30" s="1"/>
  <c r="BK69" i="30"/>
  <c r="BK76" i="30" s="1"/>
  <c r="BJ69" i="30"/>
  <c r="BJ76" i="30" s="1"/>
  <c r="BI69" i="30"/>
  <c r="BI76" i="30" s="1"/>
  <c r="BH69" i="30"/>
  <c r="BH76" i="30" s="1"/>
  <c r="BG69" i="30"/>
  <c r="BG76" i="30" s="1"/>
  <c r="BF69" i="30"/>
  <c r="BF76" i="30" s="1"/>
  <c r="BE69" i="30"/>
  <c r="BD69" i="30"/>
  <c r="BD76" i="30" s="1"/>
  <c r="BC69" i="30"/>
  <c r="BC76" i="30" s="1"/>
  <c r="BB69" i="30"/>
  <c r="BB76" i="30" s="1"/>
  <c r="BA69" i="30"/>
  <c r="BA76" i="30" s="1"/>
  <c r="AZ69" i="30"/>
  <c r="AZ76" i="30" s="1"/>
  <c r="AI69" i="30"/>
  <c r="AH69" i="30"/>
  <c r="BW68" i="30"/>
  <c r="BV68" i="30"/>
  <c r="BV75" i="30" s="1"/>
  <c r="BU68" i="30"/>
  <c r="BU75" i="30" s="1"/>
  <c r="BT68" i="30"/>
  <c r="BT75" i="30" s="1"/>
  <c r="BS68" i="30"/>
  <c r="BS75" i="30" s="1"/>
  <c r="BR68" i="30"/>
  <c r="BR75" i="30" s="1"/>
  <c r="BQ68" i="30"/>
  <c r="BQ75" i="30" s="1"/>
  <c r="BP68" i="30"/>
  <c r="BP75" i="30" s="1"/>
  <c r="BO68" i="30"/>
  <c r="BO75" i="30" s="1"/>
  <c r="BN68" i="30"/>
  <c r="BN75" i="30" s="1"/>
  <c r="BM68" i="30"/>
  <c r="BM75" i="30" s="1"/>
  <c r="BL68" i="30"/>
  <c r="BL75" i="30" s="1"/>
  <c r="BK68" i="30"/>
  <c r="BK75" i="30" s="1"/>
  <c r="BJ68" i="30"/>
  <c r="BJ75" i="30" s="1"/>
  <c r="BI68" i="30"/>
  <c r="BI75" i="30" s="1"/>
  <c r="BH68" i="30"/>
  <c r="BH75" i="30" s="1"/>
  <c r="BG68" i="30"/>
  <c r="BF68" i="30"/>
  <c r="BF75" i="30" s="1"/>
  <c r="BE68" i="30"/>
  <c r="BE75" i="30" s="1"/>
  <c r="BD68" i="30"/>
  <c r="BD75" i="30" s="1"/>
  <c r="BC68" i="30"/>
  <c r="BC75" i="30" s="1"/>
  <c r="BB68" i="30"/>
  <c r="BB75" i="30" s="1"/>
  <c r="BA68" i="30"/>
  <c r="BA75" i="30" s="1"/>
  <c r="AZ68" i="30"/>
  <c r="AZ75" i="30" s="1"/>
  <c r="AI68" i="30"/>
  <c r="AH68" i="30"/>
  <c r="BW67" i="30"/>
  <c r="BW74" i="30" s="1"/>
  <c r="BV67" i="30"/>
  <c r="BV74" i="30" s="1"/>
  <c r="BU67" i="30"/>
  <c r="BU74" i="30" s="1"/>
  <c r="BT67" i="30"/>
  <c r="BT74" i="30" s="1"/>
  <c r="BS67" i="30"/>
  <c r="BS74" i="30" s="1"/>
  <c r="BR67" i="30"/>
  <c r="BR74" i="30" s="1"/>
  <c r="BQ67" i="30"/>
  <c r="BP67" i="30"/>
  <c r="BP74" i="30" s="1"/>
  <c r="BO67" i="30"/>
  <c r="BN67" i="30"/>
  <c r="BN74" i="30" s="1"/>
  <c r="BM67" i="30"/>
  <c r="BM74" i="30" s="1"/>
  <c r="BL67" i="30"/>
  <c r="BL74" i="30" s="1"/>
  <c r="BK67" i="30"/>
  <c r="BK74" i="30" s="1"/>
  <c r="BJ67" i="30"/>
  <c r="BJ74" i="30" s="1"/>
  <c r="BI67" i="30"/>
  <c r="BH67" i="30"/>
  <c r="BH74" i="30" s="1"/>
  <c r="BG67" i="30"/>
  <c r="BF67" i="30"/>
  <c r="BF74" i="30" s="1"/>
  <c r="BE67" i="30"/>
  <c r="BE74" i="30" s="1"/>
  <c r="BD67" i="30"/>
  <c r="BC67" i="30"/>
  <c r="BC74" i="30" s="1"/>
  <c r="BB67" i="30"/>
  <c r="BB74" i="30" s="1"/>
  <c r="BA67" i="30"/>
  <c r="BA74" i="30" s="1"/>
  <c r="AZ67" i="30"/>
  <c r="AZ74" i="30" s="1"/>
  <c r="AI67" i="30"/>
  <c r="AH67" i="30"/>
  <c r="BW66" i="30"/>
  <c r="BW73" i="30" s="1"/>
  <c r="BV66" i="30"/>
  <c r="BV73" i="30" s="1"/>
  <c r="BU66" i="30"/>
  <c r="BU73" i="30" s="1"/>
  <c r="BT66" i="30"/>
  <c r="BT73" i="30" s="1"/>
  <c r="BS66" i="30"/>
  <c r="BS73" i="30" s="1"/>
  <c r="BR66" i="30"/>
  <c r="BR73" i="30" s="1"/>
  <c r="BQ66" i="30"/>
  <c r="BQ73" i="30" s="1"/>
  <c r="BP66" i="30"/>
  <c r="BP73" i="30" s="1"/>
  <c r="BO66" i="30"/>
  <c r="BO73" i="30" s="1"/>
  <c r="BN66" i="30"/>
  <c r="BN73" i="30" s="1"/>
  <c r="BM66" i="30"/>
  <c r="BM73" i="30" s="1"/>
  <c r="BL66" i="30"/>
  <c r="BL73" i="30" s="1"/>
  <c r="BK66" i="30"/>
  <c r="BK73" i="30" s="1"/>
  <c r="BJ66" i="30"/>
  <c r="BJ73" i="30" s="1"/>
  <c r="BI66" i="30"/>
  <c r="BI73" i="30" s="1"/>
  <c r="BH66" i="30"/>
  <c r="BH73" i="30" s="1"/>
  <c r="BG66" i="30"/>
  <c r="BG73" i="30" s="1"/>
  <c r="BF66" i="30"/>
  <c r="BF73" i="30" s="1"/>
  <c r="BE66" i="30"/>
  <c r="BE73" i="30" s="1"/>
  <c r="BD66" i="30"/>
  <c r="BD73" i="30" s="1"/>
  <c r="BC66" i="30"/>
  <c r="BC73" i="30" s="1"/>
  <c r="BB66" i="30"/>
  <c r="BB73" i="30" s="1"/>
  <c r="BA66" i="30"/>
  <c r="BA73" i="30" s="1"/>
  <c r="AZ66" i="30"/>
  <c r="AZ73" i="30" s="1"/>
  <c r="AI66" i="30"/>
  <c r="AH66" i="30"/>
  <c r="AG65" i="30"/>
  <c r="BJ17" i="30"/>
  <c r="BH17" i="30"/>
  <c r="BG17" i="30"/>
  <c r="Z65" i="30"/>
  <c r="BF17" i="30" s="1"/>
  <c r="Y65" i="30"/>
  <c r="X65" i="30"/>
  <c r="BE17" i="30" s="1"/>
  <c r="W65" i="30"/>
  <c r="V65" i="30"/>
  <c r="BD17" i="30" s="1"/>
  <c r="U65" i="30"/>
  <c r="T65" i="30"/>
  <c r="BB17" i="30" s="1"/>
  <c r="S65" i="30"/>
  <c r="BA17" i="30" s="1"/>
  <c r="AZ17" i="30"/>
  <c r="Q65" i="30"/>
  <c r="AY17" i="30" s="1"/>
  <c r="O65" i="30"/>
  <c r="AW17" i="30" s="1"/>
  <c r="N65" i="30"/>
  <c r="M65" i="30"/>
  <c r="AU17" i="30" s="1"/>
  <c r="L65" i="30"/>
  <c r="K65" i="30"/>
  <c r="AT17" i="30" s="1"/>
  <c r="J65" i="30"/>
  <c r="F65" i="30"/>
  <c r="AQ17" i="30" s="1"/>
  <c r="E65" i="30"/>
  <c r="AP17" i="30" s="1"/>
  <c r="D65" i="30"/>
  <c r="AO17" i="30" s="1"/>
  <c r="C65" i="30"/>
  <c r="AN17" i="30" s="1"/>
  <c r="B65" i="30"/>
  <c r="AI64" i="30"/>
  <c r="AH64" i="30"/>
  <c r="AI63" i="30"/>
  <c r="AH63" i="30"/>
  <c r="AI62" i="30"/>
  <c r="AH62" i="30"/>
  <c r="AG61" i="30"/>
  <c r="AG100" i="30" s="1"/>
  <c r="BJ16" i="30"/>
  <c r="Z61" i="30"/>
  <c r="Y61" i="30"/>
  <c r="X61" i="30"/>
  <c r="BE16" i="30" s="1"/>
  <c r="W61" i="30"/>
  <c r="V61" i="30"/>
  <c r="BD16" i="30" s="1"/>
  <c r="U61" i="30"/>
  <c r="T61" i="30"/>
  <c r="S61" i="30"/>
  <c r="Q61" i="30"/>
  <c r="AY16" i="30" s="1"/>
  <c r="AX16" i="30"/>
  <c r="O61" i="30"/>
  <c r="N61" i="30"/>
  <c r="M61" i="30"/>
  <c r="L61" i="30"/>
  <c r="J61" i="30"/>
  <c r="E61" i="30"/>
  <c r="D61" i="30"/>
  <c r="AO16" i="30" s="1"/>
  <c r="C61" i="30"/>
  <c r="B61" i="30"/>
  <c r="AM16" i="30" s="1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BJ21" i="30"/>
  <c r="BI21" i="30"/>
  <c r="BH21" i="30"/>
  <c r="BG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I21" i="30"/>
  <c r="AH21" i="30"/>
  <c r="BJ20" i="30"/>
  <c r="BI20" i="30"/>
  <c r="BH20" i="30"/>
  <c r="BA20" i="30"/>
  <c r="AW20" i="30"/>
  <c r="AV20" i="30"/>
  <c r="AT20" i="30"/>
  <c r="AR20" i="30"/>
  <c r="AQ20" i="30"/>
  <c r="AN20" i="30"/>
  <c r="AM20" i="30"/>
  <c r="AI20" i="30"/>
  <c r="AH20" i="30"/>
  <c r="BJ19" i="30"/>
  <c r="BH19" i="30"/>
  <c r="BG19" i="30"/>
  <c r="BF19" i="30"/>
  <c r="BD19" i="30"/>
  <c r="BC19" i="30"/>
  <c r="AZ19" i="30"/>
  <c r="AS19" i="30"/>
  <c r="AR19" i="30"/>
  <c r="AQ19" i="30"/>
  <c r="AI19" i="30"/>
  <c r="AH19" i="30"/>
  <c r="BJ18" i="30"/>
  <c r="BI18" i="30"/>
  <c r="BH18" i="30"/>
  <c r="BG18" i="30"/>
  <c r="BE18" i="30"/>
  <c r="AZ18" i="30"/>
  <c r="AY18" i="30"/>
  <c r="AX18" i="30"/>
  <c r="AW18" i="30"/>
  <c r="AV18" i="30"/>
  <c r="AS18" i="30"/>
  <c r="AO18" i="30"/>
  <c r="AI18" i="30"/>
  <c r="AH18" i="30"/>
  <c r="BI17" i="30"/>
  <c r="BC17" i="30"/>
  <c r="AX17" i="30"/>
  <c r="AV17" i="30"/>
  <c r="AS17" i="30"/>
  <c r="AR17" i="30"/>
  <c r="AM17" i="30"/>
  <c r="AI17" i="30"/>
  <c r="AH17" i="30"/>
  <c r="BI16" i="30"/>
  <c r="BC16" i="30"/>
  <c r="AR16" i="30"/>
  <c r="AI16" i="30"/>
  <c r="AH16" i="30"/>
  <c r="AI15" i="30"/>
  <c r="AH15" i="30"/>
  <c r="AI14" i="30"/>
  <c r="AH14" i="30"/>
  <c r="AI13" i="30"/>
  <c r="AH13" i="30"/>
  <c r="AL12" i="30"/>
  <c r="AI12" i="30"/>
  <c r="AH12" i="30"/>
  <c r="AI11" i="30"/>
  <c r="AH11" i="30"/>
  <c r="AE5" i="30"/>
  <c r="AC5" i="30"/>
  <c r="AB5" i="30"/>
  <c r="AA5" i="30"/>
  <c r="Z5" i="30"/>
  <c r="X5" i="30"/>
  <c r="U5" i="30"/>
  <c r="T5" i="30"/>
  <c r="S5" i="30"/>
  <c r="P5" i="30"/>
  <c r="H5" i="30"/>
  <c r="G5" i="30"/>
  <c r="E5" i="30"/>
  <c r="K4" i="30"/>
  <c r="E4" i="30"/>
  <c r="H4" i="30" s="1"/>
  <c r="B4" i="30"/>
  <c r="D261" i="30" s="1"/>
  <c r="AG3" i="30"/>
  <c r="AG2" i="30"/>
  <c r="AG6" i="30" s="1"/>
  <c r="AA109" i="29"/>
  <c r="AA108" i="29"/>
  <c r="AA107" i="29"/>
  <c r="AA106" i="29"/>
  <c r="AA105" i="29"/>
  <c r="AA104" i="29"/>
  <c r="AA110" i="29" s="1"/>
  <c r="AA95" i="29"/>
  <c r="AA83" i="29"/>
  <c r="AA79" i="29"/>
  <c r="AA65" i="29"/>
  <c r="AA61" i="29"/>
  <c r="Z61" i="29"/>
  <c r="Z65" i="29"/>
  <c r="Z79" i="29"/>
  <c r="Z83" i="29"/>
  <c r="Z95" i="29"/>
  <c r="Z104" i="29"/>
  <c r="Z105" i="29"/>
  <c r="Z106" i="29"/>
  <c r="Z107" i="29"/>
  <c r="Z108" i="29"/>
  <c r="Z109" i="29"/>
  <c r="Y61" i="29"/>
  <c r="Y65" i="29"/>
  <c r="Y79" i="29"/>
  <c r="Y83" i="29"/>
  <c r="Y95" i="29"/>
  <c r="Y104" i="29"/>
  <c r="Y105" i="29"/>
  <c r="Y106" i="29"/>
  <c r="Y107" i="29"/>
  <c r="Y108" i="29"/>
  <c r="Y109" i="29"/>
  <c r="X124" i="29"/>
  <c r="X60" i="29"/>
  <c r="W61" i="29"/>
  <c r="W65" i="29"/>
  <c r="W79" i="29"/>
  <c r="W83" i="29"/>
  <c r="W95" i="29"/>
  <c r="W104" i="29"/>
  <c r="W105" i="29"/>
  <c r="W106" i="29"/>
  <c r="W107" i="29"/>
  <c r="W108" i="29"/>
  <c r="W109" i="29"/>
  <c r="V61" i="29"/>
  <c r="V65" i="29"/>
  <c r="V79" i="29"/>
  <c r="V83" i="29"/>
  <c r="V95" i="29"/>
  <c r="V104" i="29"/>
  <c r="V105" i="29"/>
  <c r="V106" i="29"/>
  <c r="V107" i="29"/>
  <c r="V108" i="29"/>
  <c r="V109" i="29"/>
  <c r="U61" i="29"/>
  <c r="U65" i="29"/>
  <c r="U79" i="29"/>
  <c r="U83" i="29"/>
  <c r="U95" i="29"/>
  <c r="U104" i="29"/>
  <c r="U105" i="29"/>
  <c r="U106" i="29"/>
  <c r="U107" i="29"/>
  <c r="U108" i="29"/>
  <c r="U109" i="29"/>
  <c r="L255" i="31" l="1"/>
  <c r="L121" i="31"/>
  <c r="M249" i="31"/>
  <c r="BJ22" i="30"/>
  <c r="Z100" i="30"/>
  <c r="Z102" i="30" s="1"/>
  <c r="Y110" i="30"/>
  <c r="Y111" i="30"/>
  <c r="Y100" i="30"/>
  <c r="Y102" i="30" s="1"/>
  <c r="W5" i="30"/>
  <c r="W100" i="30"/>
  <c r="W102" i="30" s="1"/>
  <c r="BA19" i="30"/>
  <c r="Q110" i="30"/>
  <c r="AY23" i="30" s="1"/>
  <c r="AY22" i="30"/>
  <c r="AX19" i="30"/>
  <c r="AX22" i="30" s="1"/>
  <c r="O100" i="30"/>
  <c r="O102" i="30" s="1"/>
  <c r="AW16" i="30"/>
  <c r="M5" i="30"/>
  <c r="N100" i="30"/>
  <c r="N102" i="30" s="1"/>
  <c r="AU19" i="30"/>
  <c r="L110" i="30"/>
  <c r="AT19" i="30"/>
  <c r="J100" i="30"/>
  <c r="J102" i="30" s="1"/>
  <c r="AS16" i="30"/>
  <c r="AS22" i="30" s="1"/>
  <c r="G100" i="30"/>
  <c r="G102" i="30" s="1"/>
  <c r="AR18" i="30"/>
  <c r="F100" i="30"/>
  <c r="F102" i="30" s="1"/>
  <c r="D5" i="30"/>
  <c r="C5" i="30"/>
  <c r="AN19" i="30"/>
  <c r="BI19" i="30"/>
  <c r="E100" i="30"/>
  <c r="E102" i="30" s="1"/>
  <c r="M100" i="30"/>
  <c r="M102" i="30" s="1"/>
  <c r="U100" i="30"/>
  <c r="U102" i="30" s="1"/>
  <c r="Q100" i="30"/>
  <c r="Q102" i="30" s="1"/>
  <c r="J110" i="30"/>
  <c r="J103" i="30" s="1"/>
  <c r="J7" i="30" s="1"/>
  <c r="Z110" i="30"/>
  <c r="BF23" i="30" s="1"/>
  <c r="D110" i="30"/>
  <c r="AO23" i="30" s="1"/>
  <c r="T110" i="30"/>
  <c r="BB23" i="30" s="1"/>
  <c r="BG23" i="30"/>
  <c r="AI108" i="30"/>
  <c r="D255" i="30"/>
  <c r="V100" i="30"/>
  <c r="V102" i="30" s="1"/>
  <c r="AP16" i="30"/>
  <c r="AP22" i="30" s="1"/>
  <c r="I110" i="30"/>
  <c r="AS23" i="30" s="1"/>
  <c r="AS24" i="30" s="1"/>
  <c r="N5" i="30"/>
  <c r="AQ16" i="30"/>
  <c r="AQ22" i="30" s="1"/>
  <c r="H100" i="30"/>
  <c r="H102" i="30" s="1"/>
  <c r="P100" i="30"/>
  <c r="P102" i="30" s="1"/>
  <c r="X100" i="30"/>
  <c r="X102" i="30" s="1"/>
  <c r="AH65" i="30"/>
  <c r="Y103" i="30"/>
  <c r="Y7" i="30" s="1"/>
  <c r="R110" i="30"/>
  <c r="AZ23" i="30" s="1"/>
  <c r="AU16" i="30"/>
  <c r="AU22" i="30" s="1"/>
  <c r="BF16" i="30"/>
  <c r="BI22" i="30"/>
  <c r="AR22" i="30"/>
  <c r="C100" i="30"/>
  <c r="C102" i="30" s="1"/>
  <c r="AA100" i="30"/>
  <c r="AA102" i="30" s="1"/>
  <c r="H110" i="30"/>
  <c r="H111" i="30" s="1"/>
  <c r="P110" i="30"/>
  <c r="AX23" i="30" s="1"/>
  <c r="X110" i="30"/>
  <c r="BE23" i="30" s="1"/>
  <c r="BJ23" i="30"/>
  <c r="BJ24" i="30" s="1"/>
  <c r="AV16" i="30"/>
  <c r="AV22" i="30" s="1"/>
  <c r="AL13" i="30"/>
  <c r="BG82" i="30" a="1"/>
  <c r="BH96" i="30" s="1"/>
  <c r="B100" i="30"/>
  <c r="B102" i="30" s="1"/>
  <c r="AO22" i="30"/>
  <c r="AN16" i="30"/>
  <c r="AN22" i="30" s="1"/>
  <c r="AW22" i="30"/>
  <c r="AH105" i="30"/>
  <c r="R100" i="30"/>
  <c r="R102" i="30" s="1"/>
  <c r="R103" i="30" s="1"/>
  <c r="R7" i="30" s="1"/>
  <c r="AZ16" i="30"/>
  <c r="AZ22" i="30" s="1"/>
  <c r="AH61" i="30"/>
  <c r="AH79" i="30"/>
  <c r="E110" i="30"/>
  <c r="AP23" i="30" s="1"/>
  <c r="M110" i="30"/>
  <c r="AU23" i="30" s="1"/>
  <c r="U110" i="30"/>
  <c r="BC23" i="30" s="1"/>
  <c r="AI109" i="30"/>
  <c r="K100" i="30"/>
  <c r="K102" i="30" s="1"/>
  <c r="AT16" i="30"/>
  <c r="AT22" i="30" s="1"/>
  <c r="S100" i="30"/>
  <c r="S102" i="30" s="1"/>
  <c r="BA16" i="30"/>
  <c r="BA22" i="30" s="1"/>
  <c r="AI61" i="30"/>
  <c r="AI65" i="30"/>
  <c r="AI79" i="30"/>
  <c r="BC22" i="30"/>
  <c r="D100" i="30"/>
  <c r="D102" i="30" s="1"/>
  <c r="D103" i="30" s="1"/>
  <c r="D7" i="30" s="1"/>
  <c r="T100" i="30"/>
  <c r="T102" i="30" s="1"/>
  <c r="BB16" i="30"/>
  <c r="AB7" i="30"/>
  <c r="BG16" i="30"/>
  <c r="BG22" i="30" s="1"/>
  <c r="G110" i="30"/>
  <c r="G103" i="30" s="1"/>
  <c r="G7" i="30" s="1"/>
  <c r="O110" i="30"/>
  <c r="W110" i="30"/>
  <c r="W111" i="30" s="1"/>
  <c r="BD22" i="30"/>
  <c r="AI95" i="30"/>
  <c r="AM19" i="30"/>
  <c r="AM22" i="30" s="1"/>
  <c r="AF5" i="30"/>
  <c r="I5" i="30"/>
  <c r="Q5" i="30"/>
  <c r="Y5" i="30"/>
  <c r="AH95" i="30"/>
  <c r="L100" i="30"/>
  <c r="L102" i="30" s="1"/>
  <c r="L103" i="30" s="1"/>
  <c r="L7" i="30" s="1"/>
  <c r="BE22" i="30"/>
  <c r="AI83" i="30"/>
  <c r="AH83" i="30"/>
  <c r="BF22" i="30"/>
  <c r="AI104" i="30"/>
  <c r="D111" i="30"/>
  <c r="L111" i="30"/>
  <c r="F110" i="30"/>
  <c r="AQ23" i="30" s="1"/>
  <c r="N110" i="30"/>
  <c r="AV23" i="30" s="1"/>
  <c r="V110" i="30"/>
  <c r="BD23" i="30" s="1"/>
  <c r="BH23" i="30"/>
  <c r="F111" i="30"/>
  <c r="AH108" i="30"/>
  <c r="BH16" i="30"/>
  <c r="BH22" i="30" s="1"/>
  <c r="BB19" i="30"/>
  <c r="AI107" i="30"/>
  <c r="G249" i="30"/>
  <c r="AH104" i="30"/>
  <c r="AI105" i="30"/>
  <c r="AI106" i="30"/>
  <c r="D121" i="30"/>
  <c r="E254" i="30"/>
  <c r="E255" i="30" s="1"/>
  <c r="AH109" i="30"/>
  <c r="B110" i="30"/>
  <c r="C110" i="30"/>
  <c r="K110" i="30"/>
  <c r="S110" i="30"/>
  <c r="AA110" i="30"/>
  <c r="AA111" i="30" s="1"/>
  <c r="AH106" i="30"/>
  <c r="AH107" i="30"/>
  <c r="AA111" i="29"/>
  <c r="AA100" i="29"/>
  <c r="AA102" i="29" s="1"/>
  <c r="AA103" i="29"/>
  <c r="Z100" i="29"/>
  <c r="Z102" i="29" s="1"/>
  <c r="Z110" i="29"/>
  <c r="Y110" i="29"/>
  <c r="Y111" i="29"/>
  <c r="Y100" i="29"/>
  <c r="Y102" i="29" s="1"/>
  <c r="Y103" i="29" s="1"/>
  <c r="W110" i="29"/>
  <c r="W111" i="29" s="1"/>
  <c r="W100" i="29"/>
  <c r="W102" i="29" s="1"/>
  <c r="V110" i="29"/>
  <c r="V111" i="29" s="1"/>
  <c r="V100" i="29"/>
  <c r="V102" i="29" s="1"/>
  <c r="V103" i="29" s="1"/>
  <c r="U110" i="29"/>
  <c r="U100" i="29"/>
  <c r="U102" i="29" s="1"/>
  <c r="U103" i="29" s="1"/>
  <c r="U111" i="29"/>
  <c r="N249" i="31" l="1"/>
  <c r="M255" i="31"/>
  <c r="M121" i="31"/>
  <c r="BG24" i="30"/>
  <c r="BF24" i="30"/>
  <c r="BE24" i="30"/>
  <c r="X103" i="30"/>
  <c r="X7" i="30" s="1"/>
  <c r="BC24" i="30"/>
  <c r="T111" i="30"/>
  <c r="T103" i="30"/>
  <c r="T7" i="30" s="1"/>
  <c r="Q103" i="30"/>
  <c r="Q7" i="30" s="1"/>
  <c r="Q111" i="30"/>
  <c r="AY24" i="30"/>
  <c r="AX24" i="30"/>
  <c r="N103" i="30"/>
  <c r="N7" i="30" s="1"/>
  <c r="M111" i="30"/>
  <c r="AU24" i="30"/>
  <c r="M103" i="30"/>
  <c r="M7" i="30" s="1"/>
  <c r="J111" i="30"/>
  <c r="H103" i="30"/>
  <c r="H7" i="30" s="1"/>
  <c r="C259" i="30"/>
  <c r="C103" i="30"/>
  <c r="C7" i="30" s="1"/>
  <c r="AQ24" i="30"/>
  <c r="AP24" i="30"/>
  <c r="V111" i="30"/>
  <c r="R111" i="30"/>
  <c r="E103" i="30"/>
  <c r="E7" i="30" s="1"/>
  <c r="AF7" i="30"/>
  <c r="P111" i="30"/>
  <c r="K103" i="30"/>
  <c r="K7" i="30" s="1"/>
  <c r="AZ24" i="30"/>
  <c r="AO24" i="30"/>
  <c r="P103" i="30"/>
  <c r="P7" i="30" s="1"/>
  <c r="Z103" i="30"/>
  <c r="Z7" i="30" s="1"/>
  <c r="X111" i="30"/>
  <c r="I103" i="30"/>
  <c r="I7" i="30" s="1"/>
  <c r="Z111" i="30"/>
  <c r="U103" i="30"/>
  <c r="U7" i="30" s="1"/>
  <c r="I111" i="30"/>
  <c r="U111" i="30"/>
  <c r="BK85" i="30"/>
  <c r="BG82" i="30"/>
  <c r="BI98" i="30"/>
  <c r="BK83" i="30"/>
  <c r="BK89" i="30"/>
  <c r="BH94" i="30"/>
  <c r="BL91" i="30"/>
  <c r="BG100" i="30"/>
  <c r="BJ97" i="30"/>
  <c r="BK100" i="30"/>
  <c r="BL89" i="30"/>
  <c r="BG91" i="30"/>
  <c r="BJ100" i="30"/>
  <c r="BG101" i="30"/>
  <c r="BK88" i="30"/>
  <c r="BI86" i="30"/>
  <c r="BH83" i="30"/>
  <c r="BI92" i="30"/>
  <c r="BL84" i="30"/>
  <c r="BJ95" i="30"/>
  <c r="BJ82" i="30"/>
  <c r="BH93" i="30"/>
  <c r="BL103" i="30"/>
  <c r="BK90" i="30"/>
  <c r="BI101" i="30"/>
  <c r="BH88" i="30"/>
  <c r="BL98" i="30"/>
  <c r="BI87" i="30"/>
  <c r="BI96" i="30"/>
  <c r="BG98" i="30"/>
  <c r="BI82" i="30"/>
  <c r="BK103" i="30"/>
  <c r="BI91" i="30"/>
  <c r="BG89" i="30"/>
  <c r="BJ88" i="30"/>
  <c r="BG95" i="30"/>
  <c r="BH86" i="30"/>
  <c r="BL96" i="30"/>
  <c r="BL83" i="30"/>
  <c r="BJ94" i="30"/>
  <c r="BH105" i="30"/>
  <c r="BG92" i="30"/>
  <c r="BK102" i="30"/>
  <c r="BJ89" i="30"/>
  <c r="BH100" i="30"/>
  <c r="BH95" i="30"/>
  <c r="BI103" i="30"/>
  <c r="BL105" i="30"/>
  <c r="BG85" i="30"/>
  <c r="BL85" i="30"/>
  <c r="BG94" i="30"/>
  <c r="BK91" i="30"/>
  <c r="BL93" i="30"/>
  <c r="BK97" i="30"/>
  <c r="BJ87" i="30"/>
  <c r="BH98" i="30"/>
  <c r="BH85" i="30"/>
  <c r="BL95" i="30"/>
  <c r="BK82" i="30"/>
  <c r="BI93" i="30"/>
  <c r="BG104" i="30"/>
  <c r="BL90" i="30"/>
  <c r="BJ101" i="30"/>
  <c r="BH103" i="30"/>
  <c r="BK93" i="30"/>
  <c r="BJ84" i="30"/>
  <c r="BK92" i="30"/>
  <c r="BG86" i="30"/>
  <c r="BG105" i="30"/>
  <c r="BJ83" i="30"/>
  <c r="BL104" i="30"/>
  <c r="BJ102" i="30"/>
  <c r="BI89" i="30"/>
  <c r="BL86" i="30"/>
  <c r="BK101" i="30"/>
  <c r="BG83" i="30"/>
  <c r="BK84" i="30"/>
  <c r="BK87" i="30"/>
  <c r="BH91" i="30"/>
  <c r="BK96" i="30"/>
  <c r="BI94" i="30"/>
  <c r="BH99" i="30"/>
  <c r="BI100" i="30"/>
  <c r="BL88" i="30"/>
  <c r="BJ99" i="30"/>
  <c r="BJ86" i="30"/>
  <c r="BH97" i="30"/>
  <c r="BG84" i="30"/>
  <c r="BK94" i="30"/>
  <c r="BI105" i="30"/>
  <c r="BH92" i="30"/>
  <c r="BL102" i="30"/>
  <c r="BI88" i="30"/>
  <c r="BG90" i="30"/>
  <c r="BJ92" i="30"/>
  <c r="BI90" i="30"/>
  <c r="BJ96" i="30"/>
  <c r="BI99" i="30"/>
  <c r="BG97" i="30"/>
  <c r="BJ104" i="30"/>
  <c r="BG103" i="30"/>
  <c r="BH90" i="30"/>
  <c r="BL100" i="30"/>
  <c r="BL87" i="30"/>
  <c r="BJ98" i="30"/>
  <c r="BI85" i="30"/>
  <c r="BG96" i="30"/>
  <c r="BL82" i="30"/>
  <c r="BJ93" i="30"/>
  <c r="BH104" i="30"/>
  <c r="BI95" i="30"/>
  <c r="BL97" i="30"/>
  <c r="BG99" i="30"/>
  <c r="BG93" i="30"/>
  <c r="BL101" i="30"/>
  <c r="BG102" i="30"/>
  <c r="BK99" i="30"/>
  <c r="BI84" i="30"/>
  <c r="BK105" i="30"/>
  <c r="BJ91" i="30"/>
  <c r="BH102" i="30"/>
  <c r="BH89" i="30"/>
  <c r="BL99" i="30"/>
  <c r="BK86" i="30"/>
  <c r="BI97" i="30"/>
  <c r="BH84" i="30"/>
  <c r="BL94" i="30"/>
  <c r="BJ105" i="30"/>
  <c r="BH87" i="30"/>
  <c r="BI104" i="30"/>
  <c r="BK95" i="30"/>
  <c r="BI83" i="30"/>
  <c r="BK104" i="30"/>
  <c r="BI102" i="30"/>
  <c r="BG87" i="30"/>
  <c r="BH82" i="30"/>
  <c r="BL92" i="30"/>
  <c r="BJ103" i="30"/>
  <c r="BJ90" i="30"/>
  <c r="BH101" i="30"/>
  <c r="BG88" i="30"/>
  <c r="BK98" i="30"/>
  <c r="BJ85" i="30"/>
  <c r="AC7" i="30"/>
  <c r="G111" i="30"/>
  <c r="AR23" i="30"/>
  <c r="AR24" i="30" s="1"/>
  <c r="V103" i="30"/>
  <c r="V7" i="30" s="1"/>
  <c r="S111" i="30"/>
  <c r="BA23" i="30"/>
  <c r="AH110" i="30"/>
  <c r="AM23" i="30"/>
  <c r="AM24" i="30" s="1"/>
  <c r="AI110" i="30"/>
  <c r="BH24" i="30"/>
  <c r="B111" i="30"/>
  <c r="O111" i="30"/>
  <c r="AW23" i="30"/>
  <c r="AW24" i="30" s="1"/>
  <c r="O103" i="30"/>
  <c r="O7" i="30" s="1"/>
  <c r="B259" i="30"/>
  <c r="AD7" i="30"/>
  <c r="W103" i="30"/>
  <c r="W7" i="30" s="1"/>
  <c r="AA103" i="30"/>
  <c r="AA7" i="30" s="1"/>
  <c r="B103" i="30"/>
  <c r="AI102" i="30"/>
  <c r="AH102" i="30"/>
  <c r="AT23" i="30"/>
  <c r="AT24" i="30" s="1"/>
  <c r="K111" i="30"/>
  <c r="N111" i="30"/>
  <c r="H249" i="30"/>
  <c r="F103" i="30"/>
  <c r="F7" i="30" s="1"/>
  <c r="BD24" i="30"/>
  <c r="BB22" i="30"/>
  <c r="BB24" i="30" s="1"/>
  <c r="BA24" i="30"/>
  <c r="AH100" i="30"/>
  <c r="E111" i="30"/>
  <c r="AN23" i="30"/>
  <c r="AN24" i="30" s="1"/>
  <c r="C111" i="30"/>
  <c r="F254" i="30"/>
  <c r="E121" i="30"/>
  <c r="BI23" i="30"/>
  <c r="BI24" i="30" s="1"/>
  <c r="S103" i="30"/>
  <c r="S7" i="30" s="1"/>
  <c r="AI100" i="30"/>
  <c r="AV24" i="30"/>
  <c r="AE7" i="30"/>
  <c r="W103" i="29"/>
  <c r="Z103" i="29"/>
  <c r="Z111" i="29"/>
  <c r="O249" i="31" l="1"/>
  <c r="N255" i="31"/>
  <c r="N121" i="31"/>
  <c r="K6" i="30"/>
  <c r="G254" i="30"/>
  <c r="F255" i="30"/>
  <c r="F121" i="30"/>
  <c r="AI103" i="30"/>
  <c r="AH103" i="30"/>
  <c r="B7" i="30"/>
  <c r="A7" i="30" s="1"/>
  <c r="I249" i="30"/>
  <c r="AI111" i="30"/>
  <c r="AH111" i="30"/>
  <c r="AT8" i="30"/>
  <c r="AT9" i="30"/>
  <c r="P249" i="31" l="1"/>
  <c r="O255" i="31"/>
  <c r="O121" i="31"/>
  <c r="H254" i="30"/>
  <c r="G255" i="30"/>
  <c r="G121" i="30"/>
  <c r="J249" i="30"/>
  <c r="Q249" i="31" l="1"/>
  <c r="P255" i="31"/>
  <c r="I254" i="30"/>
  <c r="H121" i="30"/>
  <c r="H255" i="30"/>
  <c r="K249" i="30"/>
  <c r="Q255" i="31" l="1"/>
  <c r="Q121" i="31"/>
  <c r="R249" i="31"/>
  <c r="J254" i="30"/>
  <c r="I255" i="30"/>
  <c r="I121" i="30"/>
  <c r="L249" i="30"/>
  <c r="R255" i="31" l="1"/>
  <c r="R121" i="31"/>
  <c r="S249" i="31"/>
  <c r="K254" i="30"/>
  <c r="J255" i="30"/>
  <c r="J121" i="30"/>
  <c r="M249" i="30"/>
  <c r="S255" i="31" l="1"/>
  <c r="S121" i="31"/>
  <c r="T249" i="31"/>
  <c r="L254" i="30"/>
  <c r="K255" i="30"/>
  <c r="K121" i="30"/>
  <c r="N249" i="30"/>
  <c r="T255" i="31" l="1"/>
  <c r="T121" i="31"/>
  <c r="U249" i="31"/>
  <c r="M254" i="30"/>
  <c r="L255" i="30"/>
  <c r="L121" i="30"/>
  <c r="O249" i="30"/>
  <c r="U121" i="31" l="1"/>
  <c r="V249" i="31"/>
  <c r="U255" i="31"/>
  <c r="P249" i="30"/>
  <c r="N254" i="30"/>
  <c r="M121" i="30"/>
  <c r="M255" i="30"/>
  <c r="W249" i="31" l="1"/>
  <c r="V121" i="31"/>
  <c r="V255" i="31"/>
  <c r="Q249" i="30"/>
  <c r="O254" i="30"/>
  <c r="N255" i="30"/>
  <c r="N121" i="30"/>
  <c r="X249" i="31" l="1"/>
  <c r="W255" i="31"/>
  <c r="W121" i="31"/>
  <c r="R249" i="30"/>
  <c r="P254" i="30"/>
  <c r="O255" i="30"/>
  <c r="O121" i="30"/>
  <c r="Y249" i="31" l="1"/>
  <c r="X255" i="31"/>
  <c r="X121" i="31"/>
  <c r="Q254" i="30"/>
  <c r="P255" i="30"/>
  <c r="S249" i="30"/>
  <c r="Y255" i="31" l="1"/>
  <c r="Z249" i="31"/>
  <c r="T249" i="30"/>
  <c r="R254" i="30"/>
  <c r="Q255" i="30"/>
  <c r="Q121" i="30"/>
  <c r="Z255" i="31" l="1"/>
  <c r="AA249" i="31"/>
  <c r="S254" i="30"/>
  <c r="R255" i="30"/>
  <c r="R121" i="30"/>
  <c r="U249" i="30"/>
  <c r="AA255" i="31" l="1"/>
  <c r="AA121" i="31"/>
  <c r="AB249" i="31"/>
  <c r="T254" i="30"/>
  <c r="S121" i="30"/>
  <c r="S255" i="30"/>
  <c r="V249" i="30"/>
  <c r="AB255" i="31" l="1"/>
  <c r="AC249" i="31"/>
  <c r="W249" i="30"/>
  <c r="U254" i="30"/>
  <c r="T121" i="30"/>
  <c r="T255" i="30"/>
  <c r="AD249" i="31" l="1"/>
  <c r="AC255" i="31"/>
  <c r="X249" i="30"/>
  <c r="V254" i="30"/>
  <c r="U121" i="30"/>
  <c r="U255" i="30"/>
  <c r="AE249" i="31" l="1"/>
  <c r="AD255" i="31"/>
  <c r="W254" i="30"/>
  <c r="V255" i="30"/>
  <c r="V121" i="30"/>
  <c r="Y249" i="30"/>
  <c r="AF249" i="31" l="1"/>
  <c r="AE255" i="31"/>
  <c r="X254" i="30"/>
  <c r="W255" i="30"/>
  <c r="W121" i="30"/>
  <c r="Z249" i="30"/>
  <c r="AF255" i="31" l="1"/>
  <c r="AF121" i="31"/>
  <c r="B249" i="31"/>
  <c r="AA249" i="30"/>
  <c r="Y254" i="30"/>
  <c r="X121" i="30"/>
  <c r="X255" i="30"/>
  <c r="B255" i="31" l="1"/>
  <c r="Z254" i="30"/>
  <c r="Y255" i="30"/>
  <c r="AB249" i="30"/>
  <c r="AI121" i="31" l="1"/>
  <c r="AH121" i="31"/>
  <c r="AA254" i="30"/>
  <c r="Z255" i="30"/>
  <c r="AC249" i="30"/>
  <c r="AB254" i="30" l="1"/>
  <c r="AA255" i="30"/>
  <c r="AA121" i="30"/>
  <c r="AD249" i="30"/>
  <c r="AC254" i="30" l="1"/>
  <c r="AB255" i="30"/>
  <c r="AE249" i="30"/>
  <c r="AF249" i="30" l="1"/>
  <c r="AD254" i="30"/>
  <c r="AC255" i="30"/>
  <c r="AE254" i="30" l="1"/>
  <c r="AD255" i="30"/>
  <c r="B249" i="30"/>
  <c r="AF254" i="30" l="1"/>
  <c r="AE255" i="30"/>
  <c r="B254" i="30" l="1"/>
  <c r="AF255" i="30"/>
  <c r="B255" i="30" l="1"/>
  <c r="B121" i="30"/>
  <c r="AI121" i="30" l="1"/>
  <c r="AH121" i="30"/>
  <c r="T61" i="29" l="1"/>
  <c r="T65" i="29"/>
  <c r="T79" i="29"/>
  <c r="T83" i="29"/>
  <c r="T95" i="29"/>
  <c r="T104" i="29"/>
  <c r="T105" i="29"/>
  <c r="T106" i="29"/>
  <c r="T107" i="29"/>
  <c r="T108" i="29"/>
  <c r="T109" i="29"/>
  <c r="S61" i="29"/>
  <c r="S65" i="29"/>
  <c r="S79" i="29"/>
  <c r="S83" i="29"/>
  <c r="S95" i="29"/>
  <c r="S104" i="29"/>
  <c r="S105" i="29"/>
  <c r="S106" i="29"/>
  <c r="S107" i="29"/>
  <c r="S108" i="29"/>
  <c r="S109" i="29"/>
  <c r="R124" i="29"/>
  <c r="R60" i="29"/>
  <c r="R61" i="29"/>
  <c r="R65" i="29"/>
  <c r="R79" i="29"/>
  <c r="R83" i="29"/>
  <c r="Q124" i="29"/>
  <c r="Q60" i="29"/>
  <c r="P124" i="29"/>
  <c r="P60" i="29"/>
  <c r="O124" i="29"/>
  <c r="O60" i="29"/>
  <c r="N124" i="29"/>
  <c r="N60" i="29"/>
  <c r="M124" i="29"/>
  <c r="M60" i="29"/>
  <c r="T110" i="29" l="1"/>
  <c r="T100" i="29"/>
  <c r="T102" i="29" s="1"/>
  <c r="S110" i="29"/>
  <c r="T103" i="29"/>
  <c r="T111" i="29"/>
  <c r="S111" i="29"/>
  <c r="S100" i="29"/>
  <c r="S102" i="29" s="1"/>
  <c r="S103" i="29" s="1"/>
  <c r="E79" i="29" l="1"/>
  <c r="F79" i="29"/>
  <c r="AQ18" i="29" s="1"/>
  <c r="B60" i="29"/>
  <c r="AG255" i="29"/>
  <c r="C255" i="29"/>
  <c r="D254" i="29"/>
  <c r="D253" i="29"/>
  <c r="E253" i="29" s="1"/>
  <c r="F253" i="29" s="1"/>
  <c r="G253" i="29" s="1"/>
  <c r="H253" i="29" s="1"/>
  <c r="I253" i="29" s="1"/>
  <c r="J253" i="29" s="1"/>
  <c r="K253" i="29" s="1"/>
  <c r="L253" i="29" s="1"/>
  <c r="M253" i="29" s="1"/>
  <c r="N253" i="29" s="1"/>
  <c r="O253" i="29" s="1"/>
  <c r="P253" i="29" s="1"/>
  <c r="Q253" i="29" s="1"/>
  <c r="R253" i="29" s="1"/>
  <c r="S253" i="29" s="1"/>
  <c r="T253" i="29" s="1"/>
  <c r="U253" i="29" s="1"/>
  <c r="V253" i="29" s="1"/>
  <c r="W253" i="29" s="1"/>
  <c r="X253" i="29" s="1"/>
  <c r="Y253" i="29" s="1"/>
  <c r="Z253" i="29" s="1"/>
  <c r="AA253" i="29" s="1"/>
  <c r="AB253" i="29" s="1"/>
  <c r="AC253" i="29" s="1"/>
  <c r="AD253" i="29" s="1"/>
  <c r="AE253" i="29" s="1"/>
  <c r="AF253" i="29" s="1"/>
  <c r="B253" i="29" s="1"/>
  <c r="D252" i="29"/>
  <c r="E252" i="29" s="1"/>
  <c r="F252" i="29" s="1"/>
  <c r="G252" i="29" s="1"/>
  <c r="H252" i="29" s="1"/>
  <c r="I252" i="29" s="1"/>
  <c r="J252" i="29" s="1"/>
  <c r="K252" i="29" s="1"/>
  <c r="L252" i="29" s="1"/>
  <c r="M252" i="29" s="1"/>
  <c r="N252" i="29" s="1"/>
  <c r="O252" i="29" s="1"/>
  <c r="P252" i="29" s="1"/>
  <c r="Q252" i="29" s="1"/>
  <c r="R252" i="29" s="1"/>
  <c r="S252" i="29" s="1"/>
  <c r="T252" i="29" s="1"/>
  <c r="U252" i="29" s="1"/>
  <c r="V252" i="29" s="1"/>
  <c r="W252" i="29" s="1"/>
  <c r="X252" i="29" s="1"/>
  <c r="Y252" i="29" s="1"/>
  <c r="Z252" i="29" s="1"/>
  <c r="AA252" i="29" s="1"/>
  <c r="AB252" i="29" s="1"/>
  <c r="AC252" i="29" s="1"/>
  <c r="AD252" i="29" s="1"/>
  <c r="AE252" i="29" s="1"/>
  <c r="AF252" i="29" s="1"/>
  <c r="B252" i="29" s="1"/>
  <c r="D251" i="29"/>
  <c r="E251" i="29" s="1"/>
  <c r="F251" i="29" s="1"/>
  <c r="G251" i="29" s="1"/>
  <c r="H251" i="29" s="1"/>
  <c r="I251" i="29" s="1"/>
  <c r="J251" i="29" s="1"/>
  <c r="K251" i="29" s="1"/>
  <c r="L251" i="29" s="1"/>
  <c r="M251" i="29" s="1"/>
  <c r="N251" i="29" s="1"/>
  <c r="O251" i="29" s="1"/>
  <c r="P251" i="29" s="1"/>
  <c r="Q251" i="29" s="1"/>
  <c r="R251" i="29" s="1"/>
  <c r="S251" i="29" s="1"/>
  <c r="T251" i="29" s="1"/>
  <c r="U251" i="29" s="1"/>
  <c r="V251" i="29" s="1"/>
  <c r="W251" i="29" s="1"/>
  <c r="X251" i="29" s="1"/>
  <c r="Y251" i="29" s="1"/>
  <c r="Z251" i="29" s="1"/>
  <c r="AA251" i="29" s="1"/>
  <c r="AB251" i="29" s="1"/>
  <c r="AC251" i="29" s="1"/>
  <c r="AD251" i="29" s="1"/>
  <c r="AE251" i="29" s="1"/>
  <c r="AF251" i="29" s="1"/>
  <c r="B251" i="29" s="1"/>
  <c r="D250" i="29"/>
  <c r="E250" i="29" s="1"/>
  <c r="D249" i="29"/>
  <c r="E249" i="29" s="1"/>
  <c r="F249" i="29" s="1"/>
  <c r="G249" i="29" s="1"/>
  <c r="AG247" i="29"/>
  <c r="AF247" i="29"/>
  <c r="AE247" i="29"/>
  <c r="AD247" i="29"/>
  <c r="AC247" i="29"/>
  <c r="AB247" i="29"/>
  <c r="AA247" i="29"/>
  <c r="Z247" i="29"/>
  <c r="Y247" i="29"/>
  <c r="X247" i="29"/>
  <c r="W247" i="29"/>
  <c r="V247" i="29"/>
  <c r="U247" i="29"/>
  <c r="T247" i="29"/>
  <c r="S247" i="29"/>
  <c r="R247" i="29"/>
  <c r="Q247" i="29"/>
  <c r="P247" i="29"/>
  <c r="O247" i="29"/>
  <c r="N247" i="29"/>
  <c r="M247" i="29"/>
  <c r="L247" i="29"/>
  <c r="K247" i="29"/>
  <c r="J247" i="29"/>
  <c r="I247" i="29"/>
  <c r="H247" i="29"/>
  <c r="G247" i="29"/>
  <c r="F247" i="29"/>
  <c r="E247" i="29"/>
  <c r="D247" i="29"/>
  <c r="C247" i="29"/>
  <c r="B247" i="29"/>
  <c r="AI133" i="29"/>
  <c r="AH133" i="29"/>
  <c r="AI132" i="29"/>
  <c r="AH132" i="29"/>
  <c r="AI131" i="29"/>
  <c r="AH131" i="29"/>
  <c r="AI130" i="29"/>
  <c r="AH130" i="29"/>
  <c r="AI129" i="29"/>
  <c r="AH129" i="29"/>
  <c r="AI126" i="29"/>
  <c r="AH126" i="29"/>
  <c r="AI125" i="29"/>
  <c r="AH125" i="29"/>
  <c r="AI124" i="29"/>
  <c r="AH124" i="29"/>
  <c r="AI123" i="29"/>
  <c r="AH123" i="29"/>
  <c r="AI122" i="29"/>
  <c r="AH122" i="29"/>
  <c r="C121" i="29"/>
  <c r="AI120" i="29"/>
  <c r="AH120" i="29"/>
  <c r="AI119" i="29"/>
  <c r="AH119" i="29"/>
  <c r="AI118" i="29"/>
  <c r="AH118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F109" i="29"/>
  <c r="AE109" i="29"/>
  <c r="AD109" i="29"/>
  <c r="AC109" i="29"/>
  <c r="AB109" i="29"/>
  <c r="BF23" i="29"/>
  <c r="X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AF108" i="29"/>
  <c r="AE108" i="29"/>
  <c r="AD108" i="29"/>
  <c r="AC108" i="29"/>
  <c r="AB108" i="29"/>
  <c r="X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AF107" i="29"/>
  <c r="AE107" i="29"/>
  <c r="AD107" i="29"/>
  <c r="AC107" i="29"/>
  <c r="AB107" i="29"/>
  <c r="X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AF106" i="29"/>
  <c r="AE106" i="29"/>
  <c r="AD106" i="29"/>
  <c r="AC106" i="29"/>
  <c r="AB106" i="29"/>
  <c r="X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AF105" i="29"/>
  <c r="AE105" i="29"/>
  <c r="AD105" i="29"/>
  <c r="AC105" i="29"/>
  <c r="AB105" i="29"/>
  <c r="X105" i="29"/>
  <c r="BC23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AF104" i="29"/>
  <c r="AE104" i="29"/>
  <c r="AD104" i="29"/>
  <c r="AC104" i="29"/>
  <c r="AB104" i="29"/>
  <c r="X104" i="29"/>
  <c r="BB23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AI101" i="29"/>
  <c r="AH101" i="29"/>
  <c r="AI99" i="29"/>
  <c r="AH99" i="29"/>
  <c r="AG99" i="29"/>
  <c r="AI98" i="29"/>
  <c r="AH98" i="29"/>
  <c r="AI97" i="29"/>
  <c r="AH97" i="29"/>
  <c r="AI96" i="29"/>
  <c r="AH96" i="29"/>
  <c r="AG95" i="29"/>
  <c r="AF95" i="29"/>
  <c r="BJ19" i="29" s="1"/>
  <c r="AE95" i="29"/>
  <c r="AD95" i="29"/>
  <c r="BH19" i="29" s="1"/>
  <c r="AC95" i="29"/>
  <c r="AB5" i="29" s="1"/>
  <c r="AB95" i="29"/>
  <c r="BG19" i="29" s="1"/>
  <c r="X5" i="29"/>
  <c r="X95" i="29"/>
  <c r="BE19" i="29" s="1"/>
  <c r="R95" i="29"/>
  <c r="Q95" i="29"/>
  <c r="P95" i="29"/>
  <c r="O95" i="29"/>
  <c r="AW19" i="29" s="1"/>
  <c r="N95" i="29"/>
  <c r="M5" i="29" s="1"/>
  <c r="M95" i="29"/>
  <c r="AU19" i="29" s="1"/>
  <c r="L95" i="29"/>
  <c r="K5" i="29" s="1"/>
  <c r="K95" i="29"/>
  <c r="J95" i="29"/>
  <c r="I95" i="29"/>
  <c r="H95" i="29"/>
  <c r="G5" i="29" s="1"/>
  <c r="G95" i="29"/>
  <c r="AR19" i="29" s="1"/>
  <c r="F95" i="29"/>
  <c r="E5" i="29" s="1"/>
  <c r="E95" i="29"/>
  <c r="D5" i="29" s="1"/>
  <c r="D95" i="29"/>
  <c r="C5" i="29" s="1"/>
  <c r="C95" i="29"/>
  <c r="AN19" i="29" s="1"/>
  <c r="B95" i="29"/>
  <c r="AI94" i="29"/>
  <c r="AH94" i="29"/>
  <c r="AI93" i="29"/>
  <c r="AH93" i="29"/>
  <c r="AI92" i="29"/>
  <c r="AH92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3" i="29"/>
  <c r="AG4" i="29" s="1"/>
  <c r="AF83" i="29"/>
  <c r="BJ20" i="29" s="1"/>
  <c r="AE83" i="29"/>
  <c r="AD83" i="29"/>
  <c r="BH20" i="29" s="1"/>
  <c r="AC83" i="29"/>
  <c r="AB83" i="29"/>
  <c r="BG20" i="29" s="1"/>
  <c r="X83" i="29"/>
  <c r="BE20" i="29" s="1"/>
  <c r="AZ20" i="29"/>
  <c r="Q83" i="29"/>
  <c r="AY20" i="29" s="1"/>
  <c r="P83" i="29"/>
  <c r="AX20" i="29" s="1"/>
  <c r="O83" i="29"/>
  <c r="N83" i="29"/>
  <c r="M83" i="29"/>
  <c r="AU20" i="29" s="1"/>
  <c r="L83" i="29"/>
  <c r="K83" i="29"/>
  <c r="AT20" i="29" s="1"/>
  <c r="J83" i="29"/>
  <c r="I83" i="29"/>
  <c r="AS20" i="29" s="1"/>
  <c r="H83" i="29"/>
  <c r="G83" i="29"/>
  <c r="F83" i="29"/>
  <c r="E83" i="29"/>
  <c r="AP20" i="29" s="1"/>
  <c r="D83" i="29"/>
  <c r="C83" i="29"/>
  <c r="AN20" i="29" s="1"/>
  <c r="B83" i="29"/>
  <c r="AI82" i="29"/>
  <c r="AH82" i="29"/>
  <c r="AI81" i="29"/>
  <c r="AH81" i="29"/>
  <c r="AI80" i="29"/>
  <c r="AH80" i="29"/>
  <c r="AF79" i="29"/>
  <c r="BJ18" i="29" s="1"/>
  <c r="AE79" i="29"/>
  <c r="BI18" i="29" s="1"/>
  <c r="AD79" i="29"/>
  <c r="BH18" i="29" s="1"/>
  <c r="AC79" i="29"/>
  <c r="AB79" i="29"/>
  <c r="BG18" i="29" s="1"/>
  <c r="X79" i="29"/>
  <c r="BE18" i="29" s="1"/>
  <c r="Q79" i="29"/>
  <c r="AY18" i="29" s="1"/>
  <c r="P79" i="29"/>
  <c r="O79" i="29"/>
  <c r="AW18" i="29" s="1"/>
  <c r="N79" i="29"/>
  <c r="AV18" i="29" s="1"/>
  <c r="M79" i="29"/>
  <c r="L79" i="29"/>
  <c r="K79" i="29"/>
  <c r="AT18" i="29" s="1"/>
  <c r="J79" i="29"/>
  <c r="I79" i="29"/>
  <c r="AS18" i="29" s="1"/>
  <c r="H79" i="29"/>
  <c r="G79" i="29"/>
  <c r="AR18" i="29" s="1"/>
  <c r="AP18" i="29"/>
  <c r="D79" i="29"/>
  <c r="AO18" i="29" s="1"/>
  <c r="C79" i="29"/>
  <c r="AN18" i="29" s="1"/>
  <c r="B79" i="29"/>
  <c r="BB78" i="29"/>
  <c r="BA78" i="29"/>
  <c r="AI78" i="29"/>
  <c r="AH78" i="29"/>
  <c r="AG78" i="29"/>
  <c r="AG79" i="29" s="1"/>
  <c r="AG3" i="29" s="1"/>
  <c r="BW77" i="29"/>
  <c r="BK77" i="29"/>
  <c r="AI77" i="29"/>
  <c r="AH77" i="29"/>
  <c r="BE76" i="29"/>
  <c r="AI76" i="29"/>
  <c r="AH76" i="29"/>
  <c r="BV75" i="29"/>
  <c r="BH75" i="29"/>
  <c r="AI75" i="29"/>
  <c r="AH75" i="29"/>
  <c r="BJ74" i="29"/>
  <c r="AI74" i="29"/>
  <c r="AH74" i="29"/>
  <c r="BT73" i="29"/>
  <c r="BJ73" i="29"/>
  <c r="AZ73" i="29"/>
  <c r="AI73" i="29"/>
  <c r="AH73" i="29"/>
  <c r="AI72" i="29"/>
  <c r="AH72" i="29"/>
  <c r="BW71" i="29"/>
  <c r="BW78" i="29" s="1"/>
  <c r="BV71" i="29"/>
  <c r="BV78" i="29" s="1"/>
  <c r="BU71" i="29"/>
  <c r="BU78" i="29" s="1"/>
  <c r="BT71" i="29"/>
  <c r="BT78" i="29" s="1"/>
  <c r="BS71" i="29"/>
  <c r="BS78" i="29" s="1"/>
  <c r="BR71" i="29"/>
  <c r="BR78" i="29" s="1"/>
  <c r="BQ71" i="29"/>
  <c r="BQ78" i="29" s="1"/>
  <c r="BP71" i="29"/>
  <c r="BP78" i="29" s="1"/>
  <c r="BO71" i="29"/>
  <c r="BO78" i="29" s="1"/>
  <c r="BN71" i="29"/>
  <c r="BN78" i="29" s="1"/>
  <c r="BM71" i="29"/>
  <c r="BM78" i="29" s="1"/>
  <c r="BL71" i="29"/>
  <c r="BL78" i="29" s="1"/>
  <c r="BK71" i="29"/>
  <c r="BK78" i="29" s="1"/>
  <c r="BJ71" i="29"/>
  <c r="BJ78" i="29" s="1"/>
  <c r="BI71" i="29"/>
  <c r="BI78" i="29" s="1"/>
  <c r="BH71" i="29"/>
  <c r="BH78" i="29" s="1"/>
  <c r="BG71" i="29"/>
  <c r="BG78" i="29" s="1"/>
  <c r="BF71" i="29"/>
  <c r="BF78" i="29" s="1"/>
  <c r="BE71" i="29"/>
  <c r="BE78" i="29" s="1"/>
  <c r="BD71" i="29"/>
  <c r="BD78" i="29" s="1"/>
  <c r="BC71" i="29"/>
  <c r="BC78" i="29" s="1"/>
  <c r="BB71" i="29"/>
  <c r="BA71" i="29"/>
  <c r="AZ71" i="29"/>
  <c r="AZ78" i="29" s="1"/>
  <c r="AI71" i="29"/>
  <c r="AH71" i="29"/>
  <c r="BW70" i="29"/>
  <c r="BV70" i="29"/>
  <c r="BV77" i="29" s="1"/>
  <c r="BU70" i="29"/>
  <c r="BU77" i="29" s="1"/>
  <c r="BT70" i="29"/>
  <c r="BT77" i="29" s="1"/>
  <c r="BS70" i="29"/>
  <c r="BS77" i="29" s="1"/>
  <c r="BR70" i="29"/>
  <c r="BR77" i="29" s="1"/>
  <c r="BQ70" i="29"/>
  <c r="BQ77" i="29" s="1"/>
  <c r="BP70" i="29"/>
  <c r="BP77" i="29" s="1"/>
  <c r="BO70" i="29"/>
  <c r="BO77" i="29" s="1"/>
  <c r="BN70" i="29"/>
  <c r="BN77" i="29" s="1"/>
  <c r="BM70" i="29"/>
  <c r="BM77" i="29" s="1"/>
  <c r="BL70" i="29"/>
  <c r="BL77" i="29" s="1"/>
  <c r="BK70" i="29"/>
  <c r="BJ70" i="29"/>
  <c r="BJ77" i="29" s="1"/>
  <c r="BI70" i="29"/>
  <c r="BI77" i="29" s="1"/>
  <c r="BH70" i="29"/>
  <c r="BH77" i="29" s="1"/>
  <c r="BG70" i="29"/>
  <c r="BG77" i="29" s="1"/>
  <c r="BF70" i="29"/>
  <c r="BF77" i="29" s="1"/>
  <c r="BE70" i="29"/>
  <c r="BE77" i="29" s="1"/>
  <c r="BD70" i="29"/>
  <c r="BD77" i="29" s="1"/>
  <c r="BC70" i="29"/>
  <c r="BC77" i="29" s="1"/>
  <c r="BB70" i="29"/>
  <c r="BB77" i="29" s="1"/>
  <c r="BA70" i="29"/>
  <c r="BA77" i="29" s="1"/>
  <c r="AZ70" i="29"/>
  <c r="AZ77" i="29" s="1"/>
  <c r="AI70" i="29"/>
  <c r="AH70" i="29"/>
  <c r="BW69" i="29"/>
  <c r="BW76" i="29" s="1"/>
  <c r="BV69" i="29"/>
  <c r="BV76" i="29" s="1"/>
  <c r="BU69" i="29"/>
  <c r="BU76" i="29" s="1"/>
  <c r="BT69" i="29"/>
  <c r="BT76" i="29" s="1"/>
  <c r="BS69" i="29"/>
  <c r="BS76" i="29" s="1"/>
  <c r="BR69" i="29"/>
  <c r="BR76" i="29" s="1"/>
  <c r="BQ69" i="29"/>
  <c r="BQ76" i="29" s="1"/>
  <c r="BP69" i="29"/>
  <c r="BP76" i="29" s="1"/>
  <c r="BO69" i="29"/>
  <c r="BO76" i="29" s="1"/>
  <c r="BN69" i="29"/>
  <c r="BN76" i="29" s="1"/>
  <c r="BM69" i="29"/>
  <c r="BM76" i="29" s="1"/>
  <c r="BL69" i="29"/>
  <c r="BL76" i="29" s="1"/>
  <c r="BK69" i="29"/>
  <c r="BK76" i="29" s="1"/>
  <c r="BJ69" i="29"/>
  <c r="BJ76" i="29" s="1"/>
  <c r="BI69" i="29"/>
  <c r="BI76" i="29" s="1"/>
  <c r="BH69" i="29"/>
  <c r="BH76" i="29" s="1"/>
  <c r="BG69" i="29"/>
  <c r="BG76" i="29" s="1"/>
  <c r="BF69" i="29"/>
  <c r="BF76" i="29" s="1"/>
  <c r="BE69" i="29"/>
  <c r="BD69" i="29"/>
  <c r="BD76" i="29" s="1"/>
  <c r="BC69" i="29"/>
  <c r="BC76" i="29" s="1"/>
  <c r="BB69" i="29"/>
  <c r="BB76" i="29" s="1"/>
  <c r="BA69" i="29"/>
  <c r="BA76" i="29" s="1"/>
  <c r="AZ69" i="29"/>
  <c r="AZ76" i="29" s="1"/>
  <c r="AI69" i="29"/>
  <c r="AH69" i="29"/>
  <c r="BW68" i="29"/>
  <c r="BW75" i="29" s="1"/>
  <c r="BV68" i="29"/>
  <c r="BU68" i="29"/>
  <c r="BU75" i="29" s="1"/>
  <c r="BT68" i="29"/>
  <c r="BT75" i="29" s="1"/>
  <c r="BS68" i="29"/>
  <c r="BS75" i="29" s="1"/>
  <c r="BR68" i="29"/>
  <c r="BR75" i="29" s="1"/>
  <c r="BQ68" i="29"/>
  <c r="BQ75" i="29" s="1"/>
  <c r="BP68" i="29"/>
  <c r="BP75" i="29" s="1"/>
  <c r="BO68" i="29"/>
  <c r="BO75" i="29" s="1"/>
  <c r="BN68" i="29"/>
  <c r="BN75" i="29" s="1"/>
  <c r="BM68" i="29"/>
  <c r="BM75" i="29" s="1"/>
  <c r="BL68" i="29"/>
  <c r="BL75" i="29" s="1"/>
  <c r="BK68" i="29"/>
  <c r="BK75" i="29" s="1"/>
  <c r="BJ68" i="29"/>
  <c r="BJ75" i="29" s="1"/>
  <c r="BI68" i="29"/>
  <c r="BI75" i="29" s="1"/>
  <c r="BH68" i="29"/>
  <c r="BG68" i="29"/>
  <c r="BG75" i="29" s="1"/>
  <c r="BF68" i="29"/>
  <c r="BF75" i="29" s="1"/>
  <c r="BE68" i="29"/>
  <c r="BE75" i="29" s="1"/>
  <c r="BD68" i="29"/>
  <c r="BD75" i="29" s="1"/>
  <c r="BC68" i="29"/>
  <c r="BC75" i="29" s="1"/>
  <c r="BB68" i="29"/>
  <c r="BB75" i="29" s="1"/>
  <c r="BA68" i="29"/>
  <c r="BA75" i="29" s="1"/>
  <c r="AZ68" i="29"/>
  <c r="AZ75" i="29" s="1"/>
  <c r="AI68" i="29"/>
  <c r="AH68" i="29"/>
  <c r="BW67" i="29"/>
  <c r="BW74" i="29" s="1"/>
  <c r="BV67" i="29"/>
  <c r="BV74" i="29" s="1"/>
  <c r="BU67" i="29"/>
  <c r="BU74" i="29" s="1"/>
  <c r="BT67" i="29"/>
  <c r="BT74" i="29" s="1"/>
  <c r="BS67" i="29"/>
  <c r="BS74" i="29" s="1"/>
  <c r="BR67" i="29"/>
  <c r="BR74" i="29" s="1"/>
  <c r="BQ67" i="29"/>
  <c r="BQ74" i="29" s="1"/>
  <c r="BP67" i="29"/>
  <c r="BP74" i="29" s="1"/>
  <c r="BO67" i="29"/>
  <c r="BO74" i="29" s="1"/>
  <c r="BN67" i="29"/>
  <c r="BN74" i="29" s="1"/>
  <c r="BM67" i="29"/>
  <c r="BM74" i="29" s="1"/>
  <c r="BL67" i="29"/>
  <c r="BL74" i="29" s="1"/>
  <c r="BK67" i="29"/>
  <c r="BK74" i="29" s="1"/>
  <c r="BJ67" i="29"/>
  <c r="BI67" i="29"/>
  <c r="BI74" i="29" s="1"/>
  <c r="BH67" i="29"/>
  <c r="BH74" i="29" s="1"/>
  <c r="BG67" i="29"/>
  <c r="BG74" i="29" s="1"/>
  <c r="BF67" i="29"/>
  <c r="BF74" i="29" s="1"/>
  <c r="BE67" i="29"/>
  <c r="BE74" i="29" s="1"/>
  <c r="BD67" i="29"/>
  <c r="BD74" i="29" s="1"/>
  <c r="BC67" i="29"/>
  <c r="BC74" i="29" s="1"/>
  <c r="BB67" i="29"/>
  <c r="BB74" i="29" s="1"/>
  <c r="BA67" i="29"/>
  <c r="BA74" i="29" s="1"/>
  <c r="AZ67" i="29"/>
  <c r="AZ74" i="29" s="1"/>
  <c r="AI67" i="29"/>
  <c r="AH67" i="29"/>
  <c r="BW66" i="29"/>
  <c r="BW73" i="29" s="1"/>
  <c r="BV66" i="29"/>
  <c r="BV73" i="29" s="1"/>
  <c r="BU66" i="29"/>
  <c r="BU73" i="29" s="1"/>
  <c r="BT66" i="29"/>
  <c r="BS66" i="29"/>
  <c r="BS73" i="29" s="1"/>
  <c r="BR66" i="29"/>
  <c r="BR73" i="29" s="1"/>
  <c r="BQ66" i="29"/>
  <c r="BQ73" i="29" s="1"/>
  <c r="BP66" i="29"/>
  <c r="BP73" i="29" s="1"/>
  <c r="BO66" i="29"/>
  <c r="BO73" i="29" s="1"/>
  <c r="BN66" i="29"/>
  <c r="BN73" i="29" s="1"/>
  <c r="BM66" i="29"/>
  <c r="BM73" i="29" s="1"/>
  <c r="BL66" i="29"/>
  <c r="BL73" i="29" s="1"/>
  <c r="BK66" i="29"/>
  <c r="BK73" i="29" s="1"/>
  <c r="BJ66" i="29"/>
  <c r="BI66" i="29"/>
  <c r="BI73" i="29" s="1"/>
  <c r="BH66" i="29"/>
  <c r="BH73" i="29" s="1"/>
  <c r="BG66" i="29"/>
  <c r="BG73" i="29" s="1"/>
  <c r="BF66" i="29"/>
  <c r="BF73" i="29" s="1"/>
  <c r="BE66" i="29"/>
  <c r="BE73" i="29" s="1"/>
  <c r="BD66" i="29"/>
  <c r="BD73" i="29" s="1"/>
  <c r="BC66" i="29"/>
  <c r="BC73" i="29" s="1"/>
  <c r="BB66" i="29"/>
  <c r="BB73" i="29" s="1"/>
  <c r="BA66" i="29"/>
  <c r="BA73" i="29" s="1"/>
  <c r="AZ66" i="29"/>
  <c r="AI66" i="29"/>
  <c r="AH66" i="29"/>
  <c r="AG65" i="29"/>
  <c r="AF65" i="29"/>
  <c r="AE65" i="29"/>
  <c r="BI17" i="29" s="1"/>
  <c r="AD65" i="29"/>
  <c r="BH17" i="29" s="1"/>
  <c r="AC65" i="29"/>
  <c r="AB65" i="29"/>
  <c r="BG17" i="29" s="1"/>
  <c r="X65" i="29"/>
  <c r="BE17" i="29" s="1"/>
  <c r="BB17" i="29"/>
  <c r="Q65" i="29"/>
  <c r="AY17" i="29" s="1"/>
  <c r="P65" i="29"/>
  <c r="AX17" i="29" s="1"/>
  <c r="O65" i="29"/>
  <c r="N65" i="29"/>
  <c r="AV17" i="29" s="1"/>
  <c r="M65" i="29"/>
  <c r="AU17" i="29" s="1"/>
  <c r="L65" i="29"/>
  <c r="K65" i="29"/>
  <c r="AT17" i="29" s="1"/>
  <c r="J65" i="29"/>
  <c r="I65" i="29"/>
  <c r="AS17" i="29" s="1"/>
  <c r="H65" i="29"/>
  <c r="G65" i="29"/>
  <c r="AR17" i="29" s="1"/>
  <c r="F65" i="29"/>
  <c r="AQ17" i="29" s="1"/>
  <c r="E65" i="29"/>
  <c r="AP17" i="29" s="1"/>
  <c r="D65" i="29"/>
  <c r="C65" i="29"/>
  <c r="B65" i="29"/>
  <c r="AM17" i="29" s="1"/>
  <c r="AI64" i="29"/>
  <c r="AH64" i="29"/>
  <c r="AI63" i="29"/>
  <c r="AH63" i="29"/>
  <c r="AI62" i="29"/>
  <c r="AH62" i="29"/>
  <c r="AG61" i="29"/>
  <c r="AF61" i="29"/>
  <c r="BJ16" i="29" s="1"/>
  <c r="AE61" i="29"/>
  <c r="BI16" i="29" s="1"/>
  <c r="AD61" i="29"/>
  <c r="BH16" i="29" s="1"/>
  <c r="AC61" i="29"/>
  <c r="AB61" i="29"/>
  <c r="BG16" i="29" s="1"/>
  <c r="X61" i="29"/>
  <c r="BE16" i="29" s="1"/>
  <c r="Q61" i="29"/>
  <c r="P61" i="29"/>
  <c r="O61" i="29"/>
  <c r="N61" i="29"/>
  <c r="M61" i="29"/>
  <c r="L61" i="29"/>
  <c r="K61" i="29"/>
  <c r="J61" i="29"/>
  <c r="I61" i="29"/>
  <c r="AS16" i="29" s="1"/>
  <c r="H61" i="29"/>
  <c r="G61" i="29"/>
  <c r="F61" i="29"/>
  <c r="AQ16" i="29" s="1"/>
  <c r="E61" i="29"/>
  <c r="D61" i="29"/>
  <c r="C61" i="29"/>
  <c r="AN16" i="29" s="1"/>
  <c r="B61" i="29"/>
  <c r="AM16" i="29" s="1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BA23" i="29"/>
  <c r="AI23" i="29"/>
  <c r="AH23" i="29"/>
  <c r="AI22" i="29"/>
  <c r="AH22" i="29"/>
  <c r="BJ21" i="29"/>
  <c r="BI21" i="29"/>
  <c r="BH21" i="29"/>
  <c r="BG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I21" i="29"/>
  <c r="AH21" i="29"/>
  <c r="BI20" i="29"/>
  <c r="BF20" i="29"/>
  <c r="BD20" i="29"/>
  <c r="BC20" i="29"/>
  <c r="BB20" i="29"/>
  <c r="BA20" i="29"/>
  <c r="AW20" i="29"/>
  <c r="AV20" i="29"/>
  <c r="AR20" i="29"/>
  <c r="AQ20" i="29"/>
  <c r="AO20" i="29"/>
  <c r="AI20" i="29"/>
  <c r="AH20" i="29"/>
  <c r="BD19" i="29"/>
  <c r="BC19" i="29"/>
  <c r="BB19" i="29"/>
  <c r="BA19" i="29"/>
  <c r="AX19" i="29"/>
  <c r="AI19" i="29"/>
  <c r="AH19" i="29"/>
  <c r="BF18" i="29"/>
  <c r="BD18" i="29"/>
  <c r="BC18" i="29"/>
  <c r="BB18" i="29"/>
  <c r="BA18" i="29"/>
  <c r="AZ18" i="29"/>
  <c r="AX18" i="29"/>
  <c r="AU18" i="29"/>
  <c r="AI18" i="29"/>
  <c r="AH18" i="29"/>
  <c r="BJ17" i="29"/>
  <c r="BF17" i="29"/>
  <c r="BD17" i="29"/>
  <c r="BC17" i="29"/>
  <c r="BA17" i="29"/>
  <c r="AZ17" i="29"/>
  <c r="AW17" i="29"/>
  <c r="AO17" i="29"/>
  <c r="AI17" i="29"/>
  <c r="AH17" i="29"/>
  <c r="BF16" i="29"/>
  <c r="BA16" i="29"/>
  <c r="AZ16" i="29"/>
  <c r="AY16" i="29"/>
  <c r="AX16" i="29"/>
  <c r="AT16" i="29"/>
  <c r="AR16" i="29"/>
  <c r="AI16" i="29"/>
  <c r="AH16" i="29"/>
  <c r="AI15" i="29"/>
  <c r="AH15" i="29"/>
  <c r="AI14" i="29"/>
  <c r="AH14" i="29"/>
  <c r="AI13" i="29"/>
  <c r="AH13" i="29"/>
  <c r="AL12" i="29"/>
  <c r="AI12" i="29"/>
  <c r="AH12" i="29"/>
  <c r="AI11" i="29"/>
  <c r="AH11" i="29"/>
  <c r="Z5" i="29"/>
  <c r="U5" i="29"/>
  <c r="T5" i="29"/>
  <c r="S5" i="29"/>
  <c r="R5" i="29"/>
  <c r="O5" i="29"/>
  <c r="K4" i="29"/>
  <c r="E4" i="29"/>
  <c r="H4" i="29" s="1"/>
  <c r="B4" i="29"/>
  <c r="AG2" i="29"/>
  <c r="AA146" i="28"/>
  <c r="AA147" i="28" s="1"/>
  <c r="AA121" i="28"/>
  <c r="AA109" i="28"/>
  <c r="AA108" i="28"/>
  <c r="AA107" i="28"/>
  <c r="AA106" i="28"/>
  <c r="AA105" i="28"/>
  <c r="AA104" i="28"/>
  <c r="AA95" i="28"/>
  <c r="AA83" i="28"/>
  <c r="AA79" i="28"/>
  <c r="AA65" i="28"/>
  <c r="AA61" i="28"/>
  <c r="Z61" i="28"/>
  <c r="Z65" i="28"/>
  <c r="Z79" i="28"/>
  <c r="Z83" i="28"/>
  <c r="Z95" i="28"/>
  <c r="Z104" i="28"/>
  <c r="Z105" i="28"/>
  <c r="Z106" i="28"/>
  <c r="Z107" i="28"/>
  <c r="Z108" i="28"/>
  <c r="Z109" i="28"/>
  <c r="Z121" i="28"/>
  <c r="Y61" i="28"/>
  <c r="Y65" i="28"/>
  <c r="Y79" i="28"/>
  <c r="Y83" i="28"/>
  <c r="Y95" i="28"/>
  <c r="Y104" i="28"/>
  <c r="Y105" i="28"/>
  <c r="Y106" i="28"/>
  <c r="Y107" i="28"/>
  <c r="Y108" i="28"/>
  <c r="Y109" i="28"/>
  <c r="Y121" i="28"/>
  <c r="X124" i="28"/>
  <c r="X60" i="28"/>
  <c r="W61" i="28"/>
  <c r="W65" i="28"/>
  <c r="W79" i="28"/>
  <c r="W83" i="28"/>
  <c r="W95" i="28"/>
  <c r="W104" i="28"/>
  <c r="W105" i="28"/>
  <c r="W106" i="28"/>
  <c r="W107" i="28"/>
  <c r="W108" i="28"/>
  <c r="W109" i="28"/>
  <c r="W121" i="28"/>
  <c r="V61" i="28"/>
  <c r="V65" i="28"/>
  <c r="V79" i="28"/>
  <c r="V83" i="28"/>
  <c r="V95" i="28"/>
  <c r="V104" i="28"/>
  <c r="V105" i="28"/>
  <c r="V106" i="28"/>
  <c r="V107" i="28"/>
  <c r="V108" i="28"/>
  <c r="V109" i="28"/>
  <c r="V121" i="28"/>
  <c r="U61" i="28"/>
  <c r="U65" i="28"/>
  <c r="U79" i="28"/>
  <c r="U83" i="28"/>
  <c r="U95" i="28"/>
  <c r="U104" i="28"/>
  <c r="U105" i="28"/>
  <c r="U106" i="28"/>
  <c r="U107" i="28"/>
  <c r="U108" i="28"/>
  <c r="U109" i="28"/>
  <c r="U121" i="28"/>
  <c r="AA100" i="28" l="1"/>
  <c r="AA102" i="28" s="1"/>
  <c r="AA110" i="28"/>
  <c r="AA111" i="28" s="1"/>
  <c r="AE5" i="29"/>
  <c r="AE100" i="29"/>
  <c r="AE102" i="29" s="1"/>
  <c r="AD5" i="29"/>
  <c r="BI19" i="29"/>
  <c r="AC5" i="29"/>
  <c r="BJ22" i="29"/>
  <c r="D255" i="29"/>
  <c r="AF110" i="29"/>
  <c r="K110" i="29"/>
  <c r="AT23" i="29" s="1"/>
  <c r="D121" i="29"/>
  <c r="BI22" i="29"/>
  <c r="AG6" i="29"/>
  <c r="AC110" i="29"/>
  <c r="AC111" i="29" s="1"/>
  <c r="AB110" i="29"/>
  <c r="BG23" i="29" s="1"/>
  <c r="AA5" i="29"/>
  <c r="X110" i="29"/>
  <c r="BE23" i="29" s="1"/>
  <c r="W5" i="29"/>
  <c r="X111" i="29"/>
  <c r="BA22" i="29"/>
  <c r="R110" i="29"/>
  <c r="AZ23" i="29" s="1"/>
  <c r="Q110" i="29"/>
  <c r="AY23" i="29" s="1"/>
  <c r="AY19" i="29"/>
  <c r="AY22" i="29" s="1"/>
  <c r="P110" i="29"/>
  <c r="P111" i="29" s="1"/>
  <c r="N5" i="29"/>
  <c r="O100" i="29"/>
  <c r="O102" i="29" s="1"/>
  <c r="AW16" i="29"/>
  <c r="AW22" i="29" s="1"/>
  <c r="AV19" i="29"/>
  <c r="V5" i="29"/>
  <c r="M110" i="29"/>
  <c r="AU23" i="29" s="1"/>
  <c r="L5" i="29"/>
  <c r="L110" i="29"/>
  <c r="L111" i="29" s="1"/>
  <c r="AT19" i="29"/>
  <c r="AT22" i="29" s="1"/>
  <c r="AT24" i="29" s="1"/>
  <c r="J5" i="29"/>
  <c r="J110" i="29"/>
  <c r="J111" i="29" s="1"/>
  <c r="I110" i="29"/>
  <c r="AS23" i="29" s="1"/>
  <c r="H110" i="29"/>
  <c r="H111" i="29" s="1"/>
  <c r="F5" i="29"/>
  <c r="AQ19" i="29"/>
  <c r="AQ22" i="29"/>
  <c r="AR22" i="29"/>
  <c r="AH109" i="29"/>
  <c r="AI108" i="29"/>
  <c r="E110" i="29"/>
  <c r="AP23" i="29" s="1"/>
  <c r="AP19" i="29"/>
  <c r="G100" i="29"/>
  <c r="G102" i="29" s="1"/>
  <c r="AO19" i="29"/>
  <c r="AH65" i="29"/>
  <c r="AI65" i="29"/>
  <c r="B5" i="29"/>
  <c r="AI107" i="29"/>
  <c r="C110" i="29"/>
  <c r="AN23" i="29" s="1"/>
  <c r="AH95" i="29"/>
  <c r="AH79" i="29"/>
  <c r="AN17" i="29"/>
  <c r="AN22" i="29"/>
  <c r="AI109" i="29"/>
  <c r="AI79" i="29"/>
  <c r="AM18" i="29"/>
  <c r="I5" i="29"/>
  <c r="I111" i="29"/>
  <c r="H5" i="29"/>
  <c r="AI95" i="29"/>
  <c r="AF5" i="29"/>
  <c r="AM19" i="29"/>
  <c r="BG82" i="29" a="1"/>
  <c r="BG22" i="29"/>
  <c r="BG24" i="29" s="1"/>
  <c r="BA24" i="29"/>
  <c r="AB100" i="29"/>
  <c r="AB102" i="29" s="1"/>
  <c r="AB103" i="29" s="1"/>
  <c r="AB7" i="29" s="1"/>
  <c r="AC100" i="29"/>
  <c r="AC102" i="29" s="1"/>
  <c r="BE22" i="29"/>
  <c r="BE24" i="29" s="1"/>
  <c r="BF19" i="29"/>
  <c r="Y5" i="29"/>
  <c r="BF22" i="29"/>
  <c r="BF24" i="29" s="1"/>
  <c r="D100" i="29"/>
  <c r="D102" i="29" s="1"/>
  <c r="T7" i="29"/>
  <c r="BB16" i="29"/>
  <c r="BB22" i="29" s="1"/>
  <c r="BB24" i="29" s="1"/>
  <c r="AD100" i="29"/>
  <c r="AD102" i="29" s="1"/>
  <c r="AX22" i="29"/>
  <c r="AS19" i="29"/>
  <c r="AS22" i="29" s="1"/>
  <c r="E100" i="29"/>
  <c r="E102" i="29" s="1"/>
  <c r="M100" i="29"/>
  <c r="M102" i="29" s="1"/>
  <c r="AU16" i="29"/>
  <c r="AU22" i="29" s="1"/>
  <c r="U7" i="29"/>
  <c r="BC16" i="29"/>
  <c r="BC22" i="29" s="1"/>
  <c r="BC24" i="29" s="1"/>
  <c r="AO16" i="29"/>
  <c r="AO22" i="29" s="1"/>
  <c r="F100" i="29"/>
  <c r="F102" i="29" s="1"/>
  <c r="AV16" i="29"/>
  <c r="AV22" i="29" s="1"/>
  <c r="N100" i="29"/>
  <c r="N102" i="29" s="1"/>
  <c r="V7" i="29"/>
  <c r="BD16" i="29"/>
  <c r="BD22" i="29" s="1"/>
  <c r="BH22" i="29"/>
  <c r="F250" i="29"/>
  <c r="Q5" i="29"/>
  <c r="AZ19" i="29"/>
  <c r="AZ22" i="29" s="1"/>
  <c r="L100" i="29"/>
  <c r="L102" i="29" s="1"/>
  <c r="D261" i="29"/>
  <c r="AL13" i="29"/>
  <c r="AP16" i="29"/>
  <c r="AP22" i="29" s="1"/>
  <c r="AP24" i="29" s="1"/>
  <c r="AG102" i="29"/>
  <c r="AH106" i="29"/>
  <c r="AB111" i="29"/>
  <c r="F110" i="29"/>
  <c r="AQ23" i="29" s="1"/>
  <c r="N110" i="29"/>
  <c r="AV23" i="29" s="1"/>
  <c r="BD23" i="29"/>
  <c r="AD110" i="29"/>
  <c r="BH23" i="29" s="1"/>
  <c r="H100" i="29"/>
  <c r="H102" i="29" s="1"/>
  <c r="H103" i="29" s="1"/>
  <c r="H7" i="29" s="1"/>
  <c r="P100" i="29"/>
  <c r="P102" i="29" s="1"/>
  <c r="P103" i="29" s="1"/>
  <c r="P7" i="29" s="1"/>
  <c r="X100" i="29"/>
  <c r="X102" i="29" s="1"/>
  <c r="X103" i="29" s="1"/>
  <c r="X7" i="29" s="1"/>
  <c r="AF100" i="29"/>
  <c r="AF102" i="29" s="1"/>
  <c r="G110" i="29"/>
  <c r="AR23" i="29" s="1"/>
  <c r="O110" i="29"/>
  <c r="AW23" i="29" s="1"/>
  <c r="W7" i="29"/>
  <c r="AE110" i="29"/>
  <c r="BI23" i="29" s="1"/>
  <c r="H249" i="29"/>
  <c r="I100" i="29"/>
  <c r="I102" i="29" s="1"/>
  <c r="Q100" i="29"/>
  <c r="Q102" i="29" s="1"/>
  <c r="Y7" i="29"/>
  <c r="AG100" i="29"/>
  <c r="AI106" i="29"/>
  <c r="AI83" i="29"/>
  <c r="AH83" i="29"/>
  <c r="B110" i="29"/>
  <c r="B111" i="29" s="1"/>
  <c r="P5" i="29"/>
  <c r="AM20" i="29"/>
  <c r="B100" i="29"/>
  <c r="J100" i="29"/>
  <c r="J102" i="29" s="1"/>
  <c r="J103" i="29" s="1"/>
  <c r="J7" i="29" s="1"/>
  <c r="R100" i="29"/>
  <c r="R102" i="29" s="1"/>
  <c r="R103" i="29" s="1"/>
  <c r="R7" i="29" s="1"/>
  <c r="Z7" i="29"/>
  <c r="AH61" i="29"/>
  <c r="AI105" i="29"/>
  <c r="C100" i="29"/>
  <c r="C102" i="29" s="1"/>
  <c r="K100" i="29"/>
  <c r="K102" i="29" s="1"/>
  <c r="K103" i="29" s="1"/>
  <c r="K7" i="29" s="1"/>
  <c r="S7" i="29"/>
  <c r="AA7" i="29"/>
  <c r="AI61" i="29"/>
  <c r="AI104" i="29"/>
  <c r="D110" i="29"/>
  <c r="AO23" i="29" s="1"/>
  <c r="E254" i="29"/>
  <c r="E255" i="29" s="1"/>
  <c r="AH104" i="29"/>
  <c r="AH105" i="29"/>
  <c r="AH107" i="29"/>
  <c r="AH108" i="29"/>
  <c r="AA103" i="28"/>
  <c r="Z110" i="28"/>
  <c r="Z111" i="28" s="1"/>
  <c r="Z100" i="28"/>
  <c r="Z102" i="28" s="1"/>
  <c r="Y110" i="28"/>
  <c r="Y111" i="28" s="1"/>
  <c r="Y100" i="28"/>
  <c r="Y102" i="28" s="1"/>
  <c r="W110" i="28"/>
  <c r="W111" i="28" s="1"/>
  <c r="W100" i="28"/>
  <c r="W102" i="28" s="1"/>
  <c r="W103" i="28" s="1"/>
  <c r="V110" i="28"/>
  <c r="V111" i="28" s="1"/>
  <c r="V100" i="28"/>
  <c r="V102" i="28" s="1"/>
  <c r="V103" i="28" s="1"/>
  <c r="U110" i="28"/>
  <c r="U111" i="28" s="1"/>
  <c r="U100" i="28"/>
  <c r="U102" i="28" s="1"/>
  <c r="U103" i="28" s="1"/>
  <c r="Z103" i="28" l="1"/>
  <c r="AF103" i="29"/>
  <c r="AF7" i="29" s="1"/>
  <c r="BI24" i="29"/>
  <c r="AD111" i="29"/>
  <c r="AD103" i="29"/>
  <c r="AU24" i="29"/>
  <c r="F111" i="29"/>
  <c r="M103" i="29"/>
  <c r="M7" i="29" s="1"/>
  <c r="C103" i="29"/>
  <c r="C7" i="29" s="1"/>
  <c r="AZ24" i="29"/>
  <c r="AS24" i="29"/>
  <c r="Q103" i="29"/>
  <c r="Q7" i="29" s="1"/>
  <c r="F103" i="29"/>
  <c r="F7" i="29" s="1"/>
  <c r="AN24" i="29"/>
  <c r="K111" i="29"/>
  <c r="AF111" i="29"/>
  <c r="BJ23" i="29"/>
  <c r="BJ24" i="29" s="1"/>
  <c r="I103" i="29"/>
  <c r="I7" i="29" s="1"/>
  <c r="R111" i="29"/>
  <c r="AC103" i="29"/>
  <c r="AC7" i="29" s="1"/>
  <c r="AY24" i="29"/>
  <c r="BD24" i="29"/>
  <c r="Q111" i="29"/>
  <c r="AX23" i="29"/>
  <c r="AX24" i="29" s="1"/>
  <c r="O111" i="29"/>
  <c r="O103" i="29"/>
  <c r="O7" i="29" s="1"/>
  <c r="AW24" i="29"/>
  <c r="N111" i="29"/>
  <c r="AV24" i="29"/>
  <c r="N103" i="29"/>
  <c r="N7" i="29" s="1"/>
  <c r="M111" i="29"/>
  <c r="L103" i="29"/>
  <c r="L7" i="29" s="1"/>
  <c r="AR24" i="29"/>
  <c r="G111" i="29"/>
  <c r="G103" i="29"/>
  <c r="G7" i="29" s="1"/>
  <c r="AQ24" i="29"/>
  <c r="E111" i="29"/>
  <c r="E103" i="29"/>
  <c r="E7" i="29" s="1"/>
  <c r="D111" i="29"/>
  <c r="D103" i="29"/>
  <c r="D7" i="29" s="1"/>
  <c r="C111" i="29"/>
  <c r="I249" i="29"/>
  <c r="AI110" i="29"/>
  <c r="AM23" i="29"/>
  <c r="AH110" i="29"/>
  <c r="B259" i="29"/>
  <c r="C259" i="29"/>
  <c r="BJ105" i="29"/>
  <c r="BH104" i="29"/>
  <c r="BL102" i="29"/>
  <c r="BJ101" i="29"/>
  <c r="BH100" i="29"/>
  <c r="BL98" i="29"/>
  <c r="BJ97" i="29"/>
  <c r="BH96" i="29"/>
  <c r="BL94" i="29"/>
  <c r="BJ93" i="29"/>
  <c r="BH92" i="29"/>
  <c r="BL90" i="29"/>
  <c r="BJ89" i="29"/>
  <c r="BH88" i="29"/>
  <c r="BL86" i="29"/>
  <c r="BJ85" i="29"/>
  <c r="BH84" i="29"/>
  <c r="BL82" i="29"/>
  <c r="BI105" i="29"/>
  <c r="BG104" i="29"/>
  <c r="BK102" i="29"/>
  <c r="BI101" i="29"/>
  <c r="BG100" i="29"/>
  <c r="BK98" i="29"/>
  <c r="BI97" i="29"/>
  <c r="BG96" i="29"/>
  <c r="BK94" i="29"/>
  <c r="BI93" i="29"/>
  <c r="BG92" i="29"/>
  <c r="BK90" i="29"/>
  <c r="BI89" i="29"/>
  <c r="BG88" i="29"/>
  <c r="BK86" i="29"/>
  <c r="BI85" i="29"/>
  <c r="BG84" i="29"/>
  <c r="BK82" i="29"/>
  <c r="BL104" i="29"/>
  <c r="BJ103" i="29"/>
  <c r="BH102" i="29"/>
  <c r="BL100" i="29"/>
  <c r="BJ99" i="29"/>
  <c r="BH98" i="29"/>
  <c r="BL96" i="29"/>
  <c r="BJ95" i="29"/>
  <c r="BH94" i="29"/>
  <c r="BL92" i="29"/>
  <c r="BJ91" i="29"/>
  <c r="BH90" i="29"/>
  <c r="BL88" i="29"/>
  <c r="BJ87" i="29"/>
  <c r="BH86" i="29"/>
  <c r="BL84" i="29"/>
  <c r="BJ83" i="29"/>
  <c r="BH82" i="29"/>
  <c r="BH105" i="29"/>
  <c r="BH103" i="29"/>
  <c r="BG101" i="29"/>
  <c r="BG99" i="29"/>
  <c r="BK96" i="29"/>
  <c r="BJ94" i="29"/>
  <c r="BJ92" i="29"/>
  <c r="BI90" i="29"/>
  <c r="BI88" i="29"/>
  <c r="BG86" i="29"/>
  <c r="BL83" i="29"/>
  <c r="BI91" i="29"/>
  <c r="BL103" i="29"/>
  <c r="BL101" i="29"/>
  <c r="BK97" i="29"/>
  <c r="BH93" i="29"/>
  <c r="BH91" i="29"/>
  <c r="BG89" i="29"/>
  <c r="BJ82" i="29"/>
  <c r="BG105" i="29"/>
  <c r="BG103" i="29"/>
  <c r="BK100" i="29"/>
  <c r="BJ98" i="29"/>
  <c r="BJ96" i="29"/>
  <c r="BI94" i="29"/>
  <c r="BI92" i="29"/>
  <c r="BG90" i="29"/>
  <c r="BL87" i="29"/>
  <c r="BL85" i="29"/>
  <c r="BK83" i="29"/>
  <c r="BK93" i="29"/>
  <c r="BK104" i="29"/>
  <c r="BJ102" i="29"/>
  <c r="BJ100" i="29"/>
  <c r="BI98" i="29"/>
  <c r="BI96" i="29"/>
  <c r="BG94" i="29"/>
  <c r="BL91" i="29"/>
  <c r="BL89" i="29"/>
  <c r="BK87" i="29"/>
  <c r="BK85" i="29"/>
  <c r="BI83" i="29"/>
  <c r="BI95" i="29"/>
  <c r="BK84" i="29"/>
  <c r="BJ104" i="29"/>
  <c r="BI102" i="29"/>
  <c r="BI100" i="29"/>
  <c r="BG98" i="29"/>
  <c r="BL95" i="29"/>
  <c r="BL93" i="29"/>
  <c r="BK91" i="29"/>
  <c r="BK89" i="29"/>
  <c r="BI87" i="29"/>
  <c r="BH85" i="29"/>
  <c r="BH83" i="29"/>
  <c r="BK99" i="29"/>
  <c r="BG87" i="29"/>
  <c r="BI104" i="29"/>
  <c r="BG102" i="29"/>
  <c r="BL99" i="29"/>
  <c r="BL97" i="29"/>
  <c r="BK95" i="29"/>
  <c r="BH89" i="29"/>
  <c r="BH87" i="29"/>
  <c r="BG85" i="29"/>
  <c r="BG83" i="29"/>
  <c r="BI103" i="29"/>
  <c r="BG95" i="29"/>
  <c r="BI86" i="29"/>
  <c r="BI82" i="29"/>
  <c r="BK101" i="29"/>
  <c r="BG93" i="29"/>
  <c r="BJ84" i="29"/>
  <c r="BG91" i="29"/>
  <c r="BH99" i="29"/>
  <c r="BJ90" i="29"/>
  <c r="BK103" i="29"/>
  <c r="BH95" i="29"/>
  <c r="BJ86" i="29"/>
  <c r="BH101" i="29"/>
  <c r="BK92" i="29"/>
  <c r="BI84" i="29"/>
  <c r="BI99" i="29"/>
  <c r="BG82" i="29"/>
  <c r="BK105" i="29"/>
  <c r="BJ88" i="29"/>
  <c r="BL105" i="29"/>
  <c r="BH97" i="29"/>
  <c r="BK88" i="29"/>
  <c r="BG97" i="29"/>
  <c r="AE103" i="29"/>
  <c r="AE7" i="29" s="1"/>
  <c r="AM22" i="29"/>
  <c r="F254" i="29"/>
  <c r="E121" i="29"/>
  <c r="G250" i="29"/>
  <c r="AO24" i="29"/>
  <c r="AD7" i="29"/>
  <c r="AE111" i="29"/>
  <c r="AI100" i="29"/>
  <c r="AH100" i="29"/>
  <c r="B102" i="29"/>
  <c r="BH24" i="29"/>
  <c r="Y103" i="28"/>
  <c r="T60" i="28"/>
  <c r="T61" i="28"/>
  <c r="T65" i="28"/>
  <c r="T79" i="28"/>
  <c r="T83" i="28"/>
  <c r="T95" i="28"/>
  <c r="T100" i="28" s="1"/>
  <c r="T102" i="28" s="1"/>
  <c r="T104" i="28"/>
  <c r="T105" i="28"/>
  <c r="T106" i="28"/>
  <c r="T107" i="28"/>
  <c r="T108" i="28"/>
  <c r="T109" i="28"/>
  <c r="T121" i="28"/>
  <c r="S124" i="28"/>
  <c r="S60" i="28"/>
  <c r="AI111" i="29" l="1"/>
  <c r="G254" i="29"/>
  <c r="G255" i="29" s="1"/>
  <c r="F121" i="29"/>
  <c r="AM24" i="29"/>
  <c r="AT9" i="29" s="1"/>
  <c r="AT8" i="29"/>
  <c r="J249" i="29"/>
  <c r="H250" i="29"/>
  <c r="B103" i="29"/>
  <c r="AI102" i="29"/>
  <c r="AH102" i="29"/>
  <c r="K6" i="29"/>
  <c r="AH111" i="29"/>
  <c r="F255" i="29"/>
  <c r="T110" i="28"/>
  <c r="T111" i="28" s="1"/>
  <c r="I250" i="29" l="1"/>
  <c r="H255" i="29"/>
  <c r="K249" i="29"/>
  <c r="AI103" i="29"/>
  <c r="B7" i="29"/>
  <c r="A7" i="29" s="1"/>
  <c r="AH103" i="29"/>
  <c r="H254" i="29"/>
  <c r="G121" i="29"/>
  <c r="T103" i="28"/>
  <c r="L249" i="29" l="1"/>
  <c r="I254" i="29"/>
  <c r="H121" i="29"/>
  <c r="J250" i="29"/>
  <c r="I255" i="29"/>
  <c r="K250" i="29" l="1"/>
  <c r="J254" i="29"/>
  <c r="I121" i="29"/>
  <c r="M249" i="29"/>
  <c r="N249" i="29" l="1"/>
  <c r="K254" i="29"/>
  <c r="J121" i="29"/>
  <c r="J255" i="29"/>
  <c r="L250" i="29"/>
  <c r="K255" i="29"/>
  <c r="M250" i="29" l="1"/>
  <c r="L254" i="29"/>
  <c r="K121" i="29"/>
  <c r="O249" i="29"/>
  <c r="M254" i="29" l="1"/>
  <c r="L121" i="29"/>
  <c r="L255" i="29"/>
  <c r="P249" i="29"/>
  <c r="N250" i="29"/>
  <c r="M255" i="29"/>
  <c r="Q249" i="29" l="1"/>
  <c r="O250" i="29"/>
  <c r="N254" i="29"/>
  <c r="N255" i="29" s="1"/>
  <c r="M121" i="29"/>
  <c r="P250" i="29" l="1"/>
  <c r="O254" i="29"/>
  <c r="N121" i="29"/>
  <c r="R249" i="29"/>
  <c r="P254" i="29" l="1"/>
  <c r="Q254" i="29" s="1"/>
  <c r="O121" i="29"/>
  <c r="S249" i="29"/>
  <c r="O255" i="29"/>
  <c r="Q250" i="29"/>
  <c r="P255" i="29"/>
  <c r="R250" i="29" l="1"/>
  <c r="Q255" i="29"/>
  <c r="T249" i="29"/>
  <c r="R254" i="29"/>
  <c r="Q121" i="29"/>
  <c r="S254" i="29" l="1"/>
  <c r="S121" i="29" s="1"/>
  <c r="R121" i="29"/>
  <c r="U249" i="29"/>
  <c r="S250" i="29"/>
  <c r="R255" i="29"/>
  <c r="T250" i="29" l="1"/>
  <c r="S255" i="29"/>
  <c r="V249" i="29"/>
  <c r="T254" i="29"/>
  <c r="T121" i="29" s="1"/>
  <c r="U254" i="29" l="1"/>
  <c r="U121" i="29" s="1"/>
  <c r="W249" i="29"/>
  <c r="U250" i="29"/>
  <c r="T255" i="29"/>
  <c r="V250" i="29" l="1"/>
  <c r="U255" i="29"/>
  <c r="X249" i="29"/>
  <c r="V254" i="29"/>
  <c r="V121" i="29" s="1"/>
  <c r="Y249" i="29" l="1"/>
  <c r="W254" i="29"/>
  <c r="W121" i="29" s="1"/>
  <c r="W250" i="29"/>
  <c r="V255" i="29"/>
  <c r="X250" i="29" l="1"/>
  <c r="W255" i="29"/>
  <c r="X254" i="29"/>
  <c r="Z249" i="29"/>
  <c r="Y254" i="29" l="1"/>
  <c r="X121" i="29"/>
  <c r="AA249" i="29"/>
  <c r="Y250" i="29"/>
  <c r="X255" i="29"/>
  <c r="Z254" i="29" l="1"/>
  <c r="Y121" i="29"/>
  <c r="Z250" i="29"/>
  <c r="Y255" i="29"/>
  <c r="AB249" i="29"/>
  <c r="AA254" i="29" l="1"/>
  <c r="Z121" i="29"/>
  <c r="AA250" i="29"/>
  <c r="Z255" i="29"/>
  <c r="AC249" i="29"/>
  <c r="AB254" i="29" l="1"/>
  <c r="AA121" i="29"/>
  <c r="AD249" i="29"/>
  <c r="AB250" i="29"/>
  <c r="AA255" i="29"/>
  <c r="AC254" i="29" l="1"/>
  <c r="AB121" i="29"/>
  <c r="AC250" i="29"/>
  <c r="AB255" i="29"/>
  <c r="AE249" i="29"/>
  <c r="AD254" i="29" l="1"/>
  <c r="AC121" i="29"/>
  <c r="AF249" i="29"/>
  <c r="AD250" i="29"/>
  <c r="AC255" i="29"/>
  <c r="AE254" i="29" l="1"/>
  <c r="AD121" i="29"/>
  <c r="AE250" i="29"/>
  <c r="AD255" i="29"/>
  <c r="B249" i="29"/>
  <c r="AF254" i="29" l="1"/>
  <c r="AE121" i="29"/>
  <c r="AF250" i="29"/>
  <c r="AE255" i="29"/>
  <c r="B254" i="29" l="1"/>
  <c r="B121" i="29" s="1"/>
  <c r="AF121" i="29"/>
  <c r="AI121" i="29" s="1"/>
  <c r="B250" i="29"/>
  <c r="B255" i="29" s="1"/>
  <c r="AF255" i="29"/>
  <c r="AH121" i="29" l="1"/>
  <c r="F61" i="28" l="1"/>
  <c r="F65" i="28"/>
  <c r="F79" i="28"/>
  <c r="F83" i="28"/>
  <c r="AG255" i="28" l="1"/>
  <c r="C255" i="28"/>
  <c r="D254" i="28"/>
  <c r="E254" i="28" s="1"/>
  <c r="F254" i="28" s="1"/>
  <c r="G254" i="28" s="1"/>
  <c r="H254" i="28" s="1"/>
  <c r="I254" i="28" s="1"/>
  <c r="J254" i="28" s="1"/>
  <c r="K254" i="28" s="1"/>
  <c r="L254" i="28" s="1"/>
  <c r="M254" i="28" s="1"/>
  <c r="N254" i="28" s="1"/>
  <c r="O254" i="28" s="1"/>
  <c r="P254" i="28" s="1"/>
  <c r="Q254" i="28" s="1"/>
  <c r="R254" i="28" s="1"/>
  <c r="S254" i="28" s="1"/>
  <c r="T254" i="28" s="1"/>
  <c r="U254" i="28" s="1"/>
  <c r="V254" i="28" s="1"/>
  <c r="W254" i="28" s="1"/>
  <c r="X254" i="28" s="1"/>
  <c r="Y254" i="28" s="1"/>
  <c r="Z254" i="28" s="1"/>
  <c r="AA254" i="28" s="1"/>
  <c r="AB254" i="28" s="1"/>
  <c r="AC254" i="28" s="1"/>
  <c r="AD254" i="28" s="1"/>
  <c r="AE254" i="28" s="1"/>
  <c r="AF254" i="28" s="1"/>
  <c r="B254" i="28" s="1"/>
  <c r="J253" i="28"/>
  <c r="K253" i="28" s="1"/>
  <c r="L253" i="28" s="1"/>
  <c r="M253" i="28" s="1"/>
  <c r="N253" i="28" s="1"/>
  <c r="O253" i="28" s="1"/>
  <c r="P253" i="28" s="1"/>
  <c r="Q253" i="28" s="1"/>
  <c r="R253" i="28" s="1"/>
  <c r="S253" i="28" s="1"/>
  <c r="T253" i="28" s="1"/>
  <c r="U253" i="28" s="1"/>
  <c r="V253" i="28" s="1"/>
  <c r="W253" i="28" s="1"/>
  <c r="X253" i="28" s="1"/>
  <c r="Y253" i="28" s="1"/>
  <c r="Z253" i="28" s="1"/>
  <c r="AA253" i="28" s="1"/>
  <c r="AB253" i="28" s="1"/>
  <c r="AC253" i="28" s="1"/>
  <c r="AD253" i="28" s="1"/>
  <c r="AE253" i="28" s="1"/>
  <c r="AF253" i="28" s="1"/>
  <c r="B253" i="28" s="1"/>
  <c r="D253" i="28"/>
  <c r="E253" i="28" s="1"/>
  <c r="F253" i="28" s="1"/>
  <c r="G253" i="28" s="1"/>
  <c r="H253" i="28" s="1"/>
  <c r="I253" i="28" s="1"/>
  <c r="D252" i="28"/>
  <c r="E252" i="28" s="1"/>
  <c r="F252" i="28" s="1"/>
  <c r="G252" i="28" s="1"/>
  <c r="H252" i="28" s="1"/>
  <c r="I252" i="28" s="1"/>
  <c r="J252" i="28" s="1"/>
  <c r="K252" i="28" s="1"/>
  <c r="L252" i="28" s="1"/>
  <c r="M252" i="28" s="1"/>
  <c r="N252" i="28" s="1"/>
  <c r="O252" i="28" s="1"/>
  <c r="P252" i="28" s="1"/>
  <c r="Q252" i="28" s="1"/>
  <c r="R252" i="28" s="1"/>
  <c r="S252" i="28" s="1"/>
  <c r="T252" i="28" s="1"/>
  <c r="U252" i="28" s="1"/>
  <c r="V252" i="28" s="1"/>
  <c r="W252" i="28" s="1"/>
  <c r="X252" i="28" s="1"/>
  <c r="Y252" i="28" s="1"/>
  <c r="Z252" i="28" s="1"/>
  <c r="AA252" i="28" s="1"/>
  <c r="AB252" i="28" s="1"/>
  <c r="AC252" i="28" s="1"/>
  <c r="AD252" i="28" s="1"/>
  <c r="AE252" i="28" s="1"/>
  <c r="AF252" i="28" s="1"/>
  <c r="B252" i="28" s="1"/>
  <c r="D251" i="28"/>
  <c r="E251" i="28" s="1"/>
  <c r="F251" i="28" s="1"/>
  <c r="G251" i="28" s="1"/>
  <c r="H251" i="28" s="1"/>
  <c r="I251" i="28" s="1"/>
  <c r="J251" i="28" s="1"/>
  <c r="K251" i="28" s="1"/>
  <c r="L251" i="28" s="1"/>
  <c r="M251" i="28" s="1"/>
  <c r="N251" i="28" s="1"/>
  <c r="O251" i="28" s="1"/>
  <c r="P251" i="28" s="1"/>
  <c r="Q251" i="28" s="1"/>
  <c r="R251" i="28" s="1"/>
  <c r="S251" i="28" s="1"/>
  <c r="T251" i="28" s="1"/>
  <c r="U251" i="28" s="1"/>
  <c r="V251" i="28" s="1"/>
  <c r="W251" i="28" s="1"/>
  <c r="X251" i="28" s="1"/>
  <c r="Y251" i="28" s="1"/>
  <c r="Z251" i="28" s="1"/>
  <c r="AA251" i="28" s="1"/>
  <c r="AB251" i="28" s="1"/>
  <c r="AC251" i="28" s="1"/>
  <c r="AD251" i="28" s="1"/>
  <c r="AE251" i="28" s="1"/>
  <c r="AF251" i="28" s="1"/>
  <c r="B251" i="28" s="1"/>
  <c r="D250" i="28"/>
  <c r="E250" i="28" s="1"/>
  <c r="F250" i="28" s="1"/>
  <c r="G250" i="28" s="1"/>
  <c r="H250" i="28" s="1"/>
  <c r="I250" i="28" s="1"/>
  <c r="J250" i="28" s="1"/>
  <c r="K250" i="28" s="1"/>
  <c r="L250" i="28" s="1"/>
  <c r="M250" i="28" s="1"/>
  <c r="N250" i="28" s="1"/>
  <c r="O250" i="28" s="1"/>
  <c r="P250" i="28" s="1"/>
  <c r="Q250" i="28" s="1"/>
  <c r="R250" i="28" s="1"/>
  <c r="S250" i="28" s="1"/>
  <c r="T250" i="28" s="1"/>
  <c r="U250" i="28" s="1"/>
  <c r="V250" i="28" s="1"/>
  <c r="W250" i="28" s="1"/>
  <c r="X250" i="28" s="1"/>
  <c r="Y250" i="28" s="1"/>
  <c r="Z250" i="28" s="1"/>
  <c r="AA250" i="28" s="1"/>
  <c r="AB250" i="28" s="1"/>
  <c r="AC250" i="28" s="1"/>
  <c r="AD250" i="28" s="1"/>
  <c r="AE250" i="28" s="1"/>
  <c r="AF250" i="28" s="1"/>
  <c r="B250" i="28" s="1"/>
  <c r="D249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E247" i="28"/>
  <c r="D247" i="28"/>
  <c r="C247" i="28"/>
  <c r="B247" i="28"/>
  <c r="AI133" i="28"/>
  <c r="AH133" i="28"/>
  <c r="AI132" i="28"/>
  <c r="AH132" i="28"/>
  <c r="AI131" i="28"/>
  <c r="AH131" i="28"/>
  <c r="AI130" i="28"/>
  <c r="AH130" i="28"/>
  <c r="AI129" i="28"/>
  <c r="AH129" i="28"/>
  <c r="AI126" i="28"/>
  <c r="AH126" i="28"/>
  <c r="AI125" i="28"/>
  <c r="AH125" i="28"/>
  <c r="AI124" i="28"/>
  <c r="AH124" i="28"/>
  <c r="AI123" i="28"/>
  <c r="AH123" i="28"/>
  <c r="AI122" i="28"/>
  <c r="AH122" i="28"/>
  <c r="C121" i="28"/>
  <c r="AI120" i="28"/>
  <c r="AH120" i="28"/>
  <c r="AI119" i="28"/>
  <c r="AH119" i="28"/>
  <c r="AI118" i="28"/>
  <c r="AH118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F109" i="28"/>
  <c r="AE109" i="28"/>
  <c r="AD109" i="28"/>
  <c r="AC109" i="28"/>
  <c r="AB109" i="28"/>
  <c r="X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AF108" i="28"/>
  <c r="AE108" i="28"/>
  <c r="AD108" i="28"/>
  <c r="AC108" i="28"/>
  <c r="AB108" i="28"/>
  <c r="X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AF107" i="28"/>
  <c r="AE107" i="28"/>
  <c r="AD107" i="28"/>
  <c r="AC107" i="28"/>
  <c r="AB107" i="28"/>
  <c r="X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AF106" i="28"/>
  <c r="AE106" i="28"/>
  <c r="AD106" i="28"/>
  <c r="AC106" i="28"/>
  <c r="AB106" i="28"/>
  <c r="X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AF105" i="28"/>
  <c r="AE105" i="28"/>
  <c r="AD105" i="28"/>
  <c r="AC105" i="28"/>
  <c r="AB105" i="28"/>
  <c r="X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AF104" i="28"/>
  <c r="AF110" i="28" s="1"/>
  <c r="AE104" i="28"/>
  <c r="AE110" i="28" s="1"/>
  <c r="AD104" i="28"/>
  <c r="AC104" i="28"/>
  <c r="AB104" i="28"/>
  <c r="X104" i="28"/>
  <c r="X110" i="28" s="1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AI101" i="28"/>
  <c r="AH101" i="28"/>
  <c r="AI99" i="28"/>
  <c r="AH99" i="28"/>
  <c r="AG99" i="28"/>
  <c r="AI98" i="28"/>
  <c r="AH98" i="28"/>
  <c r="AI97" i="28"/>
  <c r="AH97" i="28"/>
  <c r="AI96" i="28"/>
  <c r="AH96" i="28"/>
  <c r="AG95" i="28"/>
  <c r="AF95" i="28"/>
  <c r="BJ19" i="28" s="1"/>
  <c r="AE95" i="28"/>
  <c r="AE111" i="28" s="1"/>
  <c r="AD95" i="28"/>
  <c r="AC5" i="28" s="1"/>
  <c r="AC95" i="28"/>
  <c r="AB5" i="28" s="1"/>
  <c r="AB95" i="28"/>
  <c r="AA5" i="28" s="1"/>
  <c r="Z5" i="28"/>
  <c r="X95" i="28"/>
  <c r="BE19" i="28" s="1"/>
  <c r="S5" i="28"/>
  <c r="S95" i="28"/>
  <c r="BA19" i="28" s="1"/>
  <c r="R95" i="28"/>
  <c r="Q5" i="28" s="1"/>
  <c r="Q95" i="28"/>
  <c r="P5" i="28" s="1"/>
  <c r="P95" i="28"/>
  <c r="AX19" i="28" s="1"/>
  <c r="O95" i="28"/>
  <c r="N95" i="28"/>
  <c r="AV19" i="28" s="1"/>
  <c r="M95" i="28"/>
  <c r="L95" i="28"/>
  <c r="K5" i="28" s="1"/>
  <c r="K95" i="28"/>
  <c r="AT19" i="28" s="1"/>
  <c r="J95" i="28"/>
  <c r="I95" i="28"/>
  <c r="H5" i="28" s="1"/>
  <c r="H95" i="28"/>
  <c r="G5" i="28" s="1"/>
  <c r="G95" i="28"/>
  <c r="F95" i="28"/>
  <c r="E5" i="28" s="1"/>
  <c r="E95" i="28"/>
  <c r="D95" i="28"/>
  <c r="AO19" i="28" s="1"/>
  <c r="C95" i="28"/>
  <c r="B5" i="28" s="1"/>
  <c r="B95" i="28"/>
  <c r="AI94" i="28"/>
  <c r="AH94" i="28"/>
  <c r="AI93" i="28"/>
  <c r="AH93" i="28"/>
  <c r="AI92" i="28"/>
  <c r="AH92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3" i="28"/>
  <c r="AG4" i="28" s="1"/>
  <c r="AG6" i="28" s="1"/>
  <c r="AF83" i="28"/>
  <c r="AE83" i="28"/>
  <c r="BI20" i="28" s="1"/>
  <c r="AD83" i="28"/>
  <c r="BH20" i="28" s="1"/>
  <c r="AC83" i="28"/>
  <c r="AB83" i="28"/>
  <c r="X83" i="28"/>
  <c r="BD20" i="28"/>
  <c r="S83" i="28"/>
  <c r="R83" i="28"/>
  <c r="AZ20" i="28" s="1"/>
  <c r="Q83" i="28"/>
  <c r="AY20" i="28" s="1"/>
  <c r="P83" i="28"/>
  <c r="O83" i="28"/>
  <c r="AW20" i="28" s="1"/>
  <c r="N83" i="28"/>
  <c r="AV20" i="28" s="1"/>
  <c r="M83" i="28"/>
  <c r="L83" i="28"/>
  <c r="K83" i="28"/>
  <c r="J83" i="28"/>
  <c r="I83" i="28"/>
  <c r="AS20" i="28" s="1"/>
  <c r="H83" i="28"/>
  <c r="G83" i="28"/>
  <c r="E83" i="28"/>
  <c r="D83" i="28"/>
  <c r="C83" i="28"/>
  <c r="B83" i="28"/>
  <c r="AI82" i="28"/>
  <c r="AH82" i="28"/>
  <c r="AI81" i="28"/>
  <c r="AH81" i="28"/>
  <c r="AI80" i="28"/>
  <c r="AH80" i="28"/>
  <c r="AF79" i="28"/>
  <c r="AE79" i="28"/>
  <c r="BI18" i="28" s="1"/>
  <c r="AD79" i="28"/>
  <c r="AC79" i="28"/>
  <c r="AB79" i="28"/>
  <c r="BG18" i="28" s="1"/>
  <c r="X79" i="28"/>
  <c r="BE18" i="28" s="1"/>
  <c r="BC18" i="28"/>
  <c r="S79" i="28"/>
  <c r="R79" i="28"/>
  <c r="AZ18" i="28" s="1"/>
  <c r="Q79" i="28"/>
  <c r="AY18" i="28" s="1"/>
  <c r="P79" i="28"/>
  <c r="O79" i="28"/>
  <c r="N79" i="28"/>
  <c r="M79" i="28"/>
  <c r="AU18" i="28" s="1"/>
  <c r="L79" i="28"/>
  <c r="K79" i="28"/>
  <c r="J79" i="28"/>
  <c r="I79" i="28"/>
  <c r="AS18" i="28" s="1"/>
  <c r="H79" i="28"/>
  <c r="G79" i="28"/>
  <c r="AR18" i="28" s="1"/>
  <c r="E79" i="28"/>
  <c r="AP18" i="28" s="1"/>
  <c r="D79" i="28"/>
  <c r="AO18" i="28" s="1"/>
  <c r="C79" i="28"/>
  <c r="AN18" i="28" s="1"/>
  <c r="B79" i="28"/>
  <c r="AM18" i="28" s="1"/>
  <c r="BF78" i="28"/>
  <c r="AI78" i="28"/>
  <c r="AH78" i="28"/>
  <c r="AG78" i="28"/>
  <c r="AG79" i="28" s="1"/>
  <c r="AG3" i="28" s="1"/>
  <c r="BU77" i="28"/>
  <c r="BI77" i="28"/>
  <c r="AI77" i="28"/>
  <c r="AH77" i="28"/>
  <c r="BK76" i="28"/>
  <c r="BC76" i="28"/>
  <c r="AI76" i="28"/>
  <c r="AH76" i="28"/>
  <c r="BU75" i="28"/>
  <c r="AI75" i="28"/>
  <c r="AH75" i="28"/>
  <c r="AI74" i="28"/>
  <c r="AH74" i="28"/>
  <c r="BL73" i="28"/>
  <c r="BE73" i="28"/>
  <c r="BA73" i="28"/>
  <c r="AZ73" i="28"/>
  <c r="AI73" i="28"/>
  <c r="AH73" i="28"/>
  <c r="AI72" i="28"/>
  <c r="AH72" i="28"/>
  <c r="BW71" i="28"/>
  <c r="BW78" i="28" s="1"/>
  <c r="BV71" i="28"/>
  <c r="BV78" i="28" s="1"/>
  <c r="BU71" i="28"/>
  <c r="BU78" i="28" s="1"/>
  <c r="BT71" i="28"/>
  <c r="BT78" i="28" s="1"/>
  <c r="BS71" i="28"/>
  <c r="BS78" i="28" s="1"/>
  <c r="BR71" i="28"/>
  <c r="BR78" i="28" s="1"/>
  <c r="BQ71" i="28"/>
  <c r="BQ78" i="28" s="1"/>
  <c r="BP71" i="28"/>
  <c r="BP78" i="28" s="1"/>
  <c r="BO71" i="28"/>
  <c r="BO78" i="28" s="1"/>
  <c r="BN71" i="28"/>
  <c r="BN78" i="28" s="1"/>
  <c r="BM71" i="28"/>
  <c r="BM78" i="28" s="1"/>
  <c r="BL71" i="28"/>
  <c r="BL78" i="28" s="1"/>
  <c r="BK71" i="28"/>
  <c r="BK78" i="28" s="1"/>
  <c r="BJ71" i="28"/>
  <c r="BJ78" i="28" s="1"/>
  <c r="BI71" i="28"/>
  <c r="BI78" i="28" s="1"/>
  <c r="BH71" i="28"/>
  <c r="BH78" i="28" s="1"/>
  <c r="BG71" i="28"/>
  <c r="BG78" i="28" s="1"/>
  <c r="BF71" i="28"/>
  <c r="BE71" i="28"/>
  <c r="BE78" i="28" s="1"/>
  <c r="BD71" i="28"/>
  <c r="BD78" i="28" s="1"/>
  <c r="BC71" i="28"/>
  <c r="BC78" i="28" s="1"/>
  <c r="BB71" i="28"/>
  <c r="BB78" i="28" s="1"/>
  <c r="BA71" i="28"/>
  <c r="BA78" i="28" s="1"/>
  <c r="AZ71" i="28"/>
  <c r="AZ78" i="28" s="1"/>
  <c r="AI71" i="28"/>
  <c r="AH71" i="28"/>
  <c r="BW70" i="28"/>
  <c r="BW77" i="28" s="1"/>
  <c r="BV70" i="28"/>
  <c r="BV77" i="28" s="1"/>
  <c r="BU70" i="28"/>
  <c r="BT70" i="28"/>
  <c r="BT77" i="28" s="1"/>
  <c r="BS70" i="28"/>
  <c r="BS77" i="28" s="1"/>
  <c r="BR70" i="28"/>
  <c r="BR77" i="28" s="1"/>
  <c r="BQ70" i="28"/>
  <c r="BQ77" i="28" s="1"/>
  <c r="BP70" i="28"/>
  <c r="BP77" i="28" s="1"/>
  <c r="BO70" i="28"/>
  <c r="BO77" i="28" s="1"/>
  <c r="BN70" i="28"/>
  <c r="BN77" i="28" s="1"/>
  <c r="BM70" i="28"/>
  <c r="BM77" i="28" s="1"/>
  <c r="BL70" i="28"/>
  <c r="BL77" i="28" s="1"/>
  <c r="BK70" i="28"/>
  <c r="BK77" i="28" s="1"/>
  <c r="BJ70" i="28"/>
  <c r="BJ77" i="28" s="1"/>
  <c r="BI70" i="28"/>
  <c r="BH70" i="28"/>
  <c r="BH77" i="28" s="1"/>
  <c r="BG70" i="28"/>
  <c r="BG77" i="28" s="1"/>
  <c r="BF70" i="28"/>
  <c r="BF77" i="28" s="1"/>
  <c r="BE70" i="28"/>
  <c r="BE77" i="28" s="1"/>
  <c r="BD70" i="28"/>
  <c r="BD77" i="28" s="1"/>
  <c r="BC70" i="28"/>
  <c r="BC77" i="28" s="1"/>
  <c r="BB70" i="28"/>
  <c r="BB77" i="28" s="1"/>
  <c r="BA70" i="28"/>
  <c r="BA77" i="28" s="1"/>
  <c r="AZ70" i="28"/>
  <c r="AZ77" i="28" s="1"/>
  <c r="AI70" i="28"/>
  <c r="AH70" i="28"/>
  <c r="BW69" i="28"/>
  <c r="BW76" i="28" s="1"/>
  <c r="BV69" i="28"/>
  <c r="BV76" i="28" s="1"/>
  <c r="BU69" i="28"/>
  <c r="BU76" i="28" s="1"/>
  <c r="BT69" i="28"/>
  <c r="BT76" i="28" s="1"/>
  <c r="BS69" i="28"/>
  <c r="BS76" i="28" s="1"/>
  <c r="BR69" i="28"/>
  <c r="BR76" i="28" s="1"/>
  <c r="BQ69" i="28"/>
  <c r="BQ76" i="28" s="1"/>
  <c r="BP69" i="28"/>
  <c r="BP76" i="28" s="1"/>
  <c r="BO69" i="28"/>
  <c r="BO76" i="28" s="1"/>
  <c r="BN69" i="28"/>
  <c r="BN76" i="28" s="1"/>
  <c r="BM69" i="28"/>
  <c r="BM76" i="28" s="1"/>
  <c r="BL69" i="28"/>
  <c r="BL76" i="28" s="1"/>
  <c r="BK69" i="28"/>
  <c r="BJ69" i="28"/>
  <c r="BJ76" i="28" s="1"/>
  <c r="BI69" i="28"/>
  <c r="BI76" i="28" s="1"/>
  <c r="BH69" i="28"/>
  <c r="BH76" i="28" s="1"/>
  <c r="BG69" i="28"/>
  <c r="BG76" i="28" s="1"/>
  <c r="BF69" i="28"/>
  <c r="BF76" i="28" s="1"/>
  <c r="BE69" i="28"/>
  <c r="BE76" i="28" s="1"/>
  <c r="BD69" i="28"/>
  <c r="BD76" i="28" s="1"/>
  <c r="BC69" i="28"/>
  <c r="BB69" i="28"/>
  <c r="BB76" i="28" s="1"/>
  <c r="BA69" i="28"/>
  <c r="BA76" i="28" s="1"/>
  <c r="AZ69" i="28"/>
  <c r="AZ76" i="28" s="1"/>
  <c r="AI69" i="28"/>
  <c r="AH69" i="28"/>
  <c r="BW68" i="28"/>
  <c r="BW75" i="28" s="1"/>
  <c r="BV68" i="28"/>
  <c r="BV75" i="28" s="1"/>
  <c r="BU68" i="28"/>
  <c r="BT68" i="28"/>
  <c r="BT75" i="28" s="1"/>
  <c r="BS68" i="28"/>
  <c r="BS75" i="28" s="1"/>
  <c r="BR68" i="28"/>
  <c r="BR75" i="28" s="1"/>
  <c r="BQ68" i="28"/>
  <c r="BQ75" i="28" s="1"/>
  <c r="BP68" i="28"/>
  <c r="BP75" i="28" s="1"/>
  <c r="BO68" i="28"/>
  <c r="BO75" i="28" s="1"/>
  <c r="BN68" i="28"/>
  <c r="BN75" i="28" s="1"/>
  <c r="BM68" i="28"/>
  <c r="BM75" i="28" s="1"/>
  <c r="BL68" i="28"/>
  <c r="BL75" i="28" s="1"/>
  <c r="BK68" i="28"/>
  <c r="BK75" i="28" s="1"/>
  <c r="BJ68" i="28"/>
  <c r="BJ75" i="28" s="1"/>
  <c r="BI68" i="28"/>
  <c r="BI75" i="28" s="1"/>
  <c r="BH68" i="28"/>
  <c r="BH75" i="28" s="1"/>
  <c r="BG68" i="28"/>
  <c r="BG75" i="28" s="1"/>
  <c r="BF68" i="28"/>
  <c r="BF75" i="28" s="1"/>
  <c r="BE68" i="28"/>
  <c r="BE75" i="28" s="1"/>
  <c r="BD68" i="28"/>
  <c r="BD75" i="28" s="1"/>
  <c r="BC68" i="28"/>
  <c r="BC75" i="28" s="1"/>
  <c r="BB68" i="28"/>
  <c r="BB75" i="28" s="1"/>
  <c r="BA68" i="28"/>
  <c r="BA75" i="28" s="1"/>
  <c r="AZ68" i="28"/>
  <c r="AZ75" i="28" s="1"/>
  <c r="AI68" i="28"/>
  <c r="AH68" i="28"/>
  <c r="BW67" i="28"/>
  <c r="BW74" i="28" s="1"/>
  <c r="BV67" i="28"/>
  <c r="BV74" i="28" s="1"/>
  <c r="BU67" i="28"/>
  <c r="BU74" i="28" s="1"/>
  <c r="BT67" i="28"/>
  <c r="BT74" i="28" s="1"/>
  <c r="BS67" i="28"/>
  <c r="BS74" i="28" s="1"/>
  <c r="BR67" i="28"/>
  <c r="BR74" i="28" s="1"/>
  <c r="BQ67" i="28"/>
  <c r="BQ74" i="28" s="1"/>
  <c r="BP67" i="28"/>
  <c r="BP74" i="28" s="1"/>
  <c r="BO67" i="28"/>
  <c r="BO74" i="28" s="1"/>
  <c r="BN67" i="28"/>
  <c r="BN74" i="28" s="1"/>
  <c r="BM67" i="28"/>
  <c r="BM74" i="28" s="1"/>
  <c r="BL67" i="28"/>
  <c r="BL74" i="28" s="1"/>
  <c r="BK67" i="28"/>
  <c r="BK74" i="28" s="1"/>
  <c r="BJ67" i="28"/>
  <c r="BJ74" i="28" s="1"/>
  <c r="BI67" i="28"/>
  <c r="BI74" i="28" s="1"/>
  <c r="BH67" i="28"/>
  <c r="BH74" i="28" s="1"/>
  <c r="BG67" i="28"/>
  <c r="BG74" i="28" s="1"/>
  <c r="BF67" i="28"/>
  <c r="BF74" i="28" s="1"/>
  <c r="BE67" i="28"/>
  <c r="BE74" i="28" s="1"/>
  <c r="BD67" i="28"/>
  <c r="BD74" i="28" s="1"/>
  <c r="BC67" i="28"/>
  <c r="BC74" i="28" s="1"/>
  <c r="BB67" i="28"/>
  <c r="BB74" i="28" s="1"/>
  <c r="BA67" i="28"/>
  <c r="BA74" i="28" s="1"/>
  <c r="AZ67" i="28"/>
  <c r="AZ74" i="28" s="1"/>
  <c r="AI67" i="28"/>
  <c r="AH67" i="28"/>
  <c r="BW66" i="28"/>
  <c r="BW73" i="28" s="1"/>
  <c r="BV66" i="28"/>
  <c r="BV73" i="28" s="1"/>
  <c r="BU66" i="28"/>
  <c r="BU73" i="28" s="1"/>
  <c r="BT66" i="28"/>
  <c r="BT73" i="28" s="1"/>
  <c r="BS66" i="28"/>
  <c r="BS73" i="28" s="1"/>
  <c r="BR66" i="28"/>
  <c r="BR73" i="28" s="1"/>
  <c r="BQ66" i="28"/>
  <c r="BQ73" i="28" s="1"/>
  <c r="BP66" i="28"/>
  <c r="BP73" i="28" s="1"/>
  <c r="BO66" i="28"/>
  <c r="BO73" i="28" s="1"/>
  <c r="BN66" i="28"/>
  <c r="BN73" i="28" s="1"/>
  <c r="BM66" i="28"/>
  <c r="BM73" i="28" s="1"/>
  <c r="BL66" i="28"/>
  <c r="BK66" i="28"/>
  <c r="BK73" i="28" s="1"/>
  <c r="BJ66" i="28"/>
  <c r="BJ73" i="28" s="1"/>
  <c r="BI66" i="28"/>
  <c r="BI73" i="28" s="1"/>
  <c r="BH66" i="28"/>
  <c r="BH73" i="28" s="1"/>
  <c r="BG66" i="28"/>
  <c r="BG73" i="28" s="1"/>
  <c r="BF66" i="28"/>
  <c r="BF73" i="28" s="1"/>
  <c r="BE66" i="28"/>
  <c r="BD66" i="28"/>
  <c r="BD73" i="28" s="1"/>
  <c r="BC66" i="28"/>
  <c r="BC73" i="28" s="1"/>
  <c r="BB66" i="28"/>
  <c r="BB73" i="28" s="1"/>
  <c r="BA66" i="28"/>
  <c r="AZ66" i="28"/>
  <c r="AI66" i="28"/>
  <c r="AH66" i="28"/>
  <c r="AG65" i="28"/>
  <c r="AF65" i="28"/>
  <c r="BJ17" i="28" s="1"/>
  <c r="AE65" i="28"/>
  <c r="BI17" i="28" s="1"/>
  <c r="AD65" i="28"/>
  <c r="AC65" i="28"/>
  <c r="AB65" i="28"/>
  <c r="BG17" i="28" s="1"/>
  <c r="BF17" i="28"/>
  <c r="X65" i="28"/>
  <c r="BE17" i="28" s="1"/>
  <c r="BB17" i="28"/>
  <c r="S65" i="28"/>
  <c r="BA17" i="28" s="1"/>
  <c r="R65" i="28"/>
  <c r="AZ17" i="28" s="1"/>
  <c r="Q65" i="28"/>
  <c r="P65" i="28"/>
  <c r="AX17" i="28" s="1"/>
  <c r="O65" i="28"/>
  <c r="AW17" i="28" s="1"/>
  <c r="N65" i="28"/>
  <c r="AV17" i="28" s="1"/>
  <c r="M65" i="28"/>
  <c r="AU17" i="28" s="1"/>
  <c r="L65" i="28"/>
  <c r="K65" i="28"/>
  <c r="AT17" i="28" s="1"/>
  <c r="J65" i="28"/>
  <c r="I65" i="28"/>
  <c r="H65" i="28"/>
  <c r="G65" i="28"/>
  <c r="AR17" i="28" s="1"/>
  <c r="E65" i="28"/>
  <c r="D65" i="28"/>
  <c r="AO17" i="28" s="1"/>
  <c r="C65" i="28"/>
  <c r="AN17" i="28" s="1"/>
  <c r="B65" i="28"/>
  <c r="AI64" i="28"/>
  <c r="AH64" i="28"/>
  <c r="AI63" i="28"/>
  <c r="AH63" i="28"/>
  <c r="AI62" i="28"/>
  <c r="AH62" i="28"/>
  <c r="AG61" i="28"/>
  <c r="AF61" i="28"/>
  <c r="AE61" i="28"/>
  <c r="BI16" i="28" s="1"/>
  <c r="AD61" i="28"/>
  <c r="BH16" i="28" s="1"/>
  <c r="AC61" i="28"/>
  <c r="AB61" i="28"/>
  <c r="X61" i="28"/>
  <c r="S61" i="28"/>
  <c r="BA16" i="28" s="1"/>
  <c r="R61" i="28"/>
  <c r="Q61" i="28"/>
  <c r="P61" i="28"/>
  <c r="AX16" i="28" s="1"/>
  <c r="O61" i="28"/>
  <c r="AW16" i="28" s="1"/>
  <c r="N61" i="28"/>
  <c r="AV16" i="28" s="1"/>
  <c r="M61" i="28"/>
  <c r="L61" i="28"/>
  <c r="K61" i="28"/>
  <c r="J61" i="28"/>
  <c r="I61" i="28"/>
  <c r="AS16" i="28" s="1"/>
  <c r="H61" i="28"/>
  <c r="G61" i="28"/>
  <c r="AR16" i="28" s="1"/>
  <c r="E61" i="28"/>
  <c r="AP16" i="28" s="1"/>
  <c r="D61" i="28"/>
  <c r="C61" i="28"/>
  <c r="AN16" i="28" s="1"/>
  <c r="B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BI23" i="28"/>
  <c r="AI23" i="28"/>
  <c r="AH23" i="28"/>
  <c r="AI22" i="28"/>
  <c r="AH22" i="28"/>
  <c r="BJ21" i="28"/>
  <c r="BI21" i="28"/>
  <c r="BH21" i="28"/>
  <c r="BG21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I21" i="28"/>
  <c r="AH21" i="28"/>
  <c r="BJ20" i="28"/>
  <c r="BG20" i="28"/>
  <c r="BF20" i="28"/>
  <c r="BE20" i="28"/>
  <c r="BC20" i="28"/>
  <c r="BB20" i="28"/>
  <c r="BA20" i="28"/>
  <c r="AX20" i="28"/>
  <c r="AU20" i="28"/>
  <c r="AT20" i="28"/>
  <c r="AR20" i="28"/>
  <c r="AQ20" i="28"/>
  <c r="AP20" i="28"/>
  <c r="AO20" i="28"/>
  <c r="AN20" i="28"/>
  <c r="AM20" i="28"/>
  <c r="AI20" i="28"/>
  <c r="AH20" i="28"/>
  <c r="BF19" i="28"/>
  <c r="BD19" i="28"/>
  <c r="BC19" i="28"/>
  <c r="BB19" i="28"/>
  <c r="AN19" i="28"/>
  <c r="AI19" i="28"/>
  <c r="AH19" i="28"/>
  <c r="BJ18" i="28"/>
  <c r="BH18" i="28"/>
  <c r="BF18" i="28"/>
  <c r="BD18" i="28"/>
  <c r="BB18" i="28"/>
  <c r="BA18" i="28"/>
  <c r="AX18" i="28"/>
  <c r="AW18" i="28"/>
  <c r="AV18" i="28"/>
  <c r="AT18" i="28"/>
  <c r="AQ18" i="28"/>
  <c r="AI18" i="28"/>
  <c r="AH18" i="28"/>
  <c r="BH17" i="28"/>
  <c r="BD17" i="28"/>
  <c r="BC17" i="28"/>
  <c r="AY17" i="28"/>
  <c r="AS17" i="28"/>
  <c r="AQ17" i="28"/>
  <c r="AP17" i="28"/>
  <c r="AI17" i="28"/>
  <c r="AH17" i="28"/>
  <c r="BJ16" i="28"/>
  <c r="BE16" i="28"/>
  <c r="BD16" i="28"/>
  <c r="BC16" i="28"/>
  <c r="AT16" i="28"/>
  <c r="AQ16" i="28"/>
  <c r="AI16" i="28"/>
  <c r="AH16" i="28"/>
  <c r="AI15" i="28"/>
  <c r="AH15" i="28"/>
  <c r="AI14" i="28"/>
  <c r="AH14" i="28"/>
  <c r="AI13" i="28"/>
  <c r="AH13" i="28"/>
  <c r="AL12" i="28"/>
  <c r="AI12" i="28"/>
  <c r="AH12" i="28"/>
  <c r="AI11" i="28"/>
  <c r="AH11" i="28"/>
  <c r="Y5" i="28"/>
  <c r="X5" i="28"/>
  <c r="V5" i="28"/>
  <c r="U5" i="28"/>
  <c r="T5" i="28"/>
  <c r="M5" i="28"/>
  <c r="I5" i="28"/>
  <c r="K4" i="28"/>
  <c r="E4" i="28"/>
  <c r="H4" i="28" s="1"/>
  <c r="B4" i="28"/>
  <c r="D261" i="28" s="1"/>
  <c r="AG2" i="28"/>
  <c r="AD60" i="27"/>
  <c r="AE5" i="28" l="1"/>
  <c r="AF111" i="28"/>
  <c r="BI19" i="28"/>
  <c r="AD5" i="28"/>
  <c r="BH19" i="28"/>
  <c r="BG19" i="28"/>
  <c r="AB100" i="28"/>
  <c r="AB102" i="28" s="1"/>
  <c r="AB103" i="28" s="1"/>
  <c r="AB7" i="28" s="1"/>
  <c r="X111" i="28"/>
  <c r="W5" i="28"/>
  <c r="AZ19" i="28"/>
  <c r="AY19" i="28"/>
  <c r="P110" i="28"/>
  <c r="P111" i="28" s="1"/>
  <c r="O5" i="28"/>
  <c r="N5" i="28"/>
  <c r="AW19" i="28"/>
  <c r="O110" i="28"/>
  <c r="AW23" i="28" s="1"/>
  <c r="AW22" i="28"/>
  <c r="AW24" i="28" s="1"/>
  <c r="BH22" i="28"/>
  <c r="AC100" i="28"/>
  <c r="AC102" i="28" s="1"/>
  <c r="Q110" i="28"/>
  <c r="Q111" i="28" s="1"/>
  <c r="N100" i="28"/>
  <c r="N102" i="28" s="1"/>
  <c r="V7" i="28"/>
  <c r="AD100" i="28"/>
  <c r="AD102" i="28" s="1"/>
  <c r="AE100" i="28"/>
  <c r="AE102" i="28" s="1"/>
  <c r="AE103" i="28" s="1"/>
  <c r="AE7" i="28" s="1"/>
  <c r="W7" i="28"/>
  <c r="BJ22" i="28"/>
  <c r="BA22" i="28"/>
  <c r="AX22" i="28"/>
  <c r="AV22" i="28"/>
  <c r="BI22" i="28"/>
  <c r="BI24" i="28" s="1"/>
  <c r="BC23" i="28"/>
  <c r="AC110" i="28"/>
  <c r="AC111" i="28" s="1"/>
  <c r="R110" i="28"/>
  <c r="AZ23" i="28" s="1"/>
  <c r="BF23" i="28"/>
  <c r="BD22" i="28"/>
  <c r="X100" i="28"/>
  <c r="X102" i="28" s="1"/>
  <c r="X103" i="28" s="1"/>
  <c r="X7" i="28" s="1"/>
  <c r="AF100" i="28"/>
  <c r="AF102" i="28" s="1"/>
  <c r="AF103" i="28" s="1"/>
  <c r="AF7" i="28" s="1"/>
  <c r="R5" i="28"/>
  <c r="Q100" i="28"/>
  <c r="Q102" i="28" s="1"/>
  <c r="AG100" i="28"/>
  <c r="R100" i="28"/>
  <c r="R102" i="28" s="1"/>
  <c r="R103" i="28" s="1"/>
  <c r="R7" i="28" s="1"/>
  <c r="Z7" i="28"/>
  <c r="N110" i="28"/>
  <c r="AD110" i="28"/>
  <c r="O100" i="28"/>
  <c r="O102" i="28" s="1"/>
  <c r="O103" i="28" s="1"/>
  <c r="O7" i="28" s="1"/>
  <c r="BC22" i="28"/>
  <c r="R111" i="28"/>
  <c r="S110" i="28"/>
  <c r="BA23" i="28" s="1"/>
  <c r="M110" i="28"/>
  <c r="AU23" i="28" s="1"/>
  <c r="L5" i="28"/>
  <c r="AU19" i="28"/>
  <c r="M100" i="28"/>
  <c r="M102" i="28" s="1"/>
  <c r="M103" i="28" s="1"/>
  <c r="M7" i="28" s="1"/>
  <c r="AU16" i="28"/>
  <c r="AU22" i="28" s="1"/>
  <c r="AU24" i="28" s="1"/>
  <c r="L100" i="28"/>
  <c r="L102" i="28" s="1"/>
  <c r="J5" i="28"/>
  <c r="K110" i="28"/>
  <c r="AT23" i="28" s="1"/>
  <c r="AT22" i="28"/>
  <c r="J110" i="28"/>
  <c r="J111" i="28" s="1"/>
  <c r="J100" i="28"/>
  <c r="J102" i="28" s="1"/>
  <c r="J103" i="28" s="1"/>
  <c r="J7" i="28" s="1"/>
  <c r="I110" i="28"/>
  <c r="AS23" i="28" s="1"/>
  <c r="AS19" i="28"/>
  <c r="I111" i="28"/>
  <c r="AH83" i="28"/>
  <c r="AS22" i="28"/>
  <c r="AS24" i="28" s="1"/>
  <c r="I100" i="28"/>
  <c r="I102" i="28" s="1"/>
  <c r="H110" i="28"/>
  <c r="H111" i="28" s="1"/>
  <c r="H100" i="28"/>
  <c r="H102" i="28" s="1"/>
  <c r="H103" i="28" s="1"/>
  <c r="H7" i="28" s="1"/>
  <c r="F5" i="28"/>
  <c r="G110" i="28"/>
  <c r="AR23" i="28" s="1"/>
  <c r="AR19" i="28"/>
  <c r="G100" i="28"/>
  <c r="G102" i="28" s="1"/>
  <c r="G103" i="28" s="1"/>
  <c r="G7" i="28" s="1"/>
  <c r="AR22" i="28"/>
  <c r="AR24" i="28" s="1"/>
  <c r="AQ19" i="28"/>
  <c r="AQ22" i="28" s="1"/>
  <c r="F100" i="28"/>
  <c r="F102" i="28" s="1"/>
  <c r="AI109" i="28"/>
  <c r="F110" i="28"/>
  <c r="AI107" i="28"/>
  <c r="E110" i="28"/>
  <c r="AP23" i="28" s="1"/>
  <c r="AP19" i="28"/>
  <c r="AP22" i="28" s="1"/>
  <c r="AP24" i="28" s="1"/>
  <c r="D5" i="28"/>
  <c r="E100" i="28"/>
  <c r="E102" i="28" s="1"/>
  <c r="C5" i="28"/>
  <c r="AH79" i="28"/>
  <c r="D100" i="28"/>
  <c r="D102" i="28" s="1"/>
  <c r="AO16" i="28"/>
  <c r="AO22" i="28" s="1"/>
  <c r="AI106" i="28"/>
  <c r="AI95" i="28"/>
  <c r="AI79" i="28"/>
  <c r="AH65" i="28"/>
  <c r="AN22" i="28"/>
  <c r="AH108" i="28"/>
  <c r="AM19" i="28"/>
  <c r="BG82" i="28" a="1"/>
  <c r="BI104" i="28" s="1"/>
  <c r="AF5" i="28"/>
  <c r="AI83" i="28"/>
  <c r="B100" i="28"/>
  <c r="B102" i="28" s="1"/>
  <c r="AM17" i="28"/>
  <c r="AM16" i="28"/>
  <c r="AY23" i="28"/>
  <c r="BE22" i="28"/>
  <c r="BB16" i="28"/>
  <c r="BB22" i="28" s="1"/>
  <c r="BE23" i="28"/>
  <c r="AL13" i="28"/>
  <c r="AX23" i="28"/>
  <c r="C100" i="28"/>
  <c r="C102" i="28" s="1"/>
  <c r="K100" i="28"/>
  <c r="K102" i="28" s="1"/>
  <c r="S100" i="28"/>
  <c r="S102" i="28" s="1"/>
  <c r="AI61" i="28"/>
  <c r="AI65" i="28"/>
  <c r="L111" i="28"/>
  <c r="P100" i="28"/>
  <c r="P102" i="28" s="1"/>
  <c r="P103" i="28" s="1"/>
  <c r="P7" i="28" s="1"/>
  <c r="AI108" i="28"/>
  <c r="C110" i="28"/>
  <c r="AN23" i="28" s="1"/>
  <c r="BF16" i="28"/>
  <c r="BF22" i="28" s="1"/>
  <c r="BF24" i="28" s="1"/>
  <c r="AH104" i="28"/>
  <c r="AY16" i="28"/>
  <c r="AY22" i="28" s="1"/>
  <c r="BG16" i="28"/>
  <c r="BG22" i="28" s="1"/>
  <c r="AI104" i="28"/>
  <c r="AI105" i="28"/>
  <c r="AH106" i="28"/>
  <c r="AZ16" i="28"/>
  <c r="AZ22" i="28" s="1"/>
  <c r="AZ24" i="28" s="1"/>
  <c r="BJ23" i="28"/>
  <c r="D110" i="28"/>
  <c r="AO23" i="28" s="1"/>
  <c r="L110" i="28"/>
  <c r="BB23" i="28"/>
  <c r="AB110" i="28"/>
  <c r="BG23" i="28" s="1"/>
  <c r="D255" i="28"/>
  <c r="D121" i="28"/>
  <c r="E249" i="28"/>
  <c r="AH95" i="28"/>
  <c r="AG102" i="28"/>
  <c r="AH61" i="28"/>
  <c r="AH109" i="28"/>
  <c r="B110" i="28"/>
  <c r="B111" i="28" s="1"/>
  <c r="AH105" i="28"/>
  <c r="AH107" i="28"/>
  <c r="BJ24" i="28" l="1"/>
  <c r="AD103" i="28"/>
  <c r="AD7" i="28" s="1"/>
  <c r="BC24" i="28"/>
  <c r="S103" i="28"/>
  <c r="S7" i="28" s="1"/>
  <c r="O111" i="28"/>
  <c r="AB111" i="28"/>
  <c r="AX24" i="28"/>
  <c r="K111" i="28"/>
  <c r="AM22" i="28"/>
  <c r="Y7" i="28"/>
  <c r="AC103" i="28"/>
  <c r="AC7" i="28" s="1"/>
  <c r="N111" i="28"/>
  <c r="AV23" i="28"/>
  <c r="K103" i="28"/>
  <c r="K7" i="28" s="1"/>
  <c r="N103" i="28"/>
  <c r="N7" i="28" s="1"/>
  <c r="S111" i="28"/>
  <c r="L103" i="28"/>
  <c r="L7" i="28" s="1"/>
  <c r="AY24" i="28"/>
  <c r="Q103" i="28"/>
  <c r="Q7" i="28" s="1"/>
  <c r="U7" i="28"/>
  <c r="BA24" i="28"/>
  <c r="BG24" i="28"/>
  <c r="E103" i="28"/>
  <c r="E7" i="28" s="1"/>
  <c r="AD111" i="28"/>
  <c r="BH23" i="28"/>
  <c r="BH24" i="28" s="1"/>
  <c r="AA7" i="28"/>
  <c r="I103" i="28"/>
  <c r="I7" i="28" s="1"/>
  <c r="BD23" i="28"/>
  <c r="BD24" i="28" s="1"/>
  <c r="AV24" i="28"/>
  <c r="M111" i="28"/>
  <c r="AT24" i="28"/>
  <c r="G111" i="28"/>
  <c r="F111" i="28"/>
  <c r="AQ23" i="28"/>
  <c r="F103" i="28"/>
  <c r="F7" i="28" s="1"/>
  <c r="AQ24" i="28"/>
  <c r="E111" i="28"/>
  <c r="AO24" i="28"/>
  <c r="D111" i="28"/>
  <c r="AT8" i="28"/>
  <c r="AN24" i="28"/>
  <c r="AH100" i="28"/>
  <c r="AI100" i="28"/>
  <c r="B103" i="28"/>
  <c r="B7" i="28" s="1"/>
  <c r="AI102" i="28"/>
  <c r="BJ101" i="28"/>
  <c r="BK88" i="28"/>
  <c r="BJ83" i="28"/>
  <c r="BL104" i="28"/>
  <c r="BH92" i="28"/>
  <c r="BL89" i="28"/>
  <c r="BK84" i="28"/>
  <c r="BH82" i="28"/>
  <c r="BJ103" i="28"/>
  <c r="BK91" i="28"/>
  <c r="BI102" i="28"/>
  <c r="BH89" i="28"/>
  <c r="BL99" i="28"/>
  <c r="BK86" i="28"/>
  <c r="BI97" i="28"/>
  <c r="BI84" i="28"/>
  <c r="BG95" i="28"/>
  <c r="BK105" i="28"/>
  <c r="BL82" i="28"/>
  <c r="BH104" i="28"/>
  <c r="BI91" i="28"/>
  <c r="BH86" i="28"/>
  <c r="BL85" i="28"/>
  <c r="BL94" i="28"/>
  <c r="BJ92" i="28"/>
  <c r="BI87" i="28"/>
  <c r="BL84" i="28"/>
  <c r="BI82" i="28"/>
  <c r="BG93" i="28"/>
  <c r="BK103" i="28"/>
  <c r="BJ90" i="28"/>
  <c r="BH101" i="28"/>
  <c r="BG88" i="28"/>
  <c r="BK98" i="28"/>
  <c r="BK85" i="28"/>
  <c r="BI96" i="28"/>
  <c r="BG94" i="28"/>
  <c r="BH91" i="28"/>
  <c r="BH95" i="28"/>
  <c r="BJ87" i="28"/>
  <c r="BI94" i="28"/>
  <c r="BJ102" i="28"/>
  <c r="BH88" i="28"/>
  <c r="BJ88" i="28"/>
  <c r="BK96" i="28"/>
  <c r="BJ91" i="28"/>
  <c r="BJ96" i="28"/>
  <c r="BH100" i="28"/>
  <c r="BL97" i="28"/>
  <c r="BK92" i="28"/>
  <c r="BH90" i="28"/>
  <c r="BG85" i="28"/>
  <c r="BK95" i="28"/>
  <c r="BJ82" i="28"/>
  <c r="BH93" i="28"/>
  <c r="BL103" i="28"/>
  <c r="BK90" i="28"/>
  <c r="BI101" i="28"/>
  <c r="BI88" i="28"/>
  <c r="BG99" i="28"/>
  <c r="BK97" i="28"/>
  <c r="BL90" i="28"/>
  <c r="BL93" i="28"/>
  <c r="BI99" i="28"/>
  <c r="BH94" i="28"/>
  <c r="BL101" i="28"/>
  <c r="BL102" i="28"/>
  <c r="BJ100" i="28"/>
  <c r="BI95" i="28"/>
  <c r="BL92" i="28"/>
  <c r="BI86" i="28"/>
  <c r="BG97" i="28"/>
  <c r="BL83" i="28"/>
  <c r="BJ94" i="28"/>
  <c r="BH105" i="28"/>
  <c r="BG92" i="28"/>
  <c r="BK102" i="28"/>
  <c r="BK89" i="28"/>
  <c r="BI100" i="28"/>
  <c r="BG100" i="28"/>
  <c r="BJ93" i="28"/>
  <c r="BJ104" i="28"/>
  <c r="BG102" i="28"/>
  <c r="BL96" i="28"/>
  <c r="BH84" i="28"/>
  <c r="BJ105" i="28"/>
  <c r="BH103" i="28"/>
  <c r="BG98" i="28"/>
  <c r="BJ95" i="28"/>
  <c r="BK87" i="28"/>
  <c r="BI98" i="28"/>
  <c r="BH85" i="28"/>
  <c r="BL95" i="28"/>
  <c r="BK82" i="28"/>
  <c r="BI93" i="28"/>
  <c r="BG104" i="28"/>
  <c r="BG91" i="28"/>
  <c r="BK101" i="28"/>
  <c r="BJ85" i="28"/>
  <c r="BJ97" i="28"/>
  <c r="BI89" i="28"/>
  <c r="BH96" i="28"/>
  <c r="BI83" i="28"/>
  <c r="BK104" i="28"/>
  <c r="BJ99" i="28"/>
  <c r="BL86" i="28"/>
  <c r="BJ84" i="28"/>
  <c r="BL105" i="28"/>
  <c r="BK100" i="28"/>
  <c r="BH98" i="28"/>
  <c r="BG89" i="28"/>
  <c r="BK99" i="28"/>
  <c r="BJ86" i="28"/>
  <c r="BH97" i="28"/>
  <c r="BG84" i="28"/>
  <c r="BK94" i="28"/>
  <c r="BI105" i="28"/>
  <c r="BI92" i="28"/>
  <c r="BG103" i="28"/>
  <c r="BH83" i="28"/>
  <c r="BL88" i="28"/>
  <c r="BG90" i="28"/>
  <c r="BK83" i="28"/>
  <c r="BG105" i="28"/>
  <c r="BL91" i="28"/>
  <c r="BG87" i="28"/>
  <c r="BL98" i="28"/>
  <c r="BG86" i="28"/>
  <c r="BH99" i="28"/>
  <c r="BH102" i="28"/>
  <c r="BJ89" i="28"/>
  <c r="BH87" i="28"/>
  <c r="BG82" i="28"/>
  <c r="BI103" i="28"/>
  <c r="BL100" i="28"/>
  <c r="BI90" i="28"/>
  <c r="BG101" i="28"/>
  <c r="BL87" i="28"/>
  <c r="BJ98" i="28"/>
  <c r="BI85" i="28"/>
  <c r="BG96" i="28"/>
  <c r="BG83" i="28"/>
  <c r="BK93" i="28"/>
  <c r="F249" i="28"/>
  <c r="E121" i="28"/>
  <c r="E255" i="28"/>
  <c r="BB24" i="28"/>
  <c r="C111" i="28"/>
  <c r="B259" i="28"/>
  <c r="T7" i="28"/>
  <c r="BE24" i="28"/>
  <c r="C259" i="28"/>
  <c r="D103" i="28"/>
  <c r="D7" i="28" s="1"/>
  <c r="AM23" i="28"/>
  <c r="AI110" i="28"/>
  <c r="AH110" i="28"/>
  <c r="C103" i="28"/>
  <c r="C7" i="28" s="1"/>
  <c r="AH102" i="28"/>
  <c r="AM24" i="28" l="1"/>
  <c r="AT9" i="28" s="1"/>
  <c r="AH111" i="28"/>
  <c r="A7" i="28"/>
  <c r="AI103" i="28"/>
  <c r="AI111" i="28"/>
  <c r="AH103" i="28"/>
  <c r="K6" i="28"/>
  <c r="G249" i="28"/>
  <c r="F121" i="28"/>
  <c r="F255" i="28"/>
  <c r="H249" i="28" l="1"/>
  <c r="G121" i="28"/>
  <c r="G255" i="28"/>
  <c r="I249" i="28" l="1"/>
  <c r="H255" i="28"/>
  <c r="H121" i="28"/>
  <c r="I255" i="28" l="1"/>
  <c r="I121" i="28"/>
  <c r="J249" i="28"/>
  <c r="J255" i="28" l="1"/>
  <c r="J121" i="28"/>
  <c r="K249" i="28"/>
  <c r="K255" i="28" l="1"/>
  <c r="K121" i="28"/>
  <c r="L249" i="28"/>
  <c r="L255" i="28" l="1"/>
  <c r="L121" i="28"/>
  <c r="M249" i="28"/>
  <c r="N249" i="28" l="1"/>
  <c r="M121" i="28"/>
  <c r="M255" i="28"/>
  <c r="O249" i="28" l="1"/>
  <c r="N255" i="28"/>
  <c r="N121" i="28"/>
  <c r="P249" i="28" l="1"/>
  <c r="O121" i="28"/>
  <c r="O255" i="28"/>
  <c r="Q249" i="28" l="1"/>
  <c r="P255" i="28"/>
  <c r="Q255" i="28" l="1"/>
  <c r="Q121" i="28"/>
  <c r="R249" i="28"/>
  <c r="R255" i="28" l="1"/>
  <c r="R121" i="28"/>
  <c r="S249" i="28"/>
  <c r="S255" i="28" l="1"/>
  <c r="S121" i="28"/>
  <c r="T249" i="28"/>
  <c r="T255" i="28" l="1"/>
  <c r="U249" i="28"/>
  <c r="V249" i="28" l="1"/>
  <c r="U255" i="28"/>
  <c r="W249" i="28" l="1"/>
  <c r="V255" i="28"/>
  <c r="X249" i="28" l="1"/>
  <c r="W255" i="28"/>
  <c r="Y249" i="28" l="1"/>
  <c r="X255" i="28"/>
  <c r="X121" i="28"/>
  <c r="Y255" i="28" l="1"/>
  <c r="Z249" i="28"/>
  <c r="Z255" i="28" l="1"/>
  <c r="AA249" i="28"/>
  <c r="AA255" i="28" l="1"/>
  <c r="AB249" i="28"/>
  <c r="AB255" i="28" l="1"/>
  <c r="AB121" i="28"/>
  <c r="AC249" i="28"/>
  <c r="AC121" i="28" l="1"/>
  <c r="AD249" i="28"/>
  <c r="AC255" i="28"/>
  <c r="AE249" i="28" l="1"/>
  <c r="AD255" i="28"/>
  <c r="AD121" i="28"/>
  <c r="AF249" i="28" l="1"/>
  <c r="AE255" i="28"/>
  <c r="AE121" i="28"/>
  <c r="AF255" i="28" l="1"/>
  <c r="AF121" i="28"/>
  <c r="B249" i="28"/>
  <c r="B255" i="28" l="1"/>
  <c r="B121" i="28"/>
  <c r="AI121" i="28" l="1"/>
  <c r="AH121" i="28"/>
  <c r="E60" i="27" l="1"/>
  <c r="D60" i="27"/>
  <c r="D124" i="27"/>
  <c r="D61" i="27"/>
  <c r="D65" i="27"/>
  <c r="C124" i="27" l="1"/>
  <c r="AI124" i="27" s="1"/>
  <c r="C60" i="27"/>
  <c r="C61" i="27"/>
  <c r="C65" i="27"/>
  <c r="C79" i="27"/>
  <c r="C83" i="27"/>
  <c r="AN20" i="27" s="1"/>
  <c r="B124" i="27"/>
  <c r="B60" i="27"/>
  <c r="B109" i="27"/>
  <c r="B108" i="27"/>
  <c r="B107" i="27"/>
  <c r="B106" i="27"/>
  <c r="B105" i="27"/>
  <c r="B104" i="27"/>
  <c r="B95" i="27"/>
  <c r="B83" i="27"/>
  <c r="B79" i="27"/>
  <c r="B65" i="27"/>
  <c r="B61" i="27"/>
  <c r="AG255" i="27"/>
  <c r="C255" i="27"/>
  <c r="D254" i="27"/>
  <c r="E254" i="27" s="1"/>
  <c r="F254" i="27" s="1"/>
  <c r="G254" i="27" s="1"/>
  <c r="H254" i="27" s="1"/>
  <c r="I254" i="27" s="1"/>
  <c r="J254" i="27" s="1"/>
  <c r="K254" i="27" s="1"/>
  <c r="L254" i="27" s="1"/>
  <c r="M254" i="27" s="1"/>
  <c r="N254" i="27" s="1"/>
  <c r="O254" i="27" s="1"/>
  <c r="P254" i="27" s="1"/>
  <c r="Q254" i="27" s="1"/>
  <c r="R254" i="27" s="1"/>
  <c r="S254" i="27" s="1"/>
  <c r="T254" i="27" s="1"/>
  <c r="U254" i="27" s="1"/>
  <c r="V254" i="27" s="1"/>
  <c r="W254" i="27" s="1"/>
  <c r="X254" i="27" s="1"/>
  <c r="Y254" i="27" s="1"/>
  <c r="Z254" i="27" s="1"/>
  <c r="AA254" i="27" s="1"/>
  <c r="AB254" i="27" s="1"/>
  <c r="AC254" i="27" s="1"/>
  <c r="AD254" i="27" s="1"/>
  <c r="AE254" i="27" s="1"/>
  <c r="AF254" i="27" s="1"/>
  <c r="B254" i="27" s="1"/>
  <c r="D253" i="27"/>
  <c r="E253" i="27" s="1"/>
  <c r="F253" i="27" s="1"/>
  <c r="G253" i="27" s="1"/>
  <c r="H253" i="27" s="1"/>
  <c r="I253" i="27" s="1"/>
  <c r="J253" i="27" s="1"/>
  <c r="K253" i="27" s="1"/>
  <c r="L253" i="27" s="1"/>
  <c r="M253" i="27" s="1"/>
  <c r="N253" i="27" s="1"/>
  <c r="O253" i="27" s="1"/>
  <c r="P253" i="27" s="1"/>
  <c r="Q253" i="27" s="1"/>
  <c r="R253" i="27" s="1"/>
  <c r="S253" i="27" s="1"/>
  <c r="T253" i="27" s="1"/>
  <c r="U253" i="27" s="1"/>
  <c r="V253" i="27" s="1"/>
  <c r="W253" i="27" s="1"/>
  <c r="X253" i="27" s="1"/>
  <c r="Y253" i="27" s="1"/>
  <c r="Z253" i="27" s="1"/>
  <c r="AA253" i="27" s="1"/>
  <c r="AB253" i="27" s="1"/>
  <c r="AC253" i="27" s="1"/>
  <c r="AD253" i="27" s="1"/>
  <c r="AE253" i="27" s="1"/>
  <c r="AF253" i="27" s="1"/>
  <c r="B253" i="27" s="1"/>
  <c r="D252" i="27"/>
  <c r="E252" i="27" s="1"/>
  <c r="F252" i="27" s="1"/>
  <c r="G252" i="27" s="1"/>
  <c r="H252" i="27" s="1"/>
  <c r="I252" i="27" s="1"/>
  <c r="J252" i="27" s="1"/>
  <c r="K252" i="27" s="1"/>
  <c r="L252" i="27" s="1"/>
  <c r="M252" i="27" s="1"/>
  <c r="N252" i="27" s="1"/>
  <c r="O252" i="27" s="1"/>
  <c r="P252" i="27" s="1"/>
  <c r="Q252" i="27" s="1"/>
  <c r="R252" i="27" s="1"/>
  <c r="S252" i="27" s="1"/>
  <c r="T252" i="27" s="1"/>
  <c r="U252" i="27" s="1"/>
  <c r="V252" i="27" s="1"/>
  <c r="W252" i="27" s="1"/>
  <c r="X252" i="27" s="1"/>
  <c r="Y252" i="27" s="1"/>
  <c r="Z252" i="27" s="1"/>
  <c r="AA252" i="27" s="1"/>
  <c r="AB252" i="27" s="1"/>
  <c r="AC252" i="27" s="1"/>
  <c r="AD252" i="27" s="1"/>
  <c r="AE252" i="27" s="1"/>
  <c r="AF252" i="27" s="1"/>
  <c r="B252" i="27" s="1"/>
  <c r="D251" i="27"/>
  <c r="E251" i="27" s="1"/>
  <c r="F251" i="27" s="1"/>
  <c r="G251" i="27" s="1"/>
  <c r="H251" i="27" s="1"/>
  <c r="I251" i="27" s="1"/>
  <c r="J251" i="27" s="1"/>
  <c r="K251" i="27" s="1"/>
  <c r="L251" i="27" s="1"/>
  <c r="M251" i="27" s="1"/>
  <c r="N251" i="27" s="1"/>
  <c r="O251" i="27" s="1"/>
  <c r="P251" i="27" s="1"/>
  <c r="Q251" i="27" s="1"/>
  <c r="R251" i="27" s="1"/>
  <c r="S251" i="27" s="1"/>
  <c r="T251" i="27" s="1"/>
  <c r="U251" i="27" s="1"/>
  <c r="V251" i="27" s="1"/>
  <c r="W251" i="27" s="1"/>
  <c r="X251" i="27" s="1"/>
  <c r="Y251" i="27" s="1"/>
  <c r="Z251" i="27" s="1"/>
  <c r="AA251" i="27" s="1"/>
  <c r="AB251" i="27" s="1"/>
  <c r="AC251" i="27" s="1"/>
  <c r="AD251" i="27" s="1"/>
  <c r="AE251" i="27" s="1"/>
  <c r="AF251" i="27" s="1"/>
  <c r="B251" i="27" s="1"/>
  <c r="D250" i="27"/>
  <c r="E250" i="27" s="1"/>
  <c r="F250" i="27" s="1"/>
  <c r="G250" i="27" s="1"/>
  <c r="H250" i="27" s="1"/>
  <c r="I250" i="27" s="1"/>
  <c r="J250" i="27" s="1"/>
  <c r="K250" i="27" s="1"/>
  <c r="L250" i="27" s="1"/>
  <c r="M250" i="27" s="1"/>
  <c r="N250" i="27" s="1"/>
  <c r="O250" i="27" s="1"/>
  <c r="P250" i="27" s="1"/>
  <c r="Q250" i="27" s="1"/>
  <c r="R250" i="27" s="1"/>
  <c r="S250" i="27" s="1"/>
  <c r="T250" i="27" s="1"/>
  <c r="U250" i="27" s="1"/>
  <c r="V250" i="27" s="1"/>
  <c r="W250" i="27" s="1"/>
  <c r="X250" i="27" s="1"/>
  <c r="Y250" i="27" s="1"/>
  <c r="Z250" i="27" s="1"/>
  <c r="AA250" i="27" s="1"/>
  <c r="AB250" i="27" s="1"/>
  <c r="AC250" i="27" s="1"/>
  <c r="AD250" i="27" s="1"/>
  <c r="AE250" i="27" s="1"/>
  <c r="AF250" i="27" s="1"/>
  <c r="B250" i="27" s="1"/>
  <c r="D249" i="27"/>
  <c r="AG247" i="27"/>
  <c r="AF247" i="27"/>
  <c r="AE247" i="27"/>
  <c r="AD247" i="27"/>
  <c r="AC247" i="27"/>
  <c r="AB247" i="27"/>
  <c r="AA247" i="27"/>
  <c r="Z247" i="27"/>
  <c r="Z121" i="27" s="1"/>
  <c r="Y247" i="27"/>
  <c r="Y121" i="27" s="1"/>
  <c r="X247" i="27"/>
  <c r="W247" i="27"/>
  <c r="V247" i="27"/>
  <c r="U247" i="27"/>
  <c r="T247" i="27"/>
  <c r="S247" i="27"/>
  <c r="R247" i="27"/>
  <c r="Q247" i="27"/>
  <c r="P247" i="27"/>
  <c r="O247" i="27"/>
  <c r="N247" i="27"/>
  <c r="M247" i="27"/>
  <c r="L247" i="27"/>
  <c r="K247" i="27"/>
  <c r="J247" i="27"/>
  <c r="I247" i="27"/>
  <c r="H247" i="27"/>
  <c r="G247" i="27"/>
  <c r="F247" i="27"/>
  <c r="E247" i="27"/>
  <c r="D247" i="27"/>
  <c r="C247" i="27"/>
  <c r="B247" i="27"/>
  <c r="AI133" i="27"/>
  <c r="AH133" i="27"/>
  <c r="AI132" i="27"/>
  <c r="AH132" i="27"/>
  <c r="AI131" i="27"/>
  <c r="AH131" i="27"/>
  <c r="AI130" i="27"/>
  <c r="AH130" i="27"/>
  <c r="AI129" i="27"/>
  <c r="AH129" i="27"/>
  <c r="AI126" i="27"/>
  <c r="AH126" i="27"/>
  <c r="AI125" i="27"/>
  <c r="AH125" i="27"/>
  <c r="AH124" i="27"/>
  <c r="AI123" i="27"/>
  <c r="AH123" i="27"/>
  <c r="AI122" i="27"/>
  <c r="AH122" i="27"/>
  <c r="C121" i="27"/>
  <c r="AI120" i="27"/>
  <c r="AH120" i="27"/>
  <c r="AI119" i="27"/>
  <c r="AH119" i="27"/>
  <c r="AI118" i="27"/>
  <c r="AH118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Z110" i="27"/>
  <c r="BF23" i="27" s="1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S110" i="27" s="1"/>
  <c r="BA23" i="27" s="1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AI101" i="27"/>
  <c r="AH101" i="27"/>
  <c r="AI99" i="27"/>
  <c r="AH99" i="27"/>
  <c r="AG99" i="27"/>
  <c r="AI98" i="27"/>
  <c r="AH98" i="27"/>
  <c r="AI97" i="27"/>
  <c r="AH97" i="27"/>
  <c r="AI96" i="27"/>
  <c r="AH96" i="27"/>
  <c r="AG95" i="27"/>
  <c r="AF95" i="27"/>
  <c r="AE5" i="27" s="1"/>
  <c r="AE95" i="27"/>
  <c r="AD5" i="27" s="1"/>
  <c r="AD95" i="27"/>
  <c r="AC5" i="27" s="1"/>
  <c r="AC95" i="27"/>
  <c r="AB95" i="27"/>
  <c r="AA5" i="27" s="1"/>
  <c r="AA95" i="27"/>
  <c r="Z5" i="27" s="1"/>
  <c r="Z95" i="27"/>
  <c r="Y95" i="27"/>
  <c r="X5" i="27" s="1"/>
  <c r="X95" i="27"/>
  <c r="BE19" i="27" s="1"/>
  <c r="W95" i="27"/>
  <c r="V5" i="27" s="1"/>
  <c r="V95" i="27"/>
  <c r="BD19" i="27" s="1"/>
  <c r="U95" i="27"/>
  <c r="T5" i="27" s="1"/>
  <c r="T95" i="27"/>
  <c r="S95" i="27"/>
  <c r="R5" i="27" s="1"/>
  <c r="R95" i="27"/>
  <c r="AZ19" i="27" s="1"/>
  <c r="Q95" i="27"/>
  <c r="AY19" i="27" s="1"/>
  <c r="P95" i="27"/>
  <c r="AX19" i="27" s="1"/>
  <c r="O95" i="27"/>
  <c r="AW19" i="27" s="1"/>
  <c r="N95" i="27"/>
  <c r="M5" i="27" s="1"/>
  <c r="M95" i="27"/>
  <c r="L5" i="27" s="1"/>
  <c r="L95" i="27"/>
  <c r="K95" i="27"/>
  <c r="J5" i="27" s="1"/>
  <c r="J95" i="27"/>
  <c r="I5" i="27" s="1"/>
  <c r="I95" i="27"/>
  <c r="AS19" i="27" s="1"/>
  <c r="H95" i="27"/>
  <c r="G95" i="27"/>
  <c r="F5" i="27" s="1"/>
  <c r="F95" i="27"/>
  <c r="AQ19" i="27" s="1"/>
  <c r="E95" i="27"/>
  <c r="D5" i="27" s="1"/>
  <c r="D95" i="27"/>
  <c r="C5" i="27" s="1"/>
  <c r="C95" i="27"/>
  <c r="AN19" i="27" s="1"/>
  <c r="AI94" i="27"/>
  <c r="AH94" i="27"/>
  <c r="AI93" i="27"/>
  <c r="AH93" i="27"/>
  <c r="AI92" i="27"/>
  <c r="AH92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3" i="27"/>
  <c r="AF83" i="27"/>
  <c r="AE83" i="27"/>
  <c r="BI20" i="27" s="1"/>
  <c r="AD83" i="27"/>
  <c r="BH20" i="27" s="1"/>
  <c r="AC83" i="27"/>
  <c r="AB83" i="27"/>
  <c r="BG20" i="27" s="1"/>
  <c r="AA83" i="27"/>
  <c r="Z83" i="27"/>
  <c r="Y83" i="27"/>
  <c r="X83" i="27"/>
  <c r="BE20" i="27" s="1"/>
  <c r="W83" i="27"/>
  <c r="V83" i="27"/>
  <c r="BD20" i="27" s="1"/>
  <c r="U83" i="27"/>
  <c r="BC20" i="27" s="1"/>
  <c r="T83" i="27"/>
  <c r="BB20" i="27" s="1"/>
  <c r="S83" i="27"/>
  <c r="R83" i="27"/>
  <c r="Q83" i="27"/>
  <c r="P83" i="27"/>
  <c r="O83" i="27"/>
  <c r="N83" i="27"/>
  <c r="M83" i="27"/>
  <c r="AU20" i="27" s="1"/>
  <c r="L83" i="27"/>
  <c r="K83" i="27"/>
  <c r="AT20" i="27" s="1"/>
  <c r="J83" i="27"/>
  <c r="I83" i="27"/>
  <c r="H83" i="27"/>
  <c r="G83" i="27"/>
  <c r="F83" i="27"/>
  <c r="AQ20" i="27" s="1"/>
  <c r="E83" i="27"/>
  <c r="D83" i="27"/>
  <c r="AO20" i="27" s="1"/>
  <c r="AI82" i="27"/>
  <c r="AH82" i="27"/>
  <c r="AI81" i="27"/>
  <c r="AH81" i="27"/>
  <c r="AI80" i="27"/>
  <c r="AH80" i="27"/>
  <c r="AF79" i="27"/>
  <c r="BJ18" i="27" s="1"/>
  <c r="AE79" i="27"/>
  <c r="AD79" i="27"/>
  <c r="AC79" i="27"/>
  <c r="AB79" i="27"/>
  <c r="BG18" i="27" s="1"/>
  <c r="AA79" i="27"/>
  <c r="Z79" i="27"/>
  <c r="BF18" i="27" s="1"/>
  <c r="Y79" i="27"/>
  <c r="X79" i="27"/>
  <c r="BE18" i="27" s="1"/>
  <c r="W79" i="27"/>
  <c r="V79" i="27"/>
  <c r="U79" i="27"/>
  <c r="T79" i="27"/>
  <c r="BB18" i="27" s="1"/>
  <c r="S79" i="27"/>
  <c r="BA18" i="27" s="1"/>
  <c r="R79" i="27"/>
  <c r="Q79" i="27"/>
  <c r="P79" i="27"/>
  <c r="O79" i="27"/>
  <c r="AW18" i="27" s="1"/>
  <c r="N79" i="27"/>
  <c r="M79" i="27"/>
  <c r="L79" i="27"/>
  <c r="K79" i="27"/>
  <c r="AT18" i="27" s="1"/>
  <c r="J79" i="27"/>
  <c r="I79" i="27"/>
  <c r="H79" i="27"/>
  <c r="G79" i="27"/>
  <c r="F79" i="27"/>
  <c r="E79" i="27"/>
  <c r="D79" i="27"/>
  <c r="AO18" i="27" s="1"/>
  <c r="BT78" i="27"/>
  <c r="BL78" i="27"/>
  <c r="BH78" i="27"/>
  <c r="BA78" i="27"/>
  <c r="AI78" i="27"/>
  <c r="AH78" i="27"/>
  <c r="AG78" i="27"/>
  <c r="AG79" i="27" s="1"/>
  <c r="AG3" i="27" s="1"/>
  <c r="BS77" i="27"/>
  <c r="AI77" i="27"/>
  <c r="AH77" i="27"/>
  <c r="BI76" i="27"/>
  <c r="AI76" i="27"/>
  <c r="AH76" i="27"/>
  <c r="AI75" i="27"/>
  <c r="AH75" i="27"/>
  <c r="AI74" i="27"/>
  <c r="AH74" i="27"/>
  <c r="AI73" i="27"/>
  <c r="AH73" i="27"/>
  <c r="AI72" i="27"/>
  <c r="AH72" i="27"/>
  <c r="BW71" i="27"/>
  <c r="BW78" i="27" s="1"/>
  <c r="BV71" i="27"/>
  <c r="BV78" i="27" s="1"/>
  <c r="BU71" i="27"/>
  <c r="BU78" i="27" s="1"/>
  <c r="BT71" i="27"/>
  <c r="BS71" i="27"/>
  <c r="BS78" i="27" s="1"/>
  <c r="BR71" i="27"/>
  <c r="BR78" i="27" s="1"/>
  <c r="BQ71" i="27"/>
  <c r="BQ78" i="27" s="1"/>
  <c r="BP71" i="27"/>
  <c r="BP78" i="27" s="1"/>
  <c r="BO71" i="27"/>
  <c r="BO78" i="27" s="1"/>
  <c r="BN71" i="27"/>
  <c r="BN78" i="27" s="1"/>
  <c r="BM71" i="27"/>
  <c r="BM78" i="27" s="1"/>
  <c r="BL71" i="27"/>
  <c r="BK71" i="27"/>
  <c r="BK78" i="27" s="1"/>
  <c r="BJ71" i="27"/>
  <c r="BJ78" i="27" s="1"/>
  <c r="BI71" i="27"/>
  <c r="BI78" i="27" s="1"/>
  <c r="BH71" i="27"/>
  <c r="BG71" i="27"/>
  <c r="BG78" i="27" s="1"/>
  <c r="BF71" i="27"/>
  <c r="BF78" i="27" s="1"/>
  <c r="BE71" i="27"/>
  <c r="BE78" i="27" s="1"/>
  <c r="BD71" i="27"/>
  <c r="BD78" i="27" s="1"/>
  <c r="BC71" i="27"/>
  <c r="BC78" i="27" s="1"/>
  <c r="BB71" i="27"/>
  <c r="BB78" i="27" s="1"/>
  <c r="BA71" i="27"/>
  <c r="AZ71" i="27"/>
  <c r="AZ78" i="27" s="1"/>
  <c r="AI71" i="27"/>
  <c r="AH71" i="27"/>
  <c r="BW70" i="27"/>
  <c r="BW77" i="27" s="1"/>
  <c r="BV70" i="27"/>
  <c r="BV77" i="27" s="1"/>
  <c r="BU70" i="27"/>
  <c r="BU77" i="27" s="1"/>
  <c r="BT70" i="27"/>
  <c r="BT77" i="27" s="1"/>
  <c r="BS70" i="27"/>
  <c r="BR70" i="27"/>
  <c r="BR77" i="27" s="1"/>
  <c r="BQ70" i="27"/>
  <c r="BQ77" i="27" s="1"/>
  <c r="BP70" i="27"/>
  <c r="BP77" i="27" s="1"/>
  <c r="BO70" i="27"/>
  <c r="BO77" i="27" s="1"/>
  <c r="BN70" i="27"/>
  <c r="BN77" i="27" s="1"/>
  <c r="BM70" i="27"/>
  <c r="BM77" i="27" s="1"/>
  <c r="BL70" i="27"/>
  <c r="BL77" i="27" s="1"/>
  <c r="BK70" i="27"/>
  <c r="BK77" i="27" s="1"/>
  <c r="BJ70" i="27"/>
  <c r="BJ77" i="27" s="1"/>
  <c r="BI70" i="27"/>
  <c r="BI77" i="27" s="1"/>
  <c r="BH70" i="27"/>
  <c r="BH77" i="27" s="1"/>
  <c r="BG70" i="27"/>
  <c r="BG77" i="27" s="1"/>
  <c r="BF70" i="27"/>
  <c r="BF77" i="27" s="1"/>
  <c r="BE70" i="27"/>
  <c r="BE77" i="27" s="1"/>
  <c r="BD70" i="27"/>
  <c r="BD77" i="27" s="1"/>
  <c r="BC70" i="27"/>
  <c r="BC77" i="27" s="1"/>
  <c r="BB70" i="27"/>
  <c r="BB77" i="27" s="1"/>
  <c r="BA70" i="27"/>
  <c r="BA77" i="27" s="1"/>
  <c r="AZ70" i="27"/>
  <c r="AZ77" i="27" s="1"/>
  <c r="AI70" i="27"/>
  <c r="AH70" i="27"/>
  <c r="BW69" i="27"/>
  <c r="BW76" i="27" s="1"/>
  <c r="BV69" i="27"/>
  <c r="BV76" i="27" s="1"/>
  <c r="BU69" i="27"/>
  <c r="BU76" i="27" s="1"/>
  <c r="BT69" i="27"/>
  <c r="BT76" i="27" s="1"/>
  <c r="BS69" i="27"/>
  <c r="BS76" i="27" s="1"/>
  <c r="BR69" i="27"/>
  <c r="BR76" i="27" s="1"/>
  <c r="BQ69" i="27"/>
  <c r="BQ76" i="27" s="1"/>
  <c r="BP69" i="27"/>
  <c r="BP76" i="27" s="1"/>
  <c r="BO69" i="27"/>
  <c r="BO76" i="27" s="1"/>
  <c r="BN69" i="27"/>
  <c r="BN76" i="27" s="1"/>
  <c r="BM69" i="27"/>
  <c r="BM76" i="27" s="1"/>
  <c r="BL69" i="27"/>
  <c r="BL76" i="27" s="1"/>
  <c r="BK69" i="27"/>
  <c r="BK76" i="27" s="1"/>
  <c r="BJ69" i="27"/>
  <c r="BJ76" i="27" s="1"/>
  <c r="BI69" i="27"/>
  <c r="BH69" i="27"/>
  <c r="BH76" i="27" s="1"/>
  <c r="BG69" i="27"/>
  <c r="BG76" i="27" s="1"/>
  <c r="BF69" i="27"/>
  <c r="BF76" i="27" s="1"/>
  <c r="BE69" i="27"/>
  <c r="BE76" i="27" s="1"/>
  <c r="BD69" i="27"/>
  <c r="BD76" i="27" s="1"/>
  <c r="BC69" i="27"/>
  <c r="BC76" i="27" s="1"/>
  <c r="BB69" i="27"/>
  <c r="BB76" i="27" s="1"/>
  <c r="BA69" i="27"/>
  <c r="BA76" i="27" s="1"/>
  <c r="AZ69" i="27"/>
  <c r="AZ76" i="27" s="1"/>
  <c r="AI69" i="27"/>
  <c r="AH69" i="27"/>
  <c r="BW68" i="27"/>
  <c r="BW75" i="27" s="1"/>
  <c r="BV68" i="27"/>
  <c r="BV75" i="27" s="1"/>
  <c r="BU68" i="27"/>
  <c r="BU75" i="27" s="1"/>
  <c r="BT68" i="27"/>
  <c r="BT75" i="27" s="1"/>
  <c r="BS68" i="27"/>
  <c r="BS75" i="27" s="1"/>
  <c r="BR68" i="27"/>
  <c r="BR75" i="27" s="1"/>
  <c r="BQ68" i="27"/>
  <c r="BQ75" i="27" s="1"/>
  <c r="BP68" i="27"/>
  <c r="BP75" i="27" s="1"/>
  <c r="BO68" i="27"/>
  <c r="BO75" i="27" s="1"/>
  <c r="BN68" i="27"/>
  <c r="BN75" i="27" s="1"/>
  <c r="BM68" i="27"/>
  <c r="BM75" i="27" s="1"/>
  <c r="BL68" i="27"/>
  <c r="BL75" i="27" s="1"/>
  <c r="BK68" i="27"/>
  <c r="BK75" i="27" s="1"/>
  <c r="BJ68" i="27"/>
  <c r="BJ75" i="27" s="1"/>
  <c r="BI68" i="27"/>
  <c r="BI75" i="27" s="1"/>
  <c r="BH68" i="27"/>
  <c r="BH75" i="27" s="1"/>
  <c r="BG68" i="27"/>
  <c r="BG75" i="27" s="1"/>
  <c r="BF68" i="27"/>
  <c r="BF75" i="27" s="1"/>
  <c r="BE68" i="27"/>
  <c r="BE75" i="27" s="1"/>
  <c r="BD68" i="27"/>
  <c r="BD75" i="27" s="1"/>
  <c r="BC68" i="27"/>
  <c r="BC75" i="27" s="1"/>
  <c r="BB68" i="27"/>
  <c r="BB75" i="27" s="1"/>
  <c r="BA68" i="27"/>
  <c r="BA75" i="27" s="1"/>
  <c r="AZ68" i="27"/>
  <c r="AZ75" i="27" s="1"/>
  <c r="AI68" i="27"/>
  <c r="AH68" i="27"/>
  <c r="BW67" i="27"/>
  <c r="BW74" i="27" s="1"/>
  <c r="BV67" i="27"/>
  <c r="BV74" i="27" s="1"/>
  <c r="BU67" i="27"/>
  <c r="BU74" i="27" s="1"/>
  <c r="BT67" i="27"/>
  <c r="BT74" i="27" s="1"/>
  <c r="BS67" i="27"/>
  <c r="BS74" i="27" s="1"/>
  <c r="BR67" i="27"/>
  <c r="BR74" i="27" s="1"/>
  <c r="BQ67" i="27"/>
  <c r="BQ74" i="27" s="1"/>
  <c r="BP67" i="27"/>
  <c r="BP74" i="27" s="1"/>
  <c r="BO67" i="27"/>
  <c r="BO74" i="27" s="1"/>
  <c r="BN67" i="27"/>
  <c r="BN74" i="27" s="1"/>
  <c r="BM67" i="27"/>
  <c r="BM74" i="27" s="1"/>
  <c r="BL67" i="27"/>
  <c r="BL74" i="27" s="1"/>
  <c r="BK67" i="27"/>
  <c r="BK74" i="27" s="1"/>
  <c r="BJ67" i="27"/>
  <c r="BJ74" i="27" s="1"/>
  <c r="BI67" i="27"/>
  <c r="BI74" i="27" s="1"/>
  <c r="BH67" i="27"/>
  <c r="BH74" i="27" s="1"/>
  <c r="BG67" i="27"/>
  <c r="BG74" i="27" s="1"/>
  <c r="BF67" i="27"/>
  <c r="BF74" i="27" s="1"/>
  <c r="BE67" i="27"/>
  <c r="BE74" i="27" s="1"/>
  <c r="BD67" i="27"/>
  <c r="BD74" i="27" s="1"/>
  <c r="BC67" i="27"/>
  <c r="BC74" i="27" s="1"/>
  <c r="BB67" i="27"/>
  <c r="BB74" i="27" s="1"/>
  <c r="BA67" i="27"/>
  <c r="BA74" i="27" s="1"/>
  <c r="AZ67" i="27"/>
  <c r="AZ74" i="27" s="1"/>
  <c r="AI67" i="27"/>
  <c r="AH67" i="27"/>
  <c r="BW66" i="27"/>
  <c r="BW73" i="27" s="1"/>
  <c r="BV66" i="27"/>
  <c r="BV73" i="27" s="1"/>
  <c r="BU66" i="27"/>
  <c r="BU73" i="27" s="1"/>
  <c r="BT66" i="27"/>
  <c r="BT73" i="27" s="1"/>
  <c r="BS66" i="27"/>
  <c r="BS73" i="27" s="1"/>
  <c r="BR66" i="27"/>
  <c r="BR73" i="27" s="1"/>
  <c r="BQ66" i="27"/>
  <c r="BQ73" i="27" s="1"/>
  <c r="BP66" i="27"/>
  <c r="BP73" i="27" s="1"/>
  <c r="BO66" i="27"/>
  <c r="BO73" i="27" s="1"/>
  <c r="BN66" i="27"/>
  <c r="BN73" i="27" s="1"/>
  <c r="BM66" i="27"/>
  <c r="BM73" i="27" s="1"/>
  <c r="BL66" i="27"/>
  <c r="BL73" i="27" s="1"/>
  <c r="BK66" i="27"/>
  <c r="BK73" i="27" s="1"/>
  <c r="BJ66" i="27"/>
  <c r="BJ73" i="27" s="1"/>
  <c r="BI66" i="27"/>
  <c r="BI73" i="27" s="1"/>
  <c r="BH66" i="27"/>
  <c r="BH73" i="27" s="1"/>
  <c r="BG66" i="27"/>
  <c r="BG73" i="27" s="1"/>
  <c r="BF66" i="27"/>
  <c r="BF73" i="27" s="1"/>
  <c r="BE66" i="27"/>
  <c r="BE73" i="27" s="1"/>
  <c r="BD66" i="27"/>
  <c r="BD73" i="27" s="1"/>
  <c r="BC66" i="27"/>
  <c r="BC73" i="27" s="1"/>
  <c r="BB66" i="27"/>
  <c r="BB73" i="27" s="1"/>
  <c r="BA66" i="27"/>
  <c r="BA73" i="27" s="1"/>
  <c r="AZ66" i="27"/>
  <c r="AI66" i="27"/>
  <c r="AH66" i="27"/>
  <c r="AG65" i="27"/>
  <c r="AF65" i="27"/>
  <c r="BJ17" i="27" s="1"/>
  <c r="AE65" i="27"/>
  <c r="BI17" i="27" s="1"/>
  <c r="AD65" i="27"/>
  <c r="BH17" i="27" s="1"/>
  <c r="AC65" i="27"/>
  <c r="AB65" i="27"/>
  <c r="BG17" i="27" s="1"/>
  <c r="AA65" i="27"/>
  <c r="Z65" i="27"/>
  <c r="Y65" i="27"/>
  <c r="X65" i="27"/>
  <c r="BE17" i="27" s="1"/>
  <c r="W65" i="27"/>
  <c r="V65" i="27"/>
  <c r="BD17" i="27" s="1"/>
  <c r="U65" i="27"/>
  <c r="BC17" i="27" s="1"/>
  <c r="T65" i="27"/>
  <c r="S65" i="27"/>
  <c r="R65" i="27"/>
  <c r="AZ17" i="27" s="1"/>
  <c r="Q65" i="27"/>
  <c r="AY17" i="27" s="1"/>
  <c r="P65" i="27"/>
  <c r="O65" i="27"/>
  <c r="N65" i="27"/>
  <c r="AV17" i="27" s="1"/>
  <c r="M65" i="27"/>
  <c r="AU17" i="27" s="1"/>
  <c r="L65" i="27"/>
  <c r="K65" i="27"/>
  <c r="AT17" i="27" s="1"/>
  <c r="J65" i="27"/>
  <c r="I65" i="27"/>
  <c r="AS17" i="27" s="1"/>
  <c r="H65" i="27"/>
  <c r="G65" i="27"/>
  <c r="AR17" i="27" s="1"/>
  <c r="F65" i="27"/>
  <c r="AQ17" i="27" s="1"/>
  <c r="E65" i="27"/>
  <c r="AI64" i="27"/>
  <c r="AH64" i="27"/>
  <c r="AI63" i="27"/>
  <c r="AH63" i="27"/>
  <c r="AI62" i="27"/>
  <c r="AH62" i="27"/>
  <c r="AG61" i="27"/>
  <c r="AF61" i="27"/>
  <c r="AE61" i="27"/>
  <c r="BI16" i="27" s="1"/>
  <c r="AD61" i="27"/>
  <c r="AC61" i="27"/>
  <c r="AB61" i="27"/>
  <c r="BG16" i="27" s="1"/>
  <c r="AA61" i="27"/>
  <c r="Z61" i="27"/>
  <c r="Y61" i="27"/>
  <c r="X61" i="27"/>
  <c r="X100" i="27" s="1"/>
  <c r="X102" i="27" s="1"/>
  <c r="W61" i="27"/>
  <c r="V61" i="27"/>
  <c r="U61" i="27"/>
  <c r="T61" i="27"/>
  <c r="BB16" i="27" s="1"/>
  <c r="S61" i="27"/>
  <c r="BA16" i="27" s="1"/>
  <c r="R61" i="27"/>
  <c r="AZ16" i="27" s="1"/>
  <c r="Q61" i="27"/>
  <c r="AY16" i="27" s="1"/>
  <c r="P61" i="27"/>
  <c r="AX16" i="27" s="1"/>
  <c r="O61" i="27"/>
  <c r="AW16" i="27" s="1"/>
  <c r="N61" i="27"/>
  <c r="M61" i="27"/>
  <c r="L61" i="27"/>
  <c r="K61" i="27"/>
  <c r="AT16" i="27" s="1"/>
  <c r="J61" i="27"/>
  <c r="I61" i="27"/>
  <c r="H61" i="27"/>
  <c r="G61" i="27"/>
  <c r="AR16" i="27" s="1"/>
  <c r="F61" i="27"/>
  <c r="E61" i="27"/>
  <c r="AP16" i="27" s="1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I21" i="27"/>
  <c r="AH21" i="27"/>
  <c r="BJ20" i="27"/>
  <c r="BF20" i="27"/>
  <c r="BA20" i="27"/>
  <c r="AZ20" i="27"/>
  <c r="AY20" i="27"/>
  <c r="AX20" i="27"/>
  <c r="AW20" i="27"/>
  <c r="AV20" i="27"/>
  <c r="AS20" i="27"/>
  <c r="AR20" i="27"/>
  <c r="AP20" i="27"/>
  <c r="AM20" i="27"/>
  <c r="AI20" i="27"/>
  <c r="AH20" i="27"/>
  <c r="AR19" i="27"/>
  <c r="AI19" i="27"/>
  <c r="AH19" i="27"/>
  <c r="BI18" i="27"/>
  <c r="BH18" i="27"/>
  <c r="BD18" i="27"/>
  <c r="BC18" i="27"/>
  <c r="AZ18" i="27"/>
  <c r="AY18" i="27"/>
  <c r="AX18" i="27"/>
  <c r="AV18" i="27"/>
  <c r="AU18" i="27"/>
  <c r="AS18" i="27"/>
  <c r="AR18" i="27"/>
  <c r="AQ18" i="27"/>
  <c r="AP18" i="27"/>
  <c r="AN18" i="27"/>
  <c r="AM18" i="27"/>
  <c r="AI18" i="27"/>
  <c r="AH18" i="27"/>
  <c r="BF17" i="27"/>
  <c r="BB17" i="27"/>
  <c r="BA17" i="27"/>
  <c r="AX17" i="27"/>
  <c r="AW17" i="27"/>
  <c r="AO17" i="27"/>
  <c r="AN17" i="27"/>
  <c r="AM17" i="27"/>
  <c r="AI17" i="27"/>
  <c r="AH17" i="27"/>
  <c r="BJ16" i="27"/>
  <c r="BF16" i="27"/>
  <c r="AO16" i="27"/>
  <c r="AN16" i="27"/>
  <c r="AI16" i="27"/>
  <c r="AH16" i="27"/>
  <c r="AI15" i="27"/>
  <c r="AH15" i="27"/>
  <c r="AI14" i="27"/>
  <c r="AH14" i="27"/>
  <c r="AI13" i="27"/>
  <c r="AH13" i="27"/>
  <c r="AL12" i="27"/>
  <c r="AI12" i="27"/>
  <c r="AH12" i="27"/>
  <c r="AI11" i="27"/>
  <c r="AH11" i="27"/>
  <c r="AB5" i="27"/>
  <c r="W5" i="27"/>
  <c r="P5" i="27"/>
  <c r="G5" i="27"/>
  <c r="AG4" i="27"/>
  <c r="K4" i="27"/>
  <c r="E4" i="27"/>
  <c r="H4" i="27" s="1"/>
  <c r="B4" i="27"/>
  <c r="D261" i="27" s="1"/>
  <c r="AG2" i="27"/>
  <c r="AF124" i="26"/>
  <c r="AF60" i="26"/>
  <c r="AF61" i="26"/>
  <c r="AF65" i="26"/>
  <c r="AF79" i="26"/>
  <c r="AF83" i="26"/>
  <c r="AF110" i="27" l="1"/>
  <c r="BJ23" i="27" s="1"/>
  <c r="BJ19" i="27"/>
  <c r="AF100" i="27"/>
  <c r="AF102" i="27" s="1"/>
  <c r="AF103" i="27" s="1"/>
  <c r="AF7" i="27" s="1"/>
  <c r="BI19" i="27"/>
  <c r="BH19" i="27"/>
  <c r="BG19" i="27"/>
  <c r="AB110" i="27"/>
  <c r="BG23" i="27" s="1"/>
  <c r="AA110" i="27"/>
  <c r="Z111" i="27"/>
  <c r="Y5" i="27"/>
  <c r="BJ22" i="27"/>
  <c r="BJ24" i="27" s="1"/>
  <c r="AG100" i="27"/>
  <c r="AA111" i="27"/>
  <c r="Y100" i="27"/>
  <c r="Y102" i="27" s="1"/>
  <c r="Y103" i="27" s="1"/>
  <c r="Y7" i="27" s="1"/>
  <c r="BF19" i="27"/>
  <c r="BF22" i="27" s="1"/>
  <c r="BF24" i="27" s="1"/>
  <c r="Z100" i="27"/>
  <c r="Z102" i="27" s="1"/>
  <c r="Z103" i="27" s="1"/>
  <c r="Z7" i="27" s="1"/>
  <c r="AB111" i="27"/>
  <c r="Q110" i="27"/>
  <c r="Q111" i="27" s="1"/>
  <c r="Y110" i="27"/>
  <c r="Y111" i="27" s="1"/>
  <c r="J110" i="27"/>
  <c r="AC110" i="27"/>
  <c r="AC111" i="27" s="1"/>
  <c r="BG22" i="27"/>
  <c r="AC100" i="27"/>
  <c r="AC102" i="27" s="1"/>
  <c r="AG6" i="27"/>
  <c r="F100" i="27"/>
  <c r="F102" i="27" s="1"/>
  <c r="AD100" i="27"/>
  <c r="AD102" i="27" s="1"/>
  <c r="X110" i="27"/>
  <c r="BE23" i="27" s="1"/>
  <c r="BE16" i="27"/>
  <c r="BE22" i="27" s="1"/>
  <c r="W100" i="27"/>
  <c r="W102" i="27" s="1"/>
  <c r="U5" i="27"/>
  <c r="V100" i="27"/>
  <c r="V102" i="27" s="1"/>
  <c r="U110" i="27"/>
  <c r="BC23" i="27" s="1"/>
  <c r="U100" i="27"/>
  <c r="U102" i="27" s="1"/>
  <c r="T110" i="27"/>
  <c r="BB23" i="27" s="1"/>
  <c r="BB19" i="27"/>
  <c r="BB22" i="27" s="1"/>
  <c r="S5" i="27"/>
  <c r="S111" i="27"/>
  <c r="BA19" i="27"/>
  <c r="BA22" i="27" s="1"/>
  <c r="BA24" i="27" s="1"/>
  <c r="R110" i="27"/>
  <c r="R111" i="27" s="1"/>
  <c r="Q5" i="27"/>
  <c r="AZ22" i="27"/>
  <c r="R100" i="27"/>
  <c r="R102" i="27" s="1"/>
  <c r="P110" i="27"/>
  <c r="AX23" i="27" s="1"/>
  <c r="AY23" i="27"/>
  <c r="O5" i="27"/>
  <c r="AX22" i="27"/>
  <c r="AY22" i="27"/>
  <c r="P100" i="27"/>
  <c r="P102" i="27" s="1"/>
  <c r="Q100" i="27"/>
  <c r="Q102" i="27" s="1"/>
  <c r="Q103" i="27" s="1"/>
  <c r="Q7" i="27" s="1"/>
  <c r="N5" i="27"/>
  <c r="AW22" i="27"/>
  <c r="AV19" i="27"/>
  <c r="M110" i="27"/>
  <c r="AU23" i="27" s="1"/>
  <c r="M100" i="27"/>
  <c r="M102" i="27" s="1"/>
  <c r="N100" i="27"/>
  <c r="N102" i="27" s="1"/>
  <c r="L110" i="27"/>
  <c r="L111" i="27" s="1"/>
  <c r="K5" i="27"/>
  <c r="K110" i="27"/>
  <c r="AT23" i="27" s="1"/>
  <c r="K111" i="27"/>
  <c r="AT19" i="27"/>
  <c r="AT22" i="27" s="1"/>
  <c r="AT24" i="27" s="1"/>
  <c r="J111" i="27"/>
  <c r="J100" i="27"/>
  <c r="J102" i="27" s="1"/>
  <c r="J103" i="27" s="1"/>
  <c r="J7" i="27" s="1"/>
  <c r="AI109" i="27"/>
  <c r="I110" i="27"/>
  <c r="AS23" i="27" s="1"/>
  <c r="H5" i="27"/>
  <c r="I100" i="27"/>
  <c r="I102" i="27" s="1"/>
  <c r="H110" i="27"/>
  <c r="H111" i="27" s="1"/>
  <c r="H100" i="27"/>
  <c r="H102" i="27" s="1"/>
  <c r="AR22" i="27"/>
  <c r="G100" i="27"/>
  <c r="G102" i="27" s="1"/>
  <c r="AI65" i="27"/>
  <c r="E5" i="27"/>
  <c r="AH83" i="27"/>
  <c r="AQ16" i="27"/>
  <c r="AQ22" i="27" s="1"/>
  <c r="E110" i="27"/>
  <c r="AP23" i="27" s="1"/>
  <c r="AP17" i="27"/>
  <c r="E100" i="27"/>
  <c r="E102" i="27" s="1"/>
  <c r="D110" i="27"/>
  <c r="AO23" i="27" s="1"/>
  <c r="AO19" i="27"/>
  <c r="AO22" i="27" s="1"/>
  <c r="AO24" i="27" s="1"/>
  <c r="C110" i="27"/>
  <c r="AN23" i="27" s="1"/>
  <c r="AI83" i="27"/>
  <c r="AH79" i="27"/>
  <c r="AH95" i="27"/>
  <c r="AN22" i="27"/>
  <c r="C111" i="27"/>
  <c r="B5" i="27"/>
  <c r="B110" i="27"/>
  <c r="AM23" i="27" s="1"/>
  <c r="AM19" i="27"/>
  <c r="AF5" i="27"/>
  <c r="B100" i="27"/>
  <c r="B102" i="27" s="1"/>
  <c r="B103" i="27" s="1"/>
  <c r="AM16" i="27"/>
  <c r="B111" i="27"/>
  <c r="BG82" i="27" a="1"/>
  <c r="BI104" i="27" s="1"/>
  <c r="AI79" i="27"/>
  <c r="BI22" i="27"/>
  <c r="AI95" i="27"/>
  <c r="AE100" i="27"/>
  <c r="AE102" i="27" s="1"/>
  <c r="M111" i="27"/>
  <c r="U111" i="27"/>
  <c r="F110" i="27"/>
  <c r="AQ23" i="27" s="1"/>
  <c r="N110" i="27"/>
  <c r="AV23" i="27" s="1"/>
  <c r="V110" i="27"/>
  <c r="BD23" i="27" s="1"/>
  <c r="AD110" i="27"/>
  <c r="BH23" i="27" s="1"/>
  <c r="AS16" i="27"/>
  <c r="AS22" i="27" s="1"/>
  <c r="AS24" i="27" s="1"/>
  <c r="AU19" i="27"/>
  <c r="BC19" i="27"/>
  <c r="N111" i="27"/>
  <c r="G110" i="27"/>
  <c r="AR23" i="27" s="1"/>
  <c r="O110" i="27"/>
  <c r="AW23" i="27" s="1"/>
  <c r="AW24" i="27" s="1"/>
  <c r="W110" i="27"/>
  <c r="W111" i="27" s="1"/>
  <c r="AE110" i="27"/>
  <c r="BI23" i="27" s="1"/>
  <c r="AI108" i="27"/>
  <c r="AH109" i="27"/>
  <c r="O100" i="27"/>
  <c r="O102" i="27" s="1"/>
  <c r="AI107" i="27"/>
  <c r="D255" i="27"/>
  <c r="D121" i="27"/>
  <c r="E249" i="27"/>
  <c r="AU16" i="27"/>
  <c r="BC16" i="27"/>
  <c r="AH61" i="27"/>
  <c r="AH65" i="27"/>
  <c r="P111" i="27"/>
  <c r="X111" i="27"/>
  <c r="AF111" i="27"/>
  <c r="AH104" i="27"/>
  <c r="AI106" i="27"/>
  <c r="AL13" i="27"/>
  <c r="AV16" i="27"/>
  <c r="BD16" i="27"/>
  <c r="BD22" i="27" s="1"/>
  <c r="AP19" i="27"/>
  <c r="AP22" i="27" s="1"/>
  <c r="C100" i="27"/>
  <c r="C102" i="27" s="1"/>
  <c r="C103" i="27" s="1"/>
  <c r="C7" i="27" s="1"/>
  <c r="K100" i="27"/>
  <c r="K102" i="27" s="1"/>
  <c r="S100" i="27"/>
  <c r="S102" i="27" s="1"/>
  <c r="S103" i="27" s="1"/>
  <c r="S7" i="27" s="1"/>
  <c r="AA100" i="27"/>
  <c r="AA102" i="27" s="1"/>
  <c r="AA103" i="27" s="1"/>
  <c r="AA7" i="27" s="1"/>
  <c r="AI61" i="27"/>
  <c r="AI104" i="27"/>
  <c r="AI105" i="27"/>
  <c r="BH16" i="27"/>
  <c r="BH22" i="27" s="1"/>
  <c r="D100" i="27"/>
  <c r="D102" i="27" s="1"/>
  <c r="L100" i="27"/>
  <c r="L102" i="27" s="1"/>
  <c r="T100" i="27"/>
  <c r="T102" i="27" s="1"/>
  <c r="T103" i="27" s="1"/>
  <c r="T7" i="27" s="1"/>
  <c r="AB100" i="27"/>
  <c r="AB102" i="27" s="1"/>
  <c r="AB103" i="27" s="1"/>
  <c r="AB7" i="27" s="1"/>
  <c r="AZ73" i="27"/>
  <c r="AG102" i="27"/>
  <c r="AH106" i="27"/>
  <c r="AH105" i="27"/>
  <c r="AH107" i="27"/>
  <c r="AH108" i="27"/>
  <c r="AE124" i="26"/>
  <c r="AE60" i="26"/>
  <c r="AE61" i="26"/>
  <c r="AE65" i="26"/>
  <c r="AE79" i="26"/>
  <c r="W61" i="26"/>
  <c r="X61" i="26"/>
  <c r="W65" i="26"/>
  <c r="X65" i="26"/>
  <c r="W79" i="26"/>
  <c r="X79" i="26"/>
  <c r="W83" i="26"/>
  <c r="X83" i="26"/>
  <c r="BH24" i="27" l="1"/>
  <c r="AD111" i="27"/>
  <c r="AD103" i="27"/>
  <c r="AD7" i="27" s="1"/>
  <c r="AC103" i="27"/>
  <c r="AC7" i="27" s="1"/>
  <c r="BG24" i="27"/>
  <c r="AE103" i="27"/>
  <c r="AE7" i="27" s="1"/>
  <c r="I111" i="27"/>
  <c r="I103" i="27"/>
  <c r="I7" i="27" s="1"/>
  <c r="AV22" i="27"/>
  <c r="AR24" i="27"/>
  <c r="BI24" i="27"/>
  <c r="R103" i="27"/>
  <c r="R7" i="27" s="1"/>
  <c r="AE111" i="27"/>
  <c r="P103" i="27"/>
  <c r="P7" i="27" s="1"/>
  <c r="F103" i="27"/>
  <c r="F7" i="27" s="1"/>
  <c r="L103" i="27"/>
  <c r="L7" i="27" s="1"/>
  <c r="AN24" i="27"/>
  <c r="D103" i="27"/>
  <c r="D7" i="27" s="1"/>
  <c r="K103" i="27"/>
  <c r="K7" i="27" s="1"/>
  <c r="AM22" i="27"/>
  <c r="AM24" i="27" s="1"/>
  <c r="H103" i="27"/>
  <c r="H7" i="27" s="1"/>
  <c r="AX24" i="27"/>
  <c r="U103" i="27"/>
  <c r="U7" i="27" s="1"/>
  <c r="BE24" i="27"/>
  <c r="X103" i="27"/>
  <c r="X7" i="27" s="1"/>
  <c r="W103" i="27"/>
  <c r="W7" i="27" s="1"/>
  <c r="AQ24" i="27"/>
  <c r="V111" i="27"/>
  <c r="BB24" i="27"/>
  <c r="T111" i="27"/>
  <c r="AZ23" i="27"/>
  <c r="AZ24" i="27" s="1"/>
  <c r="AY24" i="27"/>
  <c r="M103" i="27"/>
  <c r="M7" i="27" s="1"/>
  <c r="N103" i="27"/>
  <c r="N7" i="27" s="1"/>
  <c r="AV24" i="27"/>
  <c r="G111" i="27"/>
  <c r="F111" i="27"/>
  <c r="E111" i="27"/>
  <c r="E103" i="27"/>
  <c r="E7" i="27" s="1"/>
  <c r="D111" i="27"/>
  <c r="BL91" i="27"/>
  <c r="BL105" i="27"/>
  <c r="BI102" i="27"/>
  <c r="BI89" i="27"/>
  <c r="BI87" i="27"/>
  <c r="BG100" i="27"/>
  <c r="BK91" i="27"/>
  <c r="BK93" i="27"/>
  <c r="BL104" i="27"/>
  <c r="BL86" i="27"/>
  <c r="BG83" i="27"/>
  <c r="BJ83" i="27"/>
  <c r="BJ84" i="27"/>
  <c r="BJ97" i="27"/>
  <c r="BK96" i="27"/>
  <c r="BL92" i="27"/>
  <c r="BG87" i="27"/>
  <c r="BH95" i="27"/>
  <c r="BG99" i="27"/>
  <c r="BI84" i="27"/>
  <c r="BH89" i="27"/>
  <c r="BH102" i="27"/>
  <c r="BK85" i="27"/>
  <c r="BG94" i="27"/>
  <c r="BI88" i="27"/>
  <c r="BL85" i="27"/>
  <c r="BJ96" i="27"/>
  <c r="BI82" i="27"/>
  <c r="BG93" i="27"/>
  <c r="BK103" i="27"/>
  <c r="BK90" i="27"/>
  <c r="BI101" i="27"/>
  <c r="BH88" i="27"/>
  <c r="BL98" i="27"/>
  <c r="BI96" i="27"/>
  <c r="BH90" i="27"/>
  <c r="BI103" i="27"/>
  <c r="BG82" i="27"/>
  <c r="BH101" i="27"/>
  <c r="BG103" i="27"/>
  <c r="BJ86" i="27"/>
  <c r="BJ99" i="27"/>
  <c r="BI91" i="27"/>
  <c r="BL103" i="27"/>
  <c r="BH87" i="27"/>
  <c r="BL97" i="27"/>
  <c r="BK83" i="27"/>
  <c r="BI94" i="27"/>
  <c r="BG105" i="27"/>
  <c r="BG92" i="27"/>
  <c r="BK102" i="27"/>
  <c r="BJ89" i="27"/>
  <c r="BH100" i="27"/>
  <c r="BJ87" i="27"/>
  <c r="BK84" i="27"/>
  <c r="BK100" i="27"/>
  <c r="BL95" i="27"/>
  <c r="BI100" i="27"/>
  <c r="BG91" i="27"/>
  <c r="BH105" i="27"/>
  <c r="BL83" i="27"/>
  <c r="BL96" i="27"/>
  <c r="BK88" i="27"/>
  <c r="BJ98" i="27"/>
  <c r="BJ88" i="27"/>
  <c r="BH99" i="27"/>
  <c r="BG85" i="27"/>
  <c r="BK95" i="27"/>
  <c r="BK82" i="27"/>
  <c r="BI93" i="27"/>
  <c r="BG104" i="27"/>
  <c r="BL90" i="27"/>
  <c r="BJ101" i="27"/>
  <c r="BL84" i="27"/>
  <c r="BG98" i="27"/>
  <c r="BJ90" i="27"/>
  <c r="BK97" i="27"/>
  <c r="BJ102" i="27"/>
  <c r="BH94" i="27"/>
  <c r="BG86" i="27"/>
  <c r="BH93" i="27"/>
  <c r="BL89" i="27"/>
  <c r="BJ100" i="27"/>
  <c r="BI86" i="27"/>
  <c r="BG97" i="27"/>
  <c r="BG84" i="27"/>
  <c r="BK94" i="27"/>
  <c r="BI105" i="27"/>
  <c r="BH92" i="27"/>
  <c r="BL102" i="27"/>
  <c r="BJ103" i="27"/>
  <c r="BH82" i="27"/>
  <c r="BK105" i="27"/>
  <c r="BI95" i="27"/>
  <c r="BH85" i="27"/>
  <c r="BG95" i="27"/>
  <c r="BJ91" i="27"/>
  <c r="BK104" i="27"/>
  <c r="BI83" i="27"/>
  <c r="BL87" i="27"/>
  <c r="BH91" i="27"/>
  <c r="BL101" i="27"/>
  <c r="BK87" i="27"/>
  <c r="BI98" i="27"/>
  <c r="BI85" i="27"/>
  <c r="BG96" i="27"/>
  <c r="BL82" i="27"/>
  <c r="BJ93" i="27"/>
  <c r="BH104" i="27"/>
  <c r="BK92" i="27"/>
  <c r="BI92" i="27"/>
  <c r="BH97" i="27"/>
  <c r="BL88" i="27"/>
  <c r="BG102" i="27"/>
  <c r="BJ82" i="27"/>
  <c r="BJ92" i="27"/>
  <c r="BH103" i="27"/>
  <c r="BG89" i="27"/>
  <c r="BK99" i="27"/>
  <c r="BK86" i="27"/>
  <c r="BI97" i="27"/>
  <c r="BH84" i="27"/>
  <c r="BL94" i="27"/>
  <c r="BJ105" i="27"/>
  <c r="BH98" i="27"/>
  <c r="BL99" i="27"/>
  <c r="BL100" i="27"/>
  <c r="BG90" i="27"/>
  <c r="BK89" i="27"/>
  <c r="BJ94" i="27"/>
  <c r="BH86" i="27"/>
  <c r="BI99" i="27"/>
  <c r="BH83" i="27"/>
  <c r="BL93" i="27"/>
  <c r="BJ104" i="27"/>
  <c r="BI90" i="27"/>
  <c r="BG101" i="27"/>
  <c r="BG88" i="27"/>
  <c r="BK98" i="27"/>
  <c r="BJ85" i="27"/>
  <c r="BH96" i="27"/>
  <c r="BK101" i="27"/>
  <c r="BJ95" i="27"/>
  <c r="AP24" i="27"/>
  <c r="F249" i="27"/>
  <c r="E255" i="27"/>
  <c r="E121" i="27"/>
  <c r="AH102" i="27"/>
  <c r="AI102" i="27"/>
  <c r="AH100" i="27"/>
  <c r="BD24" i="27"/>
  <c r="AI100" i="27"/>
  <c r="AH110" i="27"/>
  <c r="B259" i="27"/>
  <c r="O103" i="27"/>
  <c r="O7" i="27" s="1"/>
  <c r="C259" i="27"/>
  <c r="BC22" i="27"/>
  <c r="BC24" i="27" s="1"/>
  <c r="AU22" i="27"/>
  <c r="AU24" i="27" s="1"/>
  <c r="G103" i="27"/>
  <c r="G7" i="27" s="1"/>
  <c r="AI110" i="27"/>
  <c r="V103" i="27"/>
  <c r="V7" i="27" s="1"/>
  <c r="O111" i="27"/>
  <c r="AT9" i="27" l="1"/>
  <c r="K6" i="27"/>
  <c r="AH111" i="27"/>
  <c r="B7" i="27"/>
  <c r="A7" i="27" s="1"/>
  <c r="AI103" i="27"/>
  <c r="AH103" i="27"/>
  <c r="AI111" i="27"/>
  <c r="G249" i="27"/>
  <c r="F255" i="27"/>
  <c r="F121" i="27"/>
  <c r="AT8" i="27"/>
  <c r="H249" i="27" l="1"/>
  <c r="G121" i="27"/>
  <c r="G255" i="27"/>
  <c r="I249" i="27" l="1"/>
  <c r="H255" i="27"/>
  <c r="H121" i="27"/>
  <c r="I255" i="27" l="1"/>
  <c r="I121" i="27"/>
  <c r="J249" i="27"/>
  <c r="J255" i="27" l="1"/>
  <c r="J121" i="27"/>
  <c r="K249" i="27"/>
  <c r="K255" i="27" l="1"/>
  <c r="K121" i="27"/>
  <c r="L249" i="27"/>
  <c r="L255" i="27" l="1"/>
  <c r="L121" i="27"/>
  <c r="M249" i="27"/>
  <c r="N249" i="27" l="1"/>
  <c r="M255" i="27"/>
  <c r="M121" i="27"/>
  <c r="K124" i="26"/>
  <c r="L60" i="26"/>
  <c r="K60" i="26"/>
  <c r="J124" i="26"/>
  <c r="J60" i="26"/>
  <c r="I124" i="26"/>
  <c r="I60" i="26"/>
  <c r="O249" i="27" l="1"/>
  <c r="N255" i="27"/>
  <c r="N121" i="27"/>
  <c r="P249" i="27" l="1"/>
  <c r="O121" i="27"/>
  <c r="O255" i="27"/>
  <c r="Q249" i="27" l="1"/>
  <c r="P255" i="27"/>
  <c r="Q255" i="27" l="1"/>
  <c r="Q121" i="27"/>
  <c r="R249" i="27"/>
  <c r="R255" i="27" l="1"/>
  <c r="R121" i="27"/>
  <c r="S249" i="27"/>
  <c r="S255" i="27" l="1"/>
  <c r="S121" i="27"/>
  <c r="T249" i="27"/>
  <c r="T255" i="27" l="1"/>
  <c r="T121" i="27"/>
  <c r="U249" i="27"/>
  <c r="U121" i="27" l="1"/>
  <c r="V249" i="27"/>
  <c r="U255" i="27"/>
  <c r="W249" i="27" l="1"/>
  <c r="V121" i="27"/>
  <c r="V255" i="27"/>
  <c r="X249" i="27" l="1"/>
  <c r="W255" i="27"/>
  <c r="W121" i="27"/>
  <c r="Y249" i="27" l="1"/>
  <c r="X255" i="27"/>
  <c r="X121" i="27"/>
  <c r="Y255" i="27" l="1"/>
  <c r="Z249" i="27"/>
  <c r="Z255" i="27" l="1"/>
  <c r="AA249" i="27"/>
  <c r="AA255" i="27" l="1"/>
  <c r="AA121" i="27"/>
  <c r="AB249" i="27"/>
  <c r="AB255" i="27" l="1"/>
  <c r="AB121" i="27"/>
  <c r="AC249" i="27"/>
  <c r="AC121" i="27" l="1"/>
  <c r="AD249" i="27"/>
  <c r="AC255" i="27"/>
  <c r="AE249" i="27" l="1"/>
  <c r="AD121" i="27"/>
  <c r="AD255" i="27"/>
  <c r="AF249" i="27" l="1"/>
  <c r="AE255" i="27"/>
  <c r="AE121" i="27"/>
  <c r="AF255" i="27" l="1"/>
  <c r="AF121" i="27"/>
  <c r="B249" i="27"/>
  <c r="B121" i="27" s="1"/>
  <c r="B255" i="27" l="1"/>
  <c r="AI121" i="27" l="1"/>
  <c r="AH121" i="27"/>
  <c r="H124" i="26" l="1"/>
  <c r="H60" i="26"/>
  <c r="G124" i="26"/>
  <c r="G60" i="26"/>
  <c r="F124" i="26"/>
  <c r="F60" i="26"/>
  <c r="E124" i="26" l="1"/>
  <c r="E60" i="26"/>
  <c r="B121" i="26"/>
  <c r="AF121" i="25"/>
  <c r="B110" i="26"/>
  <c r="B111" i="26" s="1"/>
  <c r="B106" i="26"/>
  <c r="B95" i="26"/>
  <c r="C83" i="26"/>
  <c r="D83" i="26"/>
  <c r="E83" i="26"/>
  <c r="F83" i="26"/>
  <c r="G83" i="26"/>
  <c r="AR20" i="26" s="1"/>
  <c r="H83" i="26"/>
  <c r="I83" i="26"/>
  <c r="J83" i="26"/>
  <c r="B83" i="26"/>
  <c r="B79" i="26"/>
  <c r="B61" i="26"/>
  <c r="C65" i="26"/>
  <c r="D65" i="26"/>
  <c r="E65" i="26"/>
  <c r="F65" i="26"/>
  <c r="G65" i="26"/>
  <c r="AR17" i="26" s="1"/>
  <c r="H65" i="26"/>
  <c r="I65" i="26"/>
  <c r="AS17" i="26" s="1"/>
  <c r="J65" i="26"/>
  <c r="K65" i="26"/>
  <c r="L65" i="26"/>
  <c r="M65" i="26"/>
  <c r="N65" i="26"/>
  <c r="O65" i="26"/>
  <c r="AW17" i="26" s="1"/>
  <c r="P65" i="26"/>
  <c r="AX17" i="26" s="1"/>
  <c r="Q65" i="26"/>
  <c r="R65" i="26"/>
  <c r="AZ17" i="26" s="1"/>
  <c r="S65" i="26"/>
  <c r="T65" i="26"/>
  <c r="U65" i="26"/>
  <c r="V65" i="26"/>
  <c r="BD17" i="26" s="1"/>
  <c r="Y65" i="26"/>
  <c r="Z65" i="26"/>
  <c r="BF17" i="26" s="1"/>
  <c r="AA65" i="26"/>
  <c r="AB65" i="26"/>
  <c r="AC65" i="26"/>
  <c r="AD65" i="26"/>
  <c r="B65" i="26"/>
  <c r="D124" i="26"/>
  <c r="D61" i="26"/>
  <c r="D79" i="26"/>
  <c r="AO20" i="26"/>
  <c r="C124" i="26"/>
  <c r="B124" i="26"/>
  <c r="AE124" i="25"/>
  <c r="AG255" i="26"/>
  <c r="C255" i="26"/>
  <c r="D254" i="26"/>
  <c r="J253" i="26"/>
  <c r="K253" i="26" s="1"/>
  <c r="L253" i="26" s="1"/>
  <c r="M253" i="26" s="1"/>
  <c r="N253" i="26" s="1"/>
  <c r="O253" i="26" s="1"/>
  <c r="P253" i="26" s="1"/>
  <c r="Q253" i="26" s="1"/>
  <c r="R253" i="26" s="1"/>
  <c r="S253" i="26" s="1"/>
  <c r="T253" i="26" s="1"/>
  <c r="U253" i="26" s="1"/>
  <c r="V253" i="26" s="1"/>
  <c r="W253" i="26" s="1"/>
  <c r="X253" i="26" s="1"/>
  <c r="Y253" i="26" s="1"/>
  <c r="Z253" i="26" s="1"/>
  <c r="AA253" i="26" s="1"/>
  <c r="AB253" i="26" s="1"/>
  <c r="AC253" i="26" s="1"/>
  <c r="AD253" i="26" s="1"/>
  <c r="AE253" i="26" s="1"/>
  <c r="AF253" i="26" s="1"/>
  <c r="B253" i="26" s="1"/>
  <c r="D253" i="26"/>
  <c r="E253" i="26" s="1"/>
  <c r="F253" i="26" s="1"/>
  <c r="G253" i="26" s="1"/>
  <c r="H253" i="26" s="1"/>
  <c r="I253" i="26" s="1"/>
  <c r="D252" i="26"/>
  <c r="E252" i="26" s="1"/>
  <c r="F252" i="26" s="1"/>
  <c r="G252" i="26" s="1"/>
  <c r="H252" i="26" s="1"/>
  <c r="I252" i="26" s="1"/>
  <c r="J252" i="26" s="1"/>
  <c r="K252" i="26" s="1"/>
  <c r="L252" i="26" s="1"/>
  <c r="M252" i="26" s="1"/>
  <c r="N252" i="26" s="1"/>
  <c r="O252" i="26" s="1"/>
  <c r="P252" i="26" s="1"/>
  <c r="Q252" i="26" s="1"/>
  <c r="R252" i="26" s="1"/>
  <c r="S252" i="26" s="1"/>
  <c r="T252" i="26" s="1"/>
  <c r="U252" i="26" s="1"/>
  <c r="V252" i="26" s="1"/>
  <c r="W252" i="26" s="1"/>
  <c r="X252" i="26" s="1"/>
  <c r="Y252" i="26" s="1"/>
  <c r="Z252" i="26" s="1"/>
  <c r="AA252" i="26" s="1"/>
  <c r="AB252" i="26" s="1"/>
  <c r="AC252" i="26" s="1"/>
  <c r="AD252" i="26" s="1"/>
  <c r="AE252" i="26" s="1"/>
  <c r="AF252" i="26" s="1"/>
  <c r="B252" i="26" s="1"/>
  <c r="D251" i="26"/>
  <c r="E251" i="26" s="1"/>
  <c r="F251" i="26" s="1"/>
  <c r="G251" i="26" s="1"/>
  <c r="H251" i="26" s="1"/>
  <c r="I251" i="26" s="1"/>
  <c r="J251" i="26" s="1"/>
  <c r="K251" i="26" s="1"/>
  <c r="L251" i="26" s="1"/>
  <c r="M251" i="26" s="1"/>
  <c r="N251" i="26" s="1"/>
  <c r="O251" i="26" s="1"/>
  <c r="P251" i="26" s="1"/>
  <c r="Q251" i="26" s="1"/>
  <c r="R251" i="26" s="1"/>
  <c r="S251" i="26" s="1"/>
  <c r="T251" i="26" s="1"/>
  <c r="U251" i="26" s="1"/>
  <c r="V251" i="26" s="1"/>
  <c r="W251" i="26" s="1"/>
  <c r="X251" i="26" s="1"/>
  <c r="Y251" i="26" s="1"/>
  <c r="Z251" i="26" s="1"/>
  <c r="AA251" i="26" s="1"/>
  <c r="AB251" i="26" s="1"/>
  <c r="AC251" i="26" s="1"/>
  <c r="AD251" i="26" s="1"/>
  <c r="AE251" i="26" s="1"/>
  <c r="AF251" i="26" s="1"/>
  <c r="B251" i="26" s="1"/>
  <c r="D250" i="26"/>
  <c r="E250" i="26" s="1"/>
  <c r="F250" i="26" s="1"/>
  <c r="G250" i="26" s="1"/>
  <c r="H250" i="26" s="1"/>
  <c r="I250" i="26" s="1"/>
  <c r="J250" i="26" s="1"/>
  <c r="K250" i="26" s="1"/>
  <c r="L250" i="26" s="1"/>
  <c r="M250" i="26" s="1"/>
  <c r="N250" i="26" s="1"/>
  <c r="O250" i="26" s="1"/>
  <c r="P250" i="26" s="1"/>
  <c r="Q250" i="26" s="1"/>
  <c r="R250" i="26" s="1"/>
  <c r="S250" i="26" s="1"/>
  <c r="T250" i="26" s="1"/>
  <c r="U250" i="26" s="1"/>
  <c r="V250" i="26" s="1"/>
  <c r="W250" i="26" s="1"/>
  <c r="X250" i="26" s="1"/>
  <c r="Y250" i="26" s="1"/>
  <c r="Z250" i="26" s="1"/>
  <c r="AA250" i="26" s="1"/>
  <c r="AB250" i="26" s="1"/>
  <c r="AC250" i="26" s="1"/>
  <c r="AD250" i="26" s="1"/>
  <c r="AE250" i="26" s="1"/>
  <c r="AF250" i="26" s="1"/>
  <c r="B250" i="26" s="1"/>
  <c r="D249" i="26"/>
  <c r="D255" i="26" s="1"/>
  <c r="AG247" i="26"/>
  <c r="AF247" i="26"/>
  <c r="AE247" i="26"/>
  <c r="AD247" i="26"/>
  <c r="AC247" i="26"/>
  <c r="AB247" i="26"/>
  <c r="AA247" i="26"/>
  <c r="Z247" i="26"/>
  <c r="Y247" i="26"/>
  <c r="Y121" i="26" s="1"/>
  <c r="X247" i="26"/>
  <c r="W247" i="26"/>
  <c r="V247" i="26"/>
  <c r="U247" i="26"/>
  <c r="T247" i="26"/>
  <c r="S247" i="26"/>
  <c r="R247" i="26"/>
  <c r="Q247" i="26"/>
  <c r="P247" i="26"/>
  <c r="O247" i="26"/>
  <c r="N247" i="26"/>
  <c r="M247" i="26"/>
  <c r="L247" i="26"/>
  <c r="K247" i="26"/>
  <c r="J247" i="26"/>
  <c r="I247" i="26"/>
  <c r="H247" i="26"/>
  <c r="G247" i="26"/>
  <c r="F247" i="26"/>
  <c r="E247" i="26"/>
  <c r="D247" i="26"/>
  <c r="C247" i="26"/>
  <c r="B247" i="26"/>
  <c r="AI133" i="26"/>
  <c r="AH133" i="26"/>
  <c r="AI132" i="26"/>
  <c r="AH132" i="26"/>
  <c r="AI131" i="26"/>
  <c r="AH131" i="26"/>
  <c r="AI130" i="26"/>
  <c r="AH130" i="26"/>
  <c r="AI129" i="26"/>
  <c r="AH129" i="26"/>
  <c r="AI126" i="26"/>
  <c r="AH126" i="26"/>
  <c r="AI125" i="26"/>
  <c r="AH125" i="26"/>
  <c r="AI124" i="26"/>
  <c r="AH124" i="26"/>
  <c r="AI123" i="26"/>
  <c r="AH123" i="26"/>
  <c r="AI122" i="26"/>
  <c r="AH122" i="26"/>
  <c r="Z121" i="26"/>
  <c r="C121" i="26"/>
  <c r="AI120" i="26"/>
  <c r="AH120" i="26"/>
  <c r="AI119" i="26"/>
  <c r="AH119" i="26"/>
  <c r="AI118" i="26"/>
  <c r="AH118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AF105" i="26"/>
  <c r="AE105" i="26"/>
  <c r="AD105" i="26"/>
  <c r="AC105" i="26"/>
  <c r="AB105" i="26"/>
  <c r="AA105" i="26"/>
  <c r="Z105" i="26"/>
  <c r="Y105" i="26"/>
  <c r="Y110" i="26" s="1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AF104" i="26"/>
  <c r="AE104" i="26"/>
  <c r="AD104" i="26"/>
  <c r="AC104" i="26"/>
  <c r="AB104" i="26"/>
  <c r="AA104" i="26"/>
  <c r="Z104" i="26"/>
  <c r="Y104" i="26"/>
  <c r="X104" i="26"/>
  <c r="X110" i="26" s="1"/>
  <c r="X111" i="26" s="1"/>
  <c r="W104" i="26"/>
  <c r="V104" i="26"/>
  <c r="U104" i="26"/>
  <c r="T104" i="26"/>
  <c r="S104" i="26"/>
  <c r="R104" i="26"/>
  <c r="R110" i="26" s="1"/>
  <c r="AZ23" i="26" s="1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E110" i="26" s="1"/>
  <c r="D104" i="26"/>
  <c r="C104" i="26"/>
  <c r="AI101" i="26"/>
  <c r="AH101" i="26"/>
  <c r="AI99" i="26"/>
  <c r="AH99" i="26"/>
  <c r="AG99" i="26"/>
  <c r="AI98" i="26"/>
  <c r="AH98" i="26"/>
  <c r="AI97" i="26"/>
  <c r="AH97" i="26"/>
  <c r="AI96" i="26"/>
  <c r="AH96" i="26"/>
  <c r="AG95" i="26"/>
  <c r="AG102" i="26" s="1"/>
  <c r="AF95" i="26"/>
  <c r="BJ19" i="26" s="1"/>
  <c r="AE95" i="26"/>
  <c r="AD95" i="26"/>
  <c r="AC5" i="26" s="1"/>
  <c r="AC95" i="26"/>
  <c r="AB95" i="26"/>
  <c r="AA95" i="26"/>
  <c r="Z5" i="26" s="1"/>
  <c r="Z95" i="26"/>
  <c r="Y95" i="26"/>
  <c r="X95" i="26"/>
  <c r="BE19" i="26" s="1"/>
  <c r="W95" i="26"/>
  <c r="W100" i="26" s="1"/>
  <c r="W102" i="26" s="1"/>
  <c r="V95" i="26"/>
  <c r="BD19" i="26" s="1"/>
  <c r="U95" i="26"/>
  <c r="T95" i="26"/>
  <c r="S5" i="26" s="1"/>
  <c r="S95" i="26"/>
  <c r="R5" i="26" s="1"/>
  <c r="R95" i="26"/>
  <c r="Q95" i="26"/>
  <c r="P95" i="26"/>
  <c r="O95" i="26"/>
  <c r="N95" i="26"/>
  <c r="AV19" i="26" s="1"/>
  <c r="M95" i="26"/>
  <c r="AU19" i="26" s="1"/>
  <c r="L95" i="26"/>
  <c r="K5" i="26" s="1"/>
  <c r="K95" i="26"/>
  <c r="J95" i="26"/>
  <c r="I95" i="26"/>
  <c r="H95" i="26"/>
  <c r="G5" i="26" s="1"/>
  <c r="G95" i="26"/>
  <c r="F95" i="26"/>
  <c r="AQ19" i="26" s="1"/>
  <c r="E95" i="26"/>
  <c r="E111" i="26" s="1"/>
  <c r="D95" i="26"/>
  <c r="AO19" i="26" s="1"/>
  <c r="C95" i="26"/>
  <c r="AI94" i="26"/>
  <c r="AH94" i="26"/>
  <c r="AI93" i="26"/>
  <c r="AH93" i="26"/>
  <c r="AI92" i="26"/>
  <c r="AH92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G83" i="26"/>
  <c r="AE83" i="26"/>
  <c r="AD83" i="26"/>
  <c r="BH20" i="26" s="1"/>
  <c r="AC83" i="26"/>
  <c r="AB83" i="26"/>
  <c r="AA83" i="26"/>
  <c r="Z83" i="26"/>
  <c r="Y83" i="26"/>
  <c r="V83" i="26"/>
  <c r="U83" i="26"/>
  <c r="T83" i="26"/>
  <c r="S83" i="26"/>
  <c r="R83" i="26"/>
  <c r="Q83" i="26"/>
  <c r="AY20" i="26" s="1"/>
  <c r="P83" i="26"/>
  <c r="O83" i="26"/>
  <c r="AW20" i="26" s="1"/>
  <c r="N83" i="26"/>
  <c r="M83" i="26"/>
  <c r="L83" i="26"/>
  <c r="K83" i="26"/>
  <c r="AT20" i="26" s="1"/>
  <c r="AI82" i="26"/>
  <c r="AH82" i="26"/>
  <c r="AI81" i="26"/>
  <c r="AH81" i="26"/>
  <c r="AI80" i="26"/>
  <c r="AH80" i="26"/>
  <c r="AG79" i="26"/>
  <c r="AD79" i="26"/>
  <c r="AC79" i="26"/>
  <c r="AB79" i="26"/>
  <c r="BG18" i="26" s="1"/>
  <c r="AA79" i="26"/>
  <c r="Z79" i="26"/>
  <c r="Y79" i="26"/>
  <c r="V79" i="26"/>
  <c r="BD18" i="26" s="1"/>
  <c r="U79" i="26"/>
  <c r="T79" i="26"/>
  <c r="BB18" i="26" s="1"/>
  <c r="S79" i="26"/>
  <c r="R79" i="26"/>
  <c r="Q79" i="26"/>
  <c r="AY18" i="26" s="1"/>
  <c r="P79" i="26"/>
  <c r="O79" i="26"/>
  <c r="N79" i="26"/>
  <c r="M79" i="26"/>
  <c r="AU18" i="26" s="1"/>
  <c r="L79" i="26"/>
  <c r="K79" i="26"/>
  <c r="J79" i="26"/>
  <c r="I79" i="26"/>
  <c r="H79" i="26"/>
  <c r="G79" i="26"/>
  <c r="AR18" i="26" s="1"/>
  <c r="F79" i="26"/>
  <c r="AQ18" i="26" s="1"/>
  <c r="E79" i="26"/>
  <c r="C79" i="26"/>
  <c r="BO78" i="26"/>
  <c r="BN78" i="26"/>
  <c r="BJ78" i="26"/>
  <c r="BF78" i="26"/>
  <c r="BD78" i="26"/>
  <c r="BB78" i="26"/>
  <c r="AI78" i="26"/>
  <c r="AH78" i="26"/>
  <c r="AG78" i="26"/>
  <c r="BV77" i="26"/>
  <c r="BM77" i="26"/>
  <c r="BK77" i="26"/>
  <c r="BA77" i="26"/>
  <c r="AI77" i="26"/>
  <c r="AH77" i="26"/>
  <c r="BI76" i="26"/>
  <c r="BG76" i="26"/>
  <c r="BE76" i="26"/>
  <c r="AI76" i="26"/>
  <c r="AH76" i="26"/>
  <c r="BK75" i="26"/>
  <c r="AI75" i="26"/>
  <c r="AH75" i="26"/>
  <c r="BU74" i="26"/>
  <c r="BS74" i="26"/>
  <c r="BN74" i="26"/>
  <c r="BM74" i="26"/>
  <c r="BK74" i="26"/>
  <c r="BJ74" i="26"/>
  <c r="BF74" i="26"/>
  <c r="BE74" i="26"/>
  <c r="BC74" i="26"/>
  <c r="BB74" i="26"/>
  <c r="AI74" i="26"/>
  <c r="AH74" i="26"/>
  <c r="BT73" i="26"/>
  <c r="BM73" i="26"/>
  <c r="BL73" i="26"/>
  <c r="BG73" i="26"/>
  <c r="AZ73" i="26"/>
  <c r="AI73" i="26"/>
  <c r="AH73" i="26"/>
  <c r="AI72" i="26"/>
  <c r="AH72" i="26"/>
  <c r="BW71" i="26"/>
  <c r="BW78" i="26" s="1"/>
  <c r="BV71" i="26"/>
  <c r="BV78" i="26" s="1"/>
  <c r="BU71" i="26"/>
  <c r="BU78" i="26" s="1"/>
  <c r="BT71" i="26"/>
  <c r="BT78" i="26" s="1"/>
  <c r="BS71" i="26"/>
  <c r="BS78" i="26" s="1"/>
  <c r="BR71" i="26"/>
  <c r="BR78" i="26" s="1"/>
  <c r="BQ71" i="26"/>
  <c r="BQ78" i="26" s="1"/>
  <c r="BP71" i="26"/>
  <c r="BP78" i="26" s="1"/>
  <c r="BO71" i="26"/>
  <c r="BN71" i="26"/>
  <c r="BM71" i="26"/>
  <c r="BM78" i="26" s="1"/>
  <c r="BL71" i="26"/>
  <c r="BL78" i="26" s="1"/>
  <c r="BK71" i="26"/>
  <c r="BK78" i="26" s="1"/>
  <c r="BJ71" i="26"/>
  <c r="BI71" i="26"/>
  <c r="BI78" i="26" s="1"/>
  <c r="BH71" i="26"/>
  <c r="BH78" i="26" s="1"/>
  <c r="BG71" i="26"/>
  <c r="BG78" i="26" s="1"/>
  <c r="BF71" i="26"/>
  <c r="BE71" i="26"/>
  <c r="BE78" i="26" s="1"/>
  <c r="BD71" i="26"/>
  <c r="BC71" i="26"/>
  <c r="BC78" i="26" s="1"/>
  <c r="BB71" i="26"/>
  <c r="BA71" i="26"/>
  <c r="BA78" i="26" s="1"/>
  <c r="AZ71" i="26"/>
  <c r="AZ78" i="26" s="1"/>
  <c r="AI71" i="26"/>
  <c r="AH71" i="26"/>
  <c r="BW70" i="26"/>
  <c r="BW77" i="26" s="1"/>
  <c r="BV70" i="26"/>
  <c r="BU70" i="26"/>
  <c r="BU77" i="26" s="1"/>
  <c r="BT70" i="26"/>
  <c r="BT77" i="26" s="1"/>
  <c r="BS70" i="26"/>
  <c r="BS77" i="26" s="1"/>
  <c r="BR70" i="26"/>
  <c r="BR77" i="26" s="1"/>
  <c r="BQ70" i="26"/>
  <c r="BQ77" i="26" s="1"/>
  <c r="BP70" i="26"/>
  <c r="BP77" i="26" s="1"/>
  <c r="BO70" i="26"/>
  <c r="BO77" i="26" s="1"/>
  <c r="BN70" i="26"/>
  <c r="BN77" i="26" s="1"/>
  <c r="BM70" i="26"/>
  <c r="BL70" i="26"/>
  <c r="BL77" i="26" s="1"/>
  <c r="BK70" i="26"/>
  <c r="BJ70" i="26"/>
  <c r="BJ77" i="26" s="1"/>
  <c r="BI70" i="26"/>
  <c r="BI77" i="26" s="1"/>
  <c r="BH70" i="26"/>
  <c r="BH77" i="26" s="1"/>
  <c r="BG70" i="26"/>
  <c r="BG77" i="26" s="1"/>
  <c r="BF70" i="26"/>
  <c r="BF77" i="26" s="1"/>
  <c r="BE70" i="26"/>
  <c r="BE77" i="26" s="1"/>
  <c r="BD70" i="26"/>
  <c r="BD77" i="26" s="1"/>
  <c r="BC70" i="26"/>
  <c r="BC77" i="26" s="1"/>
  <c r="BB70" i="26"/>
  <c r="BB77" i="26" s="1"/>
  <c r="BA70" i="26"/>
  <c r="AZ70" i="26"/>
  <c r="AZ77" i="26" s="1"/>
  <c r="AI70" i="26"/>
  <c r="AH70" i="26"/>
  <c r="BW69" i="26"/>
  <c r="BW76" i="26" s="1"/>
  <c r="BV69" i="26"/>
  <c r="BV76" i="26" s="1"/>
  <c r="BU69" i="26"/>
  <c r="BU76" i="26" s="1"/>
  <c r="BT69" i="26"/>
  <c r="BT76" i="26" s="1"/>
  <c r="BS69" i="26"/>
  <c r="BS76" i="26" s="1"/>
  <c r="BR69" i="26"/>
  <c r="BR76" i="26" s="1"/>
  <c r="BQ69" i="26"/>
  <c r="BQ76" i="26" s="1"/>
  <c r="BP69" i="26"/>
  <c r="BP76" i="26" s="1"/>
  <c r="BO69" i="26"/>
  <c r="BO76" i="26" s="1"/>
  <c r="BN69" i="26"/>
  <c r="BN76" i="26" s="1"/>
  <c r="BM69" i="26"/>
  <c r="BM76" i="26" s="1"/>
  <c r="BL69" i="26"/>
  <c r="BL76" i="26" s="1"/>
  <c r="BK69" i="26"/>
  <c r="BK76" i="26" s="1"/>
  <c r="BJ69" i="26"/>
  <c r="BJ76" i="26" s="1"/>
  <c r="BI69" i="26"/>
  <c r="BH69" i="26"/>
  <c r="BH76" i="26" s="1"/>
  <c r="BG69" i="26"/>
  <c r="BF69" i="26"/>
  <c r="BF76" i="26" s="1"/>
  <c r="BE69" i="26"/>
  <c r="BD69" i="26"/>
  <c r="BD76" i="26" s="1"/>
  <c r="BC69" i="26"/>
  <c r="BC76" i="26" s="1"/>
  <c r="BB69" i="26"/>
  <c r="BB76" i="26" s="1"/>
  <c r="BA69" i="26"/>
  <c r="BA76" i="26" s="1"/>
  <c r="AZ69" i="26"/>
  <c r="AZ76" i="26" s="1"/>
  <c r="AI69" i="26"/>
  <c r="AH69" i="26"/>
  <c r="BW68" i="26"/>
  <c r="BW75" i="26" s="1"/>
  <c r="BV68" i="26"/>
  <c r="BV75" i="26" s="1"/>
  <c r="BU68" i="26"/>
  <c r="BU75" i="26" s="1"/>
  <c r="BT68" i="26"/>
  <c r="BT75" i="26" s="1"/>
  <c r="BS68" i="26"/>
  <c r="BS75" i="26" s="1"/>
  <c r="BR68" i="26"/>
  <c r="BR75" i="26" s="1"/>
  <c r="BQ68" i="26"/>
  <c r="BQ75" i="26" s="1"/>
  <c r="BP68" i="26"/>
  <c r="BP75" i="26" s="1"/>
  <c r="BO68" i="26"/>
  <c r="BO75" i="26" s="1"/>
  <c r="BN68" i="26"/>
  <c r="BN75" i="26" s="1"/>
  <c r="BM68" i="26"/>
  <c r="BM75" i="26" s="1"/>
  <c r="BL68" i="26"/>
  <c r="BL75" i="26" s="1"/>
  <c r="BK68" i="26"/>
  <c r="BJ68" i="26"/>
  <c r="BJ75" i="26" s="1"/>
  <c r="BI68" i="26"/>
  <c r="BI75" i="26" s="1"/>
  <c r="BH68" i="26"/>
  <c r="BH75" i="26" s="1"/>
  <c r="BG68" i="26"/>
  <c r="BG75" i="26" s="1"/>
  <c r="BF68" i="26"/>
  <c r="BF75" i="26" s="1"/>
  <c r="BE68" i="26"/>
  <c r="BE75" i="26" s="1"/>
  <c r="BD68" i="26"/>
  <c r="BD75" i="26" s="1"/>
  <c r="BC68" i="26"/>
  <c r="BC75" i="26" s="1"/>
  <c r="BB68" i="26"/>
  <c r="BB75" i="26" s="1"/>
  <c r="BA68" i="26"/>
  <c r="BA75" i="26" s="1"/>
  <c r="AZ68" i="26"/>
  <c r="AZ75" i="26" s="1"/>
  <c r="AI68" i="26"/>
  <c r="AH68" i="26"/>
  <c r="BW67" i="26"/>
  <c r="BW74" i="26" s="1"/>
  <c r="BV67" i="26"/>
  <c r="BV74" i="26" s="1"/>
  <c r="BU67" i="26"/>
  <c r="BT67" i="26"/>
  <c r="BT74" i="26" s="1"/>
  <c r="BS67" i="26"/>
  <c r="BR67" i="26"/>
  <c r="BR74" i="26" s="1"/>
  <c r="BQ67" i="26"/>
  <c r="BQ74" i="26" s="1"/>
  <c r="BP67" i="26"/>
  <c r="BP74" i="26" s="1"/>
  <c r="BO67" i="26"/>
  <c r="BO74" i="26" s="1"/>
  <c r="BN67" i="26"/>
  <c r="BM67" i="26"/>
  <c r="BL67" i="26"/>
  <c r="BL74" i="26" s="1"/>
  <c r="BK67" i="26"/>
  <c r="BJ67" i="26"/>
  <c r="BI67" i="26"/>
  <c r="BI74" i="26" s="1"/>
  <c r="BH67" i="26"/>
  <c r="BH74" i="26" s="1"/>
  <c r="BG67" i="26"/>
  <c r="BG74" i="26" s="1"/>
  <c r="BF67" i="26"/>
  <c r="BE67" i="26"/>
  <c r="BD67" i="26"/>
  <c r="BD74" i="26" s="1"/>
  <c r="BC67" i="26"/>
  <c r="BB67" i="26"/>
  <c r="BA67" i="26"/>
  <c r="BA74" i="26" s="1"/>
  <c r="AZ67" i="26"/>
  <c r="AZ74" i="26" s="1"/>
  <c r="AI67" i="26"/>
  <c r="AH67" i="26"/>
  <c r="BW66" i="26"/>
  <c r="BW73" i="26" s="1"/>
  <c r="BV66" i="26"/>
  <c r="BV73" i="26" s="1"/>
  <c r="BU66" i="26"/>
  <c r="BU73" i="26" s="1"/>
  <c r="BT66" i="26"/>
  <c r="BS66" i="26"/>
  <c r="BS73" i="26" s="1"/>
  <c r="BR66" i="26"/>
  <c r="BR73" i="26" s="1"/>
  <c r="BQ66" i="26"/>
  <c r="BQ73" i="26" s="1"/>
  <c r="BP66" i="26"/>
  <c r="BP73" i="26" s="1"/>
  <c r="BO66" i="26"/>
  <c r="BO73" i="26" s="1"/>
  <c r="BN66" i="26"/>
  <c r="BN73" i="26" s="1"/>
  <c r="BM66" i="26"/>
  <c r="BL66" i="26"/>
  <c r="BK66" i="26"/>
  <c r="BK73" i="26" s="1"/>
  <c r="BJ66" i="26"/>
  <c r="BJ73" i="26" s="1"/>
  <c r="BI66" i="26"/>
  <c r="BI73" i="26" s="1"/>
  <c r="BH66" i="26"/>
  <c r="BH73" i="26" s="1"/>
  <c r="BG66" i="26"/>
  <c r="BF66" i="26"/>
  <c r="BF73" i="26" s="1"/>
  <c r="BE66" i="26"/>
  <c r="BE73" i="26" s="1"/>
  <c r="BD66" i="26"/>
  <c r="BD73" i="26" s="1"/>
  <c r="BC66" i="26"/>
  <c r="BC73" i="26" s="1"/>
  <c r="BB66" i="26"/>
  <c r="BB73" i="26" s="1"/>
  <c r="BA66" i="26"/>
  <c r="BA73" i="26" s="1"/>
  <c r="AZ66" i="26"/>
  <c r="AI66" i="26"/>
  <c r="AH66" i="26"/>
  <c r="AG65" i="26"/>
  <c r="BJ17" i="26"/>
  <c r="BI17" i="26"/>
  <c r="BE17" i="26"/>
  <c r="BA17" i="26"/>
  <c r="AO17" i="26"/>
  <c r="AN17" i="26"/>
  <c r="AI64" i="26"/>
  <c r="AH64" i="26"/>
  <c r="AI63" i="26"/>
  <c r="AH63" i="26"/>
  <c r="AI62" i="26"/>
  <c r="AH62" i="26"/>
  <c r="AG61" i="26"/>
  <c r="AD61" i="26"/>
  <c r="AC61" i="26"/>
  <c r="AB61" i="26"/>
  <c r="BG16" i="26" s="1"/>
  <c r="AA61" i="26"/>
  <c r="Z61" i="26"/>
  <c r="BF16" i="26" s="1"/>
  <c r="Y61" i="26"/>
  <c r="V61" i="26"/>
  <c r="U61" i="26"/>
  <c r="T61" i="26"/>
  <c r="S61" i="26"/>
  <c r="R61" i="26"/>
  <c r="AZ16" i="26" s="1"/>
  <c r="Q61" i="26"/>
  <c r="P61" i="26"/>
  <c r="O61" i="26"/>
  <c r="N61" i="26"/>
  <c r="M61" i="26"/>
  <c r="L61" i="26"/>
  <c r="K61" i="26"/>
  <c r="J61" i="26"/>
  <c r="I61" i="26"/>
  <c r="H61" i="26"/>
  <c r="G61" i="26"/>
  <c r="AR16" i="26" s="1"/>
  <c r="F61" i="26"/>
  <c r="E61" i="26"/>
  <c r="C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P23" i="26"/>
  <c r="AI23" i="26"/>
  <c r="AH23" i="26"/>
  <c r="AI22" i="26"/>
  <c r="AH22" i="26"/>
  <c r="BJ21" i="26"/>
  <c r="BI21" i="26"/>
  <c r="BH21" i="26"/>
  <c r="BG21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I21" i="26"/>
  <c r="AH21" i="26"/>
  <c r="BJ20" i="26"/>
  <c r="BI20" i="26"/>
  <c r="BG20" i="26"/>
  <c r="BF20" i="26"/>
  <c r="BE20" i="26"/>
  <c r="BD20" i="26"/>
  <c r="BC20" i="26"/>
  <c r="BB20" i="26"/>
  <c r="BA20" i="26"/>
  <c r="AZ20" i="26"/>
  <c r="AX20" i="26"/>
  <c r="AV20" i="26"/>
  <c r="AU20" i="26"/>
  <c r="AS20" i="26"/>
  <c r="AQ20" i="26"/>
  <c r="AP20" i="26"/>
  <c r="AM20" i="26"/>
  <c r="AI20" i="26"/>
  <c r="AH20" i="26"/>
  <c r="BG19" i="26"/>
  <c r="BA19" i="26"/>
  <c r="AR19" i="26"/>
  <c r="AM19" i="26"/>
  <c r="AI19" i="26"/>
  <c r="AH19" i="26"/>
  <c r="BJ18" i="26"/>
  <c r="BI18" i="26"/>
  <c r="BH18" i="26"/>
  <c r="BF18" i="26"/>
  <c r="BE18" i="26"/>
  <c r="BC18" i="26"/>
  <c r="BA18" i="26"/>
  <c r="AZ18" i="26"/>
  <c r="AX18" i="26"/>
  <c r="AW18" i="26"/>
  <c r="AV18" i="26"/>
  <c r="AT18" i="26"/>
  <c r="AS18" i="26"/>
  <c r="AP18" i="26"/>
  <c r="AO18" i="26"/>
  <c r="AN18" i="26"/>
  <c r="AM18" i="26"/>
  <c r="AI18" i="26"/>
  <c r="AH18" i="26"/>
  <c r="BH17" i="26"/>
  <c r="BG17" i="26"/>
  <c r="BC17" i="26"/>
  <c r="BB17" i="26"/>
  <c r="AY17" i="26"/>
  <c r="AV17" i="26"/>
  <c r="AU17" i="26"/>
  <c r="AT17" i="26"/>
  <c r="AQ17" i="26"/>
  <c r="AP17" i="26"/>
  <c r="AM17" i="26"/>
  <c r="AI17" i="26"/>
  <c r="AH17" i="26"/>
  <c r="BI16" i="26"/>
  <c r="BH16" i="26"/>
  <c r="BC16" i="26"/>
  <c r="BB16" i="26"/>
  <c r="BA16" i="26"/>
  <c r="AW16" i="26"/>
  <c r="AV16" i="26"/>
  <c r="AU16" i="26"/>
  <c r="AS16" i="26"/>
  <c r="AQ16" i="26"/>
  <c r="AO16" i="26"/>
  <c r="AN16" i="26"/>
  <c r="AI16" i="26"/>
  <c r="AH16" i="26"/>
  <c r="AI15" i="26"/>
  <c r="AH15" i="26"/>
  <c r="AI14" i="26"/>
  <c r="AH14" i="26"/>
  <c r="AI13" i="26"/>
  <c r="AH13" i="26"/>
  <c r="AL12" i="26"/>
  <c r="AI12" i="26"/>
  <c r="AH12" i="26"/>
  <c r="AI11" i="26"/>
  <c r="AH11" i="26"/>
  <c r="AF5" i="26"/>
  <c r="AB5" i="26"/>
  <c r="AA5" i="26"/>
  <c r="W5" i="26"/>
  <c r="I5" i="26"/>
  <c r="F5" i="26"/>
  <c r="C5" i="26"/>
  <c r="AG4" i="26"/>
  <c r="K4" i="26"/>
  <c r="E4" i="26"/>
  <c r="H4" i="26" s="1"/>
  <c r="B4" i="26"/>
  <c r="D261" i="26" s="1"/>
  <c r="AG3" i="26"/>
  <c r="AF124" i="25"/>
  <c r="AE60" i="25"/>
  <c r="AD124" i="25"/>
  <c r="AD60" i="25"/>
  <c r="AC124" i="25"/>
  <c r="AC60" i="25"/>
  <c r="AB124" i="25"/>
  <c r="AB60" i="25"/>
  <c r="AF110" i="26" l="1"/>
  <c r="BJ23" i="26" s="1"/>
  <c r="AE5" i="26"/>
  <c r="AE110" i="26"/>
  <c r="BI23" i="26" s="1"/>
  <c r="AD5" i="26"/>
  <c r="BI19" i="26"/>
  <c r="AE100" i="26"/>
  <c r="AE102" i="26" s="1"/>
  <c r="AE103" i="26" s="1"/>
  <c r="AE7" i="26" s="1"/>
  <c r="BH19" i="26"/>
  <c r="AD100" i="26"/>
  <c r="AD102" i="26" s="1"/>
  <c r="BH22" i="26"/>
  <c r="AC110" i="26"/>
  <c r="AC111" i="26" s="1"/>
  <c r="AC100" i="26"/>
  <c r="AC102" i="26" s="1"/>
  <c r="AC103" i="26" s="1"/>
  <c r="AC7" i="26" s="1"/>
  <c r="AA100" i="26"/>
  <c r="AA102" i="26" s="1"/>
  <c r="AA110" i="26"/>
  <c r="AA111" i="26" s="1"/>
  <c r="Z110" i="26"/>
  <c r="BF23" i="26" s="1"/>
  <c r="Y5" i="26"/>
  <c r="BF19" i="26"/>
  <c r="V5" i="26"/>
  <c r="W110" i="26"/>
  <c r="W103" i="26" s="1"/>
  <c r="W7" i="26" s="1"/>
  <c r="BE23" i="26"/>
  <c r="W111" i="26"/>
  <c r="U5" i="26"/>
  <c r="V100" i="26"/>
  <c r="V102" i="26" s="1"/>
  <c r="BD16" i="26"/>
  <c r="AI105" i="26"/>
  <c r="T5" i="26"/>
  <c r="U110" i="26"/>
  <c r="BC23" i="26" s="1"/>
  <c r="BC19" i="26"/>
  <c r="BC22" i="26" s="1"/>
  <c r="U100" i="26"/>
  <c r="U102" i="26" s="1"/>
  <c r="U103" i="26" s="1"/>
  <c r="U7" i="26" s="1"/>
  <c r="BB19" i="26"/>
  <c r="T100" i="26"/>
  <c r="T102" i="26" s="1"/>
  <c r="BB22" i="26"/>
  <c r="AH109" i="26"/>
  <c r="S110" i="26"/>
  <c r="BA23" i="26" s="1"/>
  <c r="S100" i="26"/>
  <c r="S102" i="26" s="1"/>
  <c r="S103" i="26" s="1"/>
  <c r="S7" i="26" s="1"/>
  <c r="S111" i="26"/>
  <c r="BA22" i="26"/>
  <c r="BA24" i="26" s="1"/>
  <c r="R111" i="26"/>
  <c r="AZ19" i="26"/>
  <c r="Q5" i="26"/>
  <c r="R100" i="26"/>
  <c r="R102" i="26" s="1"/>
  <c r="R103" i="26" s="1"/>
  <c r="R7" i="26" s="1"/>
  <c r="Q110" i="26"/>
  <c r="AY23" i="26" s="1"/>
  <c r="AI109" i="26"/>
  <c r="P110" i="26"/>
  <c r="AX23" i="26" s="1"/>
  <c r="O5" i="26"/>
  <c r="AX19" i="26"/>
  <c r="O110" i="26"/>
  <c r="AW23" i="26" s="1"/>
  <c r="N5" i="26"/>
  <c r="AW19" i="26"/>
  <c r="AW22" i="26"/>
  <c r="AW24" i="26" s="1"/>
  <c r="O100" i="26"/>
  <c r="O102" i="26" s="1"/>
  <c r="O103" i="26" s="1"/>
  <c r="O7" i="26" s="1"/>
  <c r="M5" i="26"/>
  <c r="N100" i="26"/>
  <c r="N102" i="26" s="1"/>
  <c r="AH108" i="26"/>
  <c r="AI108" i="26"/>
  <c r="L5" i="26"/>
  <c r="M110" i="26"/>
  <c r="AU23" i="26" s="1"/>
  <c r="M100" i="26"/>
  <c r="M102" i="26" s="1"/>
  <c r="M103" i="26" s="1"/>
  <c r="M7" i="26" s="1"/>
  <c r="AU22" i="26"/>
  <c r="AU24" i="26" s="1"/>
  <c r="L100" i="26"/>
  <c r="L102" i="26" s="1"/>
  <c r="K110" i="26"/>
  <c r="AT23" i="26" s="1"/>
  <c r="K111" i="26"/>
  <c r="AT19" i="26"/>
  <c r="AT22" i="26" s="1"/>
  <c r="AT24" i="26" s="1"/>
  <c r="J5" i="26"/>
  <c r="K100" i="26"/>
  <c r="K102" i="26" s="1"/>
  <c r="K103" i="26" s="1"/>
  <c r="K7" i="26" s="1"/>
  <c r="AT16" i="26"/>
  <c r="J110" i="26"/>
  <c r="J111" i="26"/>
  <c r="I110" i="26"/>
  <c r="AS23" i="26" s="1"/>
  <c r="AI104" i="26"/>
  <c r="H110" i="26"/>
  <c r="H111" i="26"/>
  <c r="G110" i="26"/>
  <c r="AR23" i="26" s="1"/>
  <c r="E5" i="26"/>
  <c r="F100" i="26"/>
  <c r="F102" i="26" s="1"/>
  <c r="AQ22" i="26"/>
  <c r="D5" i="26"/>
  <c r="AP19" i="26"/>
  <c r="E100" i="26"/>
  <c r="E102" i="26" s="1"/>
  <c r="E103" i="26" s="1"/>
  <c r="E7" i="26" s="1"/>
  <c r="AP16" i="26"/>
  <c r="AR22" i="26"/>
  <c r="AR24" i="26" s="1"/>
  <c r="G100" i="26"/>
  <c r="G102" i="26" s="1"/>
  <c r="G103" i="26" s="1"/>
  <c r="G7" i="26" s="1"/>
  <c r="BD22" i="26"/>
  <c r="J100" i="26"/>
  <c r="J102" i="26" s="1"/>
  <c r="J103" i="26" s="1"/>
  <c r="J7" i="26" s="1"/>
  <c r="Z100" i="26"/>
  <c r="Z102" i="26" s="1"/>
  <c r="Z103" i="26" s="1"/>
  <c r="Z7" i="26" s="1"/>
  <c r="AV22" i="26"/>
  <c r="BF22" i="26"/>
  <c r="AP22" i="26"/>
  <c r="AP24" i="26" s="1"/>
  <c r="AZ22" i="26"/>
  <c r="AZ24" i="26" s="1"/>
  <c r="AI83" i="26"/>
  <c r="D100" i="26"/>
  <c r="D102" i="26" s="1"/>
  <c r="AH106" i="26"/>
  <c r="AO22" i="26"/>
  <c r="AI106" i="26"/>
  <c r="C110" i="26"/>
  <c r="AN23" i="26" s="1"/>
  <c r="AN19" i="26"/>
  <c r="B5" i="26"/>
  <c r="AN20" i="26"/>
  <c r="C100" i="26"/>
  <c r="C102" i="26" s="1"/>
  <c r="AH61" i="26"/>
  <c r="AM16" i="26"/>
  <c r="AM22" i="26" s="1"/>
  <c r="BG22" i="26"/>
  <c r="AS22" i="26"/>
  <c r="AS24" i="26" s="1"/>
  <c r="Y111" i="26"/>
  <c r="X5" i="26"/>
  <c r="I111" i="26"/>
  <c r="H5" i="26"/>
  <c r="AS19" i="26"/>
  <c r="AI95" i="26"/>
  <c r="X100" i="26"/>
  <c r="X102" i="26" s="1"/>
  <c r="X103" i="26" s="1"/>
  <c r="X7" i="26" s="1"/>
  <c r="BE16" i="26"/>
  <c r="BE22" i="26" s="1"/>
  <c r="BE24" i="26" s="1"/>
  <c r="Q111" i="26"/>
  <c r="P5" i="26"/>
  <c r="AY19" i="26"/>
  <c r="H100" i="26"/>
  <c r="H102" i="26" s="1"/>
  <c r="H103" i="26" s="1"/>
  <c r="H7" i="26" s="1"/>
  <c r="P100" i="26"/>
  <c r="P102" i="26" s="1"/>
  <c r="AX16" i="26"/>
  <c r="AF100" i="26"/>
  <c r="AF102" i="26" s="1"/>
  <c r="AF103" i="26" s="1"/>
  <c r="AF7" i="26" s="1"/>
  <c r="BJ16" i="26"/>
  <c r="BJ22" i="26" s="1"/>
  <c r="BJ24" i="26" s="1"/>
  <c r="AH65" i="26"/>
  <c r="BI22" i="26"/>
  <c r="BI24" i="26" s="1"/>
  <c r="Q100" i="26"/>
  <c r="Q102" i="26" s="1"/>
  <c r="Q103" i="26" s="1"/>
  <c r="Q7" i="26" s="1"/>
  <c r="AI65" i="26"/>
  <c r="BG82" i="26" a="1"/>
  <c r="I100" i="26"/>
  <c r="I102" i="26" s="1"/>
  <c r="I103" i="26" s="1"/>
  <c r="I7" i="26" s="1"/>
  <c r="Y100" i="26"/>
  <c r="Y102" i="26" s="1"/>
  <c r="Y103" i="26" s="1"/>
  <c r="Y7" i="26" s="1"/>
  <c r="AG100" i="26"/>
  <c r="AG2" i="26"/>
  <c r="AG6" i="26" s="1"/>
  <c r="AH83" i="26"/>
  <c r="AL13" i="26"/>
  <c r="AI61" i="26"/>
  <c r="D110" i="26"/>
  <c r="AO23" i="26" s="1"/>
  <c r="L110" i="26"/>
  <c r="L111" i="26" s="1"/>
  <c r="T110" i="26"/>
  <c r="BB23" i="26" s="1"/>
  <c r="BB24" i="26" s="1"/>
  <c r="AB110" i="26"/>
  <c r="BG23" i="26" s="1"/>
  <c r="AB100" i="26"/>
  <c r="AB102" i="26" s="1"/>
  <c r="F110" i="26"/>
  <c r="AQ23" i="26" s="1"/>
  <c r="AQ24" i="26" s="1"/>
  <c r="N110" i="26"/>
  <c r="AV23" i="26" s="1"/>
  <c r="AV24" i="26" s="1"/>
  <c r="V110" i="26"/>
  <c r="BD23" i="26" s="1"/>
  <c r="AD110" i="26"/>
  <c r="BH23" i="26" s="1"/>
  <c r="BH24" i="26" s="1"/>
  <c r="AY16" i="26"/>
  <c r="AI107" i="26"/>
  <c r="D121" i="26"/>
  <c r="E254" i="26"/>
  <c r="F254" i="26" s="1"/>
  <c r="G254" i="26" s="1"/>
  <c r="H254" i="26" s="1"/>
  <c r="I254" i="26" s="1"/>
  <c r="J254" i="26" s="1"/>
  <c r="K254" i="26" s="1"/>
  <c r="L254" i="26" s="1"/>
  <c r="M254" i="26" s="1"/>
  <c r="N254" i="26" s="1"/>
  <c r="O254" i="26" s="1"/>
  <c r="P254" i="26" s="1"/>
  <c r="Q254" i="26" s="1"/>
  <c r="R254" i="26" s="1"/>
  <c r="S254" i="26" s="1"/>
  <c r="T254" i="26" s="1"/>
  <c r="U254" i="26" s="1"/>
  <c r="V254" i="26" s="1"/>
  <c r="W254" i="26" s="1"/>
  <c r="X254" i="26" s="1"/>
  <c r="Y254" i="26" s="1"/>
  <c r="Z254" i="26" s="1"/>
  <c r="AA254" i="26" s="1"/>
  <c r="AB254" i="26" s="1"/>
  <c r="AC254" i="26" s="1"/>
  <c r="AD254" i="26" s="1"/>
  <c r="AE254" i="26" s="1"/>
  <c r="AF254" i="26" s="1"/>
  <c r="B254" i="26" s="1"/>
  <c r="AI79" i="26"/>
  <c r="AH79" i="26"/>
  <c r="AH95" i="26"/>
  <c r="AH104" i="26"/>
  <c r="AH105" i="26"/>
  <c r="E249" i="26"/>
  <c r="AH107" i="26"/>
  <c r="AF111" i="26" l="1"/>
  <c r="AE111" i="26"/>
  <c r="AD111" i="26"/>
  <c r="AA103" i="26"/>
  <c r="AA7" i="26" s="1"/>
  <c r="BF24" i="26"/>
  <c r="Z111" i="26"/>
  <c r="BD24" i="26"/>
  <c r="BC24" i="26"/>
  <c r="U111" i="26"/>
  <c r="P103" i="26"/>
  <c r="P7" i="26" s="1"/>
  <c r="AX22" i="26"/>
  <c r="AX24" i="26" s="1"/>
  <c r="P111" i="26"/>
  <c r="O111" i="26"/>
  <c r="M111" i="26"/>
  <c r="G111" i="26"/>
  <c r="C259" i="26"/>
  <c r="B259" i="26"/>
  <c r="AO24" i="26"/>
  <c r="C103" i="26"/>
  <c r="C7" i="26" s="1"/>
  <c r="C111" i="26"/>
  <c r="AN22" i="26"/>
  <c r="AN24" i="26" s="1"/>
  <c r="AI102" i="26"/>
  <c r="AH102" i="26"/>
  <c r="AB103" i="26"/>
  <c r="AB7" i="26" s="1"/>
  <c r="AH100" i="26"/>
  <c r="V103" i="26"/>
  <c r="V7" i="26" s="1"/>
  <c r="BG24" i="26"/>
  <c r="T103" i="26"/>
  <c r="T7" i="26" s="1"/>
  <c r="F249" i="26"/>
  <c r="E121" i="26"/>
  <c r="E255" i="26"/>
  <c r="AI110" i="26"/>
  <c r="AH110" i="26"/>
  <c r="AM23" i="26"/>
  <c r="AM24" i="26" s="1"/>
  <c r="T111" i="26"/>
  <c r="N103" i="26"/>
  <c r="N7" i="26" s="1"/>
  <c r="L103" i="26"/>
  <c r="L7" i="26" s="1"/>
  <c r="D103" i="26"/>
  <c r="D7" i="26" s="1"/>
  <c r="AB111" i="26"/>
  <c r="AI100" i="26"/>
  <c r="V111" i="26"/>
  <c r="AY22" i="26"/>
  <c r="AY24" i="26" s="1"/>
  <c r="N111" i="26"/>
  <c r="F111" i="26"/>
  <c r="D111" i="26"/>
  <c r="AD103" i="26"/>
  <c r="AD7" i="26" s="1"/>
  <c r="BK105" i="26"/>
  <c r="BI104" i="26"/>
  <c r="BG103" i="26"/>
  <c r="BK101" i="26"/>
  <c r="BI100" i="26"/>
  <c r="BG99" i="26"/>
  <c r="BK97" i="26"/>
  <c r="BI96" i="26"/>
  <c r="BG95" i="26"/>
  <c r="BK93" i="26"/>
  <c r="BI92" i="26"/>
  <c r="BG91" i="26"/>
  <c r="BK89" i="26"/>
  <c r="BI88" i="26"/>
  <c r="BG87" i="26"/>
  <c r="BK85" i="26"/>
  <c r="BI84" i="26"/>
  <c r="BI105" i="26"/>
  <c r="BG104" i="26"/>
  <c r="BK102" i="26"/>
  <c r="BI101" i="26"/>
  <c r="BG100" i="26"/>
  <c r="BK98" i="26"/>
  <c r="BI97" i="26"/>
  <c r="BG96" i="26"/>
  <c r="BK94" i="26"/>
  <c r="BI93" i="26"/>
  <c r="BG92" i="26"/>
  <c r="BK90" i="26"/>
  <c r="BI89" i="26"/>
  <c r="BG88" i="26"/>
  <c r="BK86" i="26"/>
  <c r="BI85" i="26"/>
  <c r="BG84" i="26"/>
  <c r="BK82" i="26"/>
  <c r="BG105" i="26"/>
  <c r="BK103" i="26"/>
  <c r="BI102" i="26"/>
  <c r="BG101" i="26"/>
  <c r="BK99" i="26"/>
  <c r="BI98" i="26"/>
  <c r="BG97" i="26"/>
  <c r="BK95" i="26"/>
  <c r="BI94" i="26"/>
  <c r="BG93" i="26"/>
  <c r="BK91" i="26"/>
  <c r="BI90" i="26"/>
  <c r="BG89" i="26"/>
  <c r="BK87" i="26"/>
  <c r="BI86" i="26"/>
  <c r="BG85" i="26"/>
  <c r="BK104" i="26"/>
  <c r="BI103" i="26"/>
  <c r="BG102" i="26"/>
  <c r="BK100" i="26"/>
  <c r="BI99" i="26"/>
  <c r="BG98" i="26"/>
  <c r="BK96" i="26"/>
  <c r="BI95" i="26"/>
  <c r="BG94" i="26"/>
  <c r="BK92" i="26"/>
  <c r="BI91" i="26"/>
  <c r="BG90" i="26"/>
  <c r="BK88" i="26"/>
  <c r="BI87" i="26"/>
  <c r="BG86" i="26"/>
  <c r="BK84" i="26"/>
  <c r="BI83" i="26"/>
  <c r="BG82" i="26"/>
  <c r="BH105" i="26"/>
  <c r="BJ102" i="26"/>
  <c r="BL99" i="26"/>
  <c r="BH97" i="26"/>
  <c r="BJ94" i="26"/>
  <c r="BL91" i="26"/>
  <c r="BH89" i="26"/>
  <c r="BJ86" i="26"/>
  <c r="BL83" i="26"/>
  <c r="BH82" i="26"/>
  <c r="BL104" i="26"/>
  <c r="BH102" i="26"/>
  <c r="BJ99" i="26"/>
  <c r="BL96" i="26"/>
  <c r="BH94" i="26"/>
  <c r="BJ91" i="26"/>
  <c r="BL88" i="26"/>
  <c r="BH86" i="26"/>
  <c r="BK83" i="26"/>
  <c r="BJ104" i="26"/>
  <c r="BL101" i="26"/>
  <c r="BH99" i="26"/>
  <c r="BJ96" i="26"/>
  <c r="BL93" i="26"/>
  <c r="BH91" i="26"/>
  <c r="BJ88" i="26"/>
  <c r="BL85" i="26"/>
  <c r="BJ83" i="26"/>
  <c r="BH104" i="26"/>
  <c r="BJ101" i="26"/>
  <c r="BL98" i="26"/>
  <c r="BH96" i="26"/>
  <c r="BJ93" i="26"/>
  <c r="BL90" i="26"/>
  <c r="BH88" i="26"/>
  <c r="BJ85" i="26"/>
  <c r="BH83" i="26"/>
  <c r="BL103" i="26"/>
  <c r="BH101" i="26"/>
  <c r="BJ98" i="26"/>
  <c r="BL95" i="26"/>
  <c r="BH93" i="26"/>
  <c r="BJ90" i="26"/>
  <c r="BL87" i="26"/>
  <c r="BH85" i="26"/>
  <c r="BG83" i="26"/>
  <c r="BJ103" i="26"/>
  <c r="BL100" i="26"/>
  <c r="BH98" i="26"/>
  <c r="BJ95" i="26"/>
  <c r="BL92" i="26"/>
  <c r="BH90" i="26"/>
  <c r="BJ87" i="26"/>
  <c r="BL84" i="26"/>
  <c r="BL82" i="26"/>
  <c r="BL105" i="26"/>
  <c r="BH103" i="26"/>
  <c r="BJ100" i="26"/>
  <c r="BL97" i="26"/>
  <c r="BH95" i="26"/>
  <c r="BJ92" i="26"/>
  <c r="BL89" i="26"/>
  <c r="BH87" i="26"/>
  <c r="BJ84" i="26"/>
  <c r="BJ82" i="26"/>
  <c r="BH92" i="26"/>
  <c r="BJ89" i="26"/>
  <c r="BL86" i="26"/>
  <c r="BJ105" i="26"/>
  <c r="BH84" i="26"/>
  <c r="BL102" i="26"/>
  <c r="BI82" i="26"/>
  <c r="BH100" i="26"/>
  <c r="BJ97" i="26"/>
  <c r="BL94" i="26"/>
  <c r="F103" i="26"/>
  <c r="F7" i="26" s="1"/>
  <c r="K6" i="26" l="1"/>
  <c r="AI111" i="26"/>
  <c r="AH111" i="26"/>
  <c r="AT8" i="26"/>
  <c r="AT9" i="26"/>
  <c r="G249" i="26"/>
  <c r="F255" i="26"/>
  <c r="F121" i="26"/>
  <c r="AI103" i="26"/>
  <c r="AH103" i="26"/>
  <c r="B7" i="26"/>
  <c r="A7" i="26" s="1"/>
  <c r="H249" i="26" l="1"/>
  <c r="G255" i="26"/>
  <c r="G121" i="26"/>
  <c r="I249" i="26" l="1"/>
  <c r="H255" i="26"/>
  <c r="H121" i="26"/>
  <c r="I255" i="26" l="1"/>
  <c r="I121" i="26"/>
  <c r="J249" i="26"/>
  <c r="J255" i="26" l="1"/>
  <c r="J121" i="26"/>
  <c r="K249" i="26"/>
  <c r="K255" i="26" l="1"/>
  <c r="K121" i="26"/>
  <c r="L249" i="26"/>
  <c r="L255" i="26" l="1"/>
  <c r="L121" i="26"/>
  <c r="M249" i="26"/>
  <c r="N249" i="26" l="1"/>
  <c r="M255" i="26"/>
  <c r="M121" i="26"/>
  <c r="O249" i="26" l="1"/>
  <c r="N255" i="26"/>
  <c r="N121" i="26"/>
  <c r="P249" i="26" l="1"/>
  <c r="O255" i="26"/>
  <c r="O121" i="26"/>
  <c r="Q249" i="26" l="1"/>
  <c r="P255" i="26"/>
  <c r="Q255" i="26" l="1"/>
  <c r="Q121" i="26"/>
  <c r="R249" i="26"/>
  <c r="R255" i="26" l="1"/>
  <c r="R121" i="26"/>
  <c r="S249" i="26"/>
  <c r="S255" i="26" l="1"/>
  <c r="S121" i="26"/>
  <c r="T249" i="26"/>
  <c r="T255" i="26" l="1"/>
  <c r="T121" i="26"/>
  <c r="U249" i="26"/>
  <c r="U121" i="26" l="1"/>
  <c r="V249" i="26"/>
  <c r="U255" i="26"/>
  <c r="W249" i="26" l="1"/>
  <c r="V255" i="26"/>
  <c r="V121" i="26"/>
  <c r="X249" i="26" l="1"/>
  <c r="W255" i="26"/>
  <c r="W121" i="26"/>
  <c r="Y249" i="26" l="1"/>
  <c r="X255" i="26"/>
  <c r="X121" i="26"/>
  <c r="Y255" i="26" l="1"/>
  <c r="Z249" i="26"/>
  <c r="Z255" i="26" l="1"/>
  <c r="AA249" i="26"/>
  <c r="AA255" i="26" l="1"/>
  <c r="AA121" i="26"/>
  <c r="AB249" i="26"/>
  <c r="AB255" i="26" l="1"/>
  <c r="AB121" i="26"/>
  <c r="AC249" i="26"/>
  <c r="AC121" i="26" l="1"/>
  <c r="AD249" i="26"/>
  <c r="AC255" i="26"/>
  <c r="AE249" i="26" l="1"/>
  <c r="AD255" i="26"/>
  <c r="AD121" i="26"/>
  <c r="AF249" i="26" l="1"/>
  <c r="AE255" i="26"/>
  <c r="AE121" i="26"/>
  <c r="AF255" i="26" l="1"/>
  <c r="AF121" i="26"/>
  <c r="B249" i="26"/>
  <c r="B255" i="26" l="1"/>
  <c r="AI121" i="26" l="1"/>
  <c r="AH121" i="26"/>
  <c r="T60" i="25" l="1"/>
  <c r="S60" i="25" l="1"/>
  <c r="R124" i="25"/>
  <c r="R60" i="25"/>
  <c r="R61" i="25"/>
  <c r="R65" i="25"/>
  <c r="R79" i="25"/>
  <c r="R83" i="25"/>
  <c r="Q124" i="25"/>
  <c r="P124" i="25"/>
  <c r="Q60" i="25"/>
  <c r="O124" i="25" l="1"/>
  <c r="O60" i="25" l="1"/>
  <c r="N124" i="25"/>
  <c r="N60" i="25"/>
  <c r="M124" i="25"/>
  <c r="M60" i="25"/>
  <c r="L61" i="25"/>
  <c r="L65" i="25"/>
  <c r="L79" i="25"/>
  <c r="J61" i="25"/>
  <c r="K61" i="25"/>
  <c r="J65" i="25"/>
  <c r="K65" i="25"/>
  <c r="I61" i="25" l="1"/>
  <c r="I65" i="25"/>
  <c r="I79" i="25"/>
  <c r="I83" i="25"/>
  <c r="I95" i="25"/>
  <c r="H61" i="25"/>
  <c r="H65" i="25"/>
  <c r="H79" i="25"/>
  <c r="H83" i="25"/>
  <c r="G61" i="25"/>
  <c r="G65" i="25"/>
  <c r="G79" i="25"/>
  <c r="I100" i="25" l="1"/>
  <c r="D60" i="25"/>
  <c r="C60" i="25"/>
  <c r="B60" i="25"/>
  <c r="AG255" i="25"/>
  <c r="C255" i="25"/>
  <c r="E254" i="25"/>
  <c r="F254" i="25" s="1"/>
  <c r="G254" i="25" s="1"/>
  <c r="H254" i="25" s="1"/>
  <c r="I254" i="25" s="1"/>
  <c r="J254" i="25" s="1"/>
  <c r="K254" i="25" s="1"/>
  <c r="L254" i="25" s="1"/>
  <c r="M254" i="25" s="1"/>
  <c r="N254" i="25" s="1"/>
  <c r="O254" i="25" s="1"/>
  <c r="P254" i="25" s="1"/>
  <c r="Q254" i="25" s="1"/>
  <c r="R254" i="25" s="1"/>
  <c r="S254" i="25" s="1"/>
  <c r="T254" i="25" s="1"/>
  <c r="U254" i="25" s="1"/>
  <c r="V254" i="25" s="1"/>
  <c r="W254" i="25" s="1"/>
  <c r="X254" i="25" s="1"/>
  <c r="Y254" i="25" s="1"/>
  <c r="Z254" i="25" s="1"/>
  <c r="AA254" i="25" s="1"/>
  <c r="AB254" i="25" s="1"/>
  <c r="AC254" i="25" s="1"/>
  <c r="AD254" i="25" s="1"/>
  <c r="AE254" i="25" s="1"/>
  <c r="AF254" i="25" s="1"/>
  <c r="B254" i="25" s="1"/>
  <c r="D254" i="25"/>
  <c r="D253" i="25"/>
  <c r="E253" i="25" s="1"/>
  <c r="F253" i="25" s="1"/>
  <c r="G253" i="25" s="1"/>
  <c r="H253" i="25" s="1"/>
  <c r="I253" i="25" s="1"/>
  <c r="J253" i="25" s="1"/>
  <c r="K253" i="25" s="1"/>
  <c r="L253" i="25" s="1"/>
  <c r="M253" i="25" s="1"/>
  <c r="N253" i="25" s="1"/>
  <c r="O253" i="25" s="1"/>
  <c r="P253" i="25" s="1"/>
  <c r="Q253" i="25" s="1"/>
  <c r="R253" i="25" s="1"/>
  <c r="S253" i="25" s="1"/>
  <c r="T253" i="25" s="1"/>
  <c r="U253" i="25" s="1"/>
  <c r="V253" i="25" s="1"/>
  <c r="W253" i="25" s="1"/>
  <c r="X253" i="25" s="1"/>
  <c r="Y253" i="25" s="1"/>
  <c r="Z253" i="25" s="1"/>
  <c r="AA253" i="25" s="1"/>
  <c r="AB253" i="25" s="1"/>
  <c r="AC253" i="25" s="1"/>
  <c r="AD253" i="25" s="1"/>
  <c r="AE253" i="25" s="1"/>
  <c r="AF253" i="25" s="1"/>
  <c r="B253" i="25" s="1"/>
  <c r="D252" i="25"/>
  <c r="E252" i="25" s="1"/>
  <c r="F252" i="25" s="1"/>
  <c r="G252" i="25" s="1"/>
  <c r="H252" i="25" s="1"/>
  <c r="I252" i="25" s="1"/>
  <c r="J252" i="25" s="1"/>
  <c r="K252" i="25" s="1"/>
  <c r="L252" i="25" s="1"/>
  <c r="M252" i="25" s="1"/>
  <c r="N252" i="25" s="1"/>
  <c r="O252" i="25" s="1"/>
  <c r="P252" i="25" s="1"/>
  <c r="Q252" i="25" s="1"/>
  <c r="R252" i="25" s="1"/>
  <c r="S252" i="25" s="1"/>
  <c r="T252" i="25" s="1"/>
  <c r="U252" i="25" s="1"/>
  <c r="V252" i="25" s="1"/>
  <c r="W252" i="25" s="1"/>
  <c r="X252" i="25" s="1"/>
  <c r="Y252" i="25" s="1"/>
  <c r="Z252" i="25" s="1"/>
  <c r="AA252" i="25" s="1"/>
  <c r="AB252" i="25" s="1"/>
  <c r="AC252" i="25" s="1"/>
  <c r="AD252" i="25" s="1"/>
  <c r="AE252" i="25" s="1"/>
  <c r="AF252" i="25" s="1"/>
  <c r="B252" i="25" s="1"/>
  <c r="O251" i="25"/>
  <c r="P251" i="25" s="1"/>
  <c r="Q251" i="25" s="1"/>
  <c r="R251" i="25" s="1"/>
  <c r="S251" i="25" s="1"/>
  <c r="T251" i="25" s="1"/>
  <c r="U251" i="25" s="1"/>
  <c r="V251" i="25" s="1"/>
  <c r="W251" i="25" s="1"/>
  <c r="X251" i="25" s="1"/>
  <c r="Y251" i="25" s="1"/>
  <c r="Z251" i="25" s="1"/>
  <c r="AA251" i="25" s="1"/>
  <c r="AB251" i="25" s="1"/>
  <c r="AC251" i="25" s="1"/>
  <c r="AD251" i="25" s="1"/>
  <c r="AE251" i="25" s="1"/>
  <c r="AF251" i="25" s="1"/>
  <c r="B251" i="25" s="1"/>
  <c r="G251" i="25"/>
  <c r="H251" i="25" s="1"/>
  <c r="I251" i="25" s="1"/>
  <c r="J251" i="25" s="1"/>
  <c r="K251" i="25" s="1"/>
  <c r="L251" i="25" s="1"/>
  <c r="M251" i="25" s="1"/>
  <c r="N251" i="25" s="1"/>
  <c r="D251" i="25"/>
  <c r="E251" i="25" s="1"/>
  <c r="F251" i="25" s="1"/>
  <c r="E250" i="25"/>
  <c r="F250" i="25" s="1"/>
  <c r="G250" i="25" s="1"/>
  <c r="H250" i="25" s="1"/>
  <c r="I250" i="25" s="1"/>
  <c r="J250" i="25" s="1"/>
  <c r="K250" i="25" s="1"/>
  <c r="L250" i="25" s="1"/>
  <c r="M250" i="25" s="1"/>
  <c r="N250" i="25" s="1"/>
  <c r="O250" i="25" s="1"/>
  <c r="P250" i="25" s="1"/>
  <c r="Q250" i="25" s="1"/>
  <c r="R250" i="25" s="1"/>
  <c r="S250" i="25" s="1"/>
  <c r="T250" i="25" s="1"/>
  <c r="U250" i="25" s="1"/>
  <c r="V250" i="25" s="1"/>
  <c r="W250" i="25" s="1"/>
  <c r="X250" i="25" s="1"/>
  <c r="Y250" i="25" s="1"/>
  <c r="Z250" i="25" s="1"/>
  <c r="AA250" i="25" s="1"/>
  <c r="AB250" i="25" s="1"/>
  <c r="AC250" i="25" s="1"/>
  <c r="AD250" i="25" s="1"/>
  <c r="AE250" i="25" s="1"/>
  <c r="AF250" i="25" s="1"/>
  <c r="B250" i="25" s="1"/>
  <c r="D250" i="25"/>
  <c r="D249" i="25"/>
  <c r="D255" i="25" s="1"/>
  <c r="AG247" i="25"/>
  <c r="AF247" i="25"/>
  <c r="AE247" i="25"/>
  <c r="AD247" i="25"/>
  <c r="AC247" i="25"/>
  <c r="AB247" i="25"/>
  <c r="AA247" i="25"/>
  <c r="Z247" i="25"/>
  <c r="Z121" i="25" s="1"/>
  <c r="Y247" i="25"/>
  <c r="X247" i="25"/>
  <c r="W247" i="25"/>
  <c r="V247" i="25"/>
  <c r="U247" i="25"/>
  <c r="T247" i="25"/>
  <c r="S247" i="25"/>
  <c r="R247" i="25"/>
  <c r="Q247" i="25"/>
  <c r="P247" i="25"/>
  <c r="O247" i="25"/>
  <c r="N247" i="25"/>
  <c r="M247" i="25"/>
  <c r="L247" i="25"/>
  <c r="K247" i="25"/>
  <c r="J247" i="25"/>
  <c r="I247" i="25"/>
  <c r="H247" i="25"/>
  <c r="G247" i="25"/>
  <c r="F247" i="25"/>
  <c r="E247" i="25"/>
  <c r="D247" i="25"/>
  <c r="C247" i="25"/>
  <c r="B247" i="25"/>
  <c r="AI133" i="25"/>
  <c r="AH133" i="25"/>
  <c r="AI132" i="25"/>
  <c r="AH132" i="25"/>
  <c r="AI131" i="25"/>
  <c r="AH131" i="25"/>
  <c r="AI130" i="25"/>
  <c r="AH130" i="25"/>
  <c r="AI129" i="25"/>
  <c r="AH129" i="25"/>
  <c r="AI126" i="25"/>
  <c r="AH126" i="25"/>
  <c r="AI125" i="25"/>
  <c r="AH125" i="25"/>
  <c r="AI124" i="25"/>
  <c r="AH124" i="25"/>
  <c r="AI123" i="25"/>
  <c r="AH123" i="25"/>
  <c r="AI122" i="25"/>
  <c r="AH122" i="25"/>
  <c r="Y121" i="25"/>
  <c r="D121" i="25"/>
  <c r="C121" i="25"/>
  <c r="AI120" i="25"/>
  <c r="AH120" i="25"/>
  <c r="AI119" i="25"/>
  <c r="AH119" i="25"/>
  <c r="AI118" i="25"/>
  <c r="AH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F104" i="25"/>
  <c r="AE104" i="25"/>
  <c r="AD104" i="25"/>
  <c r="AD110" i="25" s="1"/>
  <c r="BH23" i="25" s="1"/>
  <c r="AC104" i="25"/>
  <c r="AB104" i="25"/>
  <c r="AA104" i="25"/>
  <c r="Z104" i="25"/>
  <c r="Y104" i="25"/>
  <c r="X104" i="25"/>
  <c r="X110" i="25" s="1"/>
  <c r="BE23" i="25" s="1"/>
  <c r="W104" i="25"/>
  <c r="V104" i="25"/>
  <c r="U104" i="25"/>
  <c r="T104" i="25"/>
  <c r="S104" i="25"/>
  <c r="R104" i="25"/>
  <c r="Q104" i="25"/>
  <c r="Q110" i="25" s="1"/>
  <c r="AY23" i="25" s="1"/>
  <c r="P104" i="25"/>
  <c r="P110" i="25" s="1"/>
  <c r="AX23" i="25" s="1"/>
  <c r="O104" i="25"/>
  <c r="N104" i="25"/>
  <c r="M104" i="25"/>
  <c r="L104" i="25"/>
  <c r="K104" i="25"/>
  <c r="J104" i="25"/>
  <c r="I104" i="25"/>
  <c r="H104" i="25"/>
  <c r="G104" i="25"/>
  <c r="F104" i="25"/>
  <c r="F110" i="25" s="1"/>
  <c r="AQ23" i="25" s="1"/>
  <c r="E104" i="25"/>
  <c r="D104" i="25"/>
  <c r="C104" i="25"/>
  <c r="B104" i="25"/>
  <c r="AI101" i="25"/>
  <c r="AH101" i="25"/>
  <c r="AI99" i="25"/>
  <c r="AH99" i="25"/>
  <c r="AG99" i="25"/>
  <c r="AI98" i="25"/>
  <c r="AH98" i="25"/>
  <c r="AI97" i="25"/>
  <c r="AH97" i="25"/>
  <c r="AI96" i="25"/>
  <c r="AH96" i="25"/>
  <c r="AG95" i="25"/>
  <c r="AF95" i="25"/>
  <c r="AE5" i="25" s="1"/>
  <c r="AE95" i="25"/>
  <c r="BI19" i="25" s="1"/>
  <c r="AD95" i="25"/>
  <c r="BH19" i="25" s="1"/>
  <c r="AC95" i="25"/>
  <c r="AB5" i="25" s="1"/>
  <c r="AB95" i="25"/>
  <c r="BG19" i="25" s="1"/>
  <c r="AA95" i="25"/>
  <c r="Z95" i="25"/>
  <c r="Y95" i="25"/>
  <c r="X95" i="25"/>
  <c r="W95" i="25"/>
  <c r="V5" i="25" s="1"/>
  <c r="V95" i="25"/>
  <c r="U5" i="25" s="1"/>
  <c r="U95" i="25"/>
  <c r="BC19" i="25" s="1"/>
  <c r="T95" i="25"/>
  <c r="BB19" i="25" s="1"/>
  <c r="S95" i="25"/>
  <c r="BA19" i="25" s="1"/>
  <c r="R95" i="25"/>
  <c r="Q5" i="25" s="1"/>
  <c r="Q95" i="25"/>
  <c r="P5" i="25" s="1"/>
  <c r="P95" i="25"/>
  <c r="O95" i="25"/>
  <c r="AW19" i="25" s="1"/>
  <c r="N95" i="25"/>
  <c r="M5" i="25" s="1"/>
  <c r="M95" i="25"/>
  <c r="L5" i="25" s="1"/>
  <c r="L95" i="25"/>
  <c r="L100" i="25" s="1"/>
  <c r="L102" i="25" s="1"/>
  <c r="K95" i="25"/>
  <c r="J5" i="25" s="1"/>
  <c r="J95" i="25"/>
  <c r="H95" i="25"/>
  <c r="G95" i="25"/>
  <c r="AR19" i="25" s="1"/>
  <c r="F95" i="25"/>
  <c r="E95" i="25"/>
  <c r="D5" i="25" s="1"/>
  <c r="D95" i="25"/>
  <c r="AO19" i="25" s="1"/>
  <c r="C95" i="25"/>
  <c r="AN19" i="25" s="1"/>
  <c r="B95" i="25"/>
  <c r="AM19" i="25" s="1"/>
  <c r="AI94" i="25"/>
  <c r="AH94" i="25"/>
  <c r="AI93" i="25"/>
  <c r="AH93" i="25"/>
  <c r="AI92" i="25"/>
  <c r="AH92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3" i="25"/>
  <c r="AF83" i="25"/>
  <c r="BJ20" i="25" s="1"/>
  <c r="AE83" i="25"/>
  <c r="BI20" i="25" s="1"/>
  <c r="AD83" i="25"/>
  <c r="BH20" i="25" s="1"/>
  <c r="AC83" i="25"/>
  <c r="AB83" i="25"/>
  <c r="Z83" i="25"/>
  <c r="Y83" i="25"/>
  <c r="X83" i="25"/>
  <c r="BE20" i="25" s="1"/>
  <c r="W83" i="25"/>
  <c r="V83" i="25"/>
  <c r="U83" i="25"/>
  <c r="T83" i="25"/>
  <c r="BB20" i="25" s="1"/>
  <c r="S83" i="25"/>
  <c r="Q83" i="25"/>
  <c r="AY20" i="25" s="1"/>
  <c r="P83" i="25"/>
  <c r="O83" i="25"/>
  <c r="N83" i="25"/>
  <c r="M83" i="25"/>
  <c r="AU20" i="25" s="1"/>
  <c r="L83" i="25"/>
  <c r="K83" i="25"/>
  <c r="J83" i="25"/>
  <c r="G83" i="25"/>
  <c r="F83" i="25"/>
  <c r="E83" i="25"/>
  <c r="D83" i="25"/>
  <c r="C83" i="25"/>
  <c r="B83" i="25"/>
  <c r="AI82" i="25"/>
  <c r="AH82" i="25"/>
  <c r="AI81" i="25"/>
  <c r="AH81" i="25"/>
  <c r="AI80" i="25"/>
  <c r="AH80" i="25"/>
  <c r="AF79" i="25"/>
  <c r="BJ18" i="25" s="1"/>
  <c r="AE79" i="25"/>
  <c r="BI18" i="25" s="1"/>
  <c r="AD79" i="25"/>
  <c r="AC79" i="25"/>
  <c r="AB79" i="25"/>
  <c r="Z79" i="25"/>
  <c r="BF18" i="25" s="1"/>
  <c r="Y79" i="25"/>
  <c r="X79" i="25"/>
  <c r="W79" i="25"/>
  <c r="V79" i="25"/>
  <c r="U79" i="25"/>
  <c r="T79" i="25"/>
  <c r="S79" i="25"/>
  <c r="Q79" i="25"/>
  <c r="P79" i="25"/>
  <c r="O79" i="25"/>
  <c r="N79" i="25"/>
  <c r="M79" i="25"/>
  <c r="AU18" i="25" s="1"/>
  <c r="K79" i="25"/>
  <c r="AT18" i="25" s="1"/>
  <c r="J79" i="25"/>
  <c r="F79" i="25"/>
  <c r="E79" i="25"/>
  <c r="AP18" i="25" s="1"/>
  <c r="D79" i="25"/>
  <c r="C79" i="25"/>
  <c r="B79" i="25"/>
  <c r="BI78" i="25"/>
  <c r="BH78" i="25"/>
  <c r="AI78" i="25"/>
  <c r="AH78" i="25"/>
  <c r="AG78" i="25"/>
  <c r="AG79" i="25" s="1"/>
  <c r="BS77" i="25"/>
  <c r="AI77" i="25"/>
  <c r="AH77" i="25"/>
  <c r="BU76" i="25"/>
  <c r="BN76" i="25"/>
  <c r="AI76" i="25"/>
  <c r="AH76" i="25"/>
  <c r="BQ75" i="25"/>
  <c r="AI75" i="25"/>
  <c r="AH75" i="25"/>
  <c r="BI74" i="25"/>
  <c r="AI74" i="25"/>
  <c r="AH74" i="25"/>
  <c r="AI73" i="25"/>
  <c r="AH73" i="25"/>
  <c r="AI72" i="25"/>
  <c r="AH72" i="25"/>
  <c r="BW71" i="25"/>
  <c r="BW78" i="25" s="1"/>
  <c r="BV71" i="25"/>
  <c r="BV78" i="25" s="1"/>
  <c r="BU71" i="25"/>
  <c r="BU78" i="25" s="1"/>
  <c r="BT71" i="25"/>
  <c r="BT78" i="25" s="1"/>
  <c r="BS71" i="25"/>
  <c r="BS78" i="25" s="1"/>
  <c r="BR71" i="25"/>
  <c r="BR78" i="25" s="1"/>
  <c r="BQ71" i="25"/>
  <c r="BQ78" i="25" s="1"/>
  <c r="BP71" i="25"/>
  <c r="BP78" i="25" s="1"/>
  <c r="BO71" i="25"/>
  <c r="BO78" i="25" s="1"/>
  <c r="BN71" i="25"/>
  <c r="BN78" i="25" s="1"/>
  <c r="BM71" i="25"/>
  <c r="BM78" i="25" s="1"/>
  <c r="BL71" i="25"/>
  <c r="BL78" i="25" s="1"/>
  <c r="BK71" i="25"/>
  <c r="BK78" i="25" s="1"/>
  <c r="BJ71" i="25"/>
  <c r="BJ78" i="25" s="1"/>
  <c r="BI71" i="25"/>
  <c r="BH71" i="25"/>
  <c r="BG71" i="25"/>
  <c r="BG78" i="25" s="1"/>
  <c r="BF71" i="25"/>
  <c r="BF78" i="25" s="1"/>
  <c r="BE71" i="25"/>
  <c r="BE78" i="25" s="1"/>
  <c r="BD71" i="25"/>
  <c r="BD78" i="25" s="1"/>
  <c r="BC71" i="25"/>
  <c r="BC78" i="25" s="1"/>
  <c r="BB71" i="25"/>
  <c r="BB78" i="25" s="1"/>
  <c r="BA71" i="25"/>
  <c r="BA78" i="25" s="1"/>
  <c r="AZ71" i="25"/>
  <c r="AZ78" i="25" s="1"/>
  <c r="AI71" i="25"/>
  <c r="AH71" i="25"/>
  <c r="BW70" i="25"/>
  <c r="BW77" i="25" s="1"/>
  <c r="BV70" i="25"/>
  <c r="BV77" i="25" s="1"/>
  <c r="BU70" i="25"/>
  <c r="BU77" i="25" s="1"/>
  <c r="BT70" i="25"/>
  <c r="BT77" i="25" s="1"/>
  <c r="BS70" i="25"/>
  <c r="BR70" i="25"/>
  <c r="BR77" i="25" s="1"/>
  <c r="BQ70" i="25"/>
  <c r="BQ77" i="25" s="1"/>
  <c r="BP70" i="25"/>
  <c r="BP77" i="25" s="1"/>
  <c r="BO70" i="25"/>
  <c r="BO77" i="25" s="1"/>
  <c r="BN70" i="25"/>
  <c r="BN77" i="25" s="1"/>
  <c r="BM70" i="25"/>
  <c r="BM77" i="25" s="1"/>
  <c r="BL70" i="25"/>
  <c r="BL77" i="25" s="1"/>
  <c r="BK70" i="25"/>
  <c r="BK77" i="25" s="1"/>
  <c r="BJ70" i="25"/>
  <c r="BJ77" i="25" s="1"/>
  <c r="BI70" i="25"/>
  <c r="BI77" i="25" s="1"/>
  <c r="BH70" i="25"/>
  <c r="BH77" i="25" s="1"/>
  <c r="BG70" i="25"/>
  <c r="BG77" i="25" s="1"/>
  <c r="BF70" i="25"/>
  <c r="BF77" i="25" s="1"/>
  <c r="BE70" i="25"/>
  <c r="BE77" i="25" s="1"/>
  <c r="BD70" i="25"/>
  <c r="BD77" i="25" s="1"/>
  <c r="BC70" i="25"/>
  <c r="BC77" i="25" s="1"/>
  <c r="BB70" i="25"/>
  <c r="BB77" i="25" s="1"/>
  <c r="BA70" i="25"/>
  <c r="BA77" i="25" s="1"/>
  <c r="AZ70" i="25"/>
  <c r="AZ77" i="25" s="1"/>
  <c r="AI70" i="25"/>
  <c r="AH70" i="25"/>
  <c r="BW69" i="25"/>
  <c r="BW76" i="25" s="1"/>
  <c r="BV69" i="25"/>
  <c r="BV76" i="25" s="1"/>
  <c r="BU69" i="25"/>
  <c r="BT69" i="25"/>
  <c r="BT76" i="25" s="1"/>
  <c r="BS69" i="25"/>
  <c r="BS76" i="25" s="1"/>
  <c r="BR69" i="25"/>
  <c r="BR76" i="25" s="1"/>
  <c r="BQ69" i="25"/>
  <c r="BQ76" i="25" s="1"/>
  <c r="BP69" i="25"/>
  <c r="BP76" i="25" s="1"/>
  <c r="BO69" i="25"/>
  <c r="BO76" i="25" s="1"/>
  <c r="BN69" i="25"/>
  <c r="BM69" i="25"/>
  <c r="BM76" i="25" s="1"/>
  <c r="BL69" i="25"/>
  <c r="BL76" i="25" s="1"/>
  <c r="BK69" i="25"/>
  <c r="BK76" i="25" s="1"/>
  <c r="BJ69" i="25"/>
  <c r="BJ76" i="25" s="1"/>
  <c r="BI69" i="25"/>
  <c r="BI76" i="25" s="1"/>
  <c r="BH69" i="25"/>
  <c r="BH76" i="25" s="1"/>
  <c r="BG69" i="25"/>
  <c r="BG76" i="25" s="1"/>
  <c r="BF69" i="25"/>
  <c r="BF76" i="25" s="1"/>
  <c r="BE69" i="25"/>
  <c r="BE76" i="25" s="1"/>
  <c r="BD69" i="25"/>
  <c r="BD76" i="25" s="1"/>
  <c r="BC69" i="25"/>
  <c r="BC76" i="25" s="1"/>
  <c r="BB69" i="25"/>
  <c r="BB76" i="25" s="1"/>
  <c r="BA69" i="25"/>
  <c r="BA76" i="25" s="1"/>
  <c r="AZ69" i="25"/>
  <c r="AZ76" i="25" s="1"/>
  <c r="AI69" i="25"/>
  <c r="AH69" i="25"/>
  <c r="BW68" i="25"/>
  <c r="BW75" i="25" s="1"/>
  <c r="BV68" i="25"/>
  <c r="BV75" i="25" s="1"/>
  <c r="BU68" i="25"/>
  <c r="BU75" i="25" s="1"/>
  <c r="BT68" i="25"/>
  <c r="BT75" i="25" s="1"/>
  <c r="BS68" i="25"/>
  <c r="BS75" i="25" s="1"/>
  <c r="BR68" i="25"/>
  <c r="BR75" i="25" s="1"/>
  <c r="BQ68" i="25"/>
  <c r="BP68" i="25"/>
  <c r="BP75" i="25" s="1"/>
  <c r="BO68" i="25"/>
  <c r="BO75" i="25" s="1"/>
  <c r="BN68" i="25"/>
  <c r="BN75" i="25" s="1"/>
  <c r="BM68" i="25"/>
  <c r="BM75" i="25" s="1"/>
  <c r="BL68" i="25"/>
  <c r="BL75" i="25" s="1"/>
  <c r="BK68" i="25"/>
  <c r="BK75" i="25" s="1"/>
  <c r="BJ68" i="25"/>
  <c r="BJ75" i="25" s="1"/>
  <c r="BI68" i="25"/>
  <c r="BI75" i="25" s="1"/>
  <c r="BH68" i="25"/>
  <c r="BH75" i="25" s="1"/>
  <c r="BG68" i="25"/>
  <c r="BG75" i="25" s="1"/>
  <c r="BF68" i="25"/>
  <c r="BF75" i="25" s="1"/>
  <c r="BE68" i="25"/>
  <c r="BE75" i="25" s="1"/>
  <c r="BD68" i="25"/>
  <c r="BD75" i="25" s="1"/>
  <c r="BC68" i="25"/>
  <c r="BC75" i="25" s="1"/>
  <c r="BB68" i="25"/>
  <c r="BB75" i="25" s="1"/>
  <c r="BA68" i="25"/>
  <c r="BA75" i="25" s="1"/>
  <c r="AZ68" i="25"/>
  <c r="AZ75" i="25" s="1"/>
  <c r="AI68" i="25"/>
  <c r="AH68" i="25"/>
  <c r="BW67" i="25"/>
  <c r="BW74" i="25" s="1"/>
  <c r="BV67" i="25"/>
  <c r="BV74" i="25" s="1"/>
  <c r="BU67" i="25"/>
  <c r="BU74" i="25" s="1"/>
  <c r="BT67" i="25"/>
  <c r="BT74" i="25" s="1"/>
  <c r="BS67" i="25"/>
  <c r="BS74" i="25" s="1"/>
  <c r="BR67" i="25"/>
  <c r="BR74" i="25" s="1"/>
  <c r="BQ67" i="25"/>
  <c r="BQ74" i="25" s="1"/>
  <c r="BP67" i="25"/>
  <c r="BP74" i="25" s="1"/>
  <c r="BO67" i="25"/>
  <c r="BO74" i="25" s="1"/>
  <c r="BN67" i="25"/>
  <c r="BN74" i="25" s="1"/>
  <c r="BM67" i="25"/>
  <c r="BM74" i="25" s="1"/>
  <c r="BL67" i="25"/>
  <c r="BL74" i="25" s="1"/>
  <c r="BK67" i="25"/>
  <c r="BK74" i="25" s="1"/>
  <c r="BJ67" i="25"/>
  <c r="BJ74" i="25" s="1"/>
  <c r="BI67" i="25"/>
  <c r="BH67" i="25"/>
  <c r="BH74" i="25" s="1"/>
  <c r="BG67" i="25"/>
  <c r="BG74" i="25" s="1"/>
  <c r="BF67" i="25"/>
  <c r="BF74" i="25" s="1"/>
  <c r="BE67" i="25"/>
  <c r="BE74" i="25" s="1"/>
  <c r="BD67" i="25"/>
  <c r="BD74" i="25" s="1"/>
  <c r="BC67" i="25"/>
  <c r="BC74" i="25" s="1"/>
  <c r="BB67" i="25"/>
  <c r="BB74" i="25" s="1"/>
  <c r="BA67" i="25"/>
  <c r="BA74" i="25" s="1"/>
  <c r="AZ67" i="25"/>
  <c r="AZ74" i="25" s="1"/>
  <c r="AI67" i="25"/>
  <c r="AH67" i="25"/>
  <c r="BW66" i="25"/>
  <c r="BW73" i="25" s="1"/>
  <c r="BV66" i="25"/>
  <c r="BV73" i="25" s="1"/>
  <c r="BU66" i="25"/>
  <c r="BU73" i="25" s="1"/>
  <c r="BT66" i="25"/>
  <c r="BT73" i="25" s="1"/>
  <c r="BS66" i="25"/>
  <c r="BS73" i="25" s="1"/>
  <c r="BR66" i="25"/>
  <c r="BR73" i="25" s="1"/>
  <c r="BQ66" i="25"/>
  <c r="BQ73" i="25" s="1"/>
  <c r="BP66" i="25"/>
  <c r="BP73" i="25" s="1"/>
  <c r="BO66" i="25"/>
  <c r="BO73" i="25" s="1"/>
  <c r="BN66" i="25"/>
  <c r="BN73" i="25" s="1"/>
  <c r="BM66" i="25"/>
  <c r="BM73" i="25" s="1"/>
  <c r="BL66" i="25"/>
  <c r="BL73" i="25" s="1"/>
  <c r="BK66" i="25"/>
  <c r="BK73" i="25" s="1"/>
  <c r="BJ66" i="25"/>
  <c r="BJ73" i="25" s="1"/>
  <c r="BI66" i="25"/>
  <c r="BI73" i="25" s="1"/>
  <c r="BH66" i="25"/>
  <c r="BH73" i="25" s="1"/>
  <c r="BG66" i="25"/>
  <c r="BG73" i="25" s="1"/>
  <c r="BF66" i="25"/>
  <c r="BF73" i="25" s="1"/>
  <c r="BE66" i="25"/>
  <c r="BE73" i="25" s="1"/>
  <c r="BD66" i="25"/>
  <c r="BD73" i="25" s="1"/>
  <c r="BC66" i="25"/>
  <c r="BC73" i="25" s="1"/>
  <c r="BB66" i="25"/>
  <c r="BB73" i="25" s="1"/>
  <c r="BA66" i="25"/>
  <c r="BA73" i="25" s="1"/>
  <c r="AZ66" i="25"/>
  <c r="AI66" i="25"/>
  <c r="AH66" i="25"/>
  <c r="AG65" i="25"/>
  <c r="AF65" i="25"/>
  <c r="AE65" i="25"/>
  <c r="BI17" i="25" s="1"/>
  <c r="AD65" i="25"/>
  <c r="AC65" i="25"/>
  <c r="AB65" i="25"/>
  <c r="BG17" i="25" s="1"/>
  <c r="Z65" i="25"/>
  <c r="Y65" i="25"/>
  <c r="X65" i="25"/>
  <c r="BE17" i="25" s="1"/>
  <c r="W65" i="25"/>
  <c r="V65" i="25"/>
  <c r="BD17" i="25" s="1"/>
  <c r="U65" i="25"/>
  <c r="T65" i="25"/>
  <c r="S65" i="25"/>
  <c r="BA17" i="25" s="1"/>
  <c r="Q65" i="25"/>
  <c r="AY17" i="25" s="1"/>
  <c r="P65" i="25"/>
  <c r="O65" i="25"/>
  <c r="AW17" i="25" s="1"/>
  <c r="N65" i="25"/>
  <c r="AV17" i="25" s="1"/>
  <c r="M65" i="25"/>
  <c r="AR17" i="25"/>
  <c r="F65" i="25"/>
  <c r="AQ17" i="25" s="1"/>
  <c r="E65" i="25"/>
  <c r="AP17" i="25" s="1"/>
  <c r="D65" i="25"/>
  <c r="AO17" i="25" s="1"/>
  <c r="C65" i="25"/>
  <c r="B65" i="25"/>
  <c r="AI64" i="25"/>
  <c r="AH64" i="25"/>
  <c r="AI63" i="25"/>
  <c r="AH63" i="25"/>
  <c r="AI62" i="25"/>
  <c r="AH62" i="25"/>
  <c r="AG61" i="25"/>
  <c r="AG100" i="25" s="1"/>
  <c r="AF61" i="25"/>
  <c r="AE61" i="25"/>
  <c r="AD61" i="25"/>
  <c r="AC61" i="25"/>
  <c r="AB61" i="25"/>
  <c r="AA100" i="25"/>
  <c r="AA102" i="25" s="1"/>
  <c r="Z61" i="25"/>
  <c r="Y61" i="25"/>
  <c r="X61" i="25"/>
  <c r="W61" i="25"/>
  <c r="V61" i="25"/>
  <c r="U61" i="25"/>
  <c r="T61" i="25"/>
  <c r="S61" i="25"/>
  <c r="Q61" i="25"/>
  <c r="P61" i="25"/>
  <c r="O61" i="25"/>
  <c r="N61" i="25"/>
  <c r="M61" i="25"/>
  <c r="I102" i="25"/>
  <c r="H100" i="25"/>
  <c r="H102" i="25" s="1"/>
  <c r="F61" i="25"/>
  <c r="AQ16" i="25" s="1"/>
  <c r="E61" i="25"/>
  <c r="D61" i="25"/>
  <c r="C61" i="25"/>
  <c r="B61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BJ21" i="25"/>
  <c r="BI21" i="25"/>
  <c r="BH21" i="25"/>
  <c r="BG21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I21" i="25"/>
  <c r="AH21" i="25"/>
  <c r="BG20" i="25"/>
  <c r="BF20" i="25"/>
  <c r="BD20" i="25"/>
  <c r="BC20" i="25"/>
  <c r="BA20" i="25"/>
  <c r="AZ20" i="25"/>
  <c r="AX20" i="25"/>
  <c r="AW20" i="25"/>
  <c r="AV20" i="25"/>
  <c r="AT20" i="25"/>
  <c r="AS20" i="25"/>
  <c r="AR20" i="25"/>
  <c r="AQ20" i="25"/>
  <c r="AP20" i="25"/>
  <c r="AO20" i="25"/>
  <c r="AN20" i="25"/>
  <c r="AI20" i="25"/>
  <c r="AH20" i="25"/>
  <c r="BJ19" i="25"/>
  <c r="AX19" i="25"/>
  <c r="AS19" i="25"/>
  <c r="AQ19" i="25"/>
  <c r="AI19" i="25"/>
  <c r="AH19" i="25"/>
  <c r="BH18" i="25"/>
  <c r="BG18" i="25"/>
  <c r="BE18" i="25"/>
  <c r="BD18" i="25"/>
  <c r="BC18" i="25"/>
  <c r="BB18" i="25"/>
  <c r="BA18" i="25"/>
  <c r="AZ18" i="25"/>
  <c r="AY18" i="25"/>
  <c r="AX18" i="25"/>
  <c r="AW18" i="25"/>
  <c r="AV18" i="25"/>
  <c r="AS18" i="25"/>
  <c r="AR18" i="25"/>
  <c r="AQ18" i="25"/>
  <c r="AO18" i="25"/>
  <c r="AN18" i="25"/>
  <c r="AM18" i="25"/>
  <c r="AI18" i="25"/>
  <c r="AH18" i="25"/>
  <c r="BJ17" i="25"/>
  <c r="BH17" i="25"/>
  <c r="BF17" i="25"/>
  <c r="BC17" i="25"/>
  <c r="BB17" i="25"/>
  <c r="AZ17" i="25"/>
  <c r="AX17" i="25"/>
  <c r="AU17" i="25"/>
  <c r="AT17" i="25"/>
  <c r="AS17" i="25"/>
  <c r="AN17" i="25"/>
  <c r="AI17" i="25"/>
  <c r="AH17" i="25"/>
  <c r="BJ16" i="25"/>
  <c r="BH16" i="25"/>
  <c r="BF16" i="25"/>
  <c r="BC16" i="25"/>
  <c r="BB16" i="25"/>
  <c r="BA16" i="25"/>
  <c r="AZ16" i="25"/>
  <c r="AY16" i="25"/>
  <c r="AT16" i="25"/>
  <c r="AI16" i="25"/>
  <c r="AH16" i="25"/>
  <c r="AI15" i="25"/>
  <c r="AH15" i="25"/>
  <c r="AI14" i="25"/>
  <c r="AH14" i="25"/>
  <c r="AI13" i="25"/>
  <c r="AH13" i="25"/>
  <c r="AL12" i="25"/>
  <c r="AI12" i="25"/>
  <c r="AH12" i="25"/>
  <c r="AI11" i="25"/>
  <c r="AH11" i="25"/>
  <c r="AC5" i="25"/>
  <c r="Z5" i="25"/>
  <c r="X5" i="25"/>
  <c r="W5" i="25"/>
  <c r="S5" i="25"/>
  <c r="O5" i="25"/>
  <c r="K5" i="25"/>
  <c r="I5" i="25"/>
  <c r="H5" i="25"/>
  <c r="G5" i="25"/>
  <c r="E5" i="25"/>
  <c r="AG4" i="25"/>
  <c r="K4" i="25"/>
  <c r="E4" i="25"/>
  <c r="H4" i="25" s="1"/>
  <c r="B4" i="25"/>
  <c r="D261" i="25" s="1"/>
  <c r="AG3" i="25"/>
  <c r="AG6" i="25" s="1"/>
  <c r="AG2" i="25"/>
  <c r="AF110" i="25" l="1"/>
  <c r="BJ23" i="25" s="1"/>
  <c r="AF111" i="25"/>
  <c r="AD5" i="25"/>
  <c r="BJ22" i="25"/>
  <c r="BJ24" i="25" s="1"/>
  <c r="AF100" i="25"/>
  <c r="AF102" i="25" s="1"/>
  <c r="AF103" i="25" s="1"/>
  <c r="AF7" i="25" s="1"/>
  <c r="AE100" i="25"/>
  <c r="AE102" i="25" s="1"/>
  <c r="AE103" i="25" s="1"/>
  <c r="AE7" i="25" s="1"/>
  <c r="BH22" i="25"/>
  <c r="BH24" i="25" s="1"/>
  <c r="AD100" i="25"/>
  <c r="AD102" i="25" s="1"/>
  <c r="AD103" i="25" s="1"/>
  <c r="AD7" i="25" s="1"/>
  <c r="AC110" i="25"/>
  <c r="AC100" i="25"/>
  <c r="AC102" i="25" s="1"/>
  <c r="AC103" i="25" s="1"/>
  <c r="AC7" i="25" s="1"/>
  <c r="AA5" i="25"/>
  <c r="AB100" i="25"/>
  <c r="AB102" i="25" s="1"/>
  <c r="BG16" i="25"/>
  <c r="BG22" i="25" s="1"/>
  <c r="Z110" i="25"/>
  <c r="BF23" i="25" s="1"/>
  <c r="Y5" i="25"/>
  <c r="BF19" i="25"/>
  <c r="Z100" i="25"/>
  <c r="Z102" i="25" s="1"/>
  <c r="Z103" i="25" s="1"/>
  <c r="Z7" i="25" s="1"/>
  <c r="BF22" i="25"/>
  <c r="BF24" i="25" s="1"/>
  <c r="X111" i="25"/>
  <c r="Y100" i="25"/>
  <c r="Y102" i="25" s="1"/>
  <c r="Y110" i="25"/>
  <c r="Y111" i="25" s="1"/>
  <c r="BE19" i="25"/>
  <c r="X100" i="25"/>
  <c r="X102" i="25" s="1"/>
  <c r="X103" i="25" s="1"/>
  <c r="X7" i="25" s="1"/>
  <c r="BE16" i="25"/>
  <c r="BE22" i="25" s="1"/>
  <c r="BE24" i="25" s="1"/>
  <c r="W100" i="25"/>
  <c r="W102" i="25" s="1"/>
  <c r="BD19" i="25"/>
  <c r="V110" i="25"/>
  <c r="BD23" i="25" s="1"/>
  <c r="V100" i="25"/>
  <c r="V102" i="25" s="1"/>
  <c r="V103" i="25" s="1"/>
  <c r="V7" i="25" s="1"/>
  <c r="U110" i="25"/>
  <c r="BC23" i="25" s="1"/>
  <c r="T5" i="25"/>
  <c r="U100" i="25"/>
  <c r="U102" i="25" s="1"/>
  <c r="U103" i="25" s="1"/>
  <c r="U7" i="25" s="1"/>
  <c r="BC22" i="25"/>
  <c r="BC24" i="25" s="1"/>
  <c r="T100" i="25"/>
  <c r="T102" i="25" s="1"/>
  <c r="BB22" i="25"/>
  <c r="S100" i="25"/>
  <c r="S102" i="25" s="1"/>
  <c r="R5" i="25"/>
  <c r="BA22" i="25"/>
  <c r="AZ19" i="25"/>
  <c r="R100" i="25"/>
  <c r="R102" i="25" s="1"/>
  <c r="R103" i="25" s="1"/>
  <c r="R7" i="25" s="1"/>
  <c r="R110" i="25"/>
  <c r="AZ23" i="25" s="1"/>
  <c r="AZ22" i="25"/>
  <c r="AZ24" i="25" s="1"/>
  <c r="P111" i="25"/>
  <c r="AY19" i="25"/>
  <c r="Q111" i="25"/>
  <c r="P100" i="25"/>
  <c r="P102" i="25" s="1"/>
  <c r="P103" i="25" s="1"/>
  <c r="P7" i="25" s="1"/>
  <c r="Q100" i="25"/>
  <c r="Q102" i="25" s="1"/>
  <c r="Q103" i="25" s="1"/>
  <c r="Q7" i="25" s="1"/>
  <c r="AY22" i="25"/>
  <c r="AY24" i="25" s="1"/>
  <c r="AX16" i="25"/>
  <c r="AX22" i="25" s="1"/>
  <c r="AX24" i="25" s="1"/>
  <c r="N5" i="25"/>
  <c r="O100" i="25"/>
  <c r="O102" i="25" s="1"/>
  <c r="N110" i="25"/>
  <c r="AV23" i="25" s="1"/>
  <c r="AV19" i="25"/>
  <c r="N100" i="25"/>
  <c r="N102" i="25" s="1"/>
  <c r="M110" i="25"/>
  <c r="AU23" i="25" s="1"/>
  <c r="AI106" i="25"/>
  <c r="AU19" i="25"/>
  <c r="M100" i="25"/>
  <c r="M102" i="25" s="1"/>
  <c r="AU16" i="25"/>
  <c r="AU22" i="25" s="1"/>
  <c r="AU24" i="25" s="1"/>
  <c r="K100" i="25"/>
  <c r="K102" i="25" s="1"/>
  <c r="AT19" i="25"/>
  <c r="AT22" i="25"/>
  <c r="J110" i="25"/>
  <c r="J100" i="25"/>
  <c r="J102" i="25" s="1"/>
  <c r="J103" i="25" s="1"/>
  <c r="J7" i="25" s="1"/>
  <c r="I110" i="25"/>
  <c r="I103" i="25" s="1"/>
  <c r="I7" i="25" s="1"/>
  <c r="AS16" i="25"/>
  <c r="AS22" i="25" s="1"/>
  <c r="AI108" i="25"/>
  <c r="G100" i="25"/>
  <c r="G102" i="25" s="1"/>
  <c r="G103" i="25" s="1"/>
  <c r="G7" i="25" s="1"/>
  <c r="F5" i="25"/>
  <c r="AR16" i="25"/>
  <c r="AR22" i="25" s="1"/>
  <c r="F100" i="25"/>
  <c r="F102" i="25" s="1"/>
  <c r="F103" i="25" s="1"/>
  <c r="F7" i="25" s="1"/>
  <c r="AQ22" i="25"/>
  <c r="AQ24" i="25" s="1"/>
  <c r="E110" i="25"/>
  <c r="AP23" i="25" s="1"/>
  <c r="AP19" i="25"/>
  <c r="E100" i="25"/>
  <c r="E102" i="25" s="1"/>
  <c r="E103" i="25" s="1"/>
  <c r="E7" i="25" s="1"/>
  <c r="AH65" i="25"/>
  <c r="AP16" i="25"/>
  <c r="C5" i="25"/>
  <c r="D100" i="25"/>
  <c r="D102" i="25" s="1"/>
  <c r="D103" i="25" s="1"/>
  <c r="D7" i="25" s="1"/>
  <c r="AO16" i="25"/>
  <c r="AO22" i="25" s="1"/>
  <c r="AI60" i="25"/>
  <c r="AI104" i="25"/>
  <c r="B5" i="25"/>
  <c r="AI83" i="25"/>
  <c r="AI79" i="25"/>
  <c r="C100" i="25"/>
  <c r="C102" i="25" s="1"/>
  <c r="AH60" i="25"/>
  <c r="AN16" i="25"/>
  <c r="AN22" i="25" s="1"/>
  <c r="AH106" i="25"/>
  <c r="AF5" i="25"/>
  <c r="B110" i="25"/>
  <c r="AM23" i="25" s="1"/>
  <c r="AM20" i="25"/>
  <c r="AM17" i="25"/>
  <c r="B100" i="25"/>
  <c r="B102" i="25" s="1"/>
  <c r="AI65" i="25"/>
  <c r="AM16" i="25"/>
  <c r="AM22" i="25" s="1"/>
  <c r="BG82" i="25" a="1"/>
  <c r="F111" i="25"/>
  <c r="N111" i="25"/>
  <c r="AD111" i="25"/>
  <c r="AH109" i="25"/>
  <c r="BI16" i="25"/>
  <c r="BI22" i="25" s="1"/>
  <c r="BI24" i="25" s="1"/>
  <c r="H103" i="25"/>
  <c r="H7" i="25" s="1"/>
  <c r="G110" i="25"/>
  <c r="AR23" i="25" s="1"/>
  <c r="O110" i="25"/>
  <c r="AW23" i="25" s="1"/>
  <c r="W110" i="25"/>
  <c r="W103" i="25" s="1"/>
  <c r="W7" i="25" s="1"/>
  <c r="AE110" i="25"/>
  <c r="BI23" i="25" s="1"/>
  <c r="AI107" i="25"/>
  <c r="G111" i="25"/>
  <c r="AE111" i="25"/>
  <c r="AH79" i="25"/>
  <c r="AG102" i="25"/>
  <c r="H110" i="25"/>
  <c r="H111" i="25" s="1"/>
  <c r="AH104" i="25"/>
  <c r="AH61" i="25"/>
  <c r="B111" i="25"/>
  <c r="AI95" i="25"/>
  <c r="J111" i="25"/>
  <c r="R111" i="25"/>
  <c r="AH95" i="25"/>
  <c r="AI105" i="25"/>
  <c r="AL13" i="25"/>
  <c r="AV16" i="25"/>
  <c r="BD16" i="25"/>
  <c r="BD22" i="25" s="1"/>
  <c r="BD24" i="25" s="1"/>
  <c r="AI61" i="25"/>
  <c r="AH83" i="25"/>
  <c r="C111" i="25"/>
  <c r="K111" i="25"/>
  <c r="S111" i="25"/>
  <c r="AW16" i="25"/>
  <c r="AW22" i="25" s="1"/>
  <c r="AZ73" i="25"/>
  <c r="D111" i="25"/>
  <c r="C110" i="25"/>
  <c r="K110" i="25"/>
  <c r="AT23" i="25" s="1"/>
  <c r="AT24" i="25" s="1"/>
  <c r="S110" i="25"/>
  <c r="BA23" i="25" s="1"/>
  <c r="AA110" i="25"/>
  <c r="AA111" i="25" s="1"/>
  <c r="E111" i="25"/>
  <c r="M111" i="25"/>
  <c r="AC111" i="25"/>
  <c r="D110" i="25"/>
  <c r="AO23" i="25" s="1"/>
  <c r="L110" i="25"/>
  <c r="L111" i="25" s="1"/>
  <c r="T110" i="25"/>
  <c r="BB23" i="25" s="1"/>
  <c r="BB24" i="25" s="1"/>
  <c r="AB110" i="25"/>
  <c r="BG23" i="25" s="1"/>
  <c r="AI109" i="25"/>
  <c r="AH105" i="25"/>
  <c r="E249" i="25"/>
  <c r="AH107" i="25"/>
  <c r="AH108" i="25"/>
  <c r="BG24" i="25" l="1"/>
  <c r="Z111" i="25"/>
  <c r="Y103" i="25"/>
  <c r="Y7" i="25" s="1"/>
  <c r="W111" i="25"/>
  <c r="BA24" i="25"/>
  <c r="U111" i="25"/>
  <c r="V111" i="25"/>
  <c r="AW24" i="25"/>
  <c r="O111" i="25"/>
  <c r="O103" i="25"/>
  <c r="O7" i="25" s="1"/>
  <c r="N103" i="25"/>
  <c r="N7" i="25" s="1"/>
  <c r="AV22" i="25"/>
  <c r="AV24" i="25" s="1"/>
  <c r="M103" i="25"/>
  <c r="M7" i="25" s="1"/>
  <c r="B259" i="25"/>
  <c r="C259" i="25"/>
  <c r="I111" i="25"/>
  <c r="AS23" i="25"/>
  <c r="AS24" i="25" s="1"/>
  <c r="AR24" i="25"/>
  <c r="AP22" i="25"/>
  <c r="AP24" i="25" s="1"/>
  <c r="AO24" i="25"/>
  <c r="AH110" i="25"/>
  <c r="AI100" i="25"/>
  <c r="AH100" i="25"/>
  <c r="AM24" i="25"/>
  <c r="BK105" i="25"/>
  <c r="BI104" i="25"/>
  <c r="BG103" i="25"/>
  <c r="BK101" i="25"/>
  <c r="BI100" i="25"/>
  <c r="BG99" i="25"/>
  <c r="BK97" i="25"/>
  <c r="BI96" i="25"/>
  <c r="BG95" i="25"/>
  <c r="BK93" i="25"/>
  <c r="BI92" i="25"/>
  <c r="BG91" i="25"/>
  <c r="BK89" i="25"/>
  <c r="BI88" i="25"/>
  <c r="BG87" i="25"/>
  <c r="BK85" i="25"/>
  <c r="BI84" i="25"/>
  <c r="BG83" i="25"/>
  <c r="BJ105" i="25"/>
  <c r="BH104" i="25"/>
  <c r="BL102" i="25"/>
  <c r="BJ101" i="25"/>
  <c r="BH100" i="25"/>
  <c r="BL98" i="25"/>
  <c r="BJ97" i="25"/>
  <c r="BH96" i="25"/>
  <c r="BL94" i="25"/>
  <c r="BJ93" i="25"/>
  <c r="BH92" i="25"/>
  <c r="BL90" i="25"/>
  <c r="BJ89" i="25"/>
  <c r="BH88" i="25"/>
  <c r="BL86" i="25"/>
  <c r="BJ85" i="25"/>
  <c r="BH84" i="25"/>
  <c r="BL82" i="25"/>
  <c r="BI105" i="25"/>
  <c r="BG104" i="25"/>
  <c r="BK102" i="25"/>
  <c r="BI101" i="25"/>
  <c r="BG100" i="25"/>
  <c r="BK98" i="25"/>
  <c r="BI97" i="25"/>
  <c r="BG96" i="25"/>
  <c r="BK94" i="25"/>
  <c r="BI93" i="25"/>
  <c r="BG92" i="25"/>
  <c r="BK90" i="25"/>
  <c r="BI89" i="25"/>
  <c r="BG88" i="25"/>
  <c r="BK86" i="25"/>
  <c r="BI85" i="25"/>
  <c r="BG84" i="25"/>
  <c r="BK82" i="25"/>
  <c r="BH105" i="25"/>
  <c r="BL103" i="25"/>
  <c r="BJ102" i="25"/>
  <c r="BH101" i="25"/>
  <c r="BL99" i="25"/>
  <c r="BJ98" i="25"/>
  <c r="BH97" i="25"/>
  <c r="BL95" i="25"/>
  <c r="BJ94" i="25"/>
  <c r="BH93" i="25"/>
  <c r="BL91" i="25"/>
  <c r="BJ90" i="25"/>
  <c r="BH89" i="25"/>
  <c r="BL87" i="25"/>
  <c r="BJ86" i="25"/>
  <c r="BH85" i="25"/>
  <c r="BL83" i="25"/>
  <c r="BJ82" i="25"/>
  <c r="BG105" i="25"/>
  <c r="BK103" i="25"/>
  <c r="BI102" i="25"/>
  <c r="BG101" i="25"/>
  <c r="BK99" i="25"/>
  <c r="BI98" i="25"/>
  <c r="BG97" i="25"/>
  <c r="BK95" i="25"/>
  <c r="BI94" i="25"/>
  <c r="BG93" i="25"/>
  <c r="BK91" i="25"/>
  <c r="BI90" i="25"/>
  <c r="BG89" i="25"/>
  <c r="BK87" i="25"/>
  <c r="BI86" i="25"/>
  <c r="BG85" i="25"/>
  <c r="BK83" i="25"/>
  <c r="BI82" i="25"/>
  <c r="BL104" i="25"/>
  <c r="BJ103" i="25"/>
  <c r="BH102" i="25"/>
  <c r="BL100" i="25"/>
  <c r="BJ99" i="25"/>
  <c r="BH98" i="25"/>
  <c r="BL96" i="25"/>
  <c r="BJ95" i="25"/>
  <c r="BH94" i="25"/>
  <c r="BL92" i="25"/>
  <c r="BJ91" i="25"/>
  <c r="BH90" i="25"/>
  <c r="BL88" i="25"/>
  <c r="BJ87" i="25"/>
  <c r="BH86" i="25"/>
  <c r="BL84" i="25"/>
  <c r="BJ83" i="25"/>
  <c r="BH82" i="25"/>
  <c r="BL105" i="25"/>
  <c r="BJ104" i="25"/>
  <c r="BH103" i="25"/>
  <c r="BL101" i="25"/>
  <c r="BJ100" i="25"/>
  <c r="BH99" i="25"/>
  <c r="BL97" i="25"/>
  <c r="BJ96" i="25"/>
  <c r="BH95" i="25"/>
  <c r="BL93" i="25"/>
  <c r="BJ92" i="25"/>
  <c r="BH91" i="25"/>
  <c r="BL89" i="25"/>
  <c r="BJ88" i="25"/>
  <c r="BH87" i="25"/>
  <c r="BL85" i="25"/>
  <c r="BJ84" i="25"/>
  <c r="BH83" i="25"/>
  <c r="BG98" i="25"/>
  <c r="BI87" i="25"/>
  <c r="BK96" i="25"/>
  <c r="BG86" i="25"/>
  <c r="BI95" i="25"/>
  <c r="BK84" i="25"/>
  <c r="BK100" i="25"/>
  <c r="BK104" i="25"/>
  <c r="BG94" i="25"/>
  <c r="BI83" i="25"/>
  <c r="BI103" i="25"/>
  <c r="BK92" i="25"/>
  <c r="BG82" i="25"/>
  <c r="BG90" i="25"/>
  <c r="BG102" i="25"/>
  <c r="BI91" i="25"/>
  <c r="BI99" i="25"/>
  <c r="BK88" i="25"/>
  <c r="B103" i="25"/>
  <c r="AH102" i="25"/>
  <c r="AI102" i="25"/>
  <c r="AB103" i="25"/>
  <c r="AB7" i="25" s="1"/>
  <c r="T103" i="25"/>
  <c r="T7" i="25" s="1"/>
  <c r="AA103" i="25"/>
  <c r="AA7" i="25" s="1"/>
  <c r="AI110" i="25"/>
  <c r="AN23" i="25"/>
  <c r="AN24" i="25" s="1"/>
  <c r="L103" i="25"/>
  <c r="L7" i="25" s="1"/>
  <c r="S103" i="25"/>
  <c r="S7" i="25" s="1"/>
  <c r="F249" i="25"/>
  <c r="E255" i="25"/>
  <c r="E121" i="25"/>
  <c r="AB111" i="25"/>
  <c r="K103" i="25"/>
  <c r="K7" i="25" s="1"/>
  <c r="T111" i="25"/>
  <c r="C103" i="25"/>
  <c r="C7" i="25" s="1"/>
  <c r="AI111" i="25" l="1"/>
  <c r="K6" i="25"/>
  <c r="AT8" i="25"/>
  <c r="AT9" i="25"/>
  <c r="AH111" i="25"/>
  <c r="G249" i="25"/>
  <c r="F121" i="25"/>
  <c r="F255" i="25"/>
  <c r="AI103" i="25"/>
  <c r="B7" i="25"/>
  <c r="A7" i="25" s="1"/>
  <c r="AH103" i="25"/>
  <c r="H249" i="25" l="1"/>
  <c r="G255" i="25"/>
  <c r="G121" i="25"/>
  <c r="R124" i="24"/>
  <c r="R60" i="24"/>
  <c r="R61" i="24"/>
  <c r="R65" i="24"/>
  <c r="R79" i="24"/>
  <c r="R83" i="24"/>
  <c r="R95" i="24"/>
  <c r="Q124" i="24"/>
  <c r="Q60" i="24"/>
  <c r="P124" i="24"/>
  <c r="I249" i="25" l="1"/>
  <c r="H255" i="25"/>
  <c r="H121" i="25"/>
  <c r="R100" i="24"/>
  <c r="O124" i="24"/>
  <c r="P60" i="24"/>
  <c r="N124" i="24"/>
  <c r="N60" i="24"/>
  <c r="M124" i="24"/>
  <c r="M60" i="24"/>
  <c r="I255" i="25" l="1"/>
  <c r="I121" i="25"/>
  <c r="J249" i="25"/>
  <c r="AG255" i="24"/>
  <c r="C255" i="24"/>
  <c r="D254" i="24"/>
  <c r="D121" i="24" s="1"/>
  <c r="E253" i="24"/>
  <c r="F253" i="24" s="1"/>
  <c r="G253" i="24" s="1"/>
  <c r="H253" i="24" s="1"/>
  <c r="I253" i="24" s="1"/>
  <c r="J253" i="24" s="1"/>
  <c r="K253" i="24" s="1"/>
  <c r="L253" i="24" s="1"/>
  <c r="M253" i="24" s="1"/>
  <c r="N253" i="24" s="1"/>
  <c r="O253" i="24" s="1"/>
  <c r="P253" i="24" s="1"/>
  <c r="Q253" i="24" s="1"/>
  <c r="R253" i="24" s="1"/>
  <c r="S253" i="24" s="1"/>
  <c r="T253" i="24" s="1"/>
  <c r="U253" i="24" s="1"/>
  <c r="V253" i="24" s="1"/>
  <c r="W253" i="24" s="1"/>
  <c r="X253" i="24" s="1"/>
  <c r="Y253" i="24" s="1"/>
  <c r="Z253" i="24" s="1"/>
  <c r="AA253" i="24" s="1"/>
  <c r="AB253" i="24" s="1"/>
  <c r="AC253" i="24" s="1"/>
  <c r="AD253" i="24" s="1"/>
  <c r="AE253" i="24" s="1"/>
  <c r="AF253" i="24" s="1"/>
  <c r="B253" i="24" s="1"/>
  <c r="D253" i="24"/>
  <c r="AA252" i="24"/>
  <c r="AB252" i="24" s="1"/>
  <c r="AC252" i="24" s="1"/>
  <c r="AD252" i="24" s="1"/>
  <c r="AE252" i="24" s="1"/>
  <c r="AF252" i="24" s="1"/>
  <c r="B252" i="24" s="1"/>
  <c r="I252" i="24"/>
  <c r="J252" i="24" s="1"/>
  <c r="K252" i="24" s="1"/>
  <c r="L252" i="24" s="1"/>
  <c r="M252" i="24" s="1"/>
  <c r="N252" i="24" s="1"/>
  <c r="O252" i="24" s="1"/>
  <c r="P252" i="24" s="1"/>
  <c r="Q252" i="24" s="1"/>
  <c r="R252" i="24" s="1"/>
  <c r="S252" i="24" s="1"/>
  <c r="T252" i="24" s="1"/>
  <c r="U252" i="24" s="1"/>
  <c r="V252" i="24" s="1"/>
  <c r="W252" i="24" s="1"/>
  <c r="X252" i="24" s="1"/>
  <c r="Y252" i="24" s="1"/>
  <c r="Z252" i="24" s="1"/>
  <c r="H252" i="24"/>
  <c r="D252" i="24"/>
  <c r="E252" i="24" s="1"/>
  <c r="F252" i="24" s="1"/>
  <c r="G252" i="24" s="1"/>
  <c r="Q251" i="24"/>
  <c r="R251" i="24" s="1"/>
  <c r="S251" i="24" s="1"/>
  <c r="T251" i="24" s="1"/>
  <c r="U251" i="24" s="1"/>
  <c r="V251" i="24" s="1"/>
  <c r="W251" i="24" s="1"/>
  <c r="X251" i="24" s="1"/>
  <c r="Y251" i="24" s="1"/>
  <c r="Z251" i="24" s="1"/>
  <c r="AA251" i="24" s="1"/>
  <c r="AB251" i="24" s="1"/>
  <c r="AC251" i="24" s="1"/>
  <c r="AD251" i="24" s="1"/>
  <c r="AE251" i="24" s="1"/>
  <c r="AF251" i="24" s="1"/>
  <c r="B251" i="24" s="1"/>
  <c r="F251" i="24"/>
  <c r="G251" i="24" s="1"/>
  <c r="H251" i="24" s="1"/>
  <c r="I251" i="24" s="1"/>
  <c r="J251" i="24" s="1"/>
  <c r="K251" i="24" s="1"/>
  <c r="L251" i="24" s="1"/>
  <c r="M251" i="24" s="1"/>
  <c r="N251" i="24" s="1"/>
  <c r="O251" i="24" s="1"/>
  <c r="P251" i="24" s="1"/>
  <c r="D251" i="24"/>
  <c r="E251" i="24" s="1"/>
  <c r="D250" i="24"/>
  <c r="E250" i="24" s="1"/>
  <c r="E249" i="24"/>
  <c r="F249" i="24" s="1"/>
  <c r="G249" i="24" s="1"/>
  <c r="D249" i="24"/>
  <c r="D255" i="24" s="1"/>
  <c r="AG247" i="24"/>
  <c r="AF247" i="24"/>
  <c r="AE247" i="24"/>
  <c r="AD247" i="24"/>
  <c r="AC247" i="24"/>
  <c r="AB247" i="24"/>
  <c r="AA247" i="24"/>
  <c r="Z247" i="24"/>
  <c r="Z121" i="24" s="1"/>
  <c r="Y247" i="24"/>
  <c r="Y121" i="24" s="1"/>
  <c r="X247" i="24"/>
  <c r="W247" i="24"/>
  <c r="V247" i="24"/>
  <c r="U247" i="24"/>
  <c r="T247" i="24"/>
  <c r="S247" i="24"/>
  <c r="R247" i="24"/>
  <c r="Q247" i="24"/>
  <c r="P247" i="24"/>
  <c r="O247" i="24"/>
  <c r="N247" i="24"/>
  <c r="M247" i="24"/>
  <c r="L247" i="24"/>
  <c r="K247" i="24"/>
  <c r="J247" i="24"/>
  <c r="I247" i="24"/>
  <c r="H247" i="24"/>
  <c r="G247" i="24"/>
  <c r="F247" i="24"/>
  <c r="E247" i="24"/>
  <c r="D247" i="24"/>
  <c r="C247" i="24"/>
  <c r="B247" i="24"/>
  <c r="AI133" i="24"/>
  <c r="AH133" i="24"/>
  <c r="AI132" i="24"/>
  <c r="AH132" i="24"/>
  <c r="AI131" i="24"/>
  <c r="AH131" i="24"/>
  <c r="AI130" i="24"/>
  <c r="AH130" i="24"/>
  <c r="AI129" i="24"/>
  <c r="AH129" i="24"/>
  <c r="AI126" i="24"/>
  <c r="AH126" i="24"/>
  <c r="AI125" i="24"/>
  <c r="AH125" i="24"/>
  <c r="AI124" i="24"/>
  <c r="AH124" i="24"/>
  <c r="AI123" i="24"/>
  <c r="AH123" i="24"/>
  <c r="AI122" i="24"/>
  <c r="AH122" i="24"/>
  <c r="C121" i="24"/>
  <c r="AI120" i="24"/>
  <c r="AH120" i="24"/>
  <c r="AI119" i="24"/>
  <c r="AH119" i="24"/>
  <c r="AI118" i="24"/>
  <c r="AH118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J110" i="24" s="1"/>
  <c r="I107" i="24"/>
  <c r="H107" i="24"/>
  <c r="G107" i="24"/>
  <c r="F107" i="24"/>
  <c r="E107" i="24"/>
  <c r="D107" i="24"/>
  <c r="D110" i="24" s="1"/>
  <c r="AO23" i="24" s="1"/>
  <c r="C107" i="24"/>
  <c r="B107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U110" i="24" s="1"/>
  <c r="BC23" i="24" s="1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AH105" i="24" s="1"/>
  <c r="E105" i="24"/>
  <c r="D105" i="24"/>
  <c r="C105" i="24"/>
  <c r="B105" i="24"/>
  <c r="AI105" i="24" s="1"/>
  <c r="AF104" i="24"/>
  <c r="AE104" i="24"/>
  <c r="AD104" i="24"/>
  <c r="AC104" i="24"/>
  <c r="AB104" i="24"/>
  <c r="AA104" i="24"/>
  <c r="AA110" i="24" s="1"/>
  <c r="Z104" i="24"/>
  <c r="Z110" i="24" s="1"/>
  <c r="BF23" i="24" s="1"/>
  <c r="Y104" i="24"/>
  <c r="X104" i="24"/>
  <c r="W104" i="24"/>
  <c r="V104" i="24"/>
  <c r="U104" i="24"/>
  <c r="T104" i="24"/>
  <c r="S104" i="24"/>
  <c r="S110" i="24" s="1"/>
  <c r="S111" i="24" s="1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AI101" i="24"/>
  <c r="AH101" i="24"/>
  <c r="AI99" i="24"/>
  <c r="AH99" i="24"/>
  <c r="AG99" i="24"/>
  <c r="AI98" i="24"/>
  <c r="AH98" i="24"/>
  <c r="AI97" i="24"/>
  <c r="AH97" i="24"/>
  <c r="AI96" i="24"/>
  <c r="AH96" i="24"/>
  <c r="AG95" i="24"/>
  <c r="AF95" i="24"/>
  <c r="BJ19" i="24" s="1"/>
  <c r="AE95" i="24"/>
  <c r="BI19" i="24" s="1"/>
  <c r="AD95" i="24"/>
  <c r="BH19" i="24" s="1"/>
  <c r="AC95" i="24"/>
  <c r="AB95" i="24"/>
  <c r="BG19" i="24" s="1"/>
  <c r="AA95" i="24"/>
  <c r="AA100" i="24" s="1"/>
  <c r="AA102" i="24" s="1"/>
  <c r="AA103" i="24" s="1"/>
  <c r="AA7" i="24" s="1"/>
  <c r="Z95" i="24"/>
  <c r="BF19" i="24" s="1"/>
  <c r="Y95" i="24"/>
  <c r="X5" i="24" s="1"/>
  <c r="X95" i="24"/>
  <c r="W5" i="24" s="1"/>
  <c r="W95" i="24"/>
  <c r="V95" i="24"/>
  <c r="BD19" i="24" s="1"/>
  <c r="U95" i="24"/>
  <c r="T95" i="24"/>
  <c r="S5" i="24" s="1"/>
  <c r="S95" i="24"/>
  <c r="BA19" i="24" s="1"/>
  <c r="Q95" i="24"/>
  <c r="AY19" i="24" s="1"/>
  <c r="P95" i="24"/>
  <c r="AX19" i="24" s="1"/>
  <c r="O95" i="24"/>
  <c r="N5" i="24" s="1"/>
  <c r="N95" i="24"/>
  <c r="M5" i="24" s="1"/>
  <c r="M95" i="24"/>
  <c r="L5" i="24" s="1"/>
  <c r="L95" i="24"/>
  <c r="K5" i="24" s="1"/>
  <c r="K95" i="24"/>
  <c r="J95" i="24"/>
  <c r="I5" i="24" s="1"/>
  <c r="I95" i="24"/>
  <c r="AS19" i="24" s="1"/>
  <c r="H95" i="24"/>
  <c r="G5" i="24" s="1"/>
  <c r="G95" i="24"/>
  <c r="AR19" i="24" s="1"/>
  <c r="F95" i="24"/>
  <c r="E5" i="24" s="1"/>
  <c r="E95" i="24"/>
  <c r="D5" i="24" s="1"/>
  <c r="D95" i="24"/>
  <c r="AO19" i="24" s="1"/>
  <c r="C95" i="24"/>
  <c r="B5" i="24" s="1"/>
  <c r="B95" i="24"/>
  <c r="AF5" i="24" s="1"/>
  <c r="AI94" i="24"/>
  <c r="AH94" i="24"/>
  <c r="AI93" i="24"/>
  <c r="AH93" i="24"/>
  <c r="AI92" i="24"/>
  <c r="AH92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3" i="24"/>
  <c r="AF83" i="24"/>
  <c r="AE83" i="24"/>
  <c r="BI20" i="24" s="1"/>
  <c r="AD83" i="24"/>
  <c r="BH20" i="24" s="1"/>
  <c r="AC83" i="24"/>
  <c r="AB83" i="24"/>
  <c r="BG20" i="24" s="1"/>
  <c r="Z83" i="24"/>
  <c r="Y83" i="24"/>
  <c r="X83" i="24"/>
  <c r="W83" i="24"/>
  <c r="V83" i="24"/>
  <c r="BD20" i="24" s="1"/>
  <c r="U83" i="24"/>
  <c r="BC20" i="24" s="1"/>
  <c r="T83" i="24"/>
  <c r="S83" i="24"/>
  <c r="BA20" i="24" s="1"/>
  <c r="Q83" i="24"/>
  <c r="P83" i="24"/>
  <c r="O83" i="24"/>
  <c r="N83" i="24"/>
  <c r="M83" i="24"/>
  <c r="L83" i="24"/>
  <c r="K83" i="24"/>
  <c r="J83" i="24"/>
  <c r="I83" i="24"/>
  <c r="H83" i="24"/>
  <c r="G83" i="24"/>
  <c r="AR20" i="24" s="1"/>
  <c r="F83" i="24"/>
  <c r="AQ20" i="24" s="1"/>
  <c r="E83" i="24"/>
  <c r="AP20" i="24" s="1"/>
  <c r="D83" i="24"/>
  <c r="AO20" i="24" s="1"/>
  <c r="C83" i="24"/>
  <c r="B83" i="24"/>
  <c r="AM20" i="24" s="1"/>
  <c r="AI82" i="24"/>
  <c r="AH82" i="24"/>
  <c r="AI81" i="24"/>
  <c r="AH81" i="24"/>
  <c r="AI80" i="24"/>
  <c r="AH80" i="24"/>
  <c r="AF79" i="24"/>
  <c r="BJ18" i="24" s="1"/>
  <c r="AE79" i="24"/>
  <c r="BI18" i="24" s="1"/>
  <c r="AD79" i="24"/>
  <c r="BH18" i="24" s="1"/>
  <c r="AC79" i="24"/>
  <c r="AB79" i="24"/>
  <c r="Z79" i="24"/>
  <c r="BF18" i="24" s="1"/>
  <c r="Y79" i="24"/>
  <c r="X79" i="24"/>
  <c r="BE18" i="24" s="1"/>
  <c r="W79" i="24"/>
  <c r="V79" i="24"/>
  <c r="U79" i="24"/>
  <c r="T79" i="24"/>
  <c r="S79" i="24"/>
  <c r="BA18" i="24" s="1"/>
  <c r="AZ18" i="24"/>
  <c r="Q79" i="24"/>
  <c r="P79" i="24"/>
  <c r="O79" i="24"/>
  <c r="AW18" i="24" s="1"/>
  <c r="N79" i="24"/>
  <c r="AV18" i="24" s="1"/>
  <c r="M79" i="24"/>
  <c r="AU18" i="24" s="1"/>
  <c r="L79" i="24"/>
  <c r="K79" i="24"/>
  <c r="AT18" i="24" s="1"/>
  <c r="J79" i="24"/>
  <c r="I79" i="24"/>
  <c r="AS18" i="24" s="1"/>
  <c r="H79" i="24"/>
  <c r="G79" i="24"/>
  <c r="AR18" i="24" s="1"/>
  <c r="F79" i="24"/>
  <c r="AQ18" i="24" s="1"/>
  <c r="E79" i="24"/>
  <c r="AP18" i="24" s="1"/>
  <c r="D79" i="24"/>
  <c r="AO18" i="24" s="1"/>
  <c r="C79" i="24"/>
  <c r="AN18" i="24" s="1"/>
  <c r="B79" i="24"/>
  <c r="BU78" i="24"/>
  <c r="BT78" i="24"/>
  <c r="BS78" i="24"/>
  <c r="BL78" i="24"/>
  <c r="BK78" i="24"/>
  <c r="BH78" i="24"/>
  <c r="BF78" i="24"/>
  <c r="BE78" i="24"/>
  <c r="BC78" i="24"/>
  <c r="AZ78" i="24"/>
  <c r="AI78" i="24"/>
  <c r="AH78" i="24"/>
  <c r="AG78" i="24"/>
  <c r="AG79" i="24" s="1"/>
  <c r="BW77" i="24"/>
  <c r="BO77" i="24"/>
  <c r="BJ77" i="24"/>
  <c r="BF77" i="24"/>
  <c r="BB77" i="24"/>
  <c r="AI77" i="24"/>
  <c r="AH77" i="24"/>
  <c r="BL76" i="24"/>
  <c r="BJ76" i="24"/>
  <c r="BI76" i="24"/>
  <c r="BA76" i="24"/>
  <c r="AI76" i="24"/>
  <c r="AH76" i="24"/>
  <c r="BV75" i="24"/>
  <c r="BS75" i="24"/>
  <c r="AZ75" i="24"/>
  <c r="AI75" i="24"/>
  <c r="AH75" i="24"/>
  <c r="BU74" i="24"/>
  <c r="BP74" i="24"/>
  <c r="BK74" i="24"/>
  <c r="BH74" i="24"/>
  <c r="BC74" i="24"/>
  <c r="AZ74" i="24"/>
  <c r="AI74" i="24"/>
  <c r="AH74" i="24"/>
  <c r="BM73" i="24"/>
  <c r="BJ73" i="24"/>
  <c r="BF73" i="24"/>
  <c r="BE73" i="24"/>
  <c r="BB73" i="24"/>
  <c r="AI73" i="24"/>
  <c r="AH73" i="24"/>
  <c r="AI72" i="24"/>
  <c r="AH72" i="24"/>
  <c r="BW71" i="24"/>
  <c r="BW78" i="24" s="1"/>
  <c r="BV71" i="24"/>
  <c r="BV78" i="24" s="1"/>
  <c r="BU71" i="24"/>
  <c r="BT71" i="24"/>
  <c r="BS71" i="24"/>
  <c r="BR71" i="24"/>
  <c r="BR78" i="24" s="1"/>
  <c r="BQ71" i="24"/>
  <c r="BQ78" i="24" s="1"/>
  <c r="BP71" i="24"/>
  <c r="BP78" i="24" s="1"/>
  <c r="BO71" i="24"/>
  <c r="BO78" i="24" s="1"/>
  <c r="BN71" i="24"/>
  <c r="BN78" i="24" s="1"/>
  <c r="BM71" i="24"/>
  <c r="BM78" i="24" s="1"/>
  <c r="BL71" i="24"/>
  <c r="BK71" i="24"/>
  <c r="BJ71" i="24"/>
  <c r="BJ78" i="24" s="1"/>
  <c r="BI71" i="24"/>
  <c r="BI78" i="24" s="1"/>
  <c r="BH71" i="24"/>
  <c r="BG71" i="24"/>
  <c r="BG78" i="24" s="1"/>
  <c r="BF71" i="24"/>
  <c r="BE71" i="24"/>
  <c r="BD71" i="24"/>
  <c r="BD78" i="24" s="1"/>
  <c r="BC71" i="24"/>
  <c r="BB71" i="24"/>
  <c r="BB78" i="24" s="1"/>
  <c r="BA71" i="24"/>
  <c r="BA78" i="24" s="1"/>
  <c r="AZ71" i="24"/>
  <c r="AI71" i="24"/>
  <c r="AH71" i="24"/>
  <c r="BW70" i="24"/>
  <c r="BV70" i="24"/>
  <c r="BV77" i="24" s="1"/>
  <c r="BU70" i="24"/>
  <c r="BU77" i="24" s="1"/>
  <c r="BT70" i="24"/>
  <c r="BT77" i="24" s="1"/>
  <c r="BS70" i="24"/>
  <c r="BS77" i="24" s="1"/>
  <c r="BR70" i="24"/>
  <c r="BR77" i="24" s="1"/>
  <c r="BQ70" i="24"/>
  <c r="BQ77" i="24" s="1"/>
  <c r="BP70" i="24"/>
  <c r="BP77" i="24" s="1"/>
  <c r="BO70" i="24"/>
  <c r="BN70" i="24"/>
  <c r="BN77" i="24" s="1"/>
  <c r="BM70" i="24"/>
  <c r="BM77" i="24" s="1"/>
  <c r="BL70" i="24"/>
  <c r="BL77" i="24" s="1"/>
  <c r="BK70" i="24"/>
  <c r="BK77" i="24" s="1"/>
  <c r="BJ70" i="24"/>
  <c r="BI70" i="24"/>
  <c r="BI77" i="24" s="1"/>
  <c r="BH70" i="24"/>
  <c r="BH77" i="24" s="1"/>
  <c r="BG70" i="24"/>
  <c r="BG77" i="24" s="1"/>
  <c r="BF70" i="24"/>
  <c r="BE70" i="24"/>
  <c r="BE77" i="24" s="1"/>
  <c r="BD70" i="24"/>
  <c r="BD77" i="24" s="1"/>
  <c r="BC70" i="24"/>
  <c r="BC77" i="24" s="1"/>
  <c r="BB70" i="24"/>
  <c r="BA70" i="24"/>
  <c r="BA77" i="24" s="1"/>
  <c r="AZ70" i="24"/>
  <c r="AZ77" i="24" s="1"/>
  <c r="AI70" i="24"/>
  <c r="AH70" i="24"/>
  <c r="BW69" i="24"/>
  <c r="BW76" i="24" s="1"/>
  <c r="BV69" i="24"/>
  <c r="BV76" i="24" s="1"/>
  <c r="BU69" i="24"/>
  <c r="BU76" i="24" s="1"/>
  <c r="BT69" i="24"/>
  <c r="BT76" i="24" s="1"/>
  <c r="BS69" i="24"/>
  <c r="BS76" i="24" s="1"/>
  <c r="BR69" i="24"/>
  <c r="BR76" i="24" s="1"/>
  <c r="BQ69" i="24"/>
  <c r="BQ76" i="24" s="1"/>
  <c r="BP69" i="24"/>
  <c r="BP76" i="24" s="1"/>
  <c r="BO69" i="24"/>
  <c r="BO76" i="24" s="1"/>
  <c r="BN69" i="24"/>
  <c r="BN76" i="24" s="1"/>
  <c r="BM69" i="24"/>
  <c r="BM76" i="24" s="1"/>
  <c r="BL69" i="24"/>
  <c r="BK69" i="24"/>
  <c r="BK76" i="24" s="1"/>
  <c r="BJ69" i="24"/>
  <c r="BI69" i="24"/>
  <c r="BH69" i="24"/>
  <c r="BH76" i="24" s="1"/>
  <c r="BG69" i="24"/>
  <c r="BG76" i="24" s="1"/>
  <c r="BF69" i="24"/>
  <c r="BF76" i="24" s="1"/>
  <c r="BE69" i="24"/>
  <c r="BE76" i="24" s="1"/>
  <c r="BD69" i="24"/>
  <c r="BD76" i="24" s="1"/>
  <c r="BC69" i="24"/>
  <c r="BC76" i="24" s="1"/>
  <c r="BB69" i="24"/>
  <c r="BB76" i="24" s="1"/>
  <c r="BA69" i="24"/>
  <c r="AZ69" i="24"/>
  <c r="AZ76" i="24" s="1"/>
  <c r="AI69" i="24"/>
  <c r="AH69" i="24"/>
  <c r="BW68" i="24"/>
  <c r="BW75" i="24" s="1"/>
  <c r="BV68" i="24"/>
  <c r="BU68" i="24"/>
  <c r="BU75" i="24" s="1"/>
  <c r="BT68" i="24"/>
  <c r="BT75" i="24" s="1"/>
  <c r="BS68" i="24"/>
  <c r="BR68" i="24"/>
  <c r="BR75" i="24" s="1"/>
  <c r="BQ68" i="24"/>
  <c r="BQ75" i="24" s="1"/>
  <c r="BP68" i="24"/>
  <c r="BP75" i="24" s="1"/>
  <c r="BO68" i="24"/>
  <c r="BO75" i="24" s="1"/>
  <c r="BN68" i="24"/>
  <c r="BN75" i="24" s="1"/>
  <c r="BM68" i="24"/>
  <c r="BM75" i="24" s="1"/>
  <c r="BL68" i="24"/>
  <c r="BL75" i="24" s="1"/>
  <c r="BK68" i="24"/>
  <c r="BK75" i="24" s="1"/>
  <c r="BJ68" i="24"/>
  <c r="BJ75" i="24" s="1"/>
  <c r="BI68" i="24"/>
  <c r="BI75" i="24" s="1"/>
  <c r="BH68" i="24"/>
  <c r="BH75" i="24" s="1"/>
  <c r="BG68" i="24"/>
  <c r="BG75" i="24" s="1"/>
  <c r="BF68" i="24"/>
  <c r="BF75" i="24" s="1"/>
  <c r="BE68" i="24"/>
  <c r="BE75" i="24" s="1"/>
  <c r="BD68" i="24"/>
  <c r="BD75" i="24" s="1"/>
  <c r="BC68" i="24"/>
  <c r="BC75" i="24" s="1"/>
  <c r="BB68" i="24"/>
  <c r="BB75" i="24" s="1"/>
  <c r="BA68" i="24"/>
  <c r="BA75" i="24" s="1"/>
  <c r="AZ68" i="24"/>
  <c r="AI68" i="24"/>
  <c r="AH68" i="24"/>
  <c r="BW67" i="24"/>
  <c r="BW74" i="24" s="1"/>
  <c r="BV67" i="24"/>
  <c r="BV74" i="24" s="1"/>
  <c r="BU67" i="24"/>
  <c r="BT67" i="24"/>
  <c r="BT74" i="24" s="1"/>
  <c r="BS67" i="24"/>
  <c r="BS74" i="24" s="1"/>
  <c r="BR67" i="24"/>
  <c r="BR74" i="24" s="1"/>
  <c r="BQ67" i="24"/>
  <c r="BQ74" i="24" s="1"/>
  <c r="BP67" i="24"/>
  <c r="BO67" i="24"/>
  <c r="BO74" i="24" s="1"/>
  <c r="BN67" i="24"/>
  <c r="BN74" i="24" s="1"/>
  <c r="BM67" i="24"/>
  <c r="BM74" i="24" s="1"/>
  <c r="BL67" i="24"/>
  <c r="BL74" i="24" s="1"/>
  <c r="BK67" i="24"/>
  <c r="BJ67" i="24"/>
  <c r="BJ74" i="24" s="1"/>
  <c r="BI67" i="24"/>
  <c r="BI74" i="24" s="1"/>
  <c r="BH67" i="24"/>
  <c r="BG67" i="24"/>
  <c r="BG74" i="24" s="1"/>
  <c r="BF67" i="24"/>
  <c r="BF74" i="24" s="1"/>
  <c r="BE67" i="24"/>
  <c r="BE74" i="24" s="1"/>
  <c r="BD67" i="24"/>
  <c r="BD74" i="24" s="1"/>
  <c r="BC67" i="24"/>
  <c r="BB67" i="24"/>
  <c r="BB74" i="24" s="1"/>
  <c r="BA67" i="24"/>
  <c r="BA74" i="24" s="1"/>
  <c r="AZ67" i="24"/>
  <c r="AI67" i="24"/>
  <c r="AH67" i="24"/>
  <c r="BW66" i="24"/>
  <c r="BW73" i="24" s="1"/>
  <c r="BV66" i="24"/>
  <c r="BV73" i="24" s="1"/>
  <c r="BU66" i="24"/>
  <c r="BU73" i="24" s="1"/>
  <c r="BT66" i="24"/>
  <c r="BT73" i="24" s="1"/>
  <c r="BS66" i="24"/>
  <c r="BS73" i="24" s="1"/>
  <c r="BR66" i="24"/>
  <c r="BR73" i="24" s="1"/>
  <c r="BQ66" i="24"/>
  <c r="BQ73" i="24" s="1"/>
  <c r="BP66" i="24"/>
  <c r="BP73" i="24" s="1"/>
  <c r="BO66" i="24"/>
  <c r="BO73" i="24" s="1"/>
  <c r="BN66" i="24"/>
  <c r="BN73" i="24" s="1"/>
  <c r="BM66" i="24"/>
  <c r="BL66" i="24"/>
  <c r="BL73" i="24" s="1"/>
  <c r="BK66" i="24"/>
  <c r="BK73" i="24" s="1"/>
  <c r="BJ66" i="24"/>
  <c r="BI66" i="24"/>
  <c r="BI73" i="24" s="1"/>
  <c r="BH66" i="24"/>
  <c r="BH73" i="24" s="1"/>
  <c r="BG66" i="24"/>
  <c r="BG73" i="24" s="1"/>
  <c r="BF66" i="24"/>
  <c r="BE66" i="24"/>
  <c r="BD66" i="24"/>
  <c r="BD73" i="24" s="1"/>
  <c r="BC66" i="24"/>
  <c r="BC73" i="24" s="1"/>
  <c r="BB66" i="24"/>
  <c r="BA66" i="24"/>
  <c r="BA73" i="24" s="1"/>
  <c r="AZ66" i="24"/>
  <c r="AI66" i="24"/>
  <c r="AH66" i="24"/>
  <c r="AG65" i="24"/>
  <c r="AF65" i="24"/>
  <c r="BJ17" i="24" s="1"/>
  <c r="AE65" i="24"/>
  <c r="BI17" i="24" s="1"/>
  <c r="AD65" i="24"/>
  <c r="BH17" i="24" s="1"/>
  <c r="AC65" i="24"/>
  <c r="AB65" i="24"/>
  <c r="BG17" i="24" s="1"/>
  <c r="Z65" i="24"/>
  <c r="BF17" i="24" s="1"/>
  <c r="Y65" i="24"/>
  <c r="X65" i="24"/>
  <c r="W65" i="24"/>
  <c r="V65" i="24"/>
  <c r="BD17" i="24" s="1"/>
  <c r="U65" i="24"/>
  <c r="BC17" i="24" s="1"/>
  <c r="T65" i="24"/>
  <c r="BB17" i="24" s="1"/>
  <c r="S65" i="24"/>
  <c r="R102" i="24"/>
  <c r="Q65" i="24"/>
  <c r="AY17" i="24" s="1"/>
  <c r="P65" i="24"/>
  <c r="O65" i="24"/>
  <c r="AW17" i="24" s="1"/>
  <c r="N65" i="24"/>
  <c r="AV17" i="24" s="1"/>
  <c r="M65" i="24"/>
  <c r="L65" i="24"/>
  <c r="K65" i="24"/>
  <c r="AT17" i="24" s="1"/>
  <c r="J65" i="24"/>
  <c r="I65" i="24"/>
  <c r="H65" i="24"/>
  <c r="G65" i="24"/>
  <c r="AR17" i="24" s="1"/>
  <c r="F65" i="24"/>
  <c r="AQ17" i="24" s="1"/>
  <c r="E65" i="24"/>
  <c r="AP17" i="24" s="1"/>
  <c r="D65" i="24"/>
  <c r="AO17" i="24" s="1"/>
  <c r="C65" i="24"/>
  <c r="B65" i="24"/>
  <c r="AM17" i="24" s="1"/>
  <c r="AI64" i="24"/>
  <c r="AH64" i="24"/>
  <c r="AI63" i="24"/>
  <c r="AH63" i="24"/>
  <c r="AI62" i="24"/>
  <c r="AH62" i="24"/>
  <c r="AG61" i="24"/>
  <c r="AF61" i="24"/>
  <c r="AE61" i="24"/>
  <c r="AD61" i="24"/>
  <c r="BH16" i="24" s="1"/>
  <c r="AC61" i="24"/>
  <c r="AB61" i="24"/>
  <c r="Z61" i="24"/>
  <c r="BF16" i="24" s="1"/>
  <c r="Y61" i="24"/>
  <c r="X61" i="24"/>
  <c r="W61" i="24"/>
  <c r="V61" i="24"/>
  <c r="BD16" i="24" s="1"/>
  <c r="U61" i="24"/>
  <c r="T61" i="24"/>
  <c r="S61" i="24"/>
  <c r="Q61" i="24"/>
  <c r="AY16" i="24" s="1"/>
  <c r="P61" i="24"/>
  <c r="O61" i="24"/>
  <c r="N61" i="24"/>
  <c r="M61" i="24"/>
  <c r="AU16" i="24" s="1"/>
  <c r="L61" i="24"/>
  <c r="K61" i="24"/>
  <c r="AT16" i="24" s="1"/>
  <c r="J61" i="24"/>
  <c r="I61" i="24"/>
  <c r="H61" i="24"/>
  <c r="G61" i="24"/>
  <c r="F61" i="24"/>
  <c r="AQ16" i="24" s="1"/>
  <c r="E61" i="24"/>
  <c r="AP16" i="24" s="1"/>
  <c r="D61" i="24"/>
  <c r="AO16" i="24" s="1"/>
  <c r="C61" i="24"/>
  <c r="B61" i="24"/>
  <c r="AM16" i="24" s="1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I21" i="24"/>
  <c r="AH21" i="24"/>
  <c r="BJ20" i="24"/>
  <c r="BF20" i="24"/>
  <c r="BE20" i="24"/>
  <c r="BB20" i="24"/>
  <c r="AZ20" i="24"/>
  <c r="AY20" i="24"/>
  <c r="AX20" i="24"/>
  <c r="AW20" i="24"/>
  <c r="AV20" i="24"/>
  <c r="AU20" i="24"/>
  <c r="AT20" i="24"/>
  <c r="AS20" i="24"/>
  <c r="AN20" i="24"/>
  <c r="AI20" i="24"/>
  <c r="AH20" i="24"/>
  <c r="AZ19" i="24"/>
  <c r="AI19" i="24"/>
  <c r="AH19" i="24"/>
  <c r="BG18" i="24"/>
  <c r="BD18" i="24"/>
  <c r="BC18" i="24"/>
  <c r="BB18" i="24"/>
  <c r="AY18" i="24"/>
  <c r="AX18" i="24"/>
  <c r="AI18" i="24"/>
  <c r="AH18" i="24"/>
  <c r="BE17" i="24"/>
  <c r="BA17" i="24"/>
  <c r="AZ17" i="24"/>
  <c r="AX17" i="24"/>
  <c r="AU17" i="24"/>
  <c r="AS17" i="24"/>
  <c r="AN17" i="24"/>
  <c r="AI17" i="24"/>
  <c r="AH17" i="24"/>
  <c r="BJ16" i="24"/>
  <c r="BE16" i="24"/>
  <c r="BC16" i="24"/>
  <c r="BB16" i="24"/>
  <c r="AZ16" i="24"/>
  <c r="AN16" i="24"/>
  <c r="AI16" i="24"/>
  <c r="AH16" i="24"/>
  <c r="AI15" i="24"/>
  <c r="AH15" i="24"/>
  <c r="AI14" i="24"/>
  <c r="AH14" i="24"/>
  <c r="AI13" i="24"/>
  <c r="AH13" i="24"/>
  <c r="AL12" i="24"/>
  <c r="AI12" i="24"/>
  <c r="AH12" i="24"/>
  <c r="AI11" i="24"/>
  <c r="AH11" i="24"/>
  <c r="Z5" i="24"/>
  <c r="V5" i="24"/>
  <c r="U5" i="24"/>
  <c r="Q5" i="24"/>
  <c r="F5" i="24"/>
  <c r="AG4" i="24"/>
  <c r="K4" i="24"/>
  <c r="E4" i="24"/>
  <c r="H4" i="24" s="1"/>
  <c r="B4" i="24"/>
  <c r="AG3" i="24"/>
  <c r="AG2" i="24"/>
  <c r="AG6" i="24" s="1"/>
  <c r="J255" i="25" l="1"/>
  <c r="J121" i="25"/>
  <c r="K249" i="25"/>
  <c r="AE5" i="24"/>
  <c r="AF110" i="24"/>
  <c r="AF100" i="24"/>
  <c r="AF102" i="24" s="1"/>
  <c r="AF103" i="24" s="1"/>
  <c r="AF7" i="24" s="1"/>
  <c r="BJ22" i="24"/>
  <c r="AD5" i="24"/>
  <c r="AC5" i="24"/>
  <c r="AD100" i="24"/>
  <c r="AD102" i="24" s="1"/>
  <c r="AC110" i="24"/>
  <c r="AC111" i="24" s="1"/>
  <c r="AB110" i="24"/>
  <c r="BG23" i="24" s="1"/>
  <c r="AA5" i="24"/>
  <c r="AB100" i="24"/>
  <c r="AB102" i="24" s="1"/>
  <c r="AB103" i="24" s="1"/>
  <c r="AB7" i="24" s="1"/>
  <c r="BG16" i="24"/>
  <c r="BG22" i="24" s="1"/>
  <c r="BG24" i="24" s="1"/>
  <c r="AA111" i="24"/>
  <c r="Y5" i="24"/>
  <c r="BF22" i="24"/>
  <c r="BF24" i="24" s="1"/>
  <c r="Y110" i="24"/>
  <c r="Y111" i="24" s="1"/>
  <c r="X110" i="24"/>
  <c r="BE23" i="24" s="1"/>
  <c r="BE19" i="24"/>
  <c r="X111" i="24"/>
  <c r="X100" i="24"/>
  <c r="X102" i="24" s="1"/>
  <c r="X103" i="24" s="1"/>
  <c r="X7" i="24" s="1"/>
  <c r="T100" i="24"/>
  <c r="T102" i="24" s="1"/>
  <c r="T110" i="24"/>
  <c r="BB23" i="24" s="1"/>
  <c r="R5" i="24"/>
  <c r="S100" i="24"/>
  <c r="S102" i="24" s="1"/>
  <c r="S103" i="24" s="1"/>
  <c r="S7" i="24" s="1"/>
  <c r="BA23" i="24"/>
  <c r="BA16" i="24"/>
  <c r="BA22" i="24" s="1"/>
  <c r="R110" i="24"/>
  <c r="AZ23" i="24" s="1"/>
  <c r="Q110" i="24"/>
  <c r="Q111" i="24"/>
  <c r="AY23" i="24"/>
  <c r="P5" i="24"/>
  <c r="AY22" i="24"/>
  <c r="AY24" i="24" s="1"/>
  <c r="P110" i="24"/>
  <c r="AX23" i="24" s="1"/>
  <c r="O5" i="24"/>
  <c r="P100" i="24"/>
  <c r="P102" i="24" s="1"/>
  <c r="AW19" i="24"/>
  <c r="AX16" i="24"/>
  <c r="AX22" i="24" s="1"/>
  <c r="AX24" i="24" s="1"/>
  <c r="AV19" i="24"/>
  <c r="M110" i="24"/>
  <c r="AU23" i="24" s="1"/>
  <c r="AI109" i="24"/>
  <c r="L110" i="24"/>
  <c r="L111" i="24" s="1"/>
  <c r="L100" i="24"/>
  <c r="L102" i="24" s="1"/>
  <c r="K110" i="24"/>
  <c r="AT23" i="24" s="1"/>
  <c r="K111" i="24"/>
  <c r="J5" i="24"/>
  <c r="AT19" i="24"/>
  <c r="AT22" i="24" s="1"/>
  <c r="AT24" i="24" s="1"/>
  <c r="K100" i="24"/>
  <c r="K102" i="24" s="1"/>
  <c r="K103" i="24" s="1"/>
  <c r="K7" i="24" s="1"/>
  <c r="H5" i="24"/>
  <c r="I110" i="24"/>
  <c r="I111" i="24" s="1"/>
  <c r="H110" i="24"/>
  <c r="H111" i="24" s="1"/>
  <c r="H100" i="24"/>
  <c r="H102" i="24" s="1"/>
  <c r="H103" i="24" s="1"/>
  <c r="H7" i="24" s="1"/>
  <c r="AQ19" i="24"/>
  <c r="AQ22" i="24" s="1"/>
  <c r="AO22" i="24"/>
  <c r="AO24" i="24" s="1"/>
  <c r="D100" i="24"/>
  <c r="D102" i="24" s="1"/>
  <c r="D103" i="24" s="1"/>
  <c r="D7" i="24" s="1"/>
  <c r="C5" i="24"/>
  <c r="C110" i="24"/>
  <c r="AN23" i="24" s="1"/>
  <c r="AN19" i="24"/>
  <c r="AN22" i="24" s="1"/>
  <c r="C100" i="24"/>
  <c r="C102" i="24" s="1"/>
  <c r="AH79" i="24"/>
  <c r="AM19" i="24"/>
  <c r="BD22" i="24"/>
  <c r="D261" i="24"/>
  <c r="AL13" i="24"/>
  <c r="BH22" i="24"/>
  <c r="AI79" i="24"/>
  <c r="G100" i="24"/>
  <c r="G102" i="24" s="1"/>
  <c r="D111" i="24"/>
  <c r="T111" i="24"/>
  <c r="AB111" i="24"/>
  <c r="F100" i="24"/>
  <c r="F102" i="24" s="1"/>
  <c r="AH65" i="24"/>
  <c r="AB5" i="24"/>
  <c r="AE100" i="24"/>
  <c r="AE102" i="24" s="1"/>
  <c r="BI16" i="24"/>
  <c r="BI22" i="24" s="1"/>
  <c r="Q100" i="24"/>
  <c r="Q102" i="24" s="1"/>
  <c r="Q103" i="24" s="1"/>
  <c r="Q7" i="24" s="1"/>
  <c r="AG100" i="24"/>
  <c r="AP19" i="24"/>
  <c r="AP22" i="24" s="1"/>
  <c r="U111" i="24"/>
  <c r="T5" i="24"/>
  <c r="BC19" i="24"/>
  <c r="BC22" i="24" s="1"/>
  <c r="BC24" i="24" s="1"/>
  <c r="AI61" i="24"/>
  <c r="J100" i="24"/>
  <c r="J102" i="24" s="1"/>
  <c r="J103" i="24" s="1"/>
  <c r="J7" i="24" s="1"/>
  <c r="Z100" i="24"/>
  <c r="Z102" i="24" s="1"/>
  <c r="Z103" i="24" s="1"/>
  <c r="Z7" i="24" s="1"/>
  <c r="AH61" i="24"/>
  <c r="V100" i="24"/>
  <c r="V102" i="24" s="1"/>
  <c r="V103" i="24" s="1"/>
  <c r="V7" i="24" s="1"/>
  <c r="F250" i="24"/>
  <c r="G250" i="24" s="1"/>
  <c r="H250" i="24" s="1"/>
  <c r="I250" i="24" s="1"/>
  <c r="J250" i="24" s="1"/>
  <c r="K250" i="24" s="1"/>
  <c r="L250" i="24" s="1"/>
  <c r="M250" i="24" s="1"/>
  <c r="N250" i="24" s="1"/>
  <c r="O250" i="24" s="1"/>
  <c r="P250" i="24" s="1"/>
  <c r="Q250" i="24" s="1"/>
  <c r="R250" i="24" s="1"/>
  <c r="S250" i="24" s="1"/>
  <c r="T250" i="24" s="1"/>
  <c r="U250" i="24" s="1"/>
  <c r="V250" i="24" s="1"/>
  <c r="W250" i="24" s="1"/>
  <c r="X250" i="24" s="1"/>
  <c r="Y250" i="24" s="1"/>
  <c r="Z250" i="24" s="1"/>
  <c r="AA250" i="24" s="1"/>
  <c r="AB250" i="24" s="1"/>
  <c r="AC250" i="24" s="1"/>
  <c r="AD250" i="24" s="1"/>
  <c r="AE250" i="24" s="1"/>
  <c r="AF250" i="24" s="1"/>
  <c r="B250" i="24" s="1"/>
  <c r="AZ22" i="24"/>
  <c r="AZ24" i="24" s="1"/>
  <c r="O100" i="24"/>
  <c r="O102" i="24" s="1"/>
  <c r="AM18" i="24"/>
  <c r="AM22" i="24" s="1"/>
  <c r="AR16" i="24"/>
  <c r="AR22" i="24" s="1"/>
  <c r="I100" i="24"/>
  <c r="I102" i="24" s="1"/>
  <c r="I103" i="24" s="1"/>
  <c r="I7" i="24" s="1"/>
  <c r="AS16" i="24"/>
  <c r="AS22" i="24" s="1"/>
  <c r="Y100" i="24"/>
  <c r="Y102" i="24" s="1"/>
  <c r="Y103" i="24" s="1"/>
  <c r="Y7" i="24" s="1"/>
  <c r="AI65" i="24"/>
  <c r="AU19" i="24"/>
  <c r="AU22" i="24" s="1"/>
  <c r="E110" i="24"/>
  <c r="AP23" i="24" s="1"/>
  <c r="AH106" i="24"/>
  <c r="BE22" i="24"/>
  <c r="BE24" i="24" s="1"/>
  <c r="BB19" i="24"/>
  <c r="BB22" i="24" s="1"/>
  <c r="BB24" i="24" s="1"/>
  <c r="N100" i="24"/>
  <c r="N102" i="24" s="1"/>
  <c r="AV16" i="24"/>
  <c r="AV22" i="24" s="1"/>
  <c r="W100" i="24"/>
  <c r="W102" i="24" s="1"/>
  <c r="W103" i="24" s="1"/>
  <c r="W7" i="24" s="1"/>
  <c r="B100" i="24"/>
  <c r="AW16" i="24"/>
  <c r="AW22" i="24" s="1"/>
  <c r="L103" i="24"/>
  <c r="L7" i="24" s="1"/>
  <c r="AZ73" i="24"/>
  <c r="BG82" i="24" a="1"/>
  <c r="F110" i="24"/>
  <c r="AQ23" i="24" s="1"/>
  <c r="N110" i="24"/>
  <c r="AV23" i="24" s="1"/>
  <c r="V110" i="24"/>
  <c r="BD23" i="24" s="1"/>
  <c r="AD110" i="24"/>
  <c r="BH23" i="24" s="1"/>
  <c r="F111" i="24"/>
  <c r="G110" i="24"/>
  <c r="AR23" i="24" s="1"/>
  <c r="O110" i="24"/>
  <c r="AW23" i="24" s="1"/>
  <c r="W110" i="24"/>
  <c r="AE110" i="24"/>
  <c r="BI23" i="24" s="1"/>
  <c r="W111" i="24"/>
  <c r="AE111" i="24"/>
  <c r="P111" i="24"/>
  <c r="AI104" i="24"/>
  <c r="AH109" i="24"/>
  <c r="B110" i="24"/>
  <c r="B111" i="24" s="1"/>
  <c r="H249" i="24"/>
  <c r="AG102" i="24"/>
  <c r="AH104" i="24"/>
  <c r="AI108" i="24"/>
  <c r="AI95" i="24"/>
  <c r="J111" i="24"/>
  <c r="R111" i="24"/>
  <c r="Z111" i="24"/>
  <c r="AH95" i="24"/>
  <c r="AI106" i="24"/>
  <c r="AI107" i="24"/>
  <c r="E100" i="24"/>
  <c r="E102" i="24" s="1"/>
  <c r="M100" i="24"/>
  <c r="M102" i="24" s="1"/>
  <c r="M103" i="24" s="1"/>
  <c r="M7" i="24" s="1"/>
  <c r="U100" i="24"/>
  <c r="U102" i="24" s="1"/>
  <c r="U103" i="24" s="1"/>
  <c r="U7" i="24" s="1"/>
  <c r="AC100" i="24"/>
  <c r="AC102" i="24" s="1"/>
  <c r="AI83" i="24"/>
  <c r="AH83" i="24"/>
  <c r="E254" i="24"/>
  <c r="E255" i="24" s="1"/>
  <c r="AH107" i="24"/>
  <c r="AH108" i="24"/>
  <c r="K255" i="25" l="1"/>
  <c r="K121" i="25"/>
  <c r="L249" i="25"/>
  <c r="AF111" i="24"/>
  <c r="BJ23" i="24"/>
  <c r="BJ24" i="24" s="1"/>
  <c r="BI24" i="24"/>
  <c r="AD111" i="24"/>
  <c r="AC103" i="24"/>
  <c r="AC7" i="24" s="1"/>
  <c r="V111" i="24"/>
  <c r="T103" i="24"/>
  <c r="T7" i="24" s="1"/>
  <c r="BA24" i="24"/>
  <c r="R103" i="24"/>
  <c r="R7" i="24" s="1"/>
  <c r="P103" i="24"/>
  <c r="P7" i="24" s="1"/>
  <c r="AV24" i="24"/>
  <c r="AU24" i="24"/>
  <c r="M111" i="24"/>
  <c r="AS23" i="24"/>
  <c r="AS24" i="24" s="1"/>
  <c r="G111" i="24"/>
  <c r="AQ24" i="24"/>
  <c r="E103" i="24"/>
  <c r="E7" i="24" s="1"/>
  <c r="AP24" i="24"/>
  <c r="C111" i="24"/>
  <c r="AN24" i="24"/>
  <c r="C103" i="24"/>
  <c r="C7" i="24" s="1"/>
  <c r="AT8" i="24"/>
  <c r="O111" i="24"/>
  <c r="N111" i="24"/>
  <c r="N103" i="24"/>
  <c r="N7" i="24" s="1"/>
  <c r="AE103" i="24"/>
  <c r="AE7" i="24" s="1"/>
  <c r="I249" i="24"/>
  <c r="G103" i="24"/>
  <c r="G7" i="24" s="1"/>
  <c r="C259" i="24"/>
  <c r="B259" i="24"/>
  <c r="BI105" i="24"/>
  <c r="BG104" i="24"/>
  <c r="BK102" i="24"/>
  <c r="BI101" i="24"/>
  <c r="BG100" i="24"/>
  <c r="BK98" i="24"/>
  <c r="BI97" i="24"/>
  <c r="BG96" i="24"/>
  <c r="BK94" i="24"/>
  <c r="BI93" i="24"/>
  <c r="BG92" i="24"/>
  <c r="BK90" i="24"/>
  <c r="BL104" i="24"/>
  <c r="BJ103" i="24"/>
  <c r="BH102" i="24"/>
  <c r="BL100" i="24"/>
  <c r="BJ99" i="24"/>
  <c r="BH98" i="24"/>
  <c r="BL96" i="24"/>
  <c r="BJ95" i="24"/>
  <c r="BH94" i="24"/>
  <c r="BL92" i="24"/>
  <c r="BJ91" i="24"/>
  <c r="BH90" i="24"/>
  <c r="BL88" i="24"/>
  <c r="BJ87" i="24"/>
  <c r="BH86" i="24"/>
  <c r="BL84" i="24"/>
  <c r="BJ83" i="24"/>
  <c r="BH82" i="24"/>
  <c r="BI104" i="24"/>
  <c r="BJ102" i="24"/>
  <c r="BK100" i="24"/>
  <c r="BG99" i="24"/>
  <c r="BH97" i="24"/>
  <c r="BI95" i="24"/>
  <c r="BK93" i="24"/>
  <c r="BL91" i="24"/>
  <c r="BG90" i="24"/>
  <c r="BJ88" i="24"/>
  <c r="BG87" i="24"/>
  <c r="BJ85" i="24"/>
  <c r="BG84" i="24"/>
  <c r="BJ82" i="24"/>
  <c r="BL105" i="24"/>
  <c r="BH104" i="24"/>
  <c r="BI102" i="24"/>
  <c r="BJ100" i="24"/>
  <c r="BL98" i="24"/>
  <c r="BG97" i="24"/>
  <c r="BH95" i="24"/>
  <c r="BJ93" i="24"/>
  <c r="BK91" i="24"/>
  <c r="BL89" i="24"/>
  <c r="BI88" i="24"/>
  <c r="BL86" i="24"/>
  <c r="BI85" i="24"/>
  <c r="BL83" i="24"/>
  <c r="BI82" i="24"/>
  <c r="BK105" i="24"/>
  <c r="BL103" i="24"/>
  <c r="BG102" i="24"/>
  <c r="BI100" i="24"/>
  <c r="BJ98" i="24"/>
  <c r="BK96" i="24"/>
  <c r="BG95" i="24"/>
  <c r="BH93" i="24"/>
  <c r="BI91" i="24"/>
  <c r="BK89" i="24"/>
  <c r="BH88" i="24"/>
  <c r="BK86" i="24"/>
  <c r="BH85" i="24"/>
  <c r="BK83" i="24"/>
  <c r="BG82" i="24"/>
  <c r="BJ105" i="24"/>
  <c r="BK103" i="24"/>
  <c r="BL101" i="24"/>
  <c r="BH100" i="24"/>
  <c r="BI98" i="24"/>
  <c r="BJ96" i="24"/>
  <c r="BL94" i="24"/>
  <c r="BG93" i="24"/>
  <c r="BH91" i="24"/>
  <c r="BJ89" i="24"/>
  <c r="BG88" i="24"/>
  <c r="BJ86" i="24"/>
  <c r="BG85" i="24"/>
  <c r="BI83" i="24"/>
  <c r="BH105" i="24"/>
  <c r="BI103" i="24"/>
  <c r="BK101" i="24"/>
  <c r="BL99" i="24"/>
  <c r="BG98" i="24"/>
  <c r="BI96" i="24"/>
  <c r="BJ94" i="24"/>
  <c r="BK92" i="24"/>
  <c r="BG91" i="24"/>
  <c r="BI89" i="24"/>
  <c r="BL87" i="24"/>
  <c r="BI86" i="24"/>
  <c r="BK84" i="24"/>
  <c r="BH83" i="24"/>
  <c r="BG105" i="24"/>
  <c r="BH103" i="24"/>
  <c r="BJ101" i="24"/>
  <c r="BK99" i="24"/>
  <c r="BL97" i="24"/>
  <c r="BH96" i="24"/>
  <c r="BI94" i="24"/>
  <c r="BJ92" i="24"/>
  <c r="BL90" i="24"/>
  <c r="BH89" i="24"/>
  <c r="BK87" i="24"/>
  <c r="BG86" i="24"/>
  <c r="BJ84" i="24"/>
  <c r="BG83" i="24"/>
  <c r="BL102" i="24"/>
  <c r="BK95" i="24"/>
  <c r="BK88" i="24"/>
  <c r="BK82" i="24"/>
  <c r="BJ97" i="24"/>
  <c r="BH101" i="24"/>
  <c r="BG94" i="24"/>
  <c r="BI87" i="24"/>
  <c r="BI99" i="24"/>
  <c r="BL85" i="24"/>
  <c r="BK97" i="24"/>
  <c r="BG101" i="24"/>
  <c r="BL93" i="24"/>
  <c r="BH87" i="24"/>
  <c r="BI92" i="24"/>
  <c r="BK104" i="24"/>
  <c r="BJ90" i="24"/>
  <c r="BI84" i="24"/>
  <c r="BJ104" i="24"/>
  <c r="BI90" i="24"/>
  <c r="BH99" i="24"/>
  <c r="BH92" i="24"/>
  <c r="BK85" i="24"/>
  <c r="BH84" i="24"/>
  <c r="BG103" i="24"/>
  <c r="BL95" i="24"/>
  <c r="BG89" i="24"/>
  <c r="BL82" i="24"/>
  <c r="AI110" i="24"/>
  <c r="AH110" i="24"/>
  <c r="AM23" i="24"/>
  <c r="AM24" i="24" s="1"/>
  <c r="AR24" i="24"/>
  <c r="E111" i="24"/>
  <c r="AD103" i="24"/>
  <c r="AD7" i="24" s="1"/>
  <c r="BD24" i="24"/>
  <c r="F254" i="24"/>
  <c r="E121" i="24"/>
  <c r="AW24" i="24"/>
  <c r="F103" i="24"/>
  <c r="F7" i="24" s="1"/>
  <c r="BH24" i="24"/>
  <c r="AI100" i="24"/>
  <c r="B102" i="24"/>
  <c r="AH100" i="24"/>
  <c r="O103" i="24"/>
  <c r="O7" i="24" s="1"/>
  <c r="L255" i="25" l="1"/>
  <c r="L121" i="25"/>
  <c r="M249" i="25"/>
  <c r="AH111" i="24"/>
  <c r="K6" i="24"/>
  <c r="AI111" i="24"/>
  <c r="AT9" i="24"/>
  <c r="J249" i="24"/>
  <c r="F121" i="24"/>
  <c r="G254" i="24"/>
  <c r="F255" i="24"/>
  <c r="B103" i="24"/>
  <c r="AI102" i="24"/>
  <c r="AH102" i="24"/>
  <c r="AA121" i="23"/>
  <c r="AA109" i="23"/>
  <c r="AA108" i="23"/>
  <c r="AA107" i="23"/>
  <c r="AA106" i="23"/>
  <c r="AA105" i="23"/>
  <c r="AA104" i="23"/>
  <c r="AA110" i="23" s="1"/>
  <c r="AA95" i="23"/>
  <c r="AA111" i="23" s="1"/>
  <c r="AA83" i="23"/>
  <c r="AA79" i="23"/>
  <c r="AA65" i="23"/>
  <c r="AA61" i="23"/>
  <c r="AA100" i="23" s="1"/>
  <c r="AA102" i="23" s="1"/>
  <c r="AA103" i="23" s="1"/>
  <c r="Z121" i="23"/>
  <c r="Z109" i="23"/>
  <c r="Z108" i="23"/>
  <c r="Z107" i="23"/>
  <c r="Z106" i="23"/>
  <c r="Z105" i="23"/>
  <c r="Z104" i="23"/>
  <c r="Z95" i="23"/>
  <c r="Z83" i="23"/>
  <c r="Z79" i="23"/>
  <c r="Z65" i="23"/>
  <c r="Z61" i="23"/>
  <c r="W61" i="23"/>
  <c r="W65" i="23"/>
  <c r="W79" i="23"/>
  <c r="W83" i="23"/>
  <c r="W95" i="23"/>
  <c r="W104" i="23"/>
  <c r="W105" i="23"/>
  <c r="W106" i="23"/>
  <c r="W107" i="23"/>
  <c r="W108" i="23"/>
  <c r="W109" i="23"/>
  <c r="W121" i="23"/>
  <c r="V61" i="23"/>
  <c r="V65" i="23"/>
  <c r="V79" i="23"/>
  <c r="U61" i="23"/>
  <c r="U65" i="23"/>
  <c r="U79" i="23"/>
  <c r="U83" i="23"/>
  <c r="U95" i="23"/>
  <c r="U104" i="23"/>
  <c r="U105" i="23"/>
  <c r="U106" i="23"/>
  <c r="U107" i="23"/>
  <c r="U108" i="23"/>
  <c r="U109" i="23"/>
  <c r="U121" i="23"/>
  <c r="N249" i="25" l="1"/>
  <c r="M255" i="25"/>
  <c r="M121" i="25"/>
  <c r="AI103" i="24"/>
  <c r="B7" i="24"/>
  <c r="A7" i="24" s="1"/>
  <c r="AH103" i="24"/>
  <c r="H254" i="24"/>
  <c r="G255" i="24"/>
  <c r="G121" i="24"/>
  <c r="K249" i="24"/>
  <c r="Z110" i="23"/>
  <c r="Z111" i="23" s="1"/>
  <c r="Z100" i="23"/>
  <c r="Z102" i="23" s="1"/>
  <c r="Z103" i="23" s="1"/>
  <c r="W110" i="23"/>
  <c r="W111" i="23" s="1"/>
  <c r="W100" i="23"/>
  <c r="W102" i="23" s="1"/>
  <c r="U110" i="23"/>
  <c r="U111" i="23" s="1"/>
  <c r="U100" i="23"/>
  <c r="U102" i="23" s="1"/>
  <c r="T61" i="23"/>
  <c r="T65" i="23"/>
  <c r="T79" i="23"/>
  <c r="T83" i="23"/>
  <c r="T95" i="23"/>
  <c r="T100" i="23" s="1"/>
  <c r="T102" i="23" s="1"/>
  <c r="T104" i="23"/>
  <c r="T105" i="23"/>
  <c r="T106" i="23"/>
  <c r="T107" i="23"/>
  <c r="T108" i="23"/>
  <c r="T109" i="23"/>
  <c r="T121" i="23"/>
  <c r="S61" i="23"/>
  <c r="S65" i="23"/>
  <c r="S79" i="23"/>
  <c r="S83" i="23"/>
  <c r="S95" i="23"/>
  <c r="S104" i="23"/>
  <c r="S105" i="23"/>
  <c r="S106" i="23"/>
  <c r="S107" i="23"/>
  <c r="S108" i="23"/>
  <c r="S109" i="23"/>
  <c r="S121" i="23"/>
  <c r="O249" i="25" l="1"/>
  <c r="N121" i="25"/>
  <c r="N255" i="25"/>
  <c r="I254" i="24"/>
  <c r="H121" i="24"/>
  <c r="H255" i="24"/>
  <c r="L249" i="24"/>
  <c r="W103" i="23"/>
  <c r="U103" i="23"/>
  <c r="T110" i="23"/>
  <c r="T111" i="23"/>
  <c r="T103" i="23"/>
  <c r="S110" i="23"/>
  <c r="S111" i="23" s="1"/>
  <c r="S100" i="23"/>
  <c r="S102" i="23" s="1"/>
  <c r="S103" i="23" s="1"/>
  <c r="P249" i="25" l="1"/>
  <c r="O255" i="25"/>
  <c r="O121" i="25"/>
  <c r="M249" i="24"/>
  <c r="J254" i="24"/>
  <c r="I255" i="24"/>
  <c r="I121" i="24"/>
  <c r="Q249" i="25" l="1"/>
  <c r="P255" i="25"/>
  <c r="N249" i="24"/>
  <c r="K254" i="24"/>
  <c r="J121" i="24"/>
  <c r="J255" i="24"/>
  <c r="Q255" i="25" l="1"/>
  <c r="Q121" i="25"/>
  <c r="R249" i="25"/>
  <c r="L254" i="24"/>
  <c r="K255" i="24"/>
  <c r="K121" i="24"/>
  <c r="O249" i="24"/>
  <c r="R255" i="25" l="1"/>
  <c r="R121" i="25"/>
  <c r="S249" i="25"/>
  <c r="P249" i="24"/>
  <c r="M254" i="24"/>
  <c r="L255" i="24"/>
  <c r="L121" i="24"/>
  <c r="AH128" i="23"/>
  <c r="AI128" i="23"/>
  <c r="AH127" i="23"/>
  <c r="AI127" i="23"/>
  <c r="AG255" i="23"/>
  <c r="F255" i="23"/>
  <c r="C255" i="23"/>
  <c r="L254" i="23"/>
  <c r="M254" i="23" s="1"/>
  <c r="N254" i="23" s="1"/>
  <c r="O254" i="23" s="1"/>
  <c r="P254" i="23" s="1"/>
  <c r="Q254" i="23" s="1"/>
  <c r="R254" i="23" s="1"/>
  <c r="S254" i="23" s="1"/>
  <c r="T254" i="23" s="1"/>
  <c r="U254" i="23" s="1"/>
  <c r="V254" i="23" s="1"/>
  <c r="W254" i="23" s="1"/>
  <c r="X254" i="23" s="1"/>
  <c r="Y254" i="23" s="1"/>
  <c r="Z254" i="23" s="1"/>
  <c r="AA254" i="23" s="1"/>
  <c r="AB254" i="23" s="1"/>
  <c r="AC254" i="23" s="1"/>
  <c r="AD254" i="23" s="1"/>
  <c r="AE254" i="23" s="1"/>
  <c r="AF254" i="23" s="1"/>
  <c r="B254" i="23" s="1"/>
  <c r="E254" i="23"/>
  <c r="F254" i="23" s="1"/>
  <c r="G254" i="23" s="1"/>
  <c r="H254" i="23" s="1"/>
  <c r="I254" i="23" s="1"/>
  <c r="J254" i="23" s="1"/>
  <c r="K254" i="23" s="1"/>
  <c r="D254" i="23"/>
  <c r="D121" i="23" s="1"/>
  <c r="K253" i="23"/>
  <c r="L253" i="23" s="1"/>
  <c r="M253" i="23" s="1"/>
  <c r="N253" i="23" s="1"/>
  <c r="O253" i="23" s="1"/>
  <c r="P253" i="23" s="1"/>
  <c r="Q253" i="23" s="1"/>
  <c r="R253" i="23" s="1"/>
  <c r="S253" i="23" s="1"/>
  <c r="T253" i="23" s="1"/>
  <c r="U253" i="23" s="1"/>
  <c r="V253" i="23" s="1"/>
  <c r="W253" i="23" s="1"/>
  <c r="X253" i="23" s="1"/>
  <c r="Y253" i="23" s="1"/>
  <c r="Z253" i="23" s="1"/>
  <c r="AA253" i="23" s="1"/>
  <c r="AB253" i="23" s="1"/>
  <c r="AC253" i="23" s="1"/>
  <c r="AD253" i="23" s="1"/>
  <c r="AE253" i="23" s="1"/>
  <c r="AF253" i="23" s="1"/>
  <c r="B253" i="23" s="1"/>
  <c r="J253" i="23"/>
  <c r="E253" i="23"/>
  <c r="F253" i="23" s="1"/>
  <c r="G253" i="23" s="1"/>
  <c r="H253" i="23" s="1"/>
  <c r="I253" i="23" s="1"/>
  <c r="D253" i="23"/>
  <c r="E252" i="23"/>
  <c r="F252" i="23" s="1"/>
  <c r="G252" i="23" s="1"/>
  <c r="H252" i="23" s="1"/>
  <c r="I252" i="23" s="1"/>
  <c r="J252" i="23" s="1"/>
  <c r="K252" i="23" s="1"/>
  <c r="L252" i="23" s="1"/>
  <c r="M252" i="23" s="1"/>
  <c r="N252" i="23" s="1"/>
  <c r="O252" i="23" s="1"/>
  <c r="P252" i="23" s="1"/>
  <c r="Q252" i="23" s="1"/>
  <c r="R252" i="23" s="1"/>
  <c r="S252" i="23" s="1"/>
  <c r="T252" i="23" s="1"/>
  <c r="U252" i="23" s="1"/>
  <c r="V252" i="23" s="1"/>
  <c r="W252" i="23" s="1"/>
  <c r="X252" i="23" s="1"/>
  <c r="Y252" i="23" s="1"/>
  <c r="Z252" i="23" s="1"/>
  <c r="AA252" i="23" s="1"/>
  <c r="AB252" i="23" s="1"/>
  <c r="AC252" i="23" s="1"/>
  <c r="AD252" i="23" s="1"/>
  <c r="AE252" i="23" s="1"/>
  <c r="AF252" i="23" s="1"/>
  <c r="B252" i="23" s="1"/>
  <c r="D252" i="23"/>
  <c r="F251" i="23"/>
  <c r="G251" i="23" s="1"/>
  <c r="H251" i="23" s="1"/>
  <c r="I251" i="23" s="1"/>
  <c r="J251" i="23" s="1"/>
  <c r="K251" i="23" s="1"/>
  <c r="L251" i="23" s="1"/>
  <c r="M251" i="23" s="1"/>
  <c r="N251" i="23" s="1"/>
  <c r="O251" i="23" s="1"/>
  <c r="P251" i="23" s="1"/>
  <c r="Q251" i="23" s="1"/>
  <c r="R251" i="23" s="1"/>
  <c r="S251" i="23" s="1"/>
  <c r="T251" i="23" s="1"/>
  <c r="U251" i="23" s="1"/>
  <c r="V251" i="23" s="1"/>
  <c r="W251" i="23" s="1"/>
  <c r="X251" i="23" s="1"/>
  <c r="Y251" i="23" s="1"/>
  <c r="Z251" i="23" s="1"/>
  <c r="AA251" i="23" s="1"/>
  <c r="AB251" i="23" s="1"/>
  <c r="AC251" i="23" s="1"/>
  <c r="AD251" i="23" s="1"/>
  <c r="AE251" i="23" s="1"/>
  <c r="AF251" i="23" s="1"/>
  <c r="B251" i="23" s="1"/>
  <c r="E251" i="23"/>
  <c r="D251" i="23"/>
  <c r="E250" i="23"/>
  <c r="F250" i="23" s="1"/>
  <c r="G250" i="23" s="1"/>
  <c r="H250" i="23" s="1"/>
  <c r="I250" i="23" s="1"/>
  <c r="J250" i="23" s="1"/>
  <c r="K250" i="23" s="1"/>
  <c r="L250" i="23" s="1"/>
  <c r="M250" i="23" s="1"/>
  <c r="N250" i="23" s="1"/>
  <c r="O250" i="23" s="1"/>
  <c r="P250" i="23" s="1"/>
  <c r="Q250" i="23" s="1"/>
  <c r="R250" i="23" s="1"/>
  <c r="S250" i="23" s="1"/>
  <c r="T250" i="23" s="1"/>
  <c r="U250" i="23" s="1"/>
  <c r="V250" i="23" s="1"/>
  <c r="W250" i="23" s="1"/>
  <c r="X250" i="23" s="1"/>
  <c r="Y250" i="23" s="1"/>
  <c r="Z250" i="23" s="1"/>
  <c r="AA250" i="23" s="1"/>
  <c r="AB250" i="23" s="1"/>
  <c r="AC250" i="23" s="1"/>
  <c r="AD250" i="23" s="1"/>
  <c r="AE250" i="23" s="1"/>
  <c r="AF250" i="23" s="1"/>
  <c r="B250" i="23" s="1"/>
  <c r="D250" i="23"/>
  <c r="E249" i="23"/>
  <c r="F249" i="23" s="1"/>
  <c r="G249" i="23" s="1"/>
  <c r="D249" i="23"/>
  <c r="D255" i="23" s="1"/>
  <c r="AG247" i="23"/>
  <c r="AF247" i="23"/>
  <c r="AE247" i="23"/>
  <c r="AD247" i="23"/>
  <c r="AC247" i="23"/>
  <c r="AB247" i="23"/>
  <c r="AA247" i="23"/>
  <c r="Z247" i="23"/>
  <c r="Y247" i="23"/>
  <c r="Y121" i="23" s="1"/>
  <c r="X247" i="23"/>
  <c r="W247" i="23"/>
  <c r="V247" i="23"/>
  <c r="U247" i="23"/>
  <c r="T247" i="23"/>
  <c r="S247" i="23"/>
  <c r="R247" i="23"/>
  <c r="Q247" i="23"/>
  <c r="P247" i="23"/>
  <c r="O247" i="23"/>
  <c r="N247" i="23"/>
  <c r="M247" i="23"/>
  <c r="L247" i="23"/>
  <c r="K247" i="23"/>
  <c r="J247" i="23"/>
  <c r="I247" i="23"/>
  <c r="H247" i="23"/>
  <c r="G247" i="23"/>
  <c r="F247" i="23"/>
  <c r="E247" i="23"/>
  <c r="D247" i="23"/>
  <c r="C247" i="23"/>
  <c r="B247" i="23"/>
  <c r="AI133" i="23"/>
  <c r="AH133" i="23"/>
  <c r="AI132" i="23"/>
  <c r="AH132" i="23"/>
  <c r="AI131" i="23"/>
  <c r="AH131" i="23"/>
  <c r="AI130" i="23"/>
  <c r="AH130" i="23"/>
  <c r="AI129" i="23"/>
  <c r="AH129" i="23"/>
  <c r="AI126" i="23"/>
  <c r="AH126" i="23"/>
  <c r="AI125" i="23"/>
  <c r="AH125" i="23"/>
  <c r="AI124" i="23"/>
  <c r="AH124" i="23"/>
  <c r="AI123" i="23"/>
  <c r="AH123" i="23"/>
  <c r="AI122" i="23"/>
  <c r="AH122" i="23"/>
  <c r="E121" i="23"/>
  <c r="C121" i="23"/>
  <c r="AI120" i="23"/>
  <c r="AH120" i="23"/>
  <c r="AI119" i="23"/>
  <c r="AH119" i="23"/>
  <c r="AI118" i="23"/>
  <c r="AH118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BF23" i="23"/>
  <c r="AF109" i="23"/>
  <c r="AE109" i="23"/>
  <c r="AD109" i="23"/>
  <c r="AC109" i="23"/>
  <c r="AB109" i="23"/>
  <c r="Y109" i="23"/>
  <c r="X109" i="23"/>
  <c r="V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AF108" i="23"/>
  <c r="AE108" i="23"/>
  <c r="AD108" i="23"/>
  <c r="AC108" i="23"/>
  <c r="AB108" i="23"/>
  <c r="Y108" i="23"/>
  <c r="X108" i="23"/>
  <c r="V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AF107" i="23"/>
  <c r="AE107" i="23"/>
  <c r="AD107" i="23"/>
  <c r="AC107" i="23"/>
  <c r="AB107" i="23"/>
  <c r="Y107" i="23"/>
  <c r="X107" i="23"/>
  <c r="V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AF106" i="23"/>
  <c r="AE106" i="23"/>
  <c r="AD106" i="23"/>
  <c r="AC106" i="23"/>
  <c r="AB106" i="23"/>
  <c r="Y106" i="23"/>
  <c r="Y110" i="23" s="1"/>
  <c r="Y111" i="23" s="1"/>
  <c r="X106" i="23"/>
  <c r="V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AF105" i="23"/>
  <c r="AE105" i="23"/>
  <c r="AD105" i="23"/>
  <c r="AC105" i="23"/>
  <c r="AB105" i="23"/>
  <c r="Y105" i="23"/>
  <c r="X105" i="23"/>
  <c r="V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AF104" i="23"/>
  <c r="AE104" i="23"/>
  <c r="AD104" i="23"/>
  <c r="AC104" i="23"/>
  <c r="AC110" i="23" s="1"/>
  <c r="AB104" i="23"/>
  <c r="AB110" i="23" s="1"/>
  <c r="BG23" i="23" s="1"/>
  <c r="Y104" i="23"/>
  <c r="X104" i="23"/>
  <c r="X110" i="23" s="1"/>
  <c r="X111" i="23" s="1"/>
  <c r="V104" i="23"/>
  <c r="R104" i="23"/>
  <c r="Q104" i="23"/>
  <c r="P104" i="23"/>
  <c r="O104" i="23"/>
  <c r="N104" i="23"/>
  <c r="M104" i="23"/>
  <c r="L104" i="23"/>
  <c r="L110" i="23" s="1"/>
  <c r="K104" i="23"/>
  <c r="J104" i="23"/>
  <c r="I104" i="23"/>
  <c r="H104" i="23"/>
  <c r="G104" i="23"/>
  <c r="F104" i="23"/>
  <c r="E104" i="23"/>
  <c r="D104" i="23"/>
  <c r="C104" i="23"/>
  <c r="B104" i="23"/>
  <c r="AI101" i="23"/>
  <c r="AH101" i="23"/>
  <c r="Z7" i="23"/>
  <c r="AI99" i="23"/>
  <c r="AH99" i="23"/>
  <c r="AG99" i="23"/>
  <c r="AI98" i="23"/>
  <c r="AH98" i="23"/>
  <c r="AI97" i="23"/>
  <c r="AH97" i="23"/>
  <c r="AI96" i="23"/>
  <c r="AH96" i="23"/>
  <c r="AG95" i="23"/>
  <c r="AF95" i="23"/>
  <c r="BJ19" i="23" s="1"/>
  <c r="AE95" i="23"/>
  <c r="BI19" i="23" s="1"/>
  <c r="AD95" i="23"/>
  <c r="AC5" i="23" s="1"/>
  <c r="AC95" i="23"/>
  <c r="AB95" i="23"/>
  <c r="AA5" i="23" s="1"/>
  <c r="Y95" i="23"/>
  <c r="X5" i="23" s="1"/>
  <c r="X95" i="23"/>
  <c r="V95" i="23"/>
  <c r="U5" i="23" s="1"/>
  <c r="R95" i="23"/>
  <c r="AZ19" i="23" s="1"/>
  <c r="Q95" i="23"/>
  <c r="AY19" i="23" s="1"/>
  <c r="P95" i="23"/>
  <c r="AX19" i="23" s="1"/>
  <c r="O95" i="23"/>
  <c r="AW19" i="23" s="1"/>
  <c r="N95" i="23"/>
  <c r="M5" i="23" s="1"/>
  <c r="M95" i="23"/>
  <c r="L95" i="23"/>
  <c r="L111" i="23" s="1"/>
  <c r="K95" i="23"/>
  <c r="AT19" i="23" s="1"/>
  <c r="J95" i="23"/>
  <c r="I5" i="23" s="1"/>
  <c r="I95" i="23"/>
  <c r="H5" i="23" s="1"/>
  <c r="H95" i="23"/>
  <c r="G95" i="23"/>
  <c r="AR19" i="23" s="1"/>
  <c r="F95" i="23"/>
  <c r="E5" i="23" s="1"/>
  <c r="E95" i="23"/>
  <c r="D95" i="23"/>
  <c r="AO19" i="23" s="1"/>
  <c r="C95" i="23"/>
  <c r="AN19" i="23" s="1"/>
  <c r="B95" i="23"/>
  <c r="AM19" i="23" s="1"/>
  <c r="AI94" i="23"/>
  <c r="AH94" i="23"/>
  <c r="AI93" i="23"/>
  <c r="AH93" i="23"/>
  <c r="AI92" i="23"/>
  <c r="AH92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3" i="23"/>
  <c r="AF83" i="23"/>
  <c r="AE83" i="23"/>
  <c r="AD83" i="23"/>
  <c r="AC83" i="23"/>
  <c r="AB83" i="23"/>
  <c r="BG20" i="23" s="1"/>
  <c r="Y83" i="23"/>
  <c r="X83" i="23"/>
  <c r="V83" i="23"/>
  <c r="BC20" i="23"/>
  <c r="R83" i="23"/>
  <c r="Q83" i="23"/>
  <c r="P83" i="23"/>
  <c r="AX20" i="23" s="1"/>
  <c r="O83" i="23"/>
  <c r="AW20" i="23" s="1"/>
  <c r="N83" i="23"/>
  <c r="AV20" i="23" s="1"/>
  <c r="M83" i="23"/>
  <c r="AU20" i="23" s="1"/>
  <c r="L83" i="23"/>
  <c r="K83" i="23"/>
  <c r="AT20" i="23" s="1"/>
  <c r="J83" i="23"/>
  <c r="I83" i="23"/>
  <c r="H83" i="23"/>
  <c r="G83" i="23"/>
  <c r="F83" i="23"/>
  <c r="E83" i="23"/>
  <c r="AP20" i="23" s="1"/>
  <c r="D83" i="23"/>
  <c r="AO20" i="23" s="1"/>
  <c r="C83" i="23"/>
  <c r="B83" i="23"/>
  <c r="AI82" i="23"/>
  <c r="AH82" i="23"/>
  <c r="AI81" i="23"/>
  <c r="AH81" i="23"/>
  <c r="AI80" i="23"/>
  <c r="AH80" i="23"/>
  <c r="AF79" i="23"/>
  <c r="AE79" i="23"/>
  <c r="AD79" i="23"/>
  <c r="AC79" i="23"/>
  <c r="AB79" i="23"/>
  <c r="Y79" i="23"/>
  <c r="X79" i="23"/>
  <c r="R79" i="23"/>
  <c r="AZ18" i="23" s="1"/>
  <c r="Q79" i="23"/>
  <c r="P79" i="23"/>
  <c r="O79" i="23"/>
  <c r="N79" i="23"/>
  <c r="AV18" i="23" s="1"/>
  <c r="M79" i="23"/>
  <c r="L79" i="23"/>
  <c r="K79" i="23"/>
  <c r="J79" i="23"/>
  <c r="I79" i="23"/>
  <c r="H79" i="23"/>
  <c r="G79" i="23"/>
  <c r="AR18" i="23" s="1"/>
  <c r="F79" i="23"/>
  <c r="E79" i="23"/>
  <c r="D79" i="23"/>
  <c r="C79" i="23"/>
  <c r="B79" i="23"/>
  <c r="BT78" i="23"/>
  <c r="BL78" i="23"/>
  <c r="BD78" i="23"/>
  <c r="AI78" i="23"/>
  <c r="AH78" i="23"/>
  <c r="AG78" i="23"/>
  <c r="AG79" i="23" s="1"/>
  <c r="BL77" i="23"/>
  <c r="AI77" i="23"/>
  <c r="AH77" i="23"/>
  <c r="BF76" i="23"/>
  <c r="AI76" i="23"/>
  <c r="AH76" i="23"/>
  <c r="BP75" i="23"/>
  <c r="BH75" i="23"/>
  <c r="BC75" i="23"/>
  <c r="AI75" i="23"/>
  <c r="AH75" i="23"/>
  <c r="BL74" i="23"/>
  <c r="BK74" i="23"/>
  <c r="BI74" i="23"/>
  <c r="AI74" i="23"/>
  <c r="AH74" i="23"/>
  <c r="BU73" i="23"/>
  <c r="BQ73" i="23"/>
  <c r="BM73" i="23"/>
  <c r="BI73" i="23"/>
  <c r="BE73" i="23"/>
  <c r="AI73" i="23"/>
  <c r="AH73" i="23"/>
  <c r="AI72" i="23"/>
  <c r="AH72" i="23"/>
  <c r="BW71" i="23"/>
  <c r="BW78" i="23" s="1"/>
  <c r="BV71" i="23"/>
  <c r="BV78" i="23" s="1"/>
  <c r="BU71" i="23"/>
  <c r="BU78" i="23" s="1"/>
  <c r="BT71" i="23"/>
  <c r="BS71" i="23"/>
  <c r="BS78" i="23" s="1"/>
  <c r="BR71" i="23"/>
  <c r="BR78" i="23" s="1"/>
  <c r="BQ71" i="23"/>
  <c r="BQ78" i="23" s="1"/>
  <c r="BP71" i="23"/>
  <c r="BP78" i="23" s="1"/>
  <c r="BO71" i="23"/>
  <c r="BO78" i="23" s="1"/>
  <c r="BN71" i="23"/>
  <c r="BN78" i="23" s="1"/>
  <c r="BM71" i="23"/>
  <c r="BM78" i="23" s="1"/>
  <c r="BL71" i="23"/>
  <c r="BK71" i="23"/>
  <c r="BK78" i="23" s="1"/>
  <c r="BJ71" i="23"/>
  <c r="BJ78" i="23" s="1"/>
  <c r="BI71" i="23"/>
  <c r="BI78" i="23" s="1"/>
  <c r="BH71" i="23"/>
  <c r="BH78" i="23" s="1"/>
  <c r="BG71" i="23"/>
  <c r="BG78" i="23" s="1"/>
  <c r="BF71" i="23"/>
  <c r="BF78" i="23" s="1"/>
  <c r="BE71" i="23"/>
  <c r="BE78" i="23" s="1"/>
  <c r="BD71" i="23"/>
  <c r="BC71" i="23"/>
  <c r="BC78" i="23" s="1"/>
  <c r="BB71" i="23"/>
  <c r="BB78" i="23" s="1"/>
  <c r="BA71" i="23"/>
  <c r="BA78" i="23" s="1"/>
  <c r="AZ71" i="23"/>
  <c r="AZ78" i="23" s="1"/>
  <c r="AI71" i="23"/>
  <c r="AH71" i="23"/>
  <c r="BW70" i="23"/>
  <c r="BW77" i="23" s="1"/>
  <c r="BV70" i="23"/>
  <c r="BV77" i="23" s="1"/>
  <c r="BU70" i="23"/>
  <c r="BU77" i="23" s="1"/>
  <c r="BT70" i="23"/>
  <c r="BT77" i="23" s="1"/>
  <c r="BS70" i="23"/>
  <c r="BS77" i="23" s="1"/>
  <c r="BR70" i="23"/>
  <c r="BR77" i="23" s="1"/>
  <c r="BQ70" i="23"/>
  <c r="BQ77" i="23" s="1"/>
  <c r="BP70" i="23"/>
  <c r="BP77" i="23" s="1"/>
  <c r="BO70" i="23"/>
  <c r="BO77" i="23" s="1"/>
  <c r="BN70" i="23"/>
  <c r="BN77" i="23" s="1"/>
  <c r="BM70" i="23"/>
  <c r="BM77" i="23" s="1"/>
  <c r="BL70" i="23"/>
  <c r="BK70" i="23"/>
  <c r="BK77" i="23" s="1"/>
  <c r="BJ70" i="23"/>
  <c r="BJ77" i="23" s="1"/>
  <c r="BI70" i="23"/>
  <c r="BI77" i="23" s="1"/>
  <c r="BH70" i="23"/>
  <c r="BH77" i="23" s="1"/>
  <c r="BG70" i="23"/>
  <c r="BG77" i="23" s="1"/>
  <c r="BF70" i="23"/>
  <c r="BF77" i="23" s="1"/>
  <c r="BE70" i="23"/>
  <c r="BE77" i="23" s="1"/>
  <c r="BD70" i="23"/>
  <c r="BD77" i="23" s="1"/>
  <c r="BC70" i="23"/>
  <c r="BC77" i="23" s="1"/>
  <c r="BB70" i="23"/>
  <c r="BB77" i="23" s="1"/>
  <c r="BA70" i="23"/>
  <c r="BA77" i="23" s="1"/>
  <c r="AZ70" i="23"/>
  <c r="AZ77" i="23" s="1"/>
  <c r="AI70" i="23"/>
  <c r="AH70" i="23"/>
  <c r="BW69" i="23"/>
  <c r="BW76" i="23" s="1"/>
  <c r="BV69" i="23"/>
  <c r="BV76" i="23" s="1"/>
  <c r="BU69" i="23"/>
  <c r="BU76" i="23" s="1"/>
  <c r="BT69" i="23"/>
  <c r="BT76" i="23" s="1"/>
  <c r="BS69" i="23"/>
  <c r="BS76" i="23" s="1"/>
  <c r="BR69" i="23"/>
  <c r="BR76" i="23" s="1"/>
  <c r="BQ69" i="23"/>
  <c r="BQ76" i="23" s="1"/>
  <c r="BP69" i="23"/>
  <c r="BP76" i="23" s="1"/>
  <c r="BO69" i="23"/>
  <c r="BO76" i="23" s="1"/>
  <c r="BN69" i="23"/>
  <c r="BN76" i="23" s="1"/>
  <c r="BM69" i="23"/>
  <c r="BM76" i="23" s="1"/>
  <c r="BL69" i="23"/>
  <c r="BL76" i="23" s="1"/>
  <c r="BK69" i="23"/>
  <c r="BK76" i="23" s="1"/>
  <c r="BJ69" i="23"/>
  <c r="BJ76" i="23" s="1"/>
  <c r="BI69" i="23"/>
  <c r="BI76" i="23" s="1"/>
  <c r="BH69" i="23"/>
  <c r="BH76" i="23" s="1"/>
  <c r="BG69" i="23"/>
  <c r="BG76" i="23" s="1"/>
  <c r="BF69" i="23"/>
  <c r="BE69" i="23"/>
  <c r="BE76" i="23" s="1"/>
  <c r="BD69" i="23"/>
  <c r="BD76" i="23" s="1"/>
  <c r="BC69" i="23"/>
  <c r="BC76" i="23" s="1"/>
  <c r="BB69" i="23"/>
  <c r="BB76" i="23" s="1"/>
  <c r="BA69" i="23"/>
  <c r="BA76" i="23" s="1"/>
  <c r="AZ69" i="23"/>
  <c r="AZ76" i="23" s="1"/>
  <c r="AI69" i="23"/>
  <c r="AH69" i="23"/>
  <c r="BW68" i="23"/>
  <c r="BW75" i="23" s="1"/>
  <c r="BV68" i="23"/>
  <c r="BV75" i="23" s="1"/>
  <c r="BU68" i="23"/>
  <c r="BU75" i="23" s="1"/>
  <c r="BT68" i="23"/>
  <c r="BT75" i="23" s="1"/>
  <c r="BS68" i="23"/>
  <c r="BS75" i="23" s="1"/>
  <c r="BR68" i="23"/>
  <c r="BR75" i="23" s="1"/>
  <c r="BQ68" i="23"/>
  <c r="BQ75" i="23" s="1"/>
  <c r="BP68" i="23"/>
  <c r="BO68" i="23"/>
  <c r="BO75" i="23" s="1"/>
  <c r="BN68" i="23"/>
  <c r="BN75" i="23" s="1"/>
  <c r="BM68" i="23"/>
  <c r="BM75" i="23" s="1"/>
  <c r="BL68" i="23"/>
  <c r="BL75" i="23" s="1"/>
  <c r="BK68" i="23"/>
  <c r="BK75" i="23" s="1"/>
  <c r="BJ68" i="23"/>
  <c r="BJ75" i="23" s="1"/>
  <c r="BI68" i="23"/>
  <c r="BI75" i="23" s="1"/>
  <c r="BH68" i="23"/>
  <c r="BG68" i="23"/>
  <c r="BG75" i="23" s="1"/>
  <c r="BF68" i="23"/>
  <c r="BF75" i="23" s="1"/>
  <c r="BE68" i="23"/>
  <c r="BE75" i="23" s="1"/>
  <c r="BD68" i="23"/>
  <c r="BD75" i="23" s="1"/>
  <c r="BC68" i="23"/>
  <c r="BB68" i="23"/>
  <c r="BB75" i="23" s="1"/>
  <c r="BA68" i="23"/>
  <c r="BA75" i="23" s="1"/>
  <c r="AZ68" i="23"/>
  <c r="AZ75" i="23" s="1"/>
  <c r="AI68" i="23"/>
  <c r="AH68" i="23"/>
  <c r="BW67" i="23"/>
  <c r="BW74" i="23" s="1"/>
  <c r="BV67" i="23"/>
  <c r="BV74" i="23" s="1"/>
  <c r="BU67" i="23"/>
  <c r="BU74" i="23" s="1"/>
  <c r="BT67" i="23"/>
  <c r="BT74" i="23" s="1"/>
  <c r="BS67" i="23"/>
  <c r="BS74" i="23" s="1"/>
  <c r="BR67" i="23"/>
  <c r="BR74" i="23" s="1"/>
  <c r="BQ67" i="23"/>
  <c r="BQ74" i="23" s="1"/>
  <c r="BP67" i="23"/>
  <c r="BP74" i="23" s="1"/>
  <c r="BO67" i="23"/>
  <c r="BO74" i="23" s="1"/>
  <c r="BN67" i="23"/>
  <c r="BN74" i="23" s="1"/>
  <c r="BM67" i="23"/>
  <c r="BM74" i="23" s="1"/>
  <c r="BL67" i="23"/>
  <c r="BK67" i="23"/>
  <c r="BJ67" i="23"/>
  <c r="BJ74" i="23" s="1"/>
  <c r="BI67" i="23"/>
  <c r="BH67" i="23"/>
  <c r="BH74" i="23" s="1"/>
  <c r="BG67" i="23"/>
  <c r="BG74" i="23" s="1"/>
  <c r="BF67" i="23"/>
  <c r="BF74" i="23" s="1"/>
  <c r="BE67" i="23"/>
  <c r="BE74" i="23" s="1"/>
  <c r="BD67" i="23"/>
  <c r="BD74" i="23" s="1"/>
  <c r="BC67" i="23"/>
  <c r="BC74" i="23" s="1"/>
  <c r="BB67" i="23"/>
  <c r="BB74" i="23" s="1"/>
  <c r="BA67" i="23"/>
  <c r="BA74" i="23" s="1"/>
  <c r="AZ67" i="23"/>
  <c r="AZ74" i="23" s="1"/>
  <c r="AI67" i="23"/>
  <c r="AH67" i="23"/>
  <c r="BW66" i="23"/>
  <c r="BW73" i="23" s="1"/>
  <c r="BV66" i="23"/>
  <c r="BV73" i="23" s="1"/>
  <c r="BU66" i="23"/>
  <c r="BT66" i="23"/>
  <c r="BT73" i="23" s="1"/>
  <c r="BS66" i="23"/>
  <c r="BS73" i="23" s="1"/>
  <c r="BR66" i="23"/>
  <c r="BR73" i="23" s="1"/>
  <c r="BQ66" i="23"/>
  <c r="BP66" i="23"/>
  <c r="BP73" i="23" s="1"/>
  <c r="BO66" i="23"/>
  <c r="BO73" i="23" s="1"/>
  <c r="BN66" i="23"/>
  <c r="BN73" i="23" s="1"/>
  <c r="BM66" i="23"/>
  <c r="BL66" i="23"/>
  <c r="BL73" i="23" s="1"/>
  <c r="BK66" i="23"/>
  <c r="BK73" i="23" s="1"/>
  <c r="BJ66" i="23"/>
  <c r="BJ73" i="23" s="1"/>
  <c r="BI66" i="23"/>
  <c r="BH66" i="23"/>
  <c r="BH73" i="23" s="1"/>
  <c r="BG66" i="23"/>
  <c r="BG73" i="23" s="1"/>
  <c r="BF66" i="23"/>
  <c r="BF73" i="23" s="1"/>
  <c r="BE66" i="23"/>
  <c r="BD66" i="23"/>
  <c r="BD73" i="23" s="1"/>
  <c r="BC66" i="23"/>
  <c r="BC73" i="23" s="1"/>
  <c r="BB66" i="23"/>
  <c r="BB73" i="23" s="1"/>
  <c r="BA66" i="23"/>
  <c r="BA73" i="23" s="1"/>
  <c r="AZ66" i="23"/>
  <c r="AI66" i="23"/>
  <c r="AH66" i="23"/>
  <c r="AG65" i="23"/>
  <c r="AF65" i="23"/>
  <c r="BJ17" i="23" s="1"/>
  <c r="AE65" i="23"/>
  <c r="BI17" i="23" s="1"/>
  <c r="AD65" i="23"/>
  <c r="BH17" i="23" s="1"/>
  <c r="AC65" i="23"/>
  <c r="AB65" i="23"/>
  <c r="BG17" i="23" s="1"/>
  <c r="BF17" i="23"/>
  <c r="Y65" i="23"/>
  <c r="X65" i="23"/>
  <c r="BB17" i="23"/>
  <c r="R65" i="23"/>
  <c r="AZ17" i="23" s="1"/>
  <c r="Q65" i="23"/>
  <c r="P65" i="23"/>
  <c r="AX17" i="23" s="1"/>
  <c r="O65" i="23"/>
  <c r="N65" i="23"/>
  <c r="AV17" i="23" s="1"/>
  <c r="M65" i="23"/>
  <c r="AU17" i="23" s="1"/>
  <c r="L65" i="23"/>
  <c r="K65" i="23"/>
  <c r="AT17" i="23" s="1"/>
  <c r="J65" i="23"/>
  <c r="I65" i="23"/>
  <c r="AS17" i="23" s="1"/>
  <c r="H65" i="23"/>
  <c r="G65" i="23"/>
  <c r="F65" i="23"/>
  <c r="AQ17" i="23" s="1"/>
  <c r="E65" i="23"/>
  <c r="AP17" i="23" s="1"/>
  <c r="D65" i="23"/>
  <c r="AO17" i="23" s="1"/>
  <c r="C65" i="23"/>
  <c r="AN17" i="23" s="1"/>
  <c r="B65" i="23"/>
  <c r="AM17" i="23" s="1"/>
  <c r="AI64" i="23"/>
  <c r="AH64" i="23"/>
  <c r="AI63" i="23"/>
  <c r="AH63" i="23"/>
  <c r="AI62" i="23"/>
  <c r="AH62" i="23"/>
  <c r="AG61" i="23"/>
  <c r="AG100" i="23" s="1"/>
  <c r="AF61" i="23"/>
  <c r="BJ16" i="23" s="1"/>
  <c r="AE61" i="23"/>
  <c r="AE100" i="23" s="1"/>
  <c r="AE102" i="23" s="1"/>
  <c r="AD61" i="23"/>
  <c r="AC61" i="23"/>
  <c r="AB61" i="23"/>
  <c r="Y61" i="23"/>
  <c r="Y100" i="23" s="1"/>
  <c r="Y102" i="23" s="1"/>
  <c r="Y103" i="23" s="1"/>
  <c r="Y7" i="23" s="1"/>
  <c r="X61" i="23"/>
  <c r="BE16" i="23" s="1"/>
  <c r="BD16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AQ16" i="23" s="1"/>
  <c r="E61" i="23"/>
  <c r="D61" i="23"/>
  <c r="AO16" i="23" s="1"/>
  <c r="C61" i="23"/>
  <c r="B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BE23" i="23"/>
  <c r="BC23" i="23"/>
  <c r="BB23" i="23"/>
  <c r="AI23" i="23"/>
  <c r="AH23" i="23"/>
  <c r="AI22" i="23"/>
  <c r="AH22" i="23"/>
  <c r="BJ21" i="23"/>
  <c r="BI21" i="23"/>
  <c r="BH21" i="23"/>
  <c r="BG21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I21" i="23"/>
  <c r="AH21" i="23"/>
  <c r="BJ20" i="23"/>
  <c r="BI20" i="23"/>
  <c r="BH20" i="23"/>
  <c r="BF20" i="23"/>
  <c r="BE20" i="23"/>
  <c r="BD20" i="23"/>
  <c r="BB20" i="23"/>
  <c r="BA20" i="23"/>
  <c r="AZ20" i="23"/>
  <c r="AY20" i="23"/>
  <c r="AS20" i="23"/>
  <c r="AR20" i="23"/>
  <c r="AQ20" i="23"/>
  <c r="AN20" i="23"/>
  <c r="AM20" i="23"/>
  <c r="AI20" i="23"/>
  <c r="AH20" i="23"/>
  <c r="BF19" i="23"/>
  <c r="BE19" i="23"/>
  <c r="BC19" i="23"/>
  <c r="BB19" i="23"/>
  <c r="BA19" i="23"/>
  <c r="AU19" i="23"/>
  <c r="AI19" i="23"/>
  <c r="AH19" i="23"/>
  <c r="BJ18" i="23"/>
  <c r="BI18" i="23"/>
  <c r="BH18" i="23"/>
  <c r="BG18" i="23"/>
  <c r="BF18" i="23"/>
  <c r="BE18" i="23"/>
  <c r="BD18" i="23"/>
  <c r="BC18" i="23"/>
  <c r="BB18" i="23"/>
  <c r="BA18" i="23"/>
  <c r="AY18" i="23"/>
  <c r="AX18" i="23"/>
  <c r="AW18" i="23"/>
  <c r="AU18" i="23"/>
  <c r="AT18" i="23"/>
  <c r="AS18" i="23"/>
  <c r="AQ18" i="23"/>
  <c r="AP18" i="23"/>
  <c r="AO18" i="23"/>
  <c r="AM18" i="23"/>
  <c r="AI18" i="23"/>
  <c r="AH18" i="23"/>
  <c r="BE17" i="23"/>
  <c r="BD17" i="23"/>
  <c r="BC17" i="23"/>
  <c r="BA17" i="23"/>
  <c r="AY17" i="23"/>
  <c r="AW17" i="23"/>
  <c r="AR17" i="23"/>
  <c r="AI17" i="23"/>
  <c r="AH17" i="23"/>
  <c r="BI16" i="23"/>
  <c r="BG16" i="23"/>
  <c r="BF16" i="23"/>
  <c r="BA16" i="23"/>
  <c r="AY16" i="23"/>
  <c r="AX16" i="23"/>
  <c r="AW16" i="23"/>
  <c r="AT16" i="23"/>
  <c r="AS16" i="23"/>
  <c r="AR16" i="23"/>
  <c r="AN16" i="23"/>
  <c r="AI16" i="23"/>
  <c r="AH16" i="23"/>
  <c r="AI15" i="23"/>
  <c r="AH15" i="23"/>
  <c r="AI14" i="23"/>
  <c r="AH14" i="23"/>
  <c r="AI13" i="23"/>
  <c r="AH13" i="23"/>
  <c r="AL12" i="23"/>
  <c r="AI12" i="23"/>
  <c r="AH12" i="23"/>
  <c r="AI11" i="23"/>
  <c r="AH11" i="23"/>
  <c r="Z5" i="23"/>
  <c r="Y5" i="23"/>
  <c r="W5" i="23"/>
  <c r="V5" i="23"/>
  <c r="S5" i="23"/>
  <c r="R5" i="23"/>
  <c r="K5" i="23"/>
  <c r="G5" i="23"/>
  <c r="F5" i="23"/>
  <c r="AG4" i="23"/>
  <c r="K4" i="23"/>
  <c r="E4" i="23"/>
  <c r="H4" i="23" s="1"/>
  <c r="B4" i="23"/>
  <c r="AG3" i="23"/>
  <c r="AG2" i="23"/>
  <c r="AG6" i="23" s="1"/>
  <c r="AF60" i="22"/>
  <c r="AE60" i="22"/>
  <c r="S255" i="25" l="1"/>
  <c r="S121" i="25"/>
  <c r="T249" i="25"/>
  <c r="N254" i="24"/>
  <c r="M255" i="24"/>
  <c r="M121" i="24"/>
  <c r="Q249" i="24"/>
  <c r="AE5" i="23"/>
  <c r="AF110" i="23"/>
  <c r="AF111" i="23" s="1"/>
  <c r="BJ22" i="23"/>
  <c r="AD5" i="23"/>
  <c r="BI22" i="23"/>
  <c r="BH19" i="23"/>
  <c r="AB111" i="23"/>
  <c r="BG19" i="23"/>
  <c r="BG22" i="23" s="1"/>
  <c r="BG24" i="23" s="1"/>
  <c r="BF22" i="23"/>
  <c r="BF24" i="23" s="1"/>
  <c r="BE22" i="23"/>
  <c r="BE24" i="23" s="1"/>
  <c r="AI109" i="23"/>
  <c r="BD19" i="23"/>
  <c r="V100" i="23"/>
  <c r="V102" i="23" s="1"/>
  <c r="BA22" i="23"/>
  <c r="R110" i="23"/>
  <c r="AZ23" i="23" s="1"/>
  <c r="Q5" i="23"/>
  <c r="R100" i="23"/>
  <c r="R102" i="23" s="1"/>
  <c r="R103" i="23" s="1"/>
  <c r="R7" i="23" s="1"/>
  <c r="O5" i="23"/>
  <c r="Q110" i="23"/>
  <c r="AY23" i="23" s="1"/>
  <c r="AH107" i="23"/>
  <c r="Q100" i="23"/>
  <c r="Q102" i="23" s="1"/>
  <c r="P110" i="23"/>
  <c r="AX23" i="23" s="1"/>
  <c r="AX22" i="23"/>
  <c r="AX24" i="23" s="1"/>
  <c r="AY22" i="23"/>
  <c r="AY24" i="23" s="1"/>
  <c r="N5" i="23"/>
  <c r="AW22" i="23"/>
  <c r="O100" i="23"/>
  <c r="O102" i="23" s="1"/>
  <c r="AV19" i="23"/>
  <c r="M110" i="23"/>
  <c r="AU23" i="23" s="1"/>
  <c r="J5" i="23"/>
  <c r="K100" i="23"/>
  <c r="K102" i="23" s="1"/>
  <c r="AT22" i="23"/>
  <c r="J110" i="23"/>
  <c r="J100" i="23"/>
  <c r="J102" i="23" s="1"/>
  <c r="J103" i="23" s="1"/>
  <c r="J7" i="23" s="1"/>
  <c r="I110" i="23"/>
  <c r="AS23" i="23" s="1"/>
  <c r="H110" i="23"/>
  <c r="H111" i="23" s="1"/>
  <c r="G100" i="23"/>
  <c r="G102" i="23" s="1"/>
  <c r="AQ19" i="23"/>
  <c r="AQ22" i="23"/>
  <c r="E110" i="23"/>
  <c r="AP23" i="23" s="1"/>
  <c r="D110" i="23"/>
  <c r="AO23" i="23" s="1"/>
  <c r="D111" i="23"/>
  <c r="C5" i="23"/>
  <c r="AI79" i="23"/>
  <c r="B5" i="23"/>
  <c r="C100" i="23"/>
  <c r="C102" i="23" s="1"/>
  <c r="AH106" i="23"/>
  <c r="AF5" i="23"/>
  <c r="AH79" i="23"/>
  <c r="B100" i="23"/>
  <c r="B102" i="23" s="1"/>
  <c r="AM16" i="23"/>
  <c r="AM22" i="23" s="1"/>
  <c r="AO22" i="23"/>
  <c r="AO24" i="23" s="1"/>
  <c r="V110" i="23"/>
  <c r="BD23" i="23" s="1"/>
  <c r="T7" i="23"/>
  <c r="AC100" i="23"/>
  <c r="AC102" i="23" s="1"/>
  <c r="AC103" i="23" s="1"/>
  <c r="AC7" i="23" s="1"/>
  <c r="N110" i="23"/>
  <c r="AV23" i="23" s="1"/>
  <c r="L100" i="23"/>
  <c r="L102" i="23" s="1"/>
  <c r="L103" i="23" s="1"/>
  <c r="L7" i="23" s="1"/>
  <c r="U7" i="23"/>
  <c r="BC16" i="23"/>
  <c r="BC22" i="23" s="1"/>
  <c r="BC24" i="23" s="1"/>
  <c r="AD100" i="23"/>
  <c r="AD102" i="23" s="1"/>
  <c r="BH16" i="23"/>
  <c r="BH22" i="23" s="1"/>
  <c r="F100" i="23"/>
  <c r="F102" i="23" s="1"/>
  <c r="AI106" i="23"/>
  <c r="I111" i="23"/>
  <c r="D261" i="23"/>
  <c r="AL13" i="23"/>
  <c r="F110" i="23"/>
  <c r="AQ23" i="23" s="1"/>
  <c r="AQ24" i="23" s="1"/>
  <c r="AI105" i="23"/>
  <c r="AD110" i="23"/>
  <c r="BH23" i="23" s="1"/>
  <c r="M100" i="23"/>
  <c r="M102" i="23" s="1"/>
  <c r="M103" i="23" s="1"/>
  <c r="M7" i="23" s="1"/>
  <c r="AU16" i="23"/>
  <c r="AU22" i="23" s="1"/>
  <c r="AV16" i="23"/>
  <c r="N100" i="23"/>
  <c r="N102" i="23" s="1"/>
  <c r="BD22" i="23"/>
  <c r="BB16" i="23"/>
  <c r="BB22" i="23" s="1"/>
  <c r="BB24" i="23" s="1"/>
  <c r="AP19" i="23"/>
  <c r="D5" i="23"/>
  <c r="L5" i="23"/>
  <c r="T5" i="23"/>
  <c r="AB5" i="23"/>
  <c r="AC111" i="23"/>
  <c r="AZ73" i="23"/>
  <c r="BG82" i="23" a="1"/>
  <c r="D100" i="23"/>
  <c r="D102" i="23" s="1"/>
  <c r="D103" i="23" s="1"/>
  <c r="D7" i="23" s="1"/>
  <c r="AB100" i="23"/>
  <c r="AB102" i="23" s="1"/>
  <c r="AB103" i="23" s="1"/>
  <c r="AB7" i="23" s="1"/>
  <c r="E100" i="23"/>
  <c r="E102" i="23" s="1"/>
  <c r="E103" i="23" s="1"/>
  <c r="E7" i="23" s="1"/>
  <c r="AP16" i="23"/>
  <c r="AR22" i="23"/>
  <c r="AS19" i="23"/>
  <c r="AS22" i="23" s="1"/>
  <c r="H100" i="23"/>
  <c r="H102" i="23" s="1"/>
  <c r="P100" i="23"/>
  <c r="P102" i="23" s="1"/>
  <c r="P103" i="23" s="1"/>
  <c r="P7" i="23" s="1"/>
  <c r="X100" i="23"/>
  <c r="X102" i="23" s="1"/>
  <c r="X103" i="23" s="1"/>
  <c r="X7" i="23" s="1"/>
  <c r="AF100" i="23"/>
  <c r="AF102" i="23" s="1"/>
  <c r="AF103" i="23" s="1"/>
  <c r="AF7" i="23" s="1"/>
  <c r="AI65" i="23"/>
  <c r="I100" i="23"/>
  <c r="I102" i="23" s="1"/>
  <c r="P5" i="23"/>
  <c r="AZ16" i="23"/>
  <c r="AZ22" i="23" s="1"/>
  <c r="AZ24" i="23" s="1"/>
  <c r="AN18" i="23"/>
  <c r="AN22" i="23" s="1"/>
  <c r="BJ23" i="23"/>
  <c r="G110" i="23"/>
  <c r="AR23" i="23" s="1"/>
  <c r="O110" i="23"/>
  <c r="AW23" i="23" s="1"/>
  <c r="AW24" i="23" s="1"/>
  <c r="W7" i="23"/>
  <c r="AE110" i="23"/>
  <c r="BI23" i="23" s="1"/>
  <c r="BI24" i="23" s="1"/>
  <c r="F121" i="23"/>
  <c r="P111" i="23"/>
  <c r="H249" i="23"/>
  <c r="G255" i="23"/>
  <c r="G121" i="23"/>
  <c r="AG102" i="23"/>
  <c r="AH105" i="23"/>
  <c r="AH109" i="23"/>
  <c r="B110" i="23"/>
  <c r="B111" i="23" s="1"/>
  <c r="AH61" i="23"/>
  <c r="AH65" i="23"/>
  <c r="AI95" i="23"/>
  <c r="J111" i="23"/>
  <c r="R111" i="23"/>
  <c r="AH95" i="23"/>
  <c r="AI104" i="23"/>
  <c r="AI107" i="23"/>
  <c r="AI108" i="23"/>
  <c r="AI61" i="23"/>
  <c r="AI83" i="23"/>
  <c r="AH83" i="23"/>
  <c r="C110" i="23"/>
  <c r="AN23" i="23" s="1"/>
  <c r="K110" i="23"/>
  <c r="AT23" i="23" s="1"/>
  <c r="BA23" i="23"/>
  <c r="BA24" i="23" s="1"/>
  <c r="E255" i="23"/>
  <c r="AH104" i="23"/>
  <c r="AH108" i="23"/>
  <c r="T255" i="25" l="1"/>
  <c r="T121" i="25"/>
  <c r="U249" i="25"/>
  <c r="R249" i="24"/>
  <c r="O254" i="24"/>
  <c r="N255" i="24"/>
  <c r="N121" i="24"/>
  <c r="BJ24" i="23"/>
  <c r="AE103" i="23"/>
  <c r="AE7" i="23" s="1"/>
  <c r="AE111" i="23"/>
  <c r="BH24" i="23"/>
  <c r="Q111" i="23"/>
  <c r="Q103" i="23"/>
  <c r="Q7" i="23" s="1"/>
  <c r="AV22" i="23"/>
  <c r="AV24" i="23" s="1"/>
  <c r="M111" i="23"/>
  <c r="AU24" i="23"/>
  <c r="N111" i="23"/>
  <c r="N103" i="23"/>
  <c r="N7" i="23" s="1"/>
  <c r="AT24" i="23"/>
  <c r="H103" i="23"/>
  <c r="H7" i="23" s="1"/>
  <c r="AS24" i="23"/>
  <c r="I103" i="23"/>
  <c r="I7" i="23" s="1"/>
  <c r="AR24" i="23"/>
  <c r="G103" i="23"/>
  <c r="G7" i="23" s="1"/>
  <c r="C259" i="23"/>
  <c r="F111" i="23"/>
  <c r="E111" i="23"/>
  <c r="AP22" i="23"/>
  <c r="AP24" i="23" s="1"/>
  <c r="AN24" i="23"/>
  <c r="AT8" i="23"/>
  <c r="S7" i="23"/>
  <c r="BD24" i="23"/>
  <c r="AA7" i="23"/>
  <c r="AD103" i="23"/>
  <c r="AD7" i="23" s="1"/>
  <c r="I249" i="23"/>
  <c r="H255" i="23"/>
  <c r="H121" i="23"/>
  <c r="O111" i="23"/>
  <c r="K103" i="23"/>
  <c r="K7" i="23" s="1"/>
  <c r="V103" i="23"/>
  <c r="V7" i="23" s="1"/>
  <c r="AH100" i="23"/>
  <c r="K111" i="23"/>
  <c r="AI110" i="23"/>
  <c r="AH110" i="23"/>
  <c r="AM23" i="23"/>
  <c r="AM24" i="23" s="1"/>
  <c r="G111" i="23"/>
  <c r="AD111" i="23"/>
  <c r="BK105" i="23"/>
  <c r="BI104" i="23"/>
  <c r="BG103" i="23"/>
  <c r="BK101" i="23"/>
  <c r="BI100" i="23"/>
  <c r="BG99" i="23"/>
  <c r="BK97" i="23"/>
  <c r="BI96" i="23"/>
  <c r="BG95" i="23"/>
  <c r="BK93" i="23"/>
  <c r="BI92" i="23"/>
  <c r="BG91" i="23"/>
  <c r="BK89" i="23"/>
  <c r="BI88" i="23"/>
  <c r="BG87" i="23"/>
  <c r="BK85" i="23"/>
  <c r="BI84" i="23"/>
  <c r="BG83" i="23"/>
  <c r="BJ105" i="23"/>
  <c r="BH104" i="23"/>
  <c r="BL102" i="23"/>
  <c r="BJ101" i="23"/>
  <c r="BH100" i="23"/>
  <c r="BL98" i="23"/>
  <c r="BJ97" i="23"/>
  <c r="BH96" i="23"/>
  <c r="BL94" i="23"/>
  <c r="BJ93" i="23"/>
  <c r="BH92" i="23"/>
  <c r="BL90" i="23"/>
  <c r="BJ89" i="23"/>
  <c r="BH88" i="23"/>
  <c r="BL86" i="23"/>
  <c r="BJ85" i="23"/>
  <c r="BH84" i="23"/>
  <c r="BL82" i="23"/>
  <c r="BG105" i="23"/>
  <c r="BK103" i="23"/>
  <c r="BI102" i="23"/>
  <c r="BG101" i="23"/>
  <c r="BK99" i="23"/>
  <c r="BI98" i="23"/>
  <c r="BG97" i="23"/>
  <c r="BK95" i="23"/>
  <c r="BI94" i="23"/>
  <c r="BG93" i="23"/>
  <c r="BK91" i="23"/>
  <c r="BI90" i="23"/>
  <c r="BG89" i="23"/>
  <c r="BK87" i="23"/>
  <c r="BI86" i="23"/>
  <c r="BG85" i="23"/>
  <c r="BK83" i="23"/>
  <c r="BI82" i="23"/>
  <c r="BL104" i="23"/>
  <c r="BJ103" i="23"/>
  <c r="BH102" i="23"/>
  <c r="BL100" i="23"/>
  <c r="BJ99" i="23"/>
  <c r="BH98" i="23"/>
  <c r="BL96" i="23"/>
  <c r="BJ95" i="23"/>
  <c r="BH94" i="23"/>
  <c r="BL92" i="23"/>
  <c r="BJ91" i="23"/>
  <c r="BH90" i="23"/>
  <c r="BL88" i="23"/>
  <c r="BJ87" i="23"/>
  <c r="BH86" i="23"/>
  <c r="BL84" i="23"/>
  <c r="BJ83" i="23"/>
  <c r="BH82" i="23"/>
  <c r="BL103" i="23"/>
  <c r="BH101" i="23"/>
  <c r="BJ98" i="23"/>
  <c r="BL95" i="23"/>
  <c r="BH93" i="23"/>
  <c r="BJ90" i="23"/>
  <c r="BL87" i="23"/>
  <c r="BH85" i="23"/>
  <c r="BJ82" i="23"/>
  <c r="BI103" i="23"/>
  <c r="BK100" i="23"/>
  <c r="BG98" i="23"/>
  <c r="BI95" i="23"/>
  <c r="BK92" i="23"/>
  <c r="BG90" i="23"/>
  <c r="BI87" i="23"/>
  <c r="BK84" i="23"/>
  <c r="BG82" i="23"/>
  <c r="BL105" i="23"/>
  <c r="BH103" i="23"/>
  <c r="BJ100" i="23"/>
  <c r="BL97" i="23"/>
  <c r="BH95" i="23"/>
  <c r="BJ92" i="23"/>
  <c r="BL89" i="23"/>
  <c r="BH87" i="23"/>
  <c r="BJ84" i="23"/>
  <c r="BH105" i="23"/>
  <c r="BJ102" i="23"/>
  <c r="BL99" i="23"/>
  <c r="BH97" i="23"/>
  <c r="BJ94" i="23"/>
  <c r="BL91" i="23"/>
  <c r="BK104" i="23"/>
  <c r="BG102" i="23"/>
  <c r="BI99" i="23"/>
  <c r="BK96" i="23"/>
  <c r="BG94" i="23"/>
  <c r="BI91" i="23"/>
  <c r="BK88" i="23"/>
  <c r="BG86" i="23"/>
  <c r="BI83" i="23"/>
  <c r="BL101" i="23"/>
  <c r="BK94" i="23"/>
  <c r="BJ88" i="23"/>
  <c r="BH83" i="23"/>
  <c r="BI101" i="23"/>
  <c r="BL93" i="23"/>
  <c r="BG88" i="23"/>
  <c r="BK82" i="23"/>
  <c r="BL83" i="23"/>
  <c r="BG100" i="23"/>
  <c r="BI93" i="23"/>
  <c r="BK86" i="23"/>
  <c r="BJ96" i="23"/>
  <c r="BH99" i="23"/>
  <c r="BG92" i="23"/>
  <c r="BJ86" i="23"/>
  <c r="BI105" i="23"/>
  <c r="BK98" i="23"/>
  <c r="BH91" i="23"/>
  <c r="BL85" i="23"/>
  <c r="BI89" i="23"/>
  <c r="BJ104" i="23"/>
  <c r="BI97" i="23"/>
  <c r="BK90" i="23"/>
  <c r="BI85" i="23"/>
  <c r="BG104" i="23"/>
  <c r="BG84" i="23"/>
  <c r="BK102" i="23"/>
  <c r="BG96" i="23"/>
  <c r="BH89" i="23"/>
  <c r="O103" i="23"/>
  <c r="O7" i="23" s="1"/>
  <c r="C103" i="23"/>
  <c r="C7" i="23" s="1"/>
  <c r="B103" i="23"/>
  <c r="AI102" i="23"/>
  <c r="AH102" i="23"/>
  <c r="C111" i="23"/>
  <c r="V111" i="23"/>
  <c r="B259" i="23"/>
  <c r="F103" i="23"/>
  <c r="F7" i="23" s="1"/>
  <c r="AI100" i="23"/>
  <c r="U121" i="25" l="1"/>
  <c r="V249" i="25"/>
  <c r="U255" i="25"/>
  <c r="P254" i="24"/>
  <c r="O255" i="24"/>
  <c r="O121" i="24"/>
  <c r="S249" i="24"/>
  <c r="K6" i="23"/>
  <c r="AH111" i="23"/>
  <c r="AI111" i="23"/>
  <c r="AT9" i="23"/>
  <c r="AI103" i="23"/>
  <c r="B7" i="23"/>
  <c r="A7" i="23" s="1"/>
  <c r="AH103" i="23"/>
  <c r="I255" i="23"/>
  <c r="J249" i="23"/>
  <c r="I121" i="23"/>
  <c r="W249" i="25" l="1"/>
  <c r="V121" i="25"/>
  <c r="V255" i="25"/>
  <c r="T249" i="24"/>
  <c r="Q254" i="24"/>
  <c r="P255" i="24"/>
  <c r="J255" i="23"/>
  <c r="K249" i="23"/>
  <c r="J121" i="23"/>
  <c r="X249" i="25" l="1"/>
  <c r="W255" i="25"/>
  <c r="W121" i="25"/>
  <c r="R254" i="24"/>
  <c r="Q255" i="24"/>
  <c r="Q121" i="24"/>
  <c r="U249" i="24"/>
  <c r="K255" i="23"/>
  <c r="K121" i="23"/>
  <c r="L249" i="23"/>
  <c r="Y249" i="25" l="1"/>
  <c r="X255" i="25"/>
  <c r="X121" i="25"/>
  <c r="V249" i="24"/>
  <c r="S254" i="24"/>
  <c r="R255" i="24"/>
  <c r="R121" i="24"/>
  <c r="L255" i="23"/>
  <c r="L121" i="23"/>
  <c r="M249" i="23"/>
  <c r="Y255" i="25" l="1"/>
  <c r="Z249" i="25"/>
  <c r="T254" i="24"/>
  <c r="S255" i="24"/>
  <c r="S121" i="24"/>
  <c r="W249" i="24"/>
  <c r="N249" i="23"/>
  <c r="M121" i="23"/>
  <c r="M255" i="23"/>
  <c r="Q60" i="22"/>
  <c r="R60" i="22"/>
  <c r="P60" i="22"/>
  <c r="Z255" i="25" l="1"/>
  <c r="AA249" i="25"/>
  <c r="X249" i="24"/>
  <c r="U254" i="24"/>
  <c r="T121" i="24"/>
  <c r="T255" i="24"/>
  <c r="O249" i="23"/>
  <c r="N121" i="23"/>
  <c r="N255" i="23"/>
  <c r="N60" i="22"/>
  <c r="O60" i="22"/>
  <c r="AA255" i="25" l="1"/>
  <c r="AA121" i="25"/>
  <c r="AB249" i="25"/>
  <c r="V254" i="24"/>
  <c r="U121" i="24"/>
  <c r="U255" i="24"/>
  <c r="Y249" i="24"/>
  <c r="P249" i="23"/>
  <c r="O255" i="23"/>
  <c r="O121" i="23"/>
  <c r="AB255" i="25" l="1"/>
  <c r="AB121" i="25"/>
  <c r="AC249" i="25"/>
  <c r="Z249" i="24"/>
  <c r="W254" i="24"/>
  <c r="V255" i="24"/>
  <c r="V121" i="24"/>
  <c r="Q249" i="23"/>
  <c r="P255" i="23"/>
  <c r="AC121" i="25" l="1"/>
  <c r="AD249" i="25"/>
  <c r="AC255" i="25"/>
  <c r="X254" i="24"/>
  <c r="W255" i="24"/>
  <c r="W121" i="24"/>
  <c r="AA249" i="24"/>
  <c r="Q255" i="23"/>
  <c r="Q121" i="23"/>
  <c r="R249" i="23"/>
  <c r="AE249" i="25" l="1"/>
  <c r="AD121" i="25"/>
  <c r="AD255" i="25"/>
  <c r="Y254" i="24"/>
  <c r="X121" i="24"/>
  <c r="X255" i="24"/>
  <c r="AB249" i="24"/>
  <c r="R255" i="23"/>
  <c r="R121" i="23"/>
  <c r="S249" i="23"/>
  <c r="AF249" i="25" l="1"/>
  <c r="AE255" i="25"/>
  <c r="AE121" i="25"/>
  <c r="AC249" i="24"/>
  <c r="Z254" i="24"/>
  <c r="Y255" i="24"/>
  <c r="S255" i="23"/>
  <c r="T249" i="23"/>
  <c r="M60" i="22"/>
  <c r="L124" i="22"/>
  <c r="L60" i="22"/>
  <c r="L61" i="22"/>
  <c r="L65" i="22"/>
  <c r="L79" i="22"/>
  <c r="L83" i="22"/>
  <c r="AF255" i="25" l="1"/>
  <c r="B249" i="25"/>
  <c r="AA254" i="24"/>
  <c r="Z255" i="24"/>
  <c r="AD249" i="24"/>
  <c r="T255" i="23"/>
  <c r="U249" i="23"/>
  <c r="K124" i="22"/>
  <c r="K60" i="22"/>
  <c r="J124" i="22"/>
  <c r="J60" i="22"/>
  <c r="I124" i="22"/>
  <c r="I61" i="22"/>
  <c r="I65" i="22"/>
  <c r="H124" i="22"/>
  <c r="G124" i="22"/>
  <c r="G60" i="22"/>
  <c r="F124" i="22"/>
  <c r="F60" i="22"/>
  <c r="E124" i="22"/>
  <c r="E60" i="22"/>
  <c r="E61" i="22"/>
  <c r="D124" i="22"/>
  <c r="D60" i="22"/>
  <c r="D61" i="22"/>
  <c r="D65" i="22"/>
  <c r="D79" i="22"/>
  <c r="D83" i="22"/>
  <c r="D95" i="22"/>
  <c r="D104" i="22"/>
  <c r="D105" i="22"/>
  <c r="D106" i="22"/>
  <c r="D107" i="22"/>
  <c r="D108" i="22"/>
  <c r="AH128" i="22"/>
  <c r="AI128" i="22"/>
  <c r="AH127" i="22"/>
  <c r="AI127" i="22"/>
  <c r="C124" i="22"/>
  <c r="C60" i="22"/>
  <c r="C61" i="22"/>
  <c r="AN16" i="22" s="1"/>
  <c r="C65" i="22"/>
  <c r="C79" i="22"/>
  <c r="C83" i="22"/>
  <c r="C95" i="22"/>
  <c r="C104" i="22"/>
  <c r="C105" i="22"/>
  <c r="C106" i="22"/>
  <c r="C107" i="22"/>
  <c r="C110" i="22" s="1"/>
  <c r="AN23" i="22" s="1"/>
  <c r="C108" i="22"/>
  <c r="C109" i="22"/>
  <c r="B124" i="22"/>
  <c r="B60" i="22"/>
  <c r="B109" i="22"/>
  <c r="B108" i="22"/>
  <c r="B107" i="22"/>
  <c r="B106" i="22"/>
  <c r="B105" i="22"/>
  <c r="B104" i="22"/>
  <c r="B95" i="22"/>
  <c r="B83" i="22"/>
  <c r="B79" i="22"/>
  <c r="B65" i="22"/>
  <c r="B61" i="22"/>
  <c r="AM16" i="22" s="1"/>
  <c r="AG255" i="22"/>
  <c r="AG78" i="22" s="1"/>
  <c r="AG79" i="22" s="1"/>
  <c r="AG3" i="22" s="1"/>
  <c r="C255" i="22"/>
  <c r="E254" i="22"/>
  <c r="F254" i="22" s="1"/>
  <c r="G254" i="22" s="1"/>
  <c r="H254" i="22" s="1"/>
  <c r="I254" i="22" s="1"/>
  <c r="J254" i="22" s="1"/>
  <c r="K254" i="22" s="1"/>
  <c r="L254" i="22" s="1"/>
  <c r="M254" i="22" s="1"/>
  <c r="N254" i="22" s="1"/>
  <c r="O254" i="22" s="1"/>
  <c r="P254" i="22" s="1"/>
  <c r="Q254" i="22" s="1"/>
  <c r="R254" i="22" s="1"/>
  <c r="S254" i="22" s="1"/>
  <c r="T254" i="22" s="1"/>
  <c r="U254" i="22" s="1"/>
  <c r="V254" i="22" s="1"/>
  <c r="W254" i="22" s="1"/>
  <c r="X254" i="22" s="1"/>
  <c r="Y254" i="22" s="1"/>
  <c r="Z254" i="22" s="1"/>
  <c r="AA254" i="22" s="1"/>
  <c r="AB254" i="22" s="1"/>
  <c r="AC254" i="22" s="1"/>
  <c r="AD254" i="22" s="1"/>
  <c r="AE254" i="22" s="1"/>
  <c r="AF254" i="22" s="1"/>
  <c r="B254" i="22" s="1"/>
  <c r="D254" i="22"/>
  <c r="E253" i="22"/>
  <c r="F253" i="22" s="1"/>
  <c r="G253" i="22" s="1"/>
  <c r="H253" i="22" s="1"/>
  <c r="I253" i="22" s="1"/>
  <c r="J253" i="22" s="1"/>
  <c r="K253" i="22" s="1"/>
  <c r="L253" i="22" s="1"/>
  <c r="M253" i="22" s="1"/>
  <c r="N253" i="22" s="1"/>
  <c r="O253" i="22" s="1"/>
  <c r="P253" i="22" s="1"/>
  <c r="Q253" i="22" s="1"/>
  <c r="R253" i="22" s="1"/>
  <c r="S253" i="22" s="1"/>
  <c r="T253" i="22" s="1"/>
  <c r="U253" i="22" s="1"/>
  <c r="V253" i="22" s="1"/>
  <c r="W253" i="22" s="1"/>
  <c r="X253" i="22" s="1"/>
  <c r="Y253" i="22" s="1"/>
  <c r="Z253" i="22" s="1"/>
  <c r="AA253" i="22" s="1"/>
  <c r="AB253" i="22" s="1"/>
  <c r="AC253" i="22" s="1"/>
  <c r="AD253" i="22" s="1"/>
  <c r="AE253" i="22" s="1"/>
  <c r="AF253" i="22" s="1"/>
  <c r="B253" i="22" s="1"/>
  <c r="D253" i="22"/>
  <c r="D252" i="22"/>
  <c r="E252" i="22" s="1"/>
  <c r="F252" i="22" s="1"/>
  <c r="G252" i="22" s="1"/>
  <c r="H252" i="22" s="1"/>
  <c r="I252" i="22" s="1"/>
  <c r="J252" i="22" s="1"/>
  <c r="K252" i="22" s="1"/>
  <c r="L252" i="22" s="1"/>
  <c r="M252" i="22" s="1"/>
  <c r="N252" i="22" s="1"/>
  <c r="O252" i="22" s="1"/>
  <c r="P252" i="22" s="1"/>
  <c r="Q252" i="22" s="1"/>
  <c r="R252" i="22" s="1"/>
  <c r="S252" i="22" s="1"/>
  <c r="T252" i="22" s="1"/>
  <c r="U252" i="22" s="1"/>
  <c r="V252" i="22" s="1"/>
  <c r="W252" i="22" s="1"/>
  <c r="X252" i="22" s="1"/>
  <c r="Y252" i="22" s="1"/>
  <c r="Z252" i="22" s="1"/>
  <c r="AA252" i="22" s="1"/>
  <c r="AB252" i="22" s="1"/>
  <c r="AC252" i="22" s="1"/>
  <c r="AD252" i="22" s="1"/>
  <c r="AE252" i="22" s="1"/>
  <c r="AF252" i="22" s="1"/>
  <c r="B252" i="22" s="1"/>
  <c r="D251" i="22"/>
  <c r="E251" i="22" s="1"/>
  <c r="F251" i="22" s="1"/>
  <c r="G251" i="22" s="1"/>
  <c r="H251" i="22" s="1"/>
  <c r="I251" i="22" s="1"/>
  <c r="J251" i="22" s="1"/>
  <c r="K251" i="22" s="1"/>
  <c r="L251" i="22" s="1"/>
  <c r="M251" i="22" s="1"/>
  <c r="N251" i="22" s="1"/>
  <c r="O251" i="22" s="1"/>
  <c r="P251" i="22" s="1"/>
  <c r="Q251" i="22" s="1"/>
  <c r="R251" i="22" s="1"/>
  <c r="S251" i="22" s="1"/>
  <c r="T251" i="22" s="1"/>
  <c r="U251" i="22" s="1"/>
  <c r="V251" i="22" s="1"/>
  <c r="W251" i="22" s="1"/>
  <c r="X251" i="22" s="1"/>
  <c r="Y251" i="22" s="1"/>
  <c r="Z251" i="22" s="1"/>
  <c r="AA251" i="22" s="1"/>
  <c r="AB251" i="22" s="1"/>
  <c r="AC251" i="22" s="1"/>
  <c r="AD251" i="22" s="1"/>
  <c r="AE251" i="22" s="1"/>
  <c r="AF251" i="22" s="1"/>
  <c r="B251" i="22" s="1"/>
  <c r="D250" i="22"/>
  <c r="E250" i="22" s="1"/>
  <c r="F250" i="22" s="1"/>
  <c r="G250" i="22" s="1"/>
  <c r="H250" i="22" s="1"/>
  <c r="I250" i="22" s="1"/>
  <c r="J250" i="22" s="1"/>
  <c r="K250" i="22" s="1"/>
  <c r="L250" i="22" s="1"/>
  <c r="M250" i="22" s="1"/>
  <c r="N250" i="22" s="1"/>
  <c r="O250" i="22" s="1"/>
  <c r="P250" i="22" s="1"/>
  <c r="Q250" i="22" s="1"/>
  <c r="R250" i="22" s="1"/>
  <c r="S250" i="22" s="1"/>
  <c r="T250" i="22" s="1"/>
  <c r="U250" i="22" s="1"/>
  <c r="V250" i="22" s="1"/>
  <c r="W250" i="22" s="1"/>
  <c r="X250" i="22" s="1"/>
  <c r="Y250" i="22" s="1"/>
  <c r="Z250" i="22" s="1"/>
  <c r="AA250" i="22" s="1"/>
  <c r="AB250" i="22" s="1"/>
  <c r="AC250" i="22" s="1"/>
  <c r="AD250" i="22" s="1"/>
  <c r="AE250" i="22" s="1"/>
  <c r="AF250" i="22" s="1"/>
  <c r="B250" i="22" s="1"/>
  <c r="D249" i="22"/>
  <c r="E249" i="22" s="1"/>
  <c r="AG247" i="22"/>
  <c r="AF247" i="22"/>
  <c r="AE247" i="22"/>
  <c r="AD247" i="22"/>
  <c r="AC247" i="22"/>
  <c r="AB247" i="22"/>
  <c r="AA247" i="22"/>
  <c r="Z247" i="22"/>
  <c r="Z121" i="22" s="1"/>
  <c r="Y247" i="22"/>
  <c r="Y121" i="22" s="1"/>
  <c r="X247" i="22"/>
  <c r="W247" i="22"/>
  <c r="V247" i="22"/>
  <c r="U247" i="22"/>
  <c r="T247" i="22"/>
  <c r="S247" i="22"/>
  <c r="R247" i="22"/>
  <c r="Q247" i="22"/>
  <c r="P247" i="22"/>
  <c r="O247" i="22"/>
  <c r="N247" i="22"/>
  <c r="M247" i="22"/>
  <c r="L247" i="22"/>
  <c r="K247" i="22"/>
  <c r="J247" i="22"/>
  <c r="I247" i="22"/>
  <c r="H247" i="22"/>
  <c r="G247" i="22"/>
  <c r="F247" i="22"/>
  <c r="E247" i="22"/>
  <c r="D247" i="22"/>
  <c r="C247" i="22"/>
  <c r="B247" i="22"/>
  <c r="AI133" i="22"/>
  <c r="AH133" i="22"/>
  <c r="AI132" i="22"/>
  <c r="AH132" i="22"/>
  <c r="AI131" i="22"/>
  <c r="AH131" i="22"/>
  <c r="AI130" i="22"/>
  <c r="AH130" i="22"/>
  <c r="AI129" i="22"/>
  <c r="AH129" i="22"/>
  <c r="AI126" i="22"/>
  <c r="AH126" i="22"/>
  <c r="AI125" i="22"/>
  <c r="AH125" i="22"/>
  <c r="AI123" i="22"/>
  <c r="AH123" i="22"/>
  <c r="AI122" i="22"/>
  <c r="AH122" i="22"/>
  <c r="C121" i="22"/>
  <c r="AI120" i="22"/>
  <c r="AH120" i="22"/>
  <c r="AI119" i="22"/>
  <c r="AH119" i="22"/>
  <c r="AI118" i="22"/>
  <c r="AH118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F110" i="22" s="1"/>
  <c r="AQ23" i="22" s="1"/>
  <c r="E104" i="22"/>
  <c r="AI101" i="22"/>
  <c r="AH101" i="22"/>
  <c r="AI99" i="22"/>
  <c r="AH99" i="22"/>
  <c r="AG99" i="22"/>
  <c r="AI98" i="22"/>
  <c r="AH98" i="22"/>
  <c r="AI97" i="22"/>
  <c r="AH97" i="22"/>
  <c r="AI96" i="22"/>
  <c r="AH96" i="22"/>
  <c r="AG95" i="22"/>
  <c r="AF95" i="22"/>
  <c r="AE95" i="22"/>
  <c r="BI19" i="22" s="1"/>
  <c r="AD95" i="22"/>
  <c r="AC95" i="22"/>
  <c r="AB95" i="22"/>
  <c r="BG19" i="22" s="1"/>
  <c r="AA95" i="22"/>
  <c r="Z95" i="22"/>
  <c r="Y95" i="22"/>
  <c r="X5" i="22" s="1"/>
  <c r="X95" i="22"/>
  <c r="W95" i="22"/>
  <c r="V5" i="22" s="1"/>
  <c r="V95" i="22"/>
  <c r="BD19" i="22" s="1"/>
  <c r="U95" i="22"/>
  <c r="BC19" i="22" s="1"/>
  <c r="T95" i="22"/>
  <c r="BB19" i="22" s="1"/>
  <c r="S95" i="22"/>
  <c r="R5" i="22" s="1"/>
  <c r="R95" i="22"/>
  <c r="AZ19" i="22" s="1"/>
  <c r="Q95" i="22"/>
  <c r="AY19" i="22" s="1"/>
  <c r="P95" i="22"/>
  <c r="AX19" i="22" s="1"/>
  <c r="O95" i="22"/>
  <c r="N95" i="22"/>
  <c r="M95" i="22"/>
  <c r="L5" i="22" s="1"/>
  <c r="L95" i="22"/>
  <c r="K5" i="22" s="1"/>
  <c r="K95" i="22"/>
  <c r="AT19" i="22" s="1"/>
  <c r="J95" i="22"/>
  <c r="I5" i="22" s="1"/>
  <c r="I95" i="22"/>
  <c r="AS19" i="22" s="1"/>
  <c r="H95" i="22"/>
  <c r="G5" i="22" s="1"/>
  <c r="G95" i="22"/>
  <c r="AR19" i="22" s="1"/>
  <c r="F95" i="22"/>
  <c r="E5" i="22" s="1"/>
  <c r="E95" i="22"/>
  <c r="AP19" i="22" s="1"/>
  <c r="AI94" i="22"/>
  <c r="AH94" i="22"/>
  <c r="AI93" i="22"/>
  <c r="AH93" i="22"/>
  <c r="AI92" i="22"/>
  <c r="AH92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3" i="22"/>
  <c r="AF83" i="22"/>
  <c r="AE83" i="22"/>
  <c r="BI20" i="22" s="1"/>
  <c r="AD83" i="22"/>
  <c r="BH20" i="22" s="1"/>
  <c r="AC83" i="22"/>
  <c r="AB83" i="22"/>
  <c r="BG20" i="22" s="1"/>
  <c r="AA83" i="22"/>
  <c r="Z83" i="22"/>
  <c r="Y83" i="22"/>
  <c r="X83" i="22"/>
  <c r="W83" i="22"/>
  <c r="V83" i="22"/>
  <c r="U83" i="22"/>
  <c r="BC20" i="22" s="1"/>
  <c r="T83" i="22"/>
  <c r="S83" i="22"/>
  <c r="BA20" i="22" s="1"/>
  <c r="R83" i="22"/>
  <c r="AZ20" i="22" s="1"/>
  <c r="Q83" i="22"/>
  <c r="P83" i="22"/>
  <c r="O83" i="22"/>
  <c r="AW20" i="22" s="1"/>
  <c r="N83" i="22"/>
  <c r="M83" i="22"/>
  <c r="AU20" i="22" s="1"/>
  <c r="K83" i="22"/>
  <c r="J83" i="22"/>
  <c r="I83" i="22"/>
  <c r="AS20" i="22" s="1"/>
  <c r="H83" i="22"/>
  <c r="G83" i="22"/>
  <c r="AR20" i="22" s="1"/>
  <c r="F83" i="22"/>
  <c r="AQ20" i="22" s="1"/>
  <c r="E83" i="22"/>
  <c r="AI82" i="22"/>
  <c r="AH82" i="22"/>
  <c r="AI81" i="22"/>
  <c r="AH81" i="22"/>
  <c r="AI80" i="22"/>
  <c r="AH80" i="22"/>
  <c r="AF79" i="22"/>
  <c r="BJ18" i="22" s="1"/>
  <c r="AE79" i="22"/>
  <c r="BI18" i="22" s="1"/>
  <c r="AD79" i="22"/>
  <c r="BH18" i="22" s="1"/>
  <c r="AC79" i="22"/>
  <c r="AB79" i="22"/>
  <c r="AA79" i="22"/>
  <c r="Z79" i="22"/>
  <c r="Y79" i="22"/>
  <c r="X79" i="22"/>
  <c r="W79" i="22"/>
  <c r="V79" i="22"/>
  <c r="BD18" i="22" s="1"/>
  <c r="U79" i="22"/>
  <c r="BC18" i="22" s="1"/>
  <c r="T79" i="22"/>
  <c r="S79" i="22"/>
  <c r="R79" i="22"/>
  <c r="Q79" i="22"/>
  <c r="AY18" i="22" s="1"/>
  <c r="P79" i="22"/>
  <c r="AX18" i="22" s="1"/>
  <c r="O79" i="22"/>
  <c r="AW18" i="22" s="1"/>
  <c r="N79" i="22"/>
  <c r="M79" i="22"/>
  <c r="K79" i="22"/>
  <c r="J79" i="22"/>
  <c r="I79" i="22"/>
  <c r="AS18" i="22" s="1"/>
  <c r="H79" i="22"/>
  <c r="G79" i="22"/>
  <c r="AR18" i="22" s="1"/>
  <c r="F79" i="22"/>
  <c r="AQ18" i="22" s="1"/>
  <c r="E79" i="22"/>
  <c r="BT78" i="22"/>
  <c r="BL78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I72" i="22"/>
  <c r="AH72" i="22"/>
  <c r="BW71" i="22"/>
  <c r="BW78" i="22" s="1"/>
  <c r="BV71" i="22"/>
  <c r="BV78" i="22" s="1"/>
  <c r="BU71" i="22"/>
  <c r="BU78" i="22" s="1"/>
  <c r="BT71" i="22"/>
  <c r="BS71" i="22"/>
  <c r="BS78" i="22" s="1"/>
  <c r="BR71" i="22"/>
  <c r="BR78" i="22" s="1"/>
  <c r="BQ71" i="22"/>
  <c r="BQ78" i="22" s="1"/>
  <c r="BP71" i="22"/>
  <c r="BP78" i="22" s="1"/>
  <c r="BO71" i="22"/>
  <c r="BO78" i="22" s="1"/>
  <c r="BN71" i="22"/>
  <c r="BN78" i="22" s="1"/>
  <c r="BM71" i="22"/>
  <c r="BM78" i="22" s="1"/>
  <c r="BL71" i="22"/>
  <c r="BK71" i="22"/>
  <c r="BK78" i="22" s="1"/>
  <c r="BJ71" i="22"/>
  <c r="BJ78" i="22" s="1"/>
  <c r="BI71" i="22"/>
  <c r="BI78" i="22" s="1"/>
  <c r="BH71" i="22"/>
  <c r="BH78" i="22" s="1"/>
  <c r="BG71" i="22"/>
  <c r="BG78" i="22" s="1"/>
  <c r="BF71" i="22"/>
  <c r="BF78" i="22" s="1"/>
  <c r="BE71" i="22"/>
  <c r="BE78" i="22" s="1"/>
  <c r="BD71" i="22"/>
  <c r="BD78" i="22" s="1"/>
  <c r="BC71" i="22"/>
  <c r="BC78" i="22" s="1"/>
  <c r="BB71" i="22"/>
  <c r="BB78" i="22" s="1"/>
  <c r="BA71" i="22"/>
  <c r="BA78" i="22" s="1"/>
  <c r="AZ71" i="22"/>
  <c r="AZ78" i="22" s="1"/>
  <c r="AI71" i="22"/>
  <c r="AH71" i="22"/>
  <c r="BW70" i="22"/>
  <c r="BW77" i="22" s="1"/>
  <c r="BV70" i="22"/>
  <c r="BV77" i="22" s="1"/>
  <c r="BU70" i="22"/>
  <c r="BU77" i="22" s="1"/>
  <c r="BT70" i="22"/>
  <c r="BT77" i="22" s="1"/>
  <c r="BS70" i="22"/>
  <c r="BS77" i="22" s="1"/>
  <c r="BR70" i="22"/>
  <c r="BR77" i="22" s="1"/>
  <c r="BQ70" i="22"/>
  <c r="BQ77" i="22" s="1"/>
  <c r="BP70" i="22"/>
  <c r="BP77" i="22" s="1"/>
  <c r="BO70" i="22"/>
  <c r="BO77" i="22" s="1"/>
  <c r="BN70" i="22"/>
  <c r="BN77" i="22" s="1"/>
  <c r="BM70" i="22"/>
  <c r="BM77" i="22" s="1"/>
  <c r="BL70" i="22"/>
  <c r="BL77" i="22" s="1"/>
  <c r="BK70" i="22"/>
  <c r="BK77" i="22" s="1"/>
  <c r="BJ70" i="22"/>
  <c r="BJ77" i="22" s="1"/>
  <c r="BI70" i="22"/>
  <c r="BI77" i="22" s="1"/>
  <c r="BH70" i="22"/>
  <c r="BH77" i="22" s="1"/>
  <c r="BG70" i="22"/>
  <c r="BG77" i="22" s="1"/>
  <c r="BF70" i="22"/>
  <c r="BF77" i="22" s="1"/>
  <c r="BE70" i="22"/>
  <c r="BE77" i="22" s="1"/>
  <c r="BD70" i="22"/>
  <c r="BD77" i="22" s="1"/>
  <c r="BC70" i="22"/>
  <c r="BC77" i="22" s="1"/>
  <c r="BB70" i="22"/>
  <c r="BB77" i="22" s="1"/>
  <c r="BA70" i="22"/>
  <c r="BA77" i="22" s="1"/>
  <c r="AZ70" i="22"/>
  <c r="AZ77" i="22" s="1"/>
  <c r="AI70" i="22"/>
  <c r="AH70" i="22"/>
  <c r="BW69" i="22"/>
  <c r="BW76" i="22" s="1"/>
  <c r="BV69" i="22"/>
  <c r="BV76" i="22" s="1"/>
  <c r="BU69" i="22"/>
  <c r="BU76" i="22" s="1"/>
  <c r="BT69" i="22"/>
  <c r="BT76" i="22" s="1"/>
  <c r="BS69" i="22"/>
  <c r="BS76" i="22" s="1"/>
  <c r="BR69" i="22"/>
  <c r="BR76" i="22" s="1"/>
  <c r="BQ69" i="22"/>
  <c r="BQ76" i="22" s="1"/>
  <c r="BP69" i="22"/>
  <c r="BP76" i="22" s="1"/>
  <c r="BO69" i="22"/>
  <c r="BO76" i="22" s="1"/>
  <c r="BN69" i="22"/>
  <c r="BN76" i="22" s="1"/>
  <c r="BM69" i="22"/>
  <c r="BM76" i="22" s="1"/>
  <c r="BL69" i="22"/>
  <c r="BL76" i="22" s="1"/>
  <c r="BK69" i="22"/>
  <c r="BK76" i="22" s="1"/>
  <c r="BJ69" i="22"/>
  <c r="BJ76" i="22" s="1"/>
  <c r="BI69" i="22"/>
  <c r="BI76" i="22" s="1"/>
  <c r="BH69" i="22"/>
  <c r="BH76" i="22" s="1"/>
  <c r="BG69" i="22"/>
  <c r="BG76" i="22" s="1"/>
  <c r="BF69" i="22"/>
  <c r="BF76" i="22" s="1"/>
  <c r="BE69" i="22"/>
  <c r="BE76" i="22" s="1"/>
  <c r="BD69" i="22"/>
  <c r="BD76" i="22" s="1"/>
  <c r="BC69" i="22"/>
  <c r="BC76" i="22" s="1"/>
  <c r="BB69" i="22"/>
  <c r="BB76" i="22" s="1"/>
  <c r="BA69" i="22"/>
  <c r="BA76" i="22" s="1"/>
  <c r="AZ69" i="22"/>
  <c r="AZ76" i="22" s="1"/>
  <c r="AI69" i="22"/>
  <c r="AH69" i="22"/>
  <c r="BW68" i="22"/>
  <c r="BW75" i="22" s="1"/>
  <c r="BV68" i="22"/>
  <c r="BV75" i="22" s="1"/>
  <c r="BU68" i="22"/>
  <c r="BU75" i="22" s="1"/>
  <c r="BT68" i="22"/>
  <c r="BT75" i="22" s="1"/>
  <c r="BS68" i="22"/>
  <c r="BS75" i="22" s="1"/>
  <c r="BR68" i="22"/>
  <c r="BR75" i="22" s="1"/>
  <c r="BQ68" i="22"/>
  <c r="BQ75" i="22" s="1"/>
  <c r="BP68" i="22"/>
  <c r="BP75" i="22" s="1"/>
  <c r="BO68" i="22"/>
  <c r="BO75" i="22" s="1"/>
  <c r="BN68" i="22"/>
  <c r="BN75" i="22" s="1"/>
  <c r="BM68" i="22"/>
  <c r="BM75" i="22" s="1"/>
  <c r="BL68" i="22"/>
  <c r="BL75" i="22" s="1"/>
  <c r="BK68" i="22"/>
  <c r="BK75" i="22" s="1"/>
  <c r="BJ68" i="22"/>
  <c r="BJ75" i="22" s="1"/>
  <c r="BI68" i="22"/>
  <c r="BI75" i="22" s="1"/>
  <c r="BH68" i="22"/>
  <c r="BH75" i="22" s="1"/>
  <c r="BG68" i="22"/>
  <c r="BG75" i="22" s="1"/>
  <c r="BF68" i="22"/>
  <c r="BF75" i="22" s="1"/>
  <c r="BE68" i="22"/>
  <c r="BE75" i="22" s="1"/>
  <c r="BD68" i="22"/>
  <c r="BD75" i="22" s="1"/>
  <c r="BC68" i="22"/>
  <c r="BC75" i="22" s="1"/>
  <c r="BB68" i="22"/>
  <c r="BB75" i="22" s="1"/>
  <c r="BA68" i="22"/>
  <c r="BA75" i="22" s="1"/>
  <c r="AZ68" i="22"/>
  <c r="AZ75" i="22" s="1"/>
  <c r="AI68" i="22"/>
  <c r="AH68" i="22"/>
  <c r="BW67" i="22"/>
  <c r="BW74" i="22" s="1"/>
  <c r="BV67" i="22"/>
  <c r="BV74" i="22" s="1"/>
  <c r="BU67" i="22"/>
  <c r="BU74" i="22" s="1"/>
  <c r="BT67" i="22"/>
  <c r="BT74" i="22" s="1"/>
  <c r="BS67" i="22"/>
  <c r="BS74" i="22" s="1"/>
  <c r="BR67" i="22"/>
  <c r="BR74" i="22" s="1"/>
  <c r="BQ67" i="22"/>
  <c r="BQ74" i="22" s="1"/>
  <c r="BP67" i="22"/>
  <c r="BP74" i="22" s="1"/>
  <c r="BO67" i="22"/>
  <c r="BO74" i="22" s="1"/>
  <c r="BN67" i="22"/>
  <c r="BN74" i="22" s="1"/>
  <c r="BM67" i="22"/>
  <c r="BM74" i="22" s="1"/>
  <c r="BL67" i="22"/>
  <c r="BL74" i="22" s="1"/>
  <c r="BK67" i="22"/>
  <c r="BK74" i="22" s="1"/>
  <c r="BJ67" i="22"/>
  <c r="BJ74" i="22" s="1"/>
  <c r="BI67" i="22"/>
  <c r="BI74" i="22" s="1"/>
  <c r="BH67" i="22"/>
  <c r="BH74" i="22" s="1"/>
  <c r="BG67" i="22"/>
  <c r="BG74" i="22" s="1"/>
  <c r="BF67" i="22"/>
  <c r="BF74" i="22" s="1"/>
  <c r="BE67" i="22"/>
  <c r="BE74" i="22" s="1"/>
  <c r="BD67" i="22"/>
  <c r="BD74" i="22" s="1"/>
  <c r="BC67" i="22"/>
  <c r="BC74" i="22" s="1"/>
  <c r="BB67" i="22"/>
  <c r="BB74" i="22" s="1"/>
  <c r="BA67" i="22"/>
  <c r="BA74" i="22" s="1"/>
  <c r="AZ67" i="22"/>
  <c r="AZ74" i="22" s="1"/>
  <c r="AI67" i="22"/>
  <c r="AH67" i="22"/>
  <c r="BW66" i="22"/>
  <c r="BW73" i="22" s="1"/>
  <c r="BV66" i="22"/>
  <c r="BV73" i="22" s="1"/>
  <c r="BU66" i="22"/>
  <c r="BU73" i="22" s="1"/>
  <c r="BT66" i="22"/>
  <c r="BT73" i="22" s="1"/>
  <c r="BS66" i="22"/>
  <c r="BS73" i="22" s="1"/>
  <c r="BR66" i="22"/>
  <c r="BR73" i="22" s="1"/>
  <c r="BQ66" i="22"/>
  <c r="BQ73" i="22" s="1"/>
  <c r="BP66" i="22"/>
  <c r="BP73" i="22" s="1"/>
  <c r="BO66" i="22"/>
  <c r="BO73" i="22" s="1"/>
  <c r="BN66" i="22"/>
  <c r="BN73" i="22" s="1"/>
  <c r="BM66" i="22"/>
  <c r="BM73" i="22" s="1"/>
  <c r="BL66" i="22"/>
  <c r="BL73" i="22" s="1"/>
  <c r="BK66" i="22"/>
  <c r="BK73" i="22" s="1"/>
  <c r="BJ66" i="22"/>
  <c r="BJ73" i="22" s="1"/>
  <c r="BI66" i="22"/>
  <c r="BI73" i="22" s="1"/>
  <c r="BH66" i="22"/>
  <c r="BH73" i="22" s="1"/>
  <c r="BG66" i="22"/>
  <c r="BG73" i="22" s="1"/>
  <c r="BF66" i="22"/>
  <c r="BF73" i="22" s="1"/>
  <c r="BE66" i="22"/>
  <c r="BE73" i="22" s="1"/>
  <c r="BD66" i="22"/>
  <c r="BD73" i="22" s="1"/>
  <c r="BC66" i="22"/>
  <c r="BC73" i="22" s="1"/>
  <c r="BB66" i="22"/>
  <c r="BB73" i="22" s="1"/>
  <c r="BA66" i="22"/>
  <c r="BA73" i="22" s="1"/>
  <c r="AZ66" i="22"/>
  <c r="AZ73" i="22" s="1"/>
  <c r="AI66" i="22"/>
  <c r="AH66" i="22"/>
  <c r="AG65" i="22"/>
  <c r="AF65" i="22"/>
  <c r="BJ17" i="22" s="1"/>
  <c r="AE65" i="22"/>
  <c r="BI17" i="22" s="1"/>
  <c r="AD65" i="22"/>
  <c r="BH17" i="22" s="1"/>
  <c r="AC65" i="22"/>
  <c r="AB65" i="22"/>
  <c r="BG17" i="22" s="1"/>
  <c r="AA65" i="22"/>
  <c r="Z65" i="22"/>
  <c r="Y65" i="22"/>
  <c r="X65" i="22"/>
  <c r="BE17" i="22" s="1"/>
  <c r="W65" i="22"/>
  <c r="V65" i="22"/>
  <c r="BD17" i="22" s="1"/>
  <c r="U65" i="22"/>
  <c r="BC17" i="22" s="1"/>
  <c r="T65" i="22"/>
  <c r="BB17" i="22" s="1"/>
  <c r="S65" i="22"/>
  <c r="BA17" i="22" s="1"/>
  <c r="R65" i="22"/>
  <c r="Q65" i="22"/>
  <c r="AY17" i="22" s="1"/>
  <c r="P65" i="22"/>
  <c r="AX17" i="22" s="1"/>
  <c r="O65" i="22"/>
  <c r="AW17" i="22" s="1"/>
  <c r="N65" i="22"/>
  <c r="AV17" i="22" s="1"/>
  <c r="M65" i="22"/>
  <c r="AU17" i="22" s="1"/>
  <c r="K65" i="22"/>
  <c r="AT17" i="22" s="1"/>
  <c r="J65" i="22"/>
  <c r="AS17" i="22"/>
  <c r="H65" i="22"/>
  <c r="G65" i="22"/>
  <c r="AR17" i="22" s="1"/>
  <c r="F65" i="22"/>
  <c r="AQ17" i="22" s="1"/>
  <c r="E65" i="22"/>
  <c r="AI64" i="22"/>
  <c r="AH64" i="22"/>
  <c r="AI63" i="22"/>
  <c r="AH63" i="22"/>
  <c r="AI62" i="22"/>
  <c r="AH62" i="22"/>
  <c r="AG61" i="22"/>
  <c r="AG2" i="22" s="1"/>
  <c r="AF61" i="22"/>
  <c r="AE61" i="22"/>
  <c r="AD61" i="22"/>
  <c r="BH16" i="22" s="1"/>
  <c r="AC61" i="22"/>
  <c r="AB61" i="22"/>
  <c r="AA61" i="22"/>
  <c r="Z61" i="22"/>
  <c r="BF16" i="22" s="1"/>
  <c r="Y61" i="22"/>
  <c r="X61" i="22"/>
  <c r="W61" i="22"/>
  <c r="V61" i="22"/>
  <c r="BD16" i="22" s="1"/>
  <c r="U61" i="22"/>
  <c r="T61" i="22"/>
  <c r="S61" i="22"/>
  <c r="BA16" i="22" s="1"/>
  <c r="R61" i="22"/>
  <c r="AZ16" i="22" s="1"/>
  <c r="Q61" i="22"/>
  <c r="AY16" i="22" s="1"/>
  <c r="P61" i="22"/>
  <c r="O61" i="22"/>
  <c r="AW16" i="22" s="1"/>
  <c r="N61" i="22"/>
  <c r="M61" i="22"/>
  <c r="K61" i="22"/>
  <c r="J61" i="22"/>
  <c r="H61" i="22"/>
  <c r="G61" i="22"/>
  <c r="F61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I21" i="22"/>
  <c r="AH21" i="22"/>
  <c r="BJ20" i="22"/>
  <c r="BE20" i="22"/>
  <c r="BD20" i="22"/>
  <c r="BB20" i="22"/>
  <c r="AY20" i="22"/>
  <c r="AX20" i="22"/>
  <c r="AV20" i="22"/>
  <c r="AT20" i="22"/>
  <c r="AP20" i="22"/>
  <c r="AO20" i="22"/>
  <c r="AN20" i="22"/>
  <c r="AI20" i="22"/>
  <c r="AH20" i="22"/>
  <c r="BH19" i="22"/>
  <c r="BF19" i="22"/>
  <c r="BE19" i="22"/>
  <c r="AO19" i="22"/>
  <c r="AI19" i="22"/>
  <c r="AH19" i="22"/>
  <c r="BG18" i="22"/>
  <c r="BF18" i="22"/>
  <c r="BE18" i="22"/>
  <c r="BB18" i="22"/>
  <c r="BA18" i="22"/>
  <c r="AZ18" i="22"/>
  <c r="AV18" i="22"/>
  <c r="AU18" i="22"/>
  <c r="AT18" i="22"/>
  <c r="AP18" i="22"/>
  <c r="AO18" i="22"/>
  <c r="AN18" i="22"/>
  <c r="AM18" i="22"/>
  <c r="AI18" i="22"/>
  <c r="AH18" i="22"/>
  <c r="BF17" i="22"/>
  <c r="AZ17" i="22"/>
  <c r="AO17" i="22"/>
  <c r="AN17" i="22"/>
  <c r="AM17" i="22"/>
  <c r="AI17" i="22"/>
  <c r="AH17" i="22"/>
  <c r="AV16" i="22"/>
  <c r="AO16" i="22"/>
  <c r="AI16" i="22"/>
  <c r="AH16" i="22"/>
  <c r="AI15" i="22"/>
  <c r="AH15" i="22"/>
  <c r="AI14" i="22"/>
  <c r="AH14" i="22"/>
  <c r="AI13" i="22"/>
  <c r="AH13" i="22"/>
  <c r="AL12" i="22"/>
  <c r="AI12" i="22"/>
  <c r="AH12" i="22"/>
  <c r="AI11" i="22"/>
  <c r="AH11" i="22"/>
  <c r="AD5" i="22"/>
  <c r="AC5" i="22"/>
  <c r="AB5" i="22"/>
  <c r="Z5" i="22"/>
  <c r="Y5" i="22"/>
  <c r="W5" i="22"/>
  <c r="U5" i="22"/>
  <c r="T5" i="22"/>
  <c r="N5" i="22"/>
  <c r="H5" i="22"/>
  <c r="C5" i="22"/>
  <c r="AG4" i="22"/>
  <c r="K4" i="22"/>
  <c r="E4" i="22"/>
  <c r="H4" i="22" s="1"/>
  <c r="B4" i="22"/>
  <c r="D261" i="22" s="1"/>
  <c r="AF124" i="21"/>
  <c r="AF60" i="21"/>
  <c r="AF61" i="21"/>
  <c r="AF65" i="21"/>
  <c r="AF79" i="21"/>
  <c r="AF83" i="21"/>
  <c r="BJ20" i="21" s="1"/>
  <c r="AF95" i="21"/>
  <c r="AF100" i="21"/>
  <c r="AE124" i="21"/>
  <c r="AE60" i="21"/>
  <c r="AE61" i="21"/>
  <c r="AE65" i="21"/>
  <c r="AE79" i="21"/>
  <c r="BI18" i="21" s="1"/>
  <c r="AE83" i="21"/>
  <c r="BI20" i="21" s="1"/>
  <c r="AE95" i="21"/>
  <c r="AD5" i="21" s="1"/>
  <c r="AD124" i="21"/>
  <c r="AD60" i="21"/>
  <c r="AD61" i="21"/>
  <c r="AD65" i="21"/>
  <c r="AD79" i="21"/>
  <c r="BH18" i="21" s="1"/>
  <c r="AD83" i="21"/>
  <c r="AC124" i="21"/>
  <c r="AC60" i="21"/>
  <c r="AB124" i="21"/>
  <c r="AB60" i="21"/>
  <c r="AH60" i="21" s="1"/>
  <c r="AH128" i="21"/>
  <c r="AI128" i="21"/>
  <c r="AH127" i="21"/>
  <c r="AI127" i="21"/>
  <c r="L124" i="21"/>
  <c r="K124" i="21"/>
  <c r="J124" i="21"/>
  <c r="I124" i="21"/>
  <c r="H124" i="21"/>
  <c r="G124" i="21"/>
  <c r="F124" i="21"/>
  <c r="E124" i="21"/>
  <c r="AH124" i="21" s="1"/>
  <c r="AG255" i="21"/>
  <c r="C255" i="21"/>
  <c r="E254" i="21"/>
  <c r="D254" i="21"/>
  <c r="E253" i="21"/>
  <c r="F253" i="21" s="1"/>
  <c r="G253" i="21" s="1"/>
  <c r="H253" i="21" s="1"/>
  <c r="I253" i="21" s="1"/>
  <c r="J253" i="21" s="1"/>
  <c r="K253" i="21" s="1"/>
  <c r="L253" i="21" s="1"/>
  <c r="M253" i="21" s="1"/>
  <c r="N253" i="21" s="1"/>
  <c r="O253" i="21" s="1"/>
  <c r="P253" i="21" s="1"/>
  <c r="Q253" i="21" s="1"/>
  <c r="R253" i="21" s="1"/>
  <c r="S253" i="21" s="1"/>
  <c r="T253" i="21" s="1"/>
  <c r="U253" i="21" s="1"/>
  <c r="V253" i="21" s="1"/>
  <c r="W253" i="21" s="1"/>
  <c r="X253" i="21" s="1"/>
  <c r="Y253" i="21" s="1"/>
  <c r="Z253" i="21" s="1"/>
  <c r="AA253" i="21" s="1"/>
  <c r="AB253" i="21" s="1"/>
  <c r="AC253" i="21" s="1"/>
  <c r="AD253" i="21" s="1"/>
  <c r="AE253" i="21" s="1"/>
  <c r="AF253" i="21" s="1"/>
  <c r="B253" i="21" s="1"/>
  <c r="D253" i="21"/>
  <c r="I252" i="21"/>
  <c r="J252" i="21" s="1"/>
  <c r="K252" i="21" s="1"/>
  <c r="L252" i="21" s="1"/>
  <c r="M252" i="21" s="1"/>
  <c r="N252" i="21" s="1"/>
  <c r="O252" i="21" s="1"/>
  <c r="P252" i="21" s="1"/>
  <c r="Q252" i="21" s="1"/>
  <c r="R252" i="21" s="1"/>
  <c r="S252" i="21" s="1"/>
  <c r="T252" i="21" s="1"/>
  <c r="U252" i="21" s="1"/>
  <c r="V252" i="21" s="1"/>
  <c r="W252" i="21" s="1"/>
  <c r="X252" i="21" s="1"/>
  <c r="Y252" i="21" s="1"/>
  <c r="Z252" i="21" s="1"/>
  <c r="AA252" i="21" s="1"/>
  <c r="AB252" i="21" s="1"/>
  <c r="AC252" i="21" s="1"/>
  <c r="AD252" i="21" s="1"/>
  <c r="AE252" i="21" s="1"/>
  <c r="AF252" i="21" s="1"/>
  <c r="B252" i="21" s="1"/>
  <c r="D252" i="21"/>
  <c r="E252" i="21" s="1"/>
  <c r="F252" i="21" s="1"/>
  <c r="G252" i="21" s="1"/>
  <c r="H252" i="21" s="1"/>
  <c r="D251" i="21"/>
  <c r="E251" i="21" s="1"/>
  <c r="F251" i="21" s="1"/>
  <c r="G251" i="21" s="1"/>
  <c r="H251" i="21" s="1"/>
  <c r="I251" i="21" s="1"/>
  <c r="J251" i="21" s="1"/>
  <c r="K251" i="21" s="1"/>
  <c r="L251" i="21" s="1"/>
  <c r="M251" i="21" s="1"/>
  <c r="N251" i="21" s="1"/>
  <c r="O251" i="21" s="1"/>
  <c r="P251" i="21" s="1"/>
  <c r="Q251" i="21" s="1"/>
  <c r="R251" i="21" s="1"/>
  <c r="S251" i="21" s="1"/>
  <c r="T251" i="21" s="1"/>
  <c r="U251" i="21" s="1"/>
  <c r="V251" i="21" s="1"/>
  <c r="W251" i="21" s="1"/>
  <c r="X251" i="21" s="1"/>
  <c r="Y251" i="21" s="1"/>
  <c r="Z251" i="21" s="1"/>
  <c r="AA251" i="21" s="1"/>
  <c r="AB251" i="21" s="1"/>
  <c r="AC251" i="21" s="1"/>
  <c r="AD251" i="21" s="1"/>
  <c r="AE251" i="21" s="1"/>
  <c r="AF251" i="21" s="1"/>
  <c r="B251" i="21" s="1"/>
  <c r="U250" i="21"/>
  <c r="V250" i="21" s="1"/>
  <c r="W250" i="21" s="1"/>
  <c r="X250" i="21" s="1"/>
  <c r="Y250" i="21" s="1"/>
  <c r="Z250" i="21" s="1"/>
  <c r="AA250" i="21" s="1"/>
  <c r="AB250" i="21" s="1"/>
  <c r="AC250" i="21" s="1"/>
  <c r="AD250" i="21" s="1"/>
  <c r="AE250" i="21" s="1"/>
  <c r="AF250" i="21" s="1"/>
  <c r="B250" i="21" s="1"/>
  <c r="M250" i="21"/>
  <c r="N250" i="21" s="1"/>
  <c r="O250" i="21" s="1"/>
  <c r="P250" i="21" s="1"/>
  <c r="Q250" i="21" s="1"/>
  <c r="R250" i="21" s="1"/>
  <c r="S250" i="21" s="1"/>
  <c r="T250" i="21" s="1"/>
  <c r="E250" i="21"/>
  <c r="F250" i="21" s="1"/>
  <c r="G250" i="21" s="1"/>
  <c r="H250" i="21" s="1"/>
  <c r="I250" i="21" s="1"/>
  <c r="J250" i="21" s="1"/>
  <c r="K250" i="21" s="1"/>
  <c r="L250" i="21" s="1"/>
  <c r="D250" i="21"/>
  <c r="E249" i="21"/>
  <c r="F249" i="21" s="1"/>
  <c r="G249" i="21" s="1"/>
  <c r="D249" i="21"/>
  <c r="D255" i="21" s="1"/>
  <c r="AG247" i="21"/>
  <c r="AF247" i="21"/>
  <c r="AE247" i="21"/>
  <c r="AD247" i="21"/>
  <c r="AC247" i="21"/>
  <c r="AB247" i="21"/>
  <c r="AA247" i="21"/>
  <c r="Z247" i="21"/>
  <c r="Z121" i="21" s="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I133" i="21"/>
  <c r="AH133" i="21"/>
  <c r="AI132" i="21"/>
  <c r="AH132" i="21"/>
  <c r="AI131" i="21"/>
  <c r="AH131" i="21"/>
  <c r="AI130" i="21"/>
  <c r="AH130" i="21"/>
  <c r="AI129" i="21"/>
  <c r="AH129" i="21"/>
  <c r="AI126" i="21"/>
  <c r="AH126" i="21"/>
  <c r="AI125" i="21"/>
  <c r="AH125" i="21"/>
  <c r="AI123" i="21"/>
  <c r="AH123" i="21"/>
  <c r="AI122" i="21"/>
  <c r="AH122" i="21"/>
  <c r="Y121" i="21"/>
  <c r="D121" i="21"/>
  <c r="C121" i="21"/>
  <c r="AI120" i="21"/>
  <c r="AH120" i="21"/>
  <c r="AI119" i="21"/>
  <c r="AH119" i="21"/>
  <c r="AI118" i="21"/>
  <c r="AH118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O110" i="21" s="1"/>
  <c r="AW23" i="21" s="1"/>
  <c r="N105" i="21"/>
  <c r="M105" i="21"/>
  <c r="L105" i="21"/>
  <c r="K105" i="21"/>
  <c r="J105" i="21"/>
  <c r="I105" i="21"/>
  <c r="H105" i="21"/>
  <c r="G105" i="21"/>
  <c r="G110" i="21" s="1"/>
  <c r="AR23" i="21" s="1"/>
  <c r="F105" i="21"/>
  <c r="E105" i="21"/>
  <c r="D105" i="21"/>
  <c r="C105" i="21"/>
  <c r="B105" i="21"/>
  <c r="AF104" i="21"/>
  <c r="AE104" i="21"/>
  <c r="AD104" i="21"/>
  <c r="AC104" i="21"/>
  <c r="AB104" i="21"/>
  <c r="AA104" i="21"/>
  <c r="Z104" i="21"/>
  <c r="Y104" i="21"/>
  <c r="X104" i="21"/>
  <c r="X110" i="21" s="1"/>
  <c r="BE23" i="21" s="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I101" i="21"/>
  <c r="AH101" i="21"/>
  <c r="AI99" i="21"/>
  <c r="AH99" i="21"/>
  <c r="AG99" i="21"/>
  <c r="AI98" i="21"/>
  <c r="AH98" i="21"/>
  <c r="AI97" i="21"/>
  <c r="AH97" i="21"/>
  <c r="AI96" i="21"/>
  <c r="AH96" i="21"/>
  <c r="AG95" i="21"/>
  <c r="AD95" i="21"/>
  <c r="BH19" i="21" s="1"/>
  <c r="AC95" i="21"/>
  <c r="AB5" i="21" s="1"/>
  <c r="AB95" i="21"/>
  <c r="AA5" i="21" s="1"/>
  <c r="AA95" i="21"/>
  <c r="Z5" i="21" s="1"/>
  <c r="Z95" i="21"/>
  <c r="Y95" i="21"/>
  <c r="X95" i="21"/>
  <c r="BE19" i="21" s="1"/>
  <c r="W95" i="21"/>
  <c r="V5" i="21" s="1"/>
  <c r="V95" i="21"/>
  <c r="U5" i="21" s="1"/>
  <c r="U95" i="21"/>
  <c r="T95" i="21"/>
  <c r="BB19" i="21" s="1"/>
  <c r="S95" i="21"/>
  <c r="R5" i="21" s="1"/>
  <c r="R95" i="21"/>
  <c r="Q5" i="21" s="1"/>
  <c r="Q95" i="21"/>
  <c r="P95" i="21"/>
  <c r="O95" i="21"/>
  <c r="N95" i="21"/>
  <c r="M95" i="21"/>
  <c r="L95" i="21"/>
  <c r="K5" i="21" s="1"/>
  <c r="K95" i="21"/>
  <c r="J5" i="21" s="1"/>
  <c r="J95" i="21"/>
  <c r="I5" i="21" s="1"/>
  <c r="I95" i="21"/>
  <c r="AS19" i="21" s="1"/>
  <c r="H95" i="21"/>
  <c r="G95" i="21"/>
  <c r="F95" i="21"/>
  <c r="E95" i="21"/>
  <c r="D95" i="21"/>
  <c r="C5" i="21" s="1"/>
  <c r="C95" i="21"/>
  <c r="B5" i="21" s="1"/>
  <c r="B95" i="21"/>
  <c r="AI94" i="21"/>
  <c r="AH94" i="21"/>
  <c r="AI93" i="21"/>
  <c r="AH93" i="21"/>
  <c r="AI92" i="21"/>
  <c r="AH92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3" i="21"/>
  <c r="AC83" i="21"/>
  <c r="AB83" i="21"/>
  <c r="BG20" i="21" s="1"/>
  <c r="Z83" i="21"/>
  <c r="Y83" i="21"/>
  <c r="X83" i="21"/>
  <c r="W83" i="21"/>
  <c r="V83" i="21"/>
  <c r="BD20" i="21" s="1"/>
  <c r="U83" i="21"/>
  <c r="BC20" i="21" s="1"/>
  <c r="T83" i="21"/>
  <c r="BB20" i="21" s="1"/>
  <c r="S83" i="21"/>
  <c r="R83" i="21"/>
  <c r="Q83" i="21"/>
  <c r="P83" i="21"/>
  <c r="AX20" i="21" s="1"/>
  <c r="O83" i="21"/>
  <c r="AW20" i="21" s="1"/>
  <c r="N83" i="21"/>
  <c r="M83" i="21"/>
  <c r="AU20" i="21" s="1"/>
  <c r="L83" i="21"/>
  <c r="K83" i="21"/>
  <c r="J83" i="21"/>
  <c r="I83" i="21"/>
  <c r="H83" i="21"/>
  <c r="G83" i="21"/>
  <c r="AR20" i="21" s="1"/>
  <c r="F83" i="21"/>
  <c r="E83" i="21"/>
  <c r="AP20" i="21" s="1"/>
  <c r="D83" i="21"/>
  <c r="AO20" i="21" s="1"/>
  <c r="C83" i="21"/>
  <c r="B83" i="21"/>
  <c r="AM20" i="21" s="1"/>
  <c r="AI82" i="21"/>
  <c r="AH82" i="21"/>
  <c r="AI81" i="21"/>
  <c r="AH81" i="21"/>
  <c r="AI80" i="21"/>
  <c r="AH80" i="21"/>
  <c r="BJ18" i="21"/>
  <c r="AC79" i="21"/>
  <c r="AB79" i="21"/>
  <c r="BG18" i="21" s="1"/>
  <c r="Z79" i="21"/>
  <c r="BF18" i="21" s="1"/>
  <c r="Y79" i="21"/>
  <c r="X79" i="21"/>
  <c r="W79" i="21"/>
  <c r="V79" i="21"/>
  <c r="BD18" i="21" s="1"/>
  <c r="U79" i="21"/>
  <c r="T79" i="21"/>
  <c r="BB18" i="21" s="1"/>
  <c r="S79" i="21"/>
  <c r="BA18" i="21" s="1"/>
  <c r="R79" i="21"/>
  <c r="Q79" i="21"/>
  <c r="P79" i="21"/>
  <c r="AX18" i="21" s="1"/>
  <c r="O79" i="21"/>
  <c r="N79" i="21"/>
  <c r="AV18" i="21" s="1"/>
  <c r="M79" i="21"/>
  <c r="L79" i="21"/>
  <c r="K79" i="21"/>
  <c r="AT18" i="21" s="1"/>
  <c r="J79" i="21"/>
  <c r="I79" i="21"/>
  <c r="H79" i="21"/>
  <c r="G79" i="21"/>
  <c r="AR18" i="21" s="1"/>
  <c r="F79" i="21"/>
  <c r="AQ18" i="21" s="1"/>
  <c r="E79" i="21"/>
  <c r="D79" i="21"/>
  <c r="AO18" i="21" s="1"/>
  <c r="C79" i="21"/>
  <c r="AN18" i="21" s="1"/>
  <c r="B79" i="21"/>
  <c r="BT78" i="21"/>
  <c r="BQ78" i="21"/>
  <c r="BL78" i="21"/>
  <c r="BA78" i="21"/>
  <c r="AZ78" i="21"/>
  <c r="AI78" i="21"/>
  <c r="AH78" i="21"/>
  <c r="AG78" i="21"/>
  <c r="AG79" i="21" s="1"/>
  <c r="BS77" i="21"/>
  <c r="BO77" i="21"/>
  <c r="BL77" i="21"/>
  <c r="BI77" i="21"/>
  <c r="AI77" i="21"/>
  <c r="AH77" i="21"/>
  <c r="BS76" i="21"/>
  <c r="AI76" i="21"/>
  <c r="AH76" i="21"/>
  <c r="BC75" i="21"/>
  <c r="AI75" i="21"/>
  <c r="AH75" i="21"/>
  <c r="BJ74" i="21"/>
  <c r="AI74" i="21"/>
  <c r="AH74" i="21"/>
  <c r="BL73" i="21"/>
  <c r="AI73" i="21"/>
  <c r="AH73" i="21"/>
  <c r="AI72" i="21"/>
  <c r="AH72" i="21"/>
  <c r="BW71" i="21"/>
  <c r="BW78" i="21" s="1"/>
  <c r="BV71" i="21"/>
  <c r="BV78" i="21" s="1"/>
  <c r="BU71" i="21"/>
  <c r="BU78" i="21" s="1"/>
  <c r="BT71" i="21"/>
  <c r="BS71" i="21"/>
  <c r="BS78" i="21" s="1"/>
  <c r="BR71" i="21"/>
  <c r="BR78" i="21" s="1"/>
  <c r="BQ71" i="21"/>
  <c r="BP71" i="21"/>
  <c r="BP78" i="21" s="1"/>
  <c r="BO71" i="21"/>
  <c r="BO78" i="21" s="1"/>
  <c r="BN71" i="21"/>
  <c r="BN78" i="21" s="1"/>
  <c r="BM71" i="21"/>
  <c r="BM78" i="21" s="1"/>
  <c r="BL71" i="21"/>
  <c r="BK71" i="21"/>
  <c r="BK78" i="21" s="1"/>
  <c r="BJ71" i="21"/>
  <c r="BJ78" i="21" s="1"/>
  <c r="BI71" i="21"/>
  <c r="BI78" i="21" s="1"/>
  <c r="BH71" i="21"/>
  <c r="BH78" i="21" s="1"/>
  <c r="BG71" i="21"/>
  <c r="BG78" i="21" s="1"/>
  <c r="BF71" i="21"/>
  <c r="BF78" i="21" s="1"/>
  <c r="BE71" i="21"/>
  <c r="BE78" i="21" s="1"/>
  <c r="BD71" i="21"/>
  <c r="BD78" i="21" s="1"/>
  <c r="BC71" i="21"/>
  <c r="BC78" i="21" s="1"/>
  <c r="BB71" i="21"/>
  <c r="BB78" i="21" s="1"/>
  <c r="BA71" i="21"/>
  <c r="AZ71" i="21"/>
  <c r="AI71" i="21"/>
  <c r="AH71" i="21"/>
  <c r="BW70" i="21"/>
  <c r="BW77" i="21" s="1"/>
  <c r="BV70" i="21"/>
  <c r="BV77" i="21" s="1"/>
  <c r="BU70" i="21"/>
  <c r="BU77" i="21" s="1"/>
  <c r="BT70" i="21"/>
  <c r="BT77" i="21" s="1"/>
  <c r="BS70" i="21"/>
  <c r="BR70" i="21"/>
  <c r="BR77" i="21" s="1"/>
  <c r="BQ70" i="21"/>
  <c r="BQ77" i="21" s="1"/>
  <c r="BP70" i="21"/>
  <c r="BP77" i="21" s="1"/>
  <c r="BO70" i="21"/>
  <c r="BN70" i="21"/>
  <c r="BN77" i="21" s="1"/>
  <c r="BM70" i="21"/>
  <c r="BM77" i="21" s="1"/>
  <c r="BL70" i="21"/>
  <c r="BK70" i="21"/>
  <c r="BK77" i="21" s="1"/>
  <c r="BJ70" i="21"/>
  <c r="BJ77" i="21" s="1"/>
  <c r="BI70" i="21"/>
  <c r="BH70" i="21"/>
  <c r="BH77" i="21" s="1"/>
  <c r="BG70" i="21"/>
  <c r="BG77" i="21" s="1"/>
  <c r="BF70" i="21"/>
  <c r="BF77" i="21" s="1"/>
  <c r="BE70" i="21"/>
  <c r="BE77" i="21" s="1"/>
  <c r="BD70" i="21"/>
  <c r="BD77" i="21" s="1"/>
  <c r="BC70" i="21"/>
  <c r="BC77" i="21" s="1"/>
  <c r="BB70" i="21"/>
  <c r="BB77" i="21" s="1"/>
  <c r="BA70" i="21"/>
  <c r="BA77" i="21" s="1"/>
  <c r="AZ70" i="21"/>
  <c r="AZ77" i="21" s="1"/>
  <c r="AI70" i="21"/>
  <c r="AH70" i="21"/>
  <c r="BW69" i="21"/>
  <c r="BW76" i="21" s="1"/>
  <c r="BV69" i="21"/>
  <c r="BV76" i="21" s="1"/>
  <c r="BU69" i="21"/>
  <c r="BU76" i="21" s="1"/>
  <c r="BT69" i="21"/>
  <c r="BT76" i="21" s="1"/>
  <c r="BS69" i="21"/>
  <c r="BR69" i="21"/>
  <c r="BR76" i="21" s="1"/>
  <c r="BQ69" i="21"/>
  <c r="BQ76" i="21" s="1"/>
  <c r="BP69" i="21"/>
  <c r="BP76" i="21" s="1"/>
  <c r="BO69" i="21"/>
  <c r="BO76" i="21" s="1"/>
  <c r="BN69" i="21"/>
  <c r="BN76" i="21" s="1"/>
  <c r="BM69" i="21"/>
  <c r="BM76" i="21" s="1"/>
  <c r="BL69" i="21"/>
  <c r="BL76" i="21" s="1"/>
  <c r="BK69" i="21"/>
  <c r="BK76" i="21" s="1"/>
  <c r="BJ69" i="21"/>
  <c r="BJ76" i="21" s="1"/>
  <c r="BI69" i="21"/>
  <c r="BI76" i="21" s="1"/>
  <c r="BH69" i="21"/>
  <c r="BH76" i="21" s="1"/>
  <c r="BG69" i="21"/>
  <c r="BG76" i="21" s="1"/>
  <c r="BF69" i="21"/>
  <c r="BF76" i="21" s="1"/>
  <c r="BE69" i="21"/>
  <c r="BE76" i="21" s="1"/>
  <c r="BD69" i="21"/>
  <c r="BD76" i="21" s="1"/>
  <c r="BC69" i="21"/>
  <c r="BC76" i="21" s="1"/>
  <c r="BB69" i="21"/>
  <c r="BB76" i="21" s="1"/>
  <c r="BA69" i="21"/>
  <c r="BA76" i="21" s="1"/>
  <c r="AZ69" i="21"/>
  <c r="AZ76" i="21" s="1"/>
  <c r="AI69" i="21"/>
  <c r="AH69" i="21"/>
  <c r="BW68" i="21"/>
  <c r="BW75" i="21" s="1"/>
  <c r="BV68" i="21"/>
  <c r="BV75" i="21" s="1"/>
  <c r="BU68" i="21"/>
  <c r="BU75" i="21" s="1"/>
  <c r="BT68" i="21"/>
  <c r="BT75" i="21" s="1"/>
  <c r="BS68" i="21"/>
  <c r="BS75" i="21" s="1"/>
  <c r="BR68" i="21"/>
  <c r="BR75" i="21" s="1"/>
  <c r="BQ68" i="21"/>
  <c r="BQ75" i="21" s="1"/>
  <c r="BP68" i="21"/>
  <c r="BP75" i="21" s="1"/>
  <c r="BO68" i="21"/>
  <c r="BO75" i="21" s="1"/>
  <c r="BN68" i="21"/>
  <c r="BN75" i="21" s="1"/>
  <c r="BM68" i="21"/>
  <c r="BM75" i="21" s="1"/>
  <c r="BL68" i="21"/>
  <c r="BL75" i="21" s="1"/>
  <c r="BK68" i="21"/>
  <c r="BK75" i="21" s="1"/>
  <c r="BJ68" i="21"/>
  <c r="BJ75" i="21" s="1"/>
  <c r="BI68" i="21"/>
  <c r="BI75" i="21" s="1"/>
  <c r="BH68" i="21"/>
  <c r="BH75" i="21" s="1"/>
  <c r="BG68" i="21"/>
  <c r="BG75" i="21" s="1"/>
  <c r="BF68" i="21"/>
  <c r="BF75" i="21" s="1"/>
  <c r="BE68" i="21"/>
  <c r="BE75" i="21" s="1"/>
  <c r="BD68" i="21"/>
  <c r="BD75" i="21" s="1"/>
  <c r="BC68" i="21"/>
  <c r="BB68" i="21"/>
  <c r="BB75" i="21" s="1"/>
  <c r="BA68" i="21"/>
  <c r="BA75" i="21" s="1"/>
  <c r="AZ68" i="21"/>
  <c r="AZ75" i="21" s="1"/>
  <c r="AI68" i="21"/>
  <c r="AH68" i="21"/>
  <c r="BW67" i="21"/>
  <c r="BW74" i="21" s="1"/>
  <c r="BV67" i="21"/>
  <c r="BV74" i="21" s="1"/>
  <c r="BU67" i="21"/>
  <c r="BU74" i="21" s="1"/>
  <c r="BT67" i="21"/>
  <c r="BT74" i="21" s="1"/>
  <c r="BS67" i="21"/>
  <c r="BS74" i="21" s="1"/>
  <c r="BR67" i="21"/>
  <c r="BR74" i="21" s="1"/>
  <c r="BQ67" i="21"/>
  <c r="BQ74" i="21" s="1"/>
  <c r="BP67" i="21"/>
  <c r="BP74" i="21" s="1"/>
  <c r="BO67" i="21"/>
  <c r="BO74" i="21" s="1"/>
  <c r="BN67" i="21"/>
  <c r="BN74" i="21" s="1"/>
  <c r="BM67" i="21"/>
  <c r="BM74" i="21" s="1"/>
  <c r="BL67" i="21"/>
  <c r="BL74" i="21" s="1"/>
  <c r="BK67" i="21"/>
  <c r="BK74" i="21" s="1"/>
  <c r="BJ67" i="21"/>
  <c r="BI67" i="21"/>
  <c r="BI74" i="21" s="1"/>
  <c r="BH67" i="21"/>
  <c r="BH74" i="21" s="1"/>
  <c r="BG67" i="21"/>
  <c r="BG74" i="21" s="1"/>
  <c r="BF67" i="21"/>
  <c r="BF74" i="21" s="1"/>
  <c r="BE67" i="21"/>
  <c r="BE74" i="21" s="1"/>
  <c r="BD67" i="21"/>
  <c r="BD74" i="21" s="1"/>
  <c r="BC67" i="21"/>
  <c r="BC74" i="21" s="1"/>
  <c r="BB67" i="21"/>
  <c r="BB74" i="21" s="1"/>
  <c r="BA67" i="21"/>
  <c r="BA74" i="21" s="1"/>
  <c r="AZ67" i="21"/>
  <c r="AZ74" i="21" s="1"/>
  <c r="AI67" i="21"/>
  <c r="AH67" i="21"/>
  <c r="BW66" i="21"/>
  <c r="BW73" i="21" s="1"/>
  <c r="BV66" i="21"/>
  <c r="BV73" i="21" s="1"/>
  <c r="BU66" i="21"/>
  <c r="BU73" i="21" s="1"/>
  <c r="BT66" i="21"/>
  <c r="BT73" i="21" s="1"/>
  <c r="BS66" i="21"/>
  <c r="BS73" i="21" s="1"/>
  <c r="BR66" i="21"/>
  <c r="BR73" i="21" s="1"/>
  <c r="BQ66" i="21"/>
  <c r="BQ73" i="21" s="1"/>
  <c r="BP66" i="21"/>
  <c r="BP73" i="21" s="1"/>
  <c r="BO66" i="21"/>
  <c r="BO73" i="21" s="1"/>
  <c r="BN66" i="21"/>
  <c r="BN73" i="21" s="1"/>
  <c r="BM66" i="21"/>
  <c r="BM73" i="21" s="1"/>
  <c r="BL66" i="21"/>
  <c r="BK66" i="21"/>
  <c r="BK73" i="21" s="1"/>
  <c r="BJ66" i="21"/>
  <c r="BJ73" i="21" s="1"/>
  <c r="BI66" i="21"/>
  <c r="BI73" i="21" s="1"/>
  <c r="BH66" i="21"/>
  <c r="BH73" i="21" s="1"/>
  <c r="BG66" i="21"/>
  <c r="BG73" i="21" s="1"/>
  <c r="BF66" i="21"/>
  <c r="BF73" i="21" s="1"/>
  <c r="BE66" i="21"/>
  <c r="BE73" i="21" s="1"/>
  <c r="BD66" i="21"/>
  <c r="BD73" i="21" s="1"/>
  <c r="BC66" i="21"/>
  <c r="BC73" i="21" s="1"/>
  <c r="BB66" i="21"/>
  <c r="BB73" i="21" s="1"/>
  <c r="BA66" i="21"/>
  <c r="BA73" i="21" s="1"/>
  <c r="AZ66" i="21"/>
  <c r="AZ73" i="21" s="1"/>
  <c r="AI66" i="21"/>
  <c r="AH66" i="21"/>
  <c r="AG65" i="21"/>
  <c r="BH17" i="21"/>
  <c r="AC65" i="21"/>
  <c r="AB65" i="21"/>
  <c r="Z65" i="21"/>
  <c r="BF17" i="21" s="1"/>
  <c r="Y65" i="21"/>
  <c r="X65" i="21"/>
  <c r="BE17" i="21" s="1"/>
  <c r="W65" i="21"/>
  <c r="V65" i="21"/>
  <c r="BD17" i="21" s="1"/>
  <c r="U65" i="21"/>
  <c r="BC17" i="21" s="1"/>
  <c r="T65" i="21"/>
  <c r="BB17" i="21" s="1"/>
  <c r="S65" i="21"/>
  <c r="BA17" i="21" s="1"/>
  <c r="R65" i="21"/>
  <c r="Q65" i="21"/>
  <c r="P65" i="21"/>
  <c r="AX17" i="21" s="1"/>
  <c r="O65" i="21"/>
  <c r="N65" i="21"/>
  <c r="AV17" i="21" s="1"/>
  <c r="M65" i="21"/>
  <c r="AU17" i="21" s="1"/>
  <c r="L65" i="21"/>
  <c r="K65" i="21"/>
  <c r="J65" i="21"/>
  <c r="I65" i="21"/>
  <c r="H65" i="21"/>
  <c r="G65" i="21"/>
  <c r="F65" i="21"/>
  <c r="AQ17" i="21" s="1"/>
  <c r="E65" i="21"/>
  <c r="AP17" i="21" s="1"/>
  <c r="D65" i="21"/>
  <c r="AO17" i="21" s="1"/>
  <c r="C65" i="21"/>
  <c r="AN17" i="21" s="1"/>
  <c r="B65" i="21"/>
  <c r="AI64" i="21"/>
  <c r="AH64" i="21"/>
  <c r="AI63" i="21"/>
  <c r="AH63" i="21"/>
  <c r="AI62" i="21"/>
  <c r="AH62" i="21"/>
  <c r="AG61" i="21"/>
  <c r="AG100" i="21" s="1"/>
  <c r="AF102" i="21"/>
  <c r="AC61" i="21"/>
  <c r="AB61" i="21"/>
  <c r="Z61" i="21"/>
  <c r="BF16" i="21" s="1"/>
  <c r="Y61" i="21"/>
  <c r="X61" i="21"/>
  <c r="W61" i="21"/>
  <c r="V61" i="21"/>
  <c r="U61" i="21"/>
  <c r="BC16" i="21" s="1"/>
  <c r="T61" i="21"/>
  <c r="S61" i="21"/>
  <c r="R61" i="21"/>
  <c r="AZ16" i="21" s="1"/>
  <c r="Q61" i="21"/>
  <c r="Q100" i="21" s="1"/>
  <c r="Q102" i="21" s="1"/>
  <c r="P61" i="21"/>
  <c r="O61" i="21"/>
  <c r="AW16" i="21" s="1"/>
  <c r="N61" i="21"/>
  <c r="AV16" i="21" s="1"/>
  <c r="M61" i="21"/>
  <c r="AU16" i="21" s="1"/>
  <c r="L61" i="21"/>
  <c r="K61" i="21"/>
  <c r="J61" i="21"/>
  <c r="I61" i="21"/>
  <c r="I100" i="21" s="1"/>
  <c r="I102" i="21" s="1"/>
  <c r="H61" i="21"/>
  <c r="G61" i="21"/>
  <c r="AR16" i="21" s="1"/>
  <c r="F61" i="21"/>
  <c r="AQ16" i="21" s="1"/>
  <c r="E61" i="21"/>
  <c r="AP16" i="21" s="1"/>
  <c r="D61" i="21"/>
  <c r="C61" i="21"/>
  <c r="B61" i="21"/>
  <c r="B100" i="21" s="1"/>
  <c r="AI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I21" i="21"/>
  <c r="AH21" i="21"/>
  <c r="BH20" i="21"/>
  <c r="BF20" i="21"/>
  <c r="BE20" i="21"/>
  <c r="BA20" i="21"/>
  <c r="AZ20" i="21"/>
  <c r="AY20" i="21"/>
  <c r="AV20" i="21"/>
  <c r="AT20" i="21"/>
  <c r="AS20" i="21"/>
  <c r="AQ20" i="21"/>
  <c r="AN20" i="21"/>
  <c r="AI20" i="21"/>
  <c r="AH20" i="21"/>
  <c r="AY19" i="21"/>
  <c r="AX19" i="21"/>
  <c r="AW19" i="21"/>
  <c r="AV19" i="21"/>
  <c r="AU19" i="21"/>
  <c r="AR19" i="21"/>
  <c r="AQ19" i="21"/>
  <c r="AP19" i="21"/>
  <c r="AO19" i="21"/>
  <c r="AM19" i="21"/>
  <c r="AI19" i="21"/>
  <c r="AH19" i="21"/>
  <c r="BE18" i="21"/>
  <c r="BC18" i="21"/>
  <c r="AZ18" i="21"/>
  <c r="AY18" i="21"/>
  <c r="AW18" i="21"/>
  <c r="AU18" i="21"/>
  <c r="AS18" i="21"/>
  <c r="AP18" i="21"/>
  <c r="AM18" i="21"/>
  <c r="AI18" i="21"/>
  <c r="AH18" i="21"/>
  <c r="BJ17" i="21"/>
  <c r="BI17" i="21"/>
  <c r="BG17" i="21"/>
  <c r="AZ17" i="21"/>
  <c r="AY17" i="21"/>
  <c r="AW17" i="21"/>
  <c r="AT17" i="21"/>
  <c r="AS17" i="21"/>
  <c r="AR17" i="21"/>
  <c r="AM17" i="21"/>
  <c r="AI17" i="21"/>
  <c r="AH17" i="21"/>
  <c r="BD16" i="21"/>
  <c r="AY16" i="21"/>
  <c r="AS16" i="21"/>
  <c r="AI16" i="21"/>
  <c r="AH16" i="21"/>
  <c r="AI15" i="21"/>
  <c r="AH15" i="21"/>
  <c r="AI14" i="21"/>
  <c r="AH14" i="21"/>
  <c r="AI13" i="21"/>
  <c r="AH13" i="21"/>
  <c r="AL12" i="21"/>
  <c r="AI12" i="21"/>
  <c r="AH12" i="21"/>
  <c r="AI11" i="21"/>
  <c r="AH11" i="21"/>
  <c r="X5" i="21"/>
  <c r="P5" i="21"/>
  <c r="O5" i="21"/>
  <c r="N5" i="21"/>
  <c r="M5" i="21"/>
  <c r="L5" i="21"/>
  <c r="G5" i="21"/>
  <c r="F5" i="21"/>
  <c r="E5" i="21"/>
  <c r="D5" i="21"/>
  <c r="AG4" i="21"/>
  <c r="K4" i="21"/>
  <c r="E4" i="21"/>
  <c r="H4" i="21" s="1"/>
  <c r="B4" i="21"/>
  <c r="D261" i="21" s="1"/>
  <c r="AG3" i="21"/>
  <c r="AG2" i="21"/>
  <c r="B255" i="25" l="1"/>
  <c r="B121" i="25"/>
  <c r="AE249" i="24"/>
  <c r="AB254" i="24"/>
  <c r="AA255" i="24"/>
  <c r="AA121" i="24"/>
  <c r="AA110" i="22"/>
  <c r="AG6" i="22"/>
  <c r="H110" i="22"/>
  <c r="X110" i="22"/>
  <c r="BE23" i="22" s="1"/>
  <c r="AF110" i="22"/>
  <c r="BJ23" i="22" s="1"/>
  <c r="C111" i="22"/>
  <c r="AI124" i="22"/>
  <c r="D100" i="22"/>
  <c r="D102" i="22" s="1"/>
  <c r="V249" i="23"/>
  <c r="U255" i="23"/>
  <c r="AE5" i="22"/>
  <c r="BJ19" i="22"/>
  <c r="AC110" i="22"/>
  <c r="AC111" i="22" s="1"/>
  <c r="AC100" i="22"/>
  <c r="AC102" i="22" s="1"/>
  <c r="AB100" i="22"/>
  <c r="AB102" i="22" s="1"/>
  <c r="AA5" i="22"/>
  <c r="AI105" i="22"/>
  <c r="Y110" i="22"/>
  <c r="BD22" i="22"/>
  <c r="S5" i="22"/>
  <c r="T100" i="22"/>
  <c r="T102" i="22" s="1"/>
  <c r="BA19" i="22"/>
  <c r="AQ19" i="22"/>
  <c r="AA100" i="22"/>
  <c r="AA102" i="22" s="1"/>
  <c r="AA103" i="22" s="1"/>
  <c r="AA7" i="22" s="1"/>
  <c r="Y100" i="22"/>
  <c r="Y102" i="22" s="1"/>
  <c r="AG100" i="22"/>
  <c r="Z110" i="22"/>
  <c r="BF23" i="22" s="1"/>
  <c r="D110" i="22"/>
  <c r="AO23" i="22" s="1"/>
  <c r="AA111" i="22"/>
  <c r="U110" i="22"/>
  <c r="BC23" i="22" s="1"/>
  <c r="W100" i="22"/>
  <c r="W102" i="22" s="1"/>
  <c r="T110" i="22"/>
  <c r="BB23" i="22" s="1"/>
  <c r="AB110" i="22"/>
  <c r="N110" i="22"/>
  <c r="AV23" i="22" s="1"/>
  <c r="V110" i="22"/>
  <c r="BD23" i="22" s="1"/>
  <c r="AD110" i="22"/>
  <c r="BH23" i="22" s="1"/>
  <c r="D121" i="22"/>
  <c r="C100" i="22"/>
  <c r="C102" i="22" s="1"/>
  <c r="C103" i="22" s="1"/>
  <c r="C7" i="22" s="1"/>
  <c r="BG16" i="22"/>
  <c r="BG22" i="22" s="1"/>
  <c r="BB16" i="22"/>
  <c r="BB22" i="22" s="1"/>
  <c r="Z100" i="22"/>
  <c r="Z102" i="22" s="1"/>
  <c r="Z103" i="22" s="1"/>
  <c r="Z7" i="22" s="1"/>
  <c r="S110" i="22"/>
  <c r="S111" i="22" s="1"/>
  <c r="BA22" i="22"/>
  <c r="S100" i="22"/>
  <c r="S102" i="22" s="1"/>
  <c r="S103" i="22" s="1"/>
  <c r="S7" i="22" s="1"/>
  <c r="Q5" i="22"/>
  <c r="R110" i="22"/>
  <c r="AZ23" i="22" s="1"/>
  <c r="AZ22" i="22"/>
  <c r="P5" i="22"/>
  <c r="Q110" i="22"/>
  <c r="AY23" i="22" s="1"/>
  <c r="Q100" i="22"/>
  <c r="Q102" i="22" s="1"/>
  <c r="Q103" i="22" s="1"/>
  <c r="Q7" i="22" s="1"/>
  <c r="P110" i="22"/>
  <c r="AX23" i="22" s="1"/>
  <c r="O5" i="22"/>
  <c r="P100" i="22"/>
  <c r="P102" i="22" s="1"/>
  <c r="O100" i="22"/>
  <c r="O102" i="22" s="1"/>
  <c r="N111" i="22"/>
  <c r="AV19" i="22"/>
  <c r="AV22" i="22" s="1"/>
  <c r="AV24" i="22" s="1"/>
  <c r="M5" i="22"/>
  <c r="AU19" i="22"/>
  <c r="M110" i="22"/>
  <c r="AU23" i="22" s="1"/>
  <c r="L100" i="22"/>
  <c r="L102" i="22" s="1"/>
  <c r="L103" i="22" s="1"/>
  <c r="L7" i="22" s="1"/>
  <c r="L110" i="22"/>
  <c r="L111" i="22" s="1"/>
  <c r="K100" i="22"/>
  <c r="K102" i="22" s="1"/>
  <c r="K110" i="22"/>
  <c r="AT23" i="22" s="1"/>
  <c r="J5" i="22"/>
  <c r="AT16" i="22"/>
  <c r="AT22" i="22" s="1"/>
  <c r="J100" i="22"/>
  <c r="J102" i="22" s="1"/>
  <c r="J110" i="22"/>
  <c r="J111" i="22" s="1"/>
  <c r="I100" i="22"/>
  <c r="I102" i="22" s="1"/>
  <c r="I103" i="22" s="1"/>
  <c r="I7" i="22" s="1"/>
  <c r="I110" i="22"/>
  <c r="AS23" i="22" s="1"/>
  <c r="AS16" i="22"/>
  <c r="AS22" i="22" s="1"/>
  <c r="F5" i="22"/>
  <c r="H111" i="22"/>
  <c r="H100" i="22"/>
  <c r="H102" i="22" s="1"/>
  <c r="H103" i="22" s="1"/>
  <c r="H7" i="22" s="1"/>
  <c r="AI106" i="22"/>
  <c r="F111" i="22"/>
  <c r="AI65" i="22"/>
  <c r="D5" i="22"/>
  <c r="E110" i="22"/>
  <c r="AP23" i="22" s="1"/>
  <c r="AI79" i="22"/>
  <c r="AP17" i="22"/>
  <c r="E100" i="22"/>
  <c r="E102" i="22" s="1"/>
  <c r="E103" i="22" s="1"/>
  <c r="E7" i="22" s="1"/>
  <c r="AI60" i="22"/>
  <c r="AN19" i="22"/>
  <c r="AN22" i="22" s="1"/>
  <c r="AN24" i="22" s="1"/>
  <c r="B5" i="22"/>
  <c r="AH124" i="22"/>
  <c r="B110" i="22"/>
  <c r="B111" i="22" s="1"/>
  <c r="AH106" i="22"/>
  <c r="AM19" i="22"/>
  <c r="B100" i="22"/>
  <c r="B102" i="22" s="1"/>
  <c r="B103" i="22" s="1"/>
  <c r="AF5" i="22"/>
  <c r="AH60" i="22"/>
  <c r="AH79" i="22"/>
  <c r="AL13" i="22"/>
  <c r="AX16" i="22"/>
  <c r="AX22" i="22" s="1"/>
  <c r="BH22" i="22"/>
  <c r="BH24" i="22" s="1"/>
  <c r="X100" i="22"/>
  <c r="X102" i="22" s="1"/>
  <c r="X103" i="22" s="1"/>
  <c r="X7" i="22" s="1"/>
  <c r="BE16" i="22"/>
  <c r="BE22" i="22" s="1"/>
  <c r="BE24" i="22" s="1"/>
  <c r="AF100" i="22"/>
  <c r="AF102" i="22" s="1"/>
  <c r="BJ16" i="22"/>
  <c r="AO22" i="22"/>
  <c r="G100" i="22"/>
  <c r="G102" i="22" s="1"/>
  <c r="AR16" i="22"/>
  <c r="AR22" i="22" s="1"/>
  <c r="AR24" i="22" s="1"/>
  <c r="BI16" i="22"/>
  <c r="BI22" i="22" s="1"/>
  <c r="AE100" i="22"/>
  <c r="AE102" i="22" s="1"/>
  <c r="M100" i="22"/>
  <c r="M102" i="22" s="1"/>
  <c r="AU16" i="22"/>
  <c r="U100" i="22"/>
  <c r="U102" i="22" s="1"/>
  <c r="U103" i="22" s="1"/>
  <c r="U7" i="22" s="1"/>
  <c r="BC16" i="22"/>
  <c r="BC22" i="22" s="1"/>
  <c r="BC24" i="22" s="1"/>
  <c r="BF20" i="22"/>
  <c r="BF22" i="22" s="1"/>
  <c r="BF24" i="22" s="1"/>
  <c r="F100" i="22"/>
  <c r="F102" i="22" s="1"/>
  <c r="F103" i="22" s="1"/>
  <c r="F7" i="22" s="1"/>
  <c r="N100" i="22"/>
  <c r="N102" i="22" s="1"/>
  <c r="N103" i="22" s="1"/>
  <c r="N7" i="22" s="1"/>
  <c r="V100" i="22"/>
  <c r="V102" i="22" s="1"/>
  <c r="V103" i="22" s="1"/>
  <c r="V7" i="22" s="1"/>
  <c r="AD100" i="22"/>
  <c r="AD102" i="22" s="1"/>
  <c r="AD103" i="22" s="1"/>
  <c r="AD7" i="22" s="1"/>
  <c r="I111" i="22"/>
  <c r="Y111" i="22"/>
  <c r="E255" i="22"/>
  <c r="AI95" i="22"/>
  <c r="Z111" i="22"/>
  <c r="AH95" i="22"/>
  <c r="AP16" i="22"/>
  <c r="AH65" i="22"/>
  <c r="AI109" i="22"/>
  <c r="AI83" i="22"/>
  <c r="AM20" i="22"/>
  <c r="AH83" i="22"/>
  <c r="AY22" i="22"/>
  <c r="AQ16" i="22"/>
  <c r="AQ22" i="22" s="1"/>
  <c r="AQ24" i="22" s="1"/>
  <c r="R100" i="22"/>
  <c r="R102" i="22" s="1"/>
  <c r="R103" i="22" s="1"/>
  <c r="R7" i="22" s="1"/>
  <c r="AI61" i="22"/>
  <c r="AH109" i="22"/>
  <c r="E121" i="22"/>
  <c r="F249" i="22"/>
  <c r="D111" i="22"/>
  <c r="BG82" i="22" a="1"/>
  <c r="AW19" i="22"/>
  <c r="AW22" i="22" s="1"/>
  <c r="AW24" i="22" s="1"/>
  <c r="AI104" i="22"/>
  <c r="AH105" i="22"/>
  <c r="AI107" i="22"/>
  <c r="AG102" i="22"/>
  <c r="AH104" i="22"/>
  <c r="AI108" i="22"/>
  <c r="D255" i="22"/>
  <c r="AH61" i="22"/>
  <c r="E111" i="22"/>
  <c r="U111" i="22"/>
  <c r="G110" i="22"/>
  <c r="AR23" i="22" s="1"/>
  <c r="O110" i="22"/>
  <c r="AW23" i="22" s="1"/>
  <c r="W110" i="22"/>
  <c r="W111" i="22" s="1"/>
  <c r="AE110" i="22"/>
  <c r="BI23" i="22" s="1"/>
  <c r="AH107" i="22"/>
  <c r="AH108" i="22"/>
  <c r="AF110" i="21"/>
  <c r="BJ23" i="21" s="1"/>
  <c r="AE5" i="21"/>
  <c r="BJ19" i="21"/>
  <c r="AF103" i="21"/>
  <c r="AF7" i="21" s="1"/>
  <c r="AE100" i="21"/>
  <c r="AE102" i="21" s="1"/>
  <c r="AE103" i="21" s="1"/>
  <c r="AE7" i="21" s="1"/>
  <c r="BI19" i="21"/>
  <c r="AE110" i="21"/>
  <c r="BI23" i="21" s="1"/>
  <c r="AD100" i="21"/>
  <c r="AD102" i="21" s="1"/>
  <c r="BI16" i="21"/>
  <c r="BI22" i="21" s="1"/>
  <c r="BI24" i="21" s="1"/>
  <c r="AC5" i="21"/>
  <c r="AC110" i="21"/>
  <c r="AC111" i="21"/>
  <c r="AB110" i="21"/>
  <c r="BG23" i="21" s="1"/>
  <c r="BG19" i="21"/>
  <c r="AB100" i="21"/>
  <c r="AB102" i="21" s="1"/>
  <c r="AB103" i="21" s="1"/>
  <c r="AB7" i="21" s="1"/>
  <c r="BG16" i="21"/>
  <c r="BG22" i="21" s="1"/>
  <c r="BG24" i="21" s="1"/>
  <c r="AA100" i="21"/>
  <c r="AA102" i="21" s="1"/>
  <c r="Z110" i="21"/>
  <c r="BF23" i="21" s="1"/>
  <c r="Y5" i="21"/>
  <c r="BF19" i="21"/>
  <c r="BF22" i="21" s="1"/>
  <c r="BF24" i="21" s="1"/>
  <c r="Y100" i="21"/>
  <c r="Y102" i="21" s="1"/>
  <c r="W5" i="21"/>
  <c r="X111" i="21"/>
  <c r="X100" i="21"/>
  <c r="X102" i="21" s="1"/>
  <c r="X103" i="21" s="1"/>
  <c r="X7" i="21" s="1"/>
  <c r="W110" i="21"/>
  <c r="W100" i="21"/>
  <c r="W102" i="21" s="1"/>
  <c r="BD19" i="21"/>
  <c r="BD22" i="21" s="1"/>
  <c r="V100" i="21"/>
  <c r="V102" i="21" s="1"/>
  <c r="U110" i="21"/>
  <c r="BC23" i="21" s="1"/>
  <c r="T5" i="21"/>
  <c r="BC19" i="21"/>
  <c r="BC22" i="21"/>
  <c r="BC24" i="21" s="1"/>
  <c r="S5" i="21"/>
  <c r="T110" i="21"/>
  <c r="BB23" i="21" s="1"/>
  <c r="T100" i="21"/>
  <c r="T102" i="21" s="1"/>
  <c r="T103" i="21" s="1"/>
  <c r="T7" i="21" s="1"/>
  <c r="BA19" i="21"/>
  <c r="S100" i="21"/>
  <c r="S102" i="21" s="1"/>
  <c r="AI124" i="21"/>
  <c r="AH109" i="21"/>
  <c r="AN19" i="21"/>
  <c r="H5" i="21"/>
  <c r="C100" i="21"/>
  <c r="C102" i="21" s="1"/>
  <c r="K100" i="21"/>
  <c r="K102" i="21" s="1"/>
  <c r="AT19" i="21"/>
  <c r="E110" i="21"/>
  <c r="AP23" i="21" s="1"/>
  <c r="M110" i="21"/>
  <c r="AU23" i="21" s="1"/>
  <c r="H110" i="21"/>
  <c r="P110" i="21"/>
  <c r="AX23" i="21" s="1"/>
  <c r="AI105" i="21"/>
  <c r="AH106" i="21"/>
  <c r="AH104" i="21"/>
  <c r="J110" i="21"/>
  <c r="R110" i="21"/>
  <c r="AZ23" i="21" s="1"/>
  <c r="D110" i="21"/>
  <c r="AO23" i="21" s="1"/>
  <c r="L110" i="21"/>
  <c r="H111" i="21"/>
  <c r="P111" i="21"/>
  <c r="AI107" i="21"/>
  <c r="H100" i="21"/>
  <c r="H102" i="21" s="1"/>
  <c r="H103" i="21" s="1"/>
  <c r="H7" i="21" s="1"/>
  <c r="P100" i="21"/>
  <c r="P102" i="21" s="1"/>
  <c r="AS22" i="21"/>
  <c r="AY22" i="21"/>
  <c r="AI79" i="21"/>
  <c r="L100" i="21"/>
  <c r="L102" i="21" s="1"/>
  <c r="D100" i="21"/>
  <c r="D102" i="21" s="1"/>
  <c r="D103" i="21" s="1"/>
  <c r="D7" i="21" s="1"/>
  <c r="F100" i="21"/>
  <c r="F102" i="21" s="1"/>
  <c r="N100" i="21"/>
  <c r="N102" i="21" s="1"/>
  <c r="AQ22" i="21"/>
  <c r="AH65" i="21"/>
  <c r="AI65" i="21"/>
  <c r="AN16" i="21"/>
  <c r="AN22" i="21" s="1"/>
  <c r="AM16" i="21"/>
  <c r="AM22" i="21" s="1"/>
  <c r="O100" i="21"/>
  <c r="O102" i="21" s="1"/>
  <c r="O103" i="21" s="1"/>
  <c r="O7" i="21" s="1"/>
  <c r="AU22" i="21"/>
  <c r="AI61" i="21"/>
  <c r="AP22" i="21"/>
  <c r="AP24" i="21" s="1"/>
  <c r="AO16" i="21"/>
  <c r="AO22" i="21" s="1"/>
  <c r="AO24" i="21" s="1"/>
  <c r="AW22" i="21"/>
  <c r="AW24" i="21" s="1"/>
  <c r="AR22" i="21"/>
  <c r="AR24" i="21" s="1"/>
  <c r="AL13" i="21"/>
  <c r="AG6" i="21"/>
  <c r="AV22" i="21"/>
  <c r="B102" i="21"/>
  <c r="BA16" i="21"/>
  <c r="BA22" i="21" s="1"/>
  <c r="AI95" i="21"/>
  <c r="R111" i="21"/>
  <c r="AH95" i="21"/>
  <c r="AT16" i="21"/>
  <c r="AT22" i="21" s="1"/>
  <c r="BB16" i="21"/>
  <c r="BB22" i="21" s="1"/>
  <c r="BB24" i="21" s="1"/>
  <c r="BJ16" i="21"/>
  <c r="BJ22" i="21" s="1"/>
  <c r="BJ24" i="21" s="1"/>
  <c r="AH79" i="21"/>
  <c r="AI83" i="21"/>
  <c r="AH83" i="21"/>
  <c r="AH108" i="21"/>
  <c r="J111" i="21"/>
  <c r="AH61" i="21"/>
  <c r="D111" i="21"/>
  <c r="L111" i="21"/>
  <c r="T111" i="21"/>
  <c r="AB111" i="21"/>
  <c r="R100" i="21"/>
  <c r="R102" i="21" s="1"/>
  <c r="R103" i="21" s="1"/>
  <c r="R7" i="21" s="1"/>
  <c r="F110" i="21"/>
  <c r="N110" i="21"/>
  <c r="V110" i="21"/>
  <c r="AD110" i="21"/>
  <c r="BE16" i="21"/>
  <c r="BE22" i="21" s="1"/>
  <c r="BE24" i="21" s="1"/>
  <c r="G100" i="21"/>
  <c r="G102" i="21" s="1"/>
  <c r="AX16" i="21"/>
  <c r="AX22" i="21" s="1"/>
  <c r="AX24" i="21" s="1"/>
  <c r="AZ19" i="21"/>
  <c r="AZ22" i="21" s="1"/>
  <c r="AZ24" i="21" s="1"/>
  <c r="E100" i="21"/>
  <c r="E102" i="21" s="1"/>
  <c r="E103" i="21" s="1"/>
  <c r="E7" i="21" s="1"/>
  <c r="M100" i="21"/>
  <c r="M102" i="21" s="1"/>
  <c r="M103" i="21" s="1"/>
  <c r="M7" i="21" s="1"/>
  <c r="U100" i="21"/>
  <c r="U102" i="21" s="1"/>
  <c r="U103" i="21" s="1"/>
  <c r="U7" i="21" s="1"/>
  <c r="AC100" i="21"/>
  <c r="AC102" i="21" s="1"/>
  <c r="AC103" i="21" s="1"/>
  <c r="AC7" i="21" s="1"/>
  <c r="G111" i="21"/>
  <c r="O111" i="21"/>
  <c r="W111" i="21"/>
  <c r="AE111" i="21"/>
  <c r="I110" i="21"/>
  <c r="Q110" i="21"/>
  <c r="Y110" i="21"/>
  <c r="Y111" i="21" s="1"/>
  <c r="AI104" i="21"/>
  <c r="AH105" i="21"/>
  <c r="B110" i="21"/>
  <c r="B111" i="21" s="1"/>
  <c r="H249" i="21"/>
  <c r="J100" i="21"/>
  <c r="J102" i="21" s="1"/>
  <c r="Z100" i="21"/>
  <c r="Z102" i="21" s="1"/>
  <c r="Z103" i="21" s="1"/>
  <c r="Z7" i="21" s="1"/>
  <c r="F254" i="21"/>
  <c r="E121" i="21"/>
  <c r="BG82" i="21" a="1"/>
  <c r="AF5" i="21"/>
  <c r="BH16" i="21"/>
  <c r="BH22" i="21" s="1"/>
  <c r="AG102" i="21"/>
  <c r="C110" i="21"/>
  <c r="K110" i="21"/>
  <c r="S110" i="21"/>
  <c r="AA110" i="21"/>
  <c r="AA111" i="21" s="1"/>
  <c r="AI106" i="21"/>
  <c r="AH107" i="21"/>
  <c r="AI108" i="21"/>
  <c r="AI109" i="21"/>
  <c r="E255" i="21"/>
  <c r="AI121" i="25" l="1"/>
  <c r="AH121" i="25"/>
  <c r="AC254" i="24"/>
  <c r="AB255" i="24"/>
  <c r="AB121" i="24"/>
  <c r="AF249" i="24"/>
  <c r="AX24" i="22"/>
  <c r="V111" i="22"/>
  <c r="AO24" i="22"/>
  <c r="Y103" i="22"/>
  <c r="Y7" i="22" s="1"/>
  <c r="AF111" i="22"/>
  <c r="BJ22" i="22"/>
  <c r="BJ24" i="22" s="1"/>
  <c r="X111" i="22"/>
  <c r="M111" i="22"/>
  <c r="AF103" i="22"/>
  <c r="AF7" i="22" s="1"/>
  <c r="P103" i="22"/>
  <c r="P7" i="22" s="1"/>
  <c r="M103" i="22"/>
  <c r="M7" i="22" s="1"/>
  <c r="P111" i="22"/>
  <c r="AC103" i="22"/>
  <c r="AC7" i="22" s="1"/>
  <c r="AB103" i="22"/>
  <c r="AB7" i="22" s="1"/>
  <c r="W249" i="23"/>
  <c r="V255" i="23"/>
  <c r="V121" i="23"/>
  <c r="BD24" i="22"/>
  <c r="BB24" i="22"/>
  <c r="T111" i="22"/>
  <c r="BA23" i="22"/>
  <c r="BA24" i="22" s="1"/>
  <c r="AU22" i="22"/>
  <c r="AU24" i="22" s="1"/>
  <c r="AD111" i="22"/>
  <c r="T103" i="22"/>
  <c r="T7" i="22" s="1"/>
  <c r="AE103" i="22"/>
  <c r="AE7" i="22" s="1"/>
  <c r="K103" i="22"/>
  <c r="K7" i="22" s="1"/>
  <c r="AB111" i="22"/>
  <c r="BG23" i="22"/>
  <c r="BG24" i="22" s="1"/>
  <c r="BI24" i="22"/>
  <c r="J103" i="22"/>
  <c r="J7" i="22" s="1"/>
  <c r="D103" i="22"/>
  <c r="D7" i="22" s="1"/>
  <c r="AZ24" i="22"/>
  <c r="R111" i="22"/>
  <c r="Q111" i="22"/>
  <c r="AY24" i="22"/>
  <c r="AT24" i="22"/>
  <c r="K111" i="22"/>
  <c r="AS24" i="22"/>
  <c r="AP22" i="22"/>
  <c r="AP24" i="22" s="1"/>
  <c r="AM22" i="22"/>
  <c r="AM24" i="22" s="1"/>
  <c r="O111" i="22"/>
  <c r="AI110" i="22"/>
  <c r="AH110" i="22"/>
  <c r="AM23" i="22"/>
  <c r="G103" i="22"/>
  <c r="G7" i="22" s="1"/>
  <c r="C259" i="22"/>
  <c r="B259" i="22"/>
  <c r="AI100" i="22"/>
  <c r="AH100" i="22"/>
  <c r="W103" i="22"/>
  <c r="W7" i="22" s="1"/>
  <c r="G249" i="22"/>
  <c r="F121" i="22"/>
  <c r="F255" i="22"/>
  <c r="G111" i="22"/>
  <c r="BL104" i="22"/>
  <c r="BJ103" i="22"/>
  <c r="BH102" i="22"/>
  <c r="BL100" i="22"/>
  <c r="BJ99" i="22"/>
  <c r="BH98" i="22"/>
  <c r="BL96" i="22"/>
  <c r="BJ95" i="22"/>
  <c r="BH94" i="22"/>
  <c r="BL92" i="22"/>
  <c r="BJ91" i="22"/>
  <c r="BH90" i="22"/>
  <c r="BL88" i="22"/>
  <c r="BJ87" i="22"/>
  <c r="BH86" i="22"/>
  <c r="BL84" i="22"/>
  <c r="BJ83" i="22"/>
  <c r="BH82" i="22"/>
  <c r="BH105" i="22"/>
  <c r="BK103" i="22"/>
  <c r="BG102" i="22"/>
  <c r="BJ100" i="22"/>
  <c r="BG99" i="22"/>
  <c r="BJ97" i="22"/>
  <c r="BG96" i="22"/>
  <c r="BJ94" i="22"/>
  <c r="BG93" i="22"/>
  <c r="BI91" i="22"/>
  <c r="BL89" i="22"/>
  <c r="BI88" i="22"/>
  <c r="BL86" i="22"/>
  <c r="BI85" i="22"/>
  <c r="BL83" i="22"/>
  <c r="BK104" i="22"/>
  <c r="BH103" i="22"/>
  <c r="BK101" i="22"/>
  <c r="BH100" i="22"/>
  <c r="BK98" i="22"/>
  <c r="BH97" i="22"/>
  <c r="BK95" i="22"/>
  <c r="BG94" i="22"/>
  <c r="BJ92" i="22"/>
  <c r="BG91" i="22"/>
  <c r="BJ89" i="22"/>
  <c r="BG88" i="22"/>
  <c r="BJ86" i="22"/>
  <c r="BG85" i="22"/>
  <c r="BI83" i="22"/>
  <c r="BK105" i="22"/>
  <c r="BH104" i="22"/>
  <c r="BK102" i="22"/>
  <c r="BH101" i="22"/>
  <c r="BK99" i="22"/>
  <c r="BG98" i="22"/>
  <c r="BJ96" i="22"/>
  <c r="BG105" i="22"/>
  <c r="BJ102" i="22"/>
  <c r="BG100" i="22"/>
  <c r="BK97" i="22"/>
  <c r="BH95" i="22"/>
  <c r="BI93" i="22"/>
  <c r="BH91" i="22"/>
  <c r="BH89" i="22"/>
  <c r="BH87" i="22"/>
  <c r="BH85" i="22"/>
  <c r="BG83" i="22"/>
  <c r="BJ104" i="22"/>
  <c r="BI102" i="22"/>
  <c r="BL99" i="22"/>
  <c r="BI97" i="22"/>
  <c r="BG95" i="22"/>
  <c r="BH93" i="22"/>
  <c r="BL90" i="22"/>
  <c r="BG89" i="22"/>
  <c r="BG87" i="22"/>
  <c r="BK84" i="22"/>
  <c r="BL82" i="22"/>
  <c r="BI104" i="22"/>
  <c r="BL101" i="22"/>
  <c r="BI99" i="22"/>
  <c r="BG97" i="22"/>
  <c r="BL94" i="22"/>
  <c r="BK92" i="22"/>
  <c r="BK90" i="22"/>
  <c r="BK88" i="22"/>
  <c r="BK86" i="22"/>
  <c r="BJ84" i="22"/>
  <c r="BK82" i="22"/>
  <c r="BL103" i="22"/>
  <c r="BI101" i="22"/>
  <c r="BL98" i="22"/>
  <c r="BI96" i="22"/>
  <c r="BI94" i="22"/>
  <c r="BH92" i="22"/>
  <c r="BI90" i="22"/>
  <c r="BH88" i="22"/>
  <c r="BG86" i="22"/>
  <c r="BH84" i="22"/>
  <c r="BI82" i="22"/>
  <c r="BG104" i="22"/>
  <c r="BJ101" i="22"/>
  <c r="BH99" i="22"/>
  <c r="BK96" i="22"/>
  <c r="BK94" i="22"/>
  <c r="BI92" i="22"/>
  <c r="BJ90" i="22"/>
  <c r="BJ88" i="22"/>
  <c r="BI86" i="22"/>
  <c r="BI84" i="22"/>
  <c r="BJ82" i="22"/>
  <c r="BL105" i="22"/>
  <c r="BI103" i="22"/>
  <c r="BG101" i="22"/>
  <c r="BJ98" i="22"/>
  <c r="BH96" i="22"/>
  <c r="BL93" i="22"/>
  <c r="BG92" i="22"/>
  <c r="BG90" i="22"/>
  <c r="BL87" i="22"/>
  <c r="BL85" i="22"/>
  <c r="BG84" i="22"/>
  <c r="BG82" i="22"/>
  <c r="BJ105" i="22"/>
  <c r="BG103" i="22"/>
  <c r="BK100" i="22"/>
  <c r="BI98" i="22"/>
  <c r="BL95" i="22"/>
  <c r="BK93" i="22"/>
  <c r="BL91" i="22"/>
  <c r="BK89" i="22"/>
  <c r="BK87" i="22"/>
  <c r="BK85" i="22"/>
  <c r="BK83" i="22"/>
  <c r="BI105" i="22"/>
  <c r="BL102" i="22"/>
  <c r="BI100" i="22"/>
  <c r="BL97" i="22"/>
  <c r="BI95" i="22"/>
  <c r="BJ93" i="22"/>
  <c r="BK91" i="22"/>
  <c r="BI89" i="22"/>
  <c r="BI87" i="22"/>
  <c r="BJ85" i="22"/>
  <c r="BH83" i="22"/>
  <c r="AE111" i="22"/>
  <c r="O103" i="22"/>
  <c r="O7" i="22" s="1"/>
  <c r="AF111" i="21"/>
  <c r="Z111" i="21"/>
  <c r="Y103" i="21"/>
  <c r="Y7" i="21" s="1"/>
  <c r="W103" i="21"/>
  <c r="W7" i="21" s="1"/>
  <c r="S103" i="21"/>
  <c r="S7" i="21" s="1"/>
  <c r="C103" i="21"/>
  <c r="C7" i="21" s="1"/>
  <c r="U111" i="21"/>
  <c r="AU24" i="21"/>
  <c r="L103" i="21"/>
  <c r="L7" i="21" s="1"/>
  <c r="M111" i="21"/>
  <c r="E111" i="21"/>
  <c r="K103" i="21"/>
  <c r="K7" i="21" s="1"/>
  <c r="J103" i="21"/>
  <c r="J7" i="21" s="1"/>
  <c r="P103" i="21"/>
  <c r="P7" i="21" s="1"/>
  <c r="AY23" i="21"/>
  <c r="AY24" i="21" s="1"/>
  <c r="Q111" i="21"/>
  <c r="N111" i="21"/>
  <c r="AV23" i="21"/>
  <c r="AV24" i="21" s="1"/>
  <c r="N103" i="21"/>
  <c r="N7" i="21" s="1"/>
  <c r="V111" i="21"/>
  <c r="BD23" i="21"/>
  <c r="BD24" i="21" s="1"/>
  <c r="V103" i="21"/>
  <c r="V7" i="21" s="1"/>
  <c r="AS23" i="21"/>
  <c r="AS24" i="21" s="1"/>
  <c r="I111" i="21"/>
  <c r="F111" i="21"/>
  <c r="AQ23" i="21"/>
  <c r="AQ24" i="21" s="1"/>
  <c r="Q103" i="21"/>
  <c r="Q7" i="21" s="1"/>
  <c r="F103" i="21"/>
  <c r="F7" i="21" s="1"/>
  <c r="C111" i="21"/>
  <c r="AN23" i="21"/>
  <c r="AN24" i="21" s="1"/>
  <c r="BK105" i="21"/>
  <c r="BI104" i="21"/>
  <c r="BG103" i="21"/>
  <c r="BK101" i="21"/>
  <c r="BI100" i="21"/>
  <c r="BG99" i="21"/>
  <c r="BK97" i="21"/>
  <c r="BI96" i="21"/>
  <c r="BG95" i="21"/>
  <c r="BK93" i="21"/>
  <c r="BI92" i="21"/>
  <c r="BG91" i="21"/>
  <c r="BK89" i="21"/>
  <c r="BI88" i="21"/>
  <c r="BG87" i="21"/>
  <c r="BK85" i="21"/>
  <c r="BI84" i="21"/>
  <c r="BG83" i="21"/>
  <c r="BI105" i="21"/>
  <c r="BG104" i="21"/>
  <c r="BK102" i="21"/>
  <c r="BI101" i="21"/>
  <c r="BG100" i="21"/>
  <c r="BK98" i="21"/>
  <c r="BI97" i="21"/>
  <c r="BG96" i="21"/>
  <c r="BK94" i="21"/>
  <c r="BI93" i="21"/>
  <c r="BG92" i="21"/>
  <c r="BK90" i="21"/>
  <c r="BI89" i="21"/>
  <c r="BG88" i="21"/>
  <c r="BK86" i="21"/>
  <c r="BI85" i="21"/>
  <c r="BG84" i="21"/>
  <c r="BK82" i="21"/>
  <c r="BL104" i="21"/>
  <c r="BJ103" i="21"/>
  <c r="BH102" i="21"/>
  <c r="BL100" i="21"/>
  <c r="BJ99" i="21"/>
  <c r="BH98" i="21"/>
  <c r="BL96" i="21"/>
  <c r="BJ95" i="21"/>
  <c r="BH94" i="21"/>
  <c r="BL92" i="21"/>
  <c r="BJ91" i="21"/>
  <c r="BH90" i="21"/>
  <c r="BL88" i="21"/>
  <c r="BJ87" i="21"/>
  <c r="BH86" i="21"/>
  <c r="BL84" i="21"/>
  <c r="BJ83" i="21"/>
  <c r="BH82" i="21"/>
  <c r="BL105" i="21"/>
  <c r="BJ104" i="21"/>
  <c r="BH103" i="21"/>
  <c r="BL101" i="21"/>
  <c r="BJ100" i="21"/>
  <c r="BH99" i="21"/>
  <c r="BL97" i="21"/>
  <c r="BJ96" i="21"/>
  <c r="BH95" i="21"/>
  <c r="BL93" i="21"/>
  <c r="BJ92" i="21"/>
  <c r="BH91" i="21"/>
  <c r="BL89" i="21"/>
  <c r="BJ88" i="21"/>
  <c r="BH87" i="21"/>
  <c r="BL85" i="21"/>
  <c r="BJ84" i="21"/>
  <c r="BH83" i="21"/>
  <c r="BH105" i="21"/>
  <c r="BJ102" i="21"/>
  <c r="BL99" i="21"/>
  <c r="BH97" i="21"/>
  <c r="BJ94" i="21"/>
  <c r="BL91" i="21"/>
  <c r="BH89" i="21"/>
  <c r="BJ86" i="21"/>
  <c r="BL83" i="21"/>
  <c r="BG105" i="21"/>
  <c r="BI102" i="21"/>
  <c r="BK99" i="21"/>
  <c r="BG97" i="21"/>
  <c r="BI94" i="21"/>
  <c r="BK91" i="21"/>
  <c r="BG89" i="21"/>
  <c r="BI86" i="21"/>
  <c r="BK83" i="21"/>
  <c r="BK104" i="21"/>
  <c r="BG102" i="21"/>
  <c r="BI99" i="21"/>
  <c r="BK96" i="21"/>
  <c r="BG94" i="21"/>
  <c r="BI91" i="21"/>
  <c r="BK88" i="21"/>
  <c r="BG86" i="21"/>
  <c r="BI83" i="21"/>
  <c r="BH104" i="21"/>
  <c r="BJ101" i="21"/>
  <c r="BL98" i="21"/>
  <c r="BH96" i="21"/>
  <c r="BJ93" i="21"/>
  <c r="BL90" i="21"/>
  <c r="BH88" i="21"/>
  <c r="BJ85" i="21"/>
  <c r="BL82" i="21"/>
  <c r="BL103" i="21"/>
  <c r="BH101" i="21"/>
  <c r="BJ98" i="21"/>
  <c r="BL95" i="21"/>
  <c r="BH93" i="21"/>
  <c r="BJ90" i="21"/>
  <c r="BL87" i="21"/>
  <c r="BH85" i="21"/>
  <c r="BJ82" i="21"/>
  <c r="BK103" i="21"/>
  <c r="BG101" i="21"/>
  <c r="BI98" i="21"/>
  <c r="BK95" i="21"/>
  <c r="BG93" i="21"/>
  <c r="BI90" i="21"/>
  <c r="BK87" i="21"/>
  <c r="BG85" i="21"/>
  <c r="BI82" i="21"/>
  <c r="BJ105" i="21"/>
  <c r="BL102" i="21"/>
  <c r="BJ97" i="21"/>
  <c r="BH92" i="21"/>
  <c r="BL86" i="21"/>
  <c r="BI103" i="21"/>
  <c r="BK100" i="21"/>
  <c r="BG98" i="21"/>
  <c r="BI95" i="21"/>
  <c r="BK92" i="21"/>
  <c r="BG90" i="21"/>
  <c r="BI87" i="21"/>
  <c r="BK84" i="21"/>
  <c r="BG82" i="21"/>
  <c r="BH100" i="21"/>
  <c r="BL94" i="21"/>
  <c r="BJ89" i="21"/>
  <c r="BH84" i="21"/>
  <c r="G103" i="21"/>
  <c r="G7" i="21" s="1"/>
  <c r="C259" i="21"/>
  <c r="B259" i="21"/>
  <c r="AT8" i="21"/>
  <c r="AH100" i="21"/>
  <c r="I249" i="21"/>
  <c r="I103" i="21"/>
  <c r="I7" i="21" s="1"/>
  <c r="AH110" i="21"/>
  <c r="AM23" i="21"/>
  <c r="AM24" i="21" s="1"/>
  <c r="AI110" i="21"/>
  <c r="S111" i="21"/>
  <c r="BA23" i="21"/>
  <c r="BA24" i="21" s="1"/>
  <c r="G254" i="21"/>
  <c r="F121" i="21"/>
  <c r="F255" i="21"/>
  <c r="B103" i="21"/>
  <c r="AH102" i="21"/>
  <c r="AI102" i="21"/>
  <c r="K111" i="21"/>
  <c r="AT23" i="21"/>
  <c r="AT24" i="21" s="1"/>
  <c r="AD111" i="21"/>
  <c r="BH23" i="21"/>
  <c r="BH24" i="21" s="1"/>
  <c r="AA103" i="21"/>
  <c r="AA7" i="21" s="1"/>
  <c r="AI100" i="21"/>
  <c r="AD103" i="21"/>
  <c r="AD7" i="21" s="1"/>
  <c r="B249" i="24" l="1"/>
  <c r="AD254" i="24"/>
  <c r="AC121" i="24"/>
  <c r="AC255" i="24"/>
  <c r="X249" i="23"/>
  <c r="W255" i="23"/>
  <c r="AT9" i="22"/>
  <c r="K6" i="22"/>
  <c r="AT8" i="22"/>
  <c r="H249" i="22"/>
  <c r="G255" i="22"/>
  <c r="G121" i="22"/>
  <c r="AI111" i="22"/>
  <c r="AH111" i="22"/>
  <c r="AI102" i="22"/>
  <c r="AH102" i="22"/>
  <c r="AH111" i="21"/>
  <c r="AI111" i="21"/>
  <c r="K6" i="21"/>
  <c r="AI103" i="21"/>
  <c r="AH103" i="21"/>
  <c r="B7" i="21"/>
  <c r="A7" i="21" s="1"/>
  <c r="H254" i="21"/>
  <c r="G255" i="21"/>
  <c r="G121" i="21"/>
  <c r="J249" i="21"/>
  <c r="AT9" i="21"/>
  <c r="AE254" i="24" l="1"/>
  <c r="AD255" i="24"/>
  <c r="AD121" i="24"/>
  <c r="Y249" i="23"/>
  <c r="X255" i="23"/>
  <c r="X121" i="23"/>
  <c r="AI103" i="22"/>
  <c r="AH103" i="22"/>
  <c r="B7" i="22"/>
  <c r="A7" i="22" s="1"/>
  <c r="I249" i="22"/>
  <c r="H121" i="22"/>
  <c r="H255" i="22"/>
  <c r="I254" i="21"/>
  <c r="H255" i="21"/>
  <c r="H121" i="21"/>
  <c r="K249" i="21"/>
  <c r="AF254" i="24" l="1"/>
  <c r="AE255" i="24"/>
  <c r="AE121" i="24"/>
  <c r="Y255" i="23"/>
  <c r="Z249" i="23"/>
  <c r="J249" i="22"/>
  <c r="I255" i="22"/>
  <c r="I121" i="22"/>
  <c r="L249" i="21"/>
  <c r="J254" i="21"/>
  <c r="I121" i="21"/>
  <c r="I255" i="21"/>
  <c r="B254" i="24" l="1"/>
  <c r="AF121" i="24"/>
  <c r="AF255" i="24"/>
  <c r="Z255" i="23"/>
  <c r="AA249" i="23"/>
  <c r="J255" i="22"/>
  <c r="J121" i="22"/>
  <c r="K249" i="22"/>
  <c r="K254" i="21"/>
  <c r="J255" i="21"/>
  <c r="J121" i="21"/>
  <c r="M249" i="21"/>
  <c r="B255" i="24" l="1"/>
  <c r="B121" i="24"/>
  <c r="AA255" i="23"/>
  <c r="AB249" i="23"/>
  <c r="K255" i="22"/>
  <c r="K121" i="22"/>
  <c r="L249" i="22"/>
  <c r="N249" i="21"/>
  <c r="L254" i="21"/>
  <c r="K255" i="21"/>
  <c r="K121" i="21"/>
  <c r="AI121" i="24" l="1"/>
  <c r="AH121" i="24"/>
  <c r="AB255" i="23"/>
  <c r="AB121" i="23"/>
  <c r="AC249" i="23"/>
  <c r="L255" i="22"/>
  <c r="L121" i="22"/>
  <c r="M249" i="22"/>
  <c r="M254" i="21"/>
  <c r="L255" i="21"/>
  <c r="L121" i="21"/>
  <c r="O249" i="21"/>
  <c r="AC121" i="23" l="1"/>
  <c r="AD249" i="23"/>
  <c r="AC255" i="23"/>
  <c r="M255" i="22"/>
  <c r="N249" i="22"/>
  <c r="M121" i="22"/>
  <c r="P249" i="21"/>
  <c r="N254" i="21"/>
  <c r="M255" i="21"/>
  <c r="M121" i="21"/>
  <c r="AE249" i="23" l="1"/>
  <c r="AD255" i="23"/>
  <c r="AD121" i="23"/>
  <c r="O249" i="22"/>
  <c r="N255" i="22"/>
  <c r="N121" i="22"/>
  <c r="O254" i="21"/>
  <c r="N255" i="21"/>
  <c r="N121" i="21"/>
  <c r="Q249" i="21"/>
  <c r="AF249" i="23" l="1"/>
  <c r="AE255" i="23"/>
  <c r="AE121" i="23"/>
  <c r="P249" i="22"/>
  <c r="O255" i="22"/>
  <c r="O121" i="22"/>
  <c r="R249" i="21"/>
  <c r="P254" i="21"/>
  <c r="O255" i="21"/>
  <c r="O121" i="21"/>
  <c r="AF255" i="23" l="1"/>
  <c r="AF121" i="23"/>
  <c r="B249" i="23"/>
  <c r="Q249" i="22"/>
  <c r="P255" i="22"/>
  <c r="S249" i="21"/>
  <c r="Q254" i="21"/>
  <c r="P255" i="21"/>
  <c r="B255" i="23" l="1"/>
  <c r="B121" i="23"/>
  <c r="Q255" i="22"/>
  <c r="R249" i="22"/>
  <c r="Q121" i="22"/>
  <c r="R254" i="21"/>
  <c r="Q255" i="21"/>
  <c r="Q121" i="21"/>
  <c r="T249" i="21"/>
  <c r="AG255" i="20"/>
  <c r="C255" i="20"/>
  <c r="D254" i="20"/>
  <c r="D121" i="20" s="1"/>
  <c r="J253" i="20"/>
  <c r="K253" i="20" s="1"/>
  <c r="L253" i="20" s="1"/>
  <c r="M253" i="20" s="1"/>
  <c r="N253" i="20" s="1"/>
  <c r="O253" i="20" s="1"/>
  <c r="P253" i="20" s="1"/>
  <c r="Q253" i="20" s="1"/>
  <c r="R253" i="20" s="1"/>
  <c r="S253" i="20" s="1"/>
  <c r="T253" i="20" s="1"/>
  <c r="U253" i="20" s="1"/>
  <c r="V253" i="20" s="1"/>
  <c r="W253" i="20" s="1"/>
  <c r="X253" i="20" s="1"/>
  <c r="Y253" i="20" s="1"/>
  <c r="Z253" i="20" s="1"/>
  <c r="AA253" i="20" s="1"/>
  <c r="AB253" i="20" s="1"/>
  <c r="AC253" i="20" s="1"/>
  <c r="AD253" i="20" s="1"/>
  <c r="AE253" i="20" s="1"/>
  <c r="AF253" i="20" s="1"/>
  <c r="B253" i="20" s="1"/>
  <c r="G253" i="20"/>
  <c r="H253" i="20" s="1"/>
  <c r="I253" i="20" s="1"/>
  <c r="F253" i="20"/>
  <c r="E253" i="20"/>
  <c r="D253" i="20"/>
  <c r="E252" i="20"/>
  <c r="F252" i="20" s="1"/>
  <c r="G252" i="20" s="1"/>
  <c r="H252" i="20" s="1"/>
  <c r="I252" i="20" s="1"/>
  <c r="J252" i="20" s="1"/>
  <c r="K252" i="20" s="1"/>
  <c r="L252" i="20" s="1"/>
  <c r="M252" i="20" s="1"/>
  <c r="N252" i="20" s="1"/>
  <c r="O252" i="20" s="1"/>
  <c r="P252" i="20" s="1"/>
  <c r="Q252" i="20" s="1"/>
  <c r="R252" i="20" s="1"/>
  <c r="S252" i="20" s="1"/>
  <c r="T252" i="20" s="1"/>
  <c r="U252" i="20" s="1"/>
  <c r="V252" i="20" s="1"/>
  <c r="W252" i="20" s="1"/>
  <c r="X252" i="20" s="1"/>
  <c r="Y252" i="20" s="1"/>
  <c r="Z252" i="20" s="1"/>
  <c r="AA252" i="20" s="1"/>
  <c r="AB252" i="20" s="1"/>
  <c r="AC252" i="20" s="1"/>
  <c r="AD252" i="20" s="1"/>
  <c r="AE252" i="20" s="1"/>
  <c r="AF252" i="20" s="1"/>
  <c r="B252" i="20" s="1"/>
  <c r="D252" i="20"/>
  <c r="G251" i="20"/>
  <c r="H251" i="20" s="1"/>
  <c r="I251" i="20" s="1"/>
  <c r="J251" i="20" s="1"/>
  <c r="K251" i="20" s="1"/>
  <c r="L251" i="20" s="1"/>
  <c r="M251" i="20" s="1"/>
  <c r="N251" i="20" s="1"/>
  <c r="O251" i="20" s="1"/>
  <c r="P251" i="20" s="1"/>
  <c r="Q251" i="20" s="1"/>
  <c r="R251" i="20" s="1"/>
  <c r="S251" i="20" s="1"/>
  <c r="T251" i="20" s="1"/>
  <c r="U251" i="20" s="1"/>
  <c r="V251" i="20" s="1"/>
  <c r="W251" i="20" s="1"/>
  <c r="X251" i="20" s="1"/>
  <c r="Y251" i="20" s="1"/>
  <c r="Z251" i="20" s="1"/>
  <c r="AA251" i="20" s="1"/>
  <c r="AB251" i="20" s="1"/>
  <c r="AC251" i="20" s="1"/>
  <c r="AD251" i="20" s="1"/>
  <c r="AE251" i="20" s="1"/>
  <c r="AF251" i="20" s="1"/>
  <c r="B251" i="20" s="1"/>
  <c r="F251" i="20"/>
  <c r="E251" i="20"/>
  <c r="D251" i="20"/>
  <c r="D250" i="20"/>
  <c r="G249" i="20"/>
  <c r="H249" i="20" s="1"/>
  <c r="F249" i="20"/>
  <c r="E249" i="20"/>
  <c r="D249" i="20"/>
  <c r="AG247" i="20"/>
  <c r="AF247" i="20"/>
  <c r="AE247" i="20"/>
  <c r="AD247" i="20"/>
  <c r="AC247" i="20"/>
  <c r="AB247" i="20"/>
  <c r="AA247" i="20"/>
  <c r="Z247" i="20"/>
  <c r="Z121" i="20" s="1"/>
  <c r="Y247" i="20"/>
  <c r="Y121" i="20" s="1"/>
  <c r="X247" i="20"/>
  <c r="W247" i="20"/>
  <c r="V247" i="20"/>
  <c r="U247" i="20"/>
  <c r="T247" i="20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D247" i="20"/>
  <c r="C247" i="20"/>
  <c r="B247" i="20"/>
  <c r="AI133" i="20"/>
  <c r="AH133" i="20"/>
  <c r="AI132" i="20"/>
  <c r="AH132" i="20"/>
  <c r="AI131" i="20"/>
  <c r="AH131" i="20"/>
  <c r="AI130" i="20"/>
  <c r="AH130" i="20"/>
  <c r="AI129" i="20"/>
  <c r="AH129" i="20"/>
  <c r="AI126" i="20"/>
  <c r="AH126" i="20"/>
  <c r="AI125" i="20"/>
  <c r="AH125" i="20"/>
  <c r="AI124" i="20"/>
  <c r="AH124" i="20"/>
  <c r="AI123" i="20"/>
  <c r="AH123" i="20"/>
  <c r="AI122" i="20"/>
  <c r="AH122" i="20"/>
  <c r="C121" i="20"/>
  <c r="AI120" i="20"/>
  <c r="AH120" i="20"/>
  <c r="AI119" i="20"/>
  <c r="AH119" i="20"/>
  <c r="AI118" i="20"/>
  <c r="AH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C111" i="20"/>
  <c r="U111" i="20"/>
  <c r="R110" i="20"/>
  <c r="J110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H109" i="20" s="1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F107" i="20"/>
  <c r="AE107" i="20"/>
  <c r="AD107" i="20"/>
  <c r="AC107" i="20"/>
  <c r="AB107" i="20"/>
  <c r="AA107" i="20"/>
  <c r="Z107" i="20"/>
  <c r="Y107" i="20"/>
  <c r="Y110" i="20" s="1"/>
  <c r="X107" i="20"/>
  <c r="W107" i="20"/>
  <c r="V107" i="20"/>
  <c r="U107" i="20"/>
  <c r="T107" i="20"/>
  <c r="S107" i="20"/>
  <c r="R107" i="20"/>
  <c r="Q107" i="20"/>
  <c r="Q110" i="20" s="1"/>
  <c r="Q103" i="20" s="1"/>
  <c r="Q7" i="20" s="1"/>
  <c r="P107" i="20"/>
  <c r="O107" i="20"/>
  <c r="N107" i="20"/>
  <c r="M107" i="20"/>
  <c r="L107" i="20"/>
  <c r="K107" i="20"/>
  <c r="J107" i="20"/>
  <c r="I107" i="20"/>
  <c r="I110" i="20" s="1"/>
  <c r="AS23" i="20" s="1"/>
  <c r="H107" i="20"/>
  <c r="G107" i="20"/>
  <c r="F107" i="20"/>
  <c r="E107" i="20"/>
  <c r="D107" i="20"/>
  <c r="AH107" i="20" s="1"/>
  <c r="C107" i="20"/>
  <c r="B107" i="20"/>
  <c r="AF106" i="20"/>
  <c r="AE106" i="20"/>
  <c r="AD106" i="20"/>
  <c r="AC106" i="20"/>
  <c r="AC110" i="20" s="1"/>
  <c r="AB106" i="20"/>
  <c r="AA106" i="20"/>
  <c r="Z106" i="20"/>
  <c r="Z110" i="20" s="1"/>
  <c r="BF23" i="20" s="1"/>
  <c r="Y106" i="20"/>
  <c r="X106" i="20"/>
  <c r="W106" i="20"/>
  <c r="V106" i="20"/>
  <c r="U106" i="20"/>
  <c r="U110" i="20" s="1"/>
  <c r="BC23" i="20" s="1"/>
  <c r="T106" i="20"/>
  <c r="S106" i="20"/>
  <c r="R106" i="20"/>
  <c r="Q106" i="20"/>
  <c r="P106" i="20"/>
  <c r="O106" i="20"/>
  <c r="N106" i="20"/>
  <c r="M106" i="20"/>
  <c r="M110" i="20" s="1"/>
  <c r="M111" i="20" s="1"/>
  <c r="L106" i="20"/>
  <c r="K106" i="20"/>
  <c r="J106" i="20"/>
  <c r="I106" i="20"/>
  <c r="H106" i="20"/>
  <c r="G106" i="20"/>
  <c r="F106" i="20"/>
  <c r="E106" i="20"/>
  <c r="E110" i="20" s="1"/>
  <c r="AP23" i="20" s="1"/>
  <c r="D106" i="20"/>
  <c r="C106" i="20"/>
  <c r="B106" i="20"/>
  <c r="AF105" i="20"/>
  <c r="AE105" i="20"/>
  <c r="AD105" i="20"/>
  <c r="AD110" i="20" s="1"/>
  <c r="AC105" i="20"/>
  <c r="AB105" i="20"/>
  <c r="AA105" i="20"/>
  <c r="Z105" i="20"/>
  <c r="Y105" i="20"/>
  <c r="X105" i="20"/>
  <c r="W105" i="20"/>
  <c r="V105" i="20"/>
  <c r="V110" i="20" s="1"/>
  <c r="BD23" i="20" s="1"/>
  <c r="U105" i="20"/>
  <c r="T105" i="20"/>
  <c r="S105" i="20"/>
  <c r="R105" i="20"/>
  <c r="Q105" i="20"/>
  <c r="P105" i="20"/>
  <c r="O105" i="20"/>
  <c r="N105" i="20"/>
  <c r="N110" i="20" s="1"/>
  <c r="AV23" i="20" s="1"/>
  <c r="M105" i="20"/>
  <c r="L105" i="20"/>
  <c r="K105" i="20"/>
  <c r="J105" i="20"/>
  <c r="I105" i="20"/>
  <c r="H105" i="20"/>
  <c r="G105" i="20"/>
  <c r="F105" i="20"/>
  <c r="F110" i="20" s="1"/>
  <c r="E105" i="20"/>
  <c r="D105" i="20"/>
  <c r="C105" i="20"/>
  <c r="B105" i="20"/>
  <c r="AF104" i="20"/>
  <c r="AE104" i="20"/>
  <c r="AE110" i="20" s="1"/>
  <c r="AD104" i="20"/>
  <c r="AC104" i="20"/>
  <c r="AB104" i="20"/>
  <c r="AA104" i="20"/>
  <c r="Z104" i="20"/>
  <c r="Y104" i="20"/>
  <c r="X104" i="20"/>
  <c r="W104" i="20"/>
  <c r="W110" i="20" s="1"/>
  <c r="V104" i="20"/>
  <c r="U104" i="20"/>
  <c r="T104" i="20"/>
  <c r="S104" i="20"/>
  <c r="R104" i="20"/>
  <c r="Q104" i="20"/>
  <c r="P104" i="20"/>
  <c r="O104" i="20"/>
  <c r="O110" i="20" s="1"/>
  <c r="N104" i="20"/>
  <c r="M104" i="20"/>
  <c r="L104" i="20"/>
  <c r="K104" i="20"/>
  <c r="J104" i="20"/>
  <c r="I104" i="20"/>
  <c r="H104" i="20"/>
  <c r="G104" i="20"/>
  <c r="G110" i="20" s="1"/>
  <c r="F104" i="20"/>
  <c r="E104" i="20"/>
  <c r="D104" i="20"/>
  <c r="C104" i="20"/>
  <c r="B104" i="20"/>
  <c r="AI104" i="20" s="1"/>
  <c r="AA102" i="20"/>
  <c r="AI101" i="20"/>
  <c r="AH101" i="20"/>
  <c r="AA100" i="20"/>
  <c r="F100" i="20"/>
  <c r="F102" i="20" s="1"/>
  <c r="F103" i="20" s="1"/>
  <c r="AI99" i="20"/>
  <c r="AH99" i="20"/>
  <c r="AG99" i="20"/>
  <c r="AI98" i="20"/>
  <c r="AH98" i="20"/>
  <c r="AI97" i="20"/>
  <c r="AH97" i="20"/>
  <c r="AI96" i="20"/>
  <c r="AH96" i="20"/>
  <c r="AG95" i="20"/>
  <c r="AF95" i="20"/>
  <c r="AE95" i="20"/>
  <c r="AD95" i="20"/>
  <c r="AC95" i="20"/>
  <c r="AB95" i="20"/>
  <c r="AA95" i="20"/>
  <c r="Z95" i="20"/>
  <c r="Y95" i="20"/>
  <c r="Y111" i="20" s="1"/>
  <c r="X95" i="20"/>
  <c r="W95" i="20"/>
  <c r="V95" i="20"/>
  <c r="U95" i="20"/>
  <c r="T95" i="20"/>
  <c r="S95" i="20"/>
  <c r="R95" i="20"/>
  <c r="Q95" i="20"/>
  <c r="Q111" i="20" s="1"/>
  <c r="P95" i="20"/>
  <c r="O95" i="20"/>
  <c r="N95" i="20"/>
  <c r="M95" i="20"/>
  <c r="L95" i="20"/>
  <c r="K95" i="20"/>
  <c r="J95" i="20"/>
  <c r="I95" i="20"/>
  <c r="I111" i="20" s="1"/>
  <c r="H95" i="20"/>
  <c r="G95" i="20"/>
  <c r="F95" i="20"/>
  <c r="E95" i="20"/>
  <c r="D95" i="20"/>
  <c r="C95" i="20"/>
  <c r="B95" i="20"/>
  <c r="AI94" i="20"/>
  <c r="AH94" i="20"/>
  <c r="AI93" i="20"/>
  <c r="AH93" i="20"/>
  <c r="AI92" i="20"/>
  <c r="AH92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AY20" i="20" s="1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J96" i="20"/>
  <c r="AI82" i="20"/>
  <c r="AH82" i="20"/>
  <c r="AI81" i="20"/>
  <c r="AH81" i="20"/>
  <c r="AI80" i="20"/>
  <c r="AH80" i="20"/>
  <c r="AF79" i="20"/>
  <c r="AE79" i="20"/>
  <c r="AD79" i="20"/>
  <c r="AC79" i="20"/>
  <c r="AB79" i="20"/>
  <c r="AA79" i="20"/>
  <c r="Z79" i="20"/>
  <c r="Y79" i="20"/>
  <c r="X79" i="20"/>
  <c r="W79" i="20"/>
  <c r="V79" i="20"/>
  <c r="BD18" i="20" s="1"/>
  <c r="U79" i="20"/>
  <c r="T79" i="20"/>
  <c r="S79" i="20"/>
  <c r="R79" i="20"/>
  <c r="Q79" i="20"/>
  <c r="P79" i="20"/>
  <c r="O79" i="20"/>
  <c r="N79" i="20"/>
  <c r="N100" i="20" s="1"/>
  <c r="N102" i="20" s="1"/>
  <c r="N103" i="20" s="1"/>
  <c r="N7" i="20" s="1"/>
  <c r="M79" i="20"/>
  <c r="L79" i="20"/>
  <c r="K79" i="20"/>
  <c r="J79" i="20"/>
  <c r="I79" i="20"/>
  <c r="H79" i="20"/>
  <c r="G79" i="20"/>
  <c r="F79" i="20"/>
  <c r="AQ18" i="20" s="1"/>
  <c r="E79" i="20"/>
  <c r="D79" i="20"/>
  <c r="C79" i="20"/>
  <c r="B79" i="20"/>
  <c r="BP78" i="20"/>
  <c r="BI78" i="20"/>
  <c r="BA78" i="20"/>
  <c r="AI78" i="20"/>
  <c r="AH78" i="20"/>
  <c r="AG78" i="20"/>
  <c r="AG79" i="20" s="1"/>
  <c r="BT77" i="20"/>
  <c r="BR77" i="20"/>
  <c r="BL77" i="20"/>
  <c r="BH77" i="20"/>
  <c r="BD77" i="20"/>
  <c r="BB77" i="20"/>
  <c r="AZ77" i="20"/>
  <c r="AI77" i="20"/>
  <c r="AH77" i="20"/>
  <c r="BV76" i="20"/>
  <c r="BT76" i="20"/>
  <c r="BP76" i="20"/>
  <c r="BL76" i="20"/>
  <c r="BJ76" i="20"/>
  <c r="BI76" i="20"/>
  <c r="BF76" i="20"/>
  <c r="BE76" i="20"/>
  <c r="BB76" i="20"/>
  <c r="AI76" i="20"/>
  <c r="AH76" i="20"/>
  <c r="BW75" i="20"/>
  <c r="BV75" i="20"/>
  <c r="BT75" i="20"/>
  <c r="BO75" i="20"/>
  <c r="BL75" i="20"/>
  <c r="BD75" i="20"/>
  <c r="AZ75" i="20"/>
  <c r="AI75" i="20"/>
  <c r="AH75" i="20"/>
  <c r="BV74" i="20"/>
  <c r="BQ74" i="20"/>
  <c r="BP74" i="20"/>
  <c r="BN74" i="20"/>
  <c r="BJ74" i="20"/>
  <c r="BH74" i="20"/>
  <c r="BF74" i="20"/>
  <c r="BC74" i="20"/>
  <c r="BA74" i="20"/>
  <c r="AI74" i="20"/>
  <c r="AH74" i="20"/>
  <c r="BU73" i="20"/>
  <c r="BS73" i="20"/>
  <c r="BP73" i="20"/>
  <c r="BM73" i="20"/>
  <c r="BK73" i="20"/>
  <c r="BH73" i="20"/>
  <c r="BE73" i="20"/>
  <c r="BC73" i="20"/>
  <c r="AZ73" i="20"/>
  <c r="AI73" i="20"/>
  <c r="AH73" i="20"/>
  <c r="AI72" i="20"/>
  <c r="AH72" i="20"/>
  <c r="BW71" i="20"/>
  <c r="BW78" i="20" s="1"/>
  <c r="BV71" i="20"/>
  <c r="BV78" i="20" s="1"/>
  <c r="BU71" i="20"/>
  <c r="BU78" i="20" s="1"/>
  <c r="BT71" i="20"/>
  <c r="BT78" i="20" s="1"/>
  <c r="BS71" i="20"/>
  <c r="BS78" i="20" s="1"/>
  <c r="BR71" i="20"/>
  <c r="BR78" i="20" s="1"/>
  <c r="BQ71" i="20"/>
  <c r="BQ78" i="20" s="1"/>
  <c r="BP71" i="20"/>
  <c r="BO71" i="20"/>
  <c r="BO78" i="20" s="1"/>
  <c r="BN71" i="20"/>
  <c r="BN78" i="20" s="1"/>
  <c r="BM71" i="20"/>
  <c r="BM78" i="20" s="1"/>
  <c r="BL71" i="20"/>
  <c r="BL78" i="20" s="1"/>
  <c r="BK71" i="20"/>
  <c r="BK78" i="20" s="1"/>
  <c r="BJ71" i="20"/>
  <c r="BJ78" i="20" s="1"/>
  <c r="BI71" i="20"/>
  <c r="BH71" i="20"/>
  <c r="BH78" i="20" s="1"/>
  <c r="BG71" i="20"/>
  <c r="BG78" i="20" s="1"/>
  <c r="BF71" i="20"/>
  <c r="BF78" i="20" s="1"/>
  <c r="BE71" i="20"/>
  <c r="BE78" i="20" s="1"/>
  <c r="BD71" i="20"/>
  <c r="BD78" i="20" s="1"/>
  <c r="BC71" i="20"/>
  <c r="BC78" i="20" s="1"/>
  <c r="BB71" i="20"/>
  <c r="BB78" i="20" s="1"/>
  <c r="BA71" i="20"/>
  <c r="AZ71" i="20"/>
  <c r="AZ78" i="20" s="1"/>
  <c r="AI71" i="20"/>
  <c r="AH71" i="20"/>
  <c r="BW70" i="20"/>
  <c r="BW77" i="20" s="1"/>
  <c r="BV70" i="20"/>
  <c r="BV77" i="20" s="1"/>
  <c r="BU70" i="20"/>
  <c r="BU77" i="20" s="1"/>
  <c r="BT70" i="20"/>
  <c r="BS70" i="20"/>
  <c r="BS77" i="20" s="1"/>
  <c r="BR70" i="20"/>
  <c r="BQ70" i="20"/>
  <c r="BQ77" i="20" s="1"/>
  <c r="BP70" i="20"/>
  <c r="BP77" i="20" s="1"/>
  <c r="BO70" i="20"/>
  <c r="BO77" i="20" s="1"/>
  <c r="BN70" i="20"/>
  <c r="BN77" i="20" s="1"/>
  <c r="BM70" i="20"/>
  <c r="BM77" i="20" s="1"/>
  <c r="BL70" i="20"/>
  <c r="BK70" i="20"/>
  <c r="BK77" i="20" s="1"/>
  <c r="BJ70" i="20"/>
  <c r="BJ77" i="20" s="1"/>
  <c r="BI70" i="20"/>
  <c r="BI77" i="20" s="1"/>
  <c r="BH70" i="20"/>
  <c r="BG70" i="20"/>
  <c r="BG77" i="20" s="1"/>
  <c r="BF70" i="20"/>
  <c r="BF77" i="20" s="1"/>
  <c r="BE70" i="20"/>
  <c r="BE77" i="20" s="1"/>
  <c r="BD70" i="20"/>
  <c r="BC70" i="20"/>
  <c r="BC77" i="20" s="1"/>
  <c r="BB70" i="20"/>
  <c r="BA70" i="20"/>
  <c r="BA77" i="20" s="1"/>
  <c r="AZ70" i="20"/>
  <c r="AI70" i="20"/>
  <c r="AH70" i="20"/>
  <c r="BW69" i="20"/>
  <c r="BW76" i="20" s="1"/>
  <c r="BV69" i="20"/>
  <c r="BU69" i="20"/>
  <c r="BU76" i="20" s="1"/>
  <c r="BT69" i="20"/>
  <c r="BS69" i="20"/>
  <c r="BS76" i="20" s="1"/>
  <c r="BR69" i="20"/>
  <c r="BR76" i="20" s="1"/>
  <c r="BQ69" i="20"/>
  <c r="BQ76" i="20" s="1"/>
  <c r="BP69" i="20"/>
  <c r="BO69" i="20"/>
  <c r="BO76" i="20" s="1"/>
  <c r="BN69" i="20"/>
  <c r="BN76" i="20" s="1"/>
  <c r="BM69" i="20"/>
  <c r="BM76" i="20" s="1"/>
  <c r="BL69" i="20"/>
  <c r="BK69" i="20"/>
  <c r="BK76" i="20" s="1"/>
  <c r="BJ69" i="20"/>
  <c r="BI69" i="20"/>
  <c r="BH69" i="20"/>
  <c r="BH76" i="20" s="1"/>
  <c r="BG69" i="20"/>
  <c r="BG76" i="20" s="1"/>
  <c r="BF69" i="20"/>
  <c r="BE69" i="20"/>
  <c r="BD69" i="20"/>
  <c r="BD76" i="20" s="1"/>
  <c r="BC69" i="20"/>
  <c r="BC76" i="20" s="1"/>
  <c r="BB69" i="20"/>
  <c r="BA69" i="20"/>
  <c r="BA76" i="20" s="1"/>
  <c r="AZ69" i="20"/>
  <c r="AZ76" i="20" s="1"/>
  <c r="AI69" i="20"/>
  <c r="AH69" i="20"/>
  <c r="BW68" i="20"/>
  <c r="BV68" i="20"/>
  <c r="BU68" i="20"/>
  <c r="BU75" i="20" s="1"/>
  <c r="BT68" i="20"/>
  <c r="BS68" i="20"/>
  <c r="BS75" i="20" s="1"/>
  <c r="BR68" i="20"/>
  <c r="BR75" i="20" s="1"/>
  <c r="BQ68" i="20"/>
  <c r="BQ75" i="20" s="1"/>
  <c r="BP68" i="20"/>
  <c r="BP75" i="20" s="1"/>
  <c r="BO68" i="20"/>
  <c r="BN68" i="20"/>
  <c r="BN75" i="20" s="1"/>
  <c r="BM68" i="20"/>
  <c r="BM75" i="20" s="1"/>
  <c r="BL68" i="20"/>
  <c r="BK68" i="20"/>
  <c r="BK75" i="20" s="1"/>
  <c r="BJ68" i="20"/>
  <c r="BJ75" i="20" s="1"/>
  <c r="BI68" i="20"/>
  <c r="BI75" i="20" s="1"/>
  <c r="BH68" i="20"/>
  <c r="BH75" i="20" s="1"/>
  <c r="BG68" i="20"/>
  <c r="BG75" i="20" s="1"/>
  <c r="BF68" i="20"/>
  <c r="BF75" i="20" s="1"/>
  <c r="BE68" i="20"/>
  <c r="BE75" i="20" s="1"/>
  <c r="BD68" i="20"/>
  <c r="BC68" i="20"/>
  <c r="BC75" i="20" s="1"/>
  <c r="BB68" i="20"/>
  <c r="BB75" i="20" s="1"/>
  <c r="BA68" i="20"/>
  <c r="BA75" i="20" s="1"/>
  <c r="AZ68" i="20"/>
  <c r="AI68" i="20"/>
  <c r="AH68" i="20"/>
  <c r="BW67" i="20"/>
  <c r="BW74" i="20" s="1"/>
  <c r="BV67" i="20"/>
  <c r="BU67" i="20"/>
  <c r="BU74" i="20" s="1"/>
  <c r="BT67" i="20"/>
  <c r="BT74" i="20" s="1"/>
  <c r="BS67" i="20"/>
  <c r="BS74" i="20" s="1"/>
  <c r="BR67" i="20"/>
  <c r="BR74" i="20" s="1"/>
  <c r="BQ67" i="20"/>
  <c r="BP67" i="20"/>
  <c r="BO67" i="20"/>
  <c r="BO74" i="20" s="1"/>
  <c r="BN67" i="20"/>
  <c r="BM67" i="20"/>
  <c r="BM74" i="20" s="1"/>
  <c r="BL67" i="20"/>
  <c r="BL74" i="20" s="1"/>
  <c r="BK67" i="20"/>
  <c r="BK74" i="20" s="1"/>
  <c r="BJ67" i="20"/>
  <c r="BI67" i="20"/>
  <c r="BI74" i="20" s="1"/>
  <c r="BH67" i="20"/>
  <c r="BG67" i="20"/>
  <c r="BG74" i="20" s="1"/>
  <c r="BF67" i="20"/>
  <c r="BE67" i="20"/>
  <c r="BE74" i="20" s="1"/>
  <c r="BD67" i="20"/>
  <c r="BD74" i="20" s="1"/>
  <c r="BC67" i="20"/>
  <c r="BB67" i="20"/>
  <c r="BB74" i="20" s="1"/>
  <c r="BA67" i="20"/>
  <c r="AZ67" i="20"/>
  <c r="AZ74" i="20" s="1"/>
  <c r="AI67" i="20"/>
  <c r="AH67" i="20"/>
  <c r="BW66" i="20"/>
  <c r="BW73" i="20" s="1"/>
  <c r="BV66" i="20"/>
  <c r="BV73" i="20" s="1"/>
  <c r="BU66" i="20"/>
  <c r="BT66" i="20"/>
  <c r="BT73" i="20" s="1"/>
  <c r="BS66" i="20"/>
  <c r="BR66" i="20"/>
  <c r="BR73" i="20" s="1"/>
  <c r="BQ66" i="20"/>
  <c r="BQ73" i="20" s="1"/>
  <c r="BP66" i="20"/>
  <c r="BO66" i="20"/>
  <c r="BO73" i="20" s="1"/>
  <c r="BN66" i="20"/>
  <c r="BN73" i="20" s="1"/>
  <c r="BM66" i="20"/>
  <c r="BL66" i="20"/>
  <c r="BL73" i="20" s="1"/>
  <c r="BK66" i="20"/>
  <c r="BJ66" i="20"/>
  <c r="BJ73" i="20" s="1"/>
  <c r="BI66" i="20"/>
  <c r="BI73" i="20" s="1"/>
  <c r="BH66" i="20"/>
  <c r="BG66" i="20"/>
  <c r="BG73" i="20" s="1"/>
  <c r="BF66" i="20"/>
  <c r="BF73" i="20" s="1"/>
  <c r="BE66" i="20"/>
  <c r="BD66" i="20"/>
  <c r="BD73" i="20" s="1"/>
  <c r="BC66" i="20"/>
  <c r="BB66" i="20"/>
  <c r="BB73" i="20" s="1"/>
  <c r="BA66" i="20"/>
  <c r="BA73" i="20" s="1"/>
  <c r="AZ66" i="20"/>
  <c r="BG82" i="20" s="1" a="1"/>
  <c r="BL87" i="20" s="1"/>
  <c r="AI66" i="20"/>
  <c r="AH66" i="20"/>
  <c r="AG65" i="20"/>
  <c r="AF65" i="20"/>
  <c r="AE65" i="20"/>
  <c r="BI17" i="20" s="1"/>
  <c r="AD65" i="20"/>
  <c r="AC65" i="20"/>
  <c r="AB65" i="20"/>
  <c r="BG17" i="20" s="1"/>
  <c r="AA65" i="20"/>
  <c r="Z65" i="20"/>
  <c r="Y65" i="20"/>
  <c r="X65" i="20"/>
  <c r="W65" i="20"/>
  <c r="V65" i="20"/>
  <c r="U65" i="20"/>
  <c r="BC17" i="20" s="1"/>
  <c r="T65" i="20"/>
  <c r="BB17" i="20" s="1"/>
  <c r="S65" i="20"/>
  <c r="R65" i="20"/>
  <c r="Q65" i="20"/>
  <c r="AY17" i="20" s="1"/>
  <c r="P65" i="20"/>
  <c r="O65" i="20"/>
  <c r="AW17" i="20" s="1"/>
  <c r="N65" i="20"/>
  <c r="M65" i="20"/>
  <c r="AU17" i="20" s="1"/>
  <c r="L65" i="20"/>
  <c r="K65" i="20"/>
  <c r="J65" i="20"/>
  <c r="I65" i="20"/>
  <c r="AS17" i="20" s="1"/>
  <c r="H65" i="20"/>
  <c r="G65" i="20"/>
  <c r="AR17" i="20" s="1"/>
  <c r="F65" i="20"/>
  <c r="E65" i="20"/>
  <c r="AP17" i="20" s="1"/>
  <c r="D65" i="20"/>
  <c r="AO17" i="20" s="1"/>
  <c r="C65" i="20"/>
  <c r="B65" i="20"/>
  <c r="AI64" i="20"/>
  <c r="AH64" i="20"/>
  <c r="AI63" i="20"/>
  <c r="AH63" i="20"/>
  <c r="AI62" i="20"/>
  <c r="AH62" i="20"/>
  <c r="AG61" i="20"/>
  <c r="AG100" i="20" s="1"/>
  <c r="AF61" i="20"/>
  <c r="AF100" i="20" s="1"/>
  <c r="AF102" i="20" s="1"/>
  <c r="AE61" i="20"/>
  <c r="AD61" i="20"/>
  <c r="AC61" i="20"/>
  <c r="AB61" i="20"/>
  <c r="AA61" i="20"/>
  <c r="Z61" i="20"/>
  <c r="Y61" i="20"/>
  <c r="Y100" i="20" s="1"/>
  <c r="Y102" i="20" s="1"/>
  <c r="Y103" i="20" s="1"/>
  <c r="Y7" i="20" s="1"/>
  <c r="X61" i="20"/>
  <c r="X100" i="20" s="1"/>
  <c r="X102" i="20" s="1"/>
  <c r="W61" i="20"/>
  <c r="W100" i="20" s="1"/>
  <c r="W102" i="20" s="1"/>
  <c r="W103" i="20" s="1"/>
  <c r="W7" i="20" s="1"/>
  <c r="V61" i="20"/>
  <c r="U61" i="20"/>
  <c r="T61" i="20"/>
  <c r="S61" i="20"/>
  <c r="S100" i="20" s="1"/>
  <c r="S102" i="20" s="1"/>
  <c r="R61" i="20"/>
  <c r="Q61" i="20"/>
  <c r="Q100" i="20" s="1"/>
  <c r="Q102" i="20" s="1"/>
  <c r="P61" i="20"/>
  <c r="P100" i="20" s="1"/>
  <c r="P102" i="20" s="1"/>
  <c r="O61" i="20"/>
  <c r="O100" i="20" s="1"/>
  <c r="O102" i="20" s="1"/>
  <c r="O103" i="20" s="1"/>
  <c r="O7" i="20" s="1"/>
  <c r="N61" i="20"/>
  <c r="M61" i="20"/>
  <c r="L61" i="20"/>
  <c r="K61" i="20"/>
  <c r="K100" i="20" s="1"/>
  <c r="K102" i="20" s="1"/>
  <c r="J61" i="20"/>
  <c r="I61" i="20"/>
  <c r="I100" i="20" s="1"/>
  <c r="I102" i="20" s="1"/>
  <c r="I103" i="20" s="1"/>
  <c r="I7" i="20" s="1"/>
  <c r="H61" i="20"/>
  <c r="H100" i="20" s="1"/>
  <c r="H102" i="20" s="1"/>
  <c r="G61" i="20"/>
  <c r="G100" i="20" s="1"/>
  <c r="G102" i="20" s="1"/>
  <c r="F61" i="20"/>
  <c r="E61" i="20"/>
  <c r="D61" i="20"/>
  <c r="C61" i="20"/>
  <c r="C100" i="20" s="1"/>
  <c r="C102" i="20" s="1"/>
  <c r="B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BI23" i="20"/>
  <c r="BH23" i="20"/>
  <c r="AZ23" i="20"/>
  <c r="AY23" i="20"/>
  <c r="AW23" i="20"/>
  <c r="AR23" i="20"/>
  <c r="AQ23" i="20"/>
  <c r="AI23" i="20"/>
  <c r="AH23" i="20"/>
  <c r="AT22" i="20"/>
  <c r="AI22" i="20"/>
  <c r="AH22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I21" i="20"/>
  <c r="AH21" i="20"/>
  <c r="BJ20" i="20"/>
  <c r="BI20" i="20"/>
  <c r="BH20" i="20"/>
  <c r="BG20" i="20"/>
  <c r="BF20" i="20"/>
  <c r="BE20" i="20"/>
  <c r="BD20" i="20"/>
  <c r="BC20" i="20"/>
  <c r="BB20" i="20"/>
  <c r="BA20" i="20"/>
  <c r="AZ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I20" i="20"/>
  <c r="AH20" i="20"/>
  <c r="BJ19" i="20"/>
  <c r="BI19" i="20"/>
  <c r="BH19" i="20"/>
  <c r="BG19" i="20"/>
  <c r="BF19" i="20"/>
  <c r="BE19" i="20"/>
  <c r="BC19" i="20"/>
  <c r="BB19" i="20"/>
  <c r="BA19" i="20"/>
  <c r="AZ19" i="20"/>
  <c r="AY19" i="20"/>
  <c r="AX19" i="20"/>
  <c r="AW19" i="20"/>
  <c r="AU19" i="20"/>
  <c r="AT19" i="20"/>
  <c r="AS19" i="20"/>
  <c r="AR19" i="20"/>
  <c r="AQ19" i="20"/>
  <c r="AP19" i="20"/>
  <c r="AO19" i="20"/>
  <c r="AN19" i="20"/>
  <c r="AM19" i="20"/>
  <c r="AI19" i="20"/>
  <c r="AH19" i="20"/>
  <c r="BJ18" i="20"/>
  <c r="BJ22" i="20" s="1"/>
  <c r="BI18" i="20"/>
  <c r="BG18" i="20"/>
  <c r="BF18" i="20"/>
  <c r="BE18" i="20"/>
  <c r="BC18" i="20"/>
  <c r="BB18" i="20"/>
  <c r="BA18" i="20"/>
  <c r="BA22" i="20" s="1"/>
  <c r="AZ18" i="20"/>
  <c r="AY18" i="20"/>
  <c r="AX18" i="20"/>
  <c r="AW18" i="20"/>
  <c r="AU18" i="20"/>
  <c r="AT18" i="20"/>
  <c r="AS18" i="20"/>
  <c r="AR18" i="20"/>
  <c r="AP18" i="20"/>
  <c r="AO18" i="20"/>
  <c r="AN18" i="20"/>
  <c r="AN22" i="20" s="1"/>
  <c r="AM18" i="20"/>
  <c r="AI18" i="20"/>
  <c r="AH18" i="20"/>
  <c r="BJ17" i="20"/>
  <c r="BH17" i="20"/>
  <c r="BF17" i="20"/>
  <c r="BE17" i="20"/>
  <c r="BD17" i="20"/>
  <c r="BA17" i="20"/>
  <c r="AZ17" i="20"/>
  <c r="AX17" i="20"/>
  <c r="AV17" i="20"/>
  <c r="AT17" i="20"/>
  <c r="AQ17" i="20"/>
  <c r="AQ22" i="20" s="1"/>
  <c r="AQ24" i="20" s="1"/>
  <c r="AN17" i="20"/>
  <c r="AM17" i="20"/>
  <c r="AI17" i="20"/>
  <c r="AH17" i="20"/>
  <c r="BJ16" i="20"/>
  <c r="BH16" i="20"/>
  <c r="BF16" i="20"/>
  <c r="BF22" i="20" s="1"/>
  <c r="BF24" i="20" s="1"/>
  <c r="BE16" i="20"/>
  <c r="BD16" i="20"/>
  <c r="BA16" i="20"/>
  <c r="AZ16" i="20"/>
  <c r="AX16" i="20"/>
  <c r="AX22" i="20" s="1"/>
  <c r="AV16" i="20"/>
  <c r="AT16" i="20"/>
  <c r="AQ16" i="20"/>
  <c r="AP16" i="20"/>
  <c r="AO16" i="20"/>
  <c r="AN16" i="20"/>
  <c r="AM16" i="20"/>
  <c r="AI16" i="20"/>
  <c r="AH16" i="20"/>
  <c r="AI15" i="20"/>
  <c r="AH15" i="20"/>
  <c r="AI14" i="20"/>
  <c r="AH14" i="20"/>
  <c r="AI13" i="20"/>
  <c r="AH13" i="20"/>
  <c r="AL12" i="20"/>
  <c r="AI12" i="20"/>
  <c r="AH12" i="20"/>
  <c r="AI11" i="20"/>
  <c r="AH11" i="20"/>
  <c r="F7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G4" i="20"/>
  <c r="K4" i="20"/>
  <c r="E4" i="20"/>
  <c r="H4" i="20" s="1"/>
  <c r="B4" i="20"/>
  <c r="AG3" i="20"/>
  <c r="AI121" i="23" l="1"/>
  <c r="AH121" i="23"/>
  <c r="R255" i="22"/>
  <c r="R121" i="22"/>
  <c r="S249" i="22"/>
  <c r="U249" i="21"/>
  <c r="S254" i="21"/>
  <c r="R255" i="21"/>
  <c r="R121" i="21"/>
  <c r="BD22" i="20"/>
  <c r="BD24" i="20" s="1"/>
  <c r="G103" i="20"/>
  <c r="G7" i="20" s="1"/>
  <c r="B259" i="20"/>
  <c r="AF103" i="20"/>
  <c r="AF7" i="20" s="1"/>
  <c r="AH65" i="20"/>
  <c r="BH18" i="20"/>
  <c r="BH22" i="20" s="1"/>
  <c r="BH24" i="20" s="1"/>
  <c r="AD100" i="20"/>
  <c r="AD102" i="20" s="1"/>
  <c r="AD103" i="20" s="1"/>
  <c r="AD7" i="20" s="1"/>
  <c r="BL97" i="20"/>
  <c r="BI16" i="20"/>
  <c r="BI22" i="20" s="1"/>
  <c r="BI24" i="20" s="1"/>
  <c r="AE100" i="20"/>
  <c r="AE102" i="20" s="1"/>
  <c r="AE103" i="20" s="1"/>
  <c r="AE7" i="20" s="1"/>
  <c r="AM22" i="20"/>
  <c r="AW16" i="20"/>
  <c r="AW22" i="20" s="1"/>
  <c r="AW24" i="20" s="1"/>
  <c r="AI65" i="20"/>
  <c r="BJ82" i="20"/>
  <c r="BG100" i="20"/>
  <c r="AO22" i="20"/>
  <c r="BH85" i="20"/>
  <c r="AP22" i="20"/>
  <c r="AP24" i="20" s="1"/>
  <c r="D100" i="20"/>
  <c r="D102" i="20" s="1"/>
  <c r="D103" i="20" s="1"/>
  <c r="D7" i="20" s="1"/>
  <c r="L100" i="20"/>
  <c r="L102" i="20" s="1"/>
  <c r="T100" i="20"/>
  <c r="T102" i="20" s="1"/>
  <c r="T103" i="20" s="1"/>
  <c r="T7" i="20" s="1"/>
  <c r="BB16" i="20"/>
  <c r="BB22" i="20" s="1"/>
  <c r="BB24" i="20" s="1"/>
  <c r="AB100" i="20"/>
  <c r="AB102" i="20" s="1"/>
  <c r="BG16" i="20"/>
  <c r="BG22" i="20" s="1"/>
  <c r="AI79" i="20"/>
  <c r="D255" i="20"/>
  <c r="E250" i="20"/>
  <c r="BK105" i="20"/>
  <c r="BI104" i="20"/>
  <c r="BG103" i="20"/>
  <c r="BK101" i="20"/>
  <c r="BI100" i="20"/>
  <c r="BG99" i="20"/>
  <c r="BK97" i="20"/>
  <c r="BI96" i="20"/>
  <c r="BG95" i="20"/>
  <c r="BK93" i="20"/>
  <c r="BI92" i="20"/>
  <c r="BG91" i="20"/>
  <c r="BK89" i="20"/>
  <c r="BI88" i="20"/>
  <c r="BG87" i="20"/>
  <c r="BK85" i="20"/>
  <c r="BI84" i="20"/>
  <c r="BG83" i="20"/>
  <c r="BJ105" i="20"/>
  <c r="BH104" i="20"/>
  <c r="BL102" i="20"/>
  <c r="BJ101" i="20"/>
  <c r="BH100" i="20"/>
  <c r="BL98" i="20"/>
  <c r="BJ97" i="20"/>
  <c r="BH96" i="20"/>
  <c r="BL94" i="20"/>
  <c r="BJ93" i="20"/>
  <c r="BH92" i="20"/>
  <c r="BL90" i="20"/>
  <c r="BJ89" i="20"/>
  <c r="BH88" i="20"/>
  <c r="BL86" i="20"/>
  <c r="BJ85" i="20"/>
  <c r="BH84" i="20"/>
  <c r="BL82" i="20"/>
  <c r="BH105" i="20"/>
  <c r="BL103" i="20"/>
  <c r="BJ102" i="20"/>
  <c r="BH101" i="20"/>
  <c r="BL99" i="20"/>
  <c r="BJ98" i="20"/>
  <c r="BH97" i="20"/>
  <c r="BL95" i="20"/>
  <c r="BJ94" i="20"/>
  <c r="BG105" i="20"/>
  <c r="BK103" i="20"/>
  <c r="BI102" i="20"/>
  <c r="BG101" i="20"/>
  <c r="BK99" i="20"/>
  <c r="BI98" i="20"/>
  <c r="BG97" i="20"/>
  <c r="BK95" i="20"/>
  <c r="BI94" i="20"/>
  <c r="BG93" i="20"/>
  <c r="BK91" i="20"/>
  <c r="BI90" i="20"/>
  <c r="BG89" i="20"/>
  <c r="BK87" i="20"/>
  <c r="BI86" i="20"/>
  <c r="BG85" i="20"/>
  <c r="BK83" i="20"/>
  <c r="BI82" i="20"/>
  <c r="BL104" i="20"/>
  <c r="BJ103" i="20"/>
  <c r="BH102" i="20"/>
  <c r="BL100" i="20"/>
  <c r="BJ99" i="20"/>
  <c r="BH98" i="20"/>
  <c r="BL96" i="20"/>
  <c r="BJ95" i="20"/>
  <c r="BH94" i="20"/>
  <c r="BL92" i="20"/>
  <c r="BJ91" i="20"/>
  <c r="BH90" i="20"/>
  <c r="BL88" i="20"/>
  <c r="BJ87" i="20"/>
  <c r="BH86" i="20"/>
  <c r="BL84" i="20"/>
  <c r="BJ83" i="20"/>
  <c r="BH82" i="20"/>
  <c r="BH103" i="20"/>
  <c r="BI99" i="20"/>
  <c r="BG96" i="20"/>
  <c r="BK92" i="20"/>
  <c r="BG90" i="20"/>
  <c r="BI87" i="20"/>
  <c r="BK84" i="20"/>
  <c r="BG82" i="20"/>
  <c r="BK102" i="20"/>
  <c r="BH99" i="20"/>
  <c r="BI95" i="20"/>
  <c r="BJ92" i="20"/>
  <c r="BL89" i="20"/>
  <c r="BH87" i="20"/>
  <c r="BJ84" i="20"/>
  <c r="BK104" i="20"/>
  <c r="BG94" i="20"/>
  <c r="BI91" i="20"/>
  <c r="BK88" i="20"/>
  <c r="BG86" i="20"/>
  <c r="BL105" i="20"/>
  <c r="BG102" i="20"/>
  <c r="BK98" i="20"/>
  <c r="BH95" i="20"/>
  <c r="BG92" i="20"/>
  <c r="BI89" i="20"/>
  <c r="BK86" i="20"/>
  <c r="BG84" i="20"/>
  <c r="BI105" i="20"/>
  <c r="BL101" i="20"/>
  <c r="BG98" i="20"/>
  <c r="BK94" i="20"/>
  <c r="BL91" i="20"/>
  <c r="BH89" i="20"/>
  <c r="BJ86" i="20"/>
  <c r="BL83" i="20"/>
  <c r="BI101" i="20"/>
  <c r="BJ104" i="20"/>
  <c r="BK100" i="20"/>
  <c r="BI97" i="20"/>
  <c r="BL93" i="20"/>
  <c r="BH91" i="20"/>
  <c r="BJ88" i="20"/>
  <c r="BL85" i="20"/>
  <c r="BH83" i="20"/>
  <c r="BG104" i="20"/>
  <c r="BJ100" i="20"/>
  <c r="BK96" i="20"/>
  <c r="BI93" i="20"/>
  <c r="BK90" i="20"/>
  <c r="BG88" i="20"/>
  <c r="BI85" i="20"/>
  <c r="BK82" i="20"/>
  <c r="BI83" i="20"/>
  <c r="BI103" i="20"/>
  <c r="AZ22" i="20"/>
  <c r="AZ24" i="20" s="1"/>
  <c r="AT24" i="20"/>
  <c r="S103" i="20"/>
  <c r="S7" i="20" s="1"/>
  <c r="D261" i="20"/>
  <c r="AL13" i="20"/>
  <c r="E100" i="20"/>
  <c r="E102" i="20" s="1"/>
  <c r="E103" i="20" s="1"/>
  <c r="E7" i="20" s="1"/>
  <c r="M100" i="20"/>
  <c r="M102" i="20" s="1"/>
  <c r="M103" i="20" s="1"/>
  <c r="M7" i="20" s="1"/>
  <c r="AU16" i="20"/>
  <c r="AU22" i="20" s="1"/>
  <c r="AU24" i="20" s="1"/>
  <c r="U100" i="20"/>
  <c r="U102" i="20" s="1"/>
  <c r="U103" i="20" s="1"/>
  <c r="U7" i="20" s="1"/>
  <c r="BC16" i="20"/>
  <c r="BC22" i="20" s="1"/>
  <c r="BC24" i="20" s="1"/>
  <c r="AC100" i="20"/>
  <c r="AC102" i="20" s="1"/>
  <c r="AC103" i="20" s="1"/>
  <c r="AC7" i="20" s="1"/>
  <c r="AH79" i="20"/>
  <c r="BJ90" i="20"/>
  <c r="AR16" i="20"/>
  <c r="AR22" i="20" s="1"/>
  <c r="AR24" i="20" s="1"/>
  <c r="BE22" i="20"/>
  <c r="AV18" i="20"/>
  <c r="AV22" i="20" s="1"/>
  <c r="AV24" i="20" s="1"/>
  <c r="V100" i="20"/>
  <c r="V102" i="20" s="1"/>
  <c r="V103" i="20" s="1"/>
  <c r="V7" i="20" s="1"/>
  <c r="BH93" i="20"/>
  <c r="F111" i="20"/>
  <c r="N111" i="20"/>
  <c r="V111" i="20"/>
  <c r="AD111" i="20"/>
  <c r="C110" i="20"/>
  <c r="AN23" i="20" s="1"/>
  <c r="AN24" i="20" s="1"/>
  <c r="K110" i="20"/>
  <c r="AT23" i="20" s="1"/>
  <c r="S110" i="20"/>
  <c r="BA23" i="20" s="1"/>
  <c r="BA24" i="20" s="1"/>
  <c r="AA110" i="20"/>
  <c r="AA103" i="20" s="1"/>
  <c r="AA7" i="20" s="1"/>
  <c r="I249" i="20"/>
  <c r="AY16" i="20"/>
  <c r="AY22" i="20" s="1"/>
  <c r="AY24" i="20" s="1"/>
  <c r="G111" i="20"/>
  <c r="O111" i="20"/>
  <c r="W111" i="20"/>
  <c r="AE111" i="20"/>
  <c r="D110" i="20"/>
  <c r="AO23" i="20" s="1"/>
  <c r="L110" i="20"/>
  <c r="L111" i="20" s="1"/>
  <c r="T110" i="20"/>
  <c r="BB23" i="20" s="1"/>
  <c r="AB110" i="20"/>
  <c r="BG23" i="20" s="1"/>
  <c r="E111" i="20"/>
  <c r="AS16" i="20"/>
  <c r="AS22" i="20" s="1"/>
  <c r="AS24" i="20" s="1"/>
  <c r="AU23" i="20"/>
  <c r="AG102" i="20"/>
  <c r="AI109" i="20"/>
  <c r="AV19" i="20"/>
  <c r="BD19" i="20"/>
  <c r="B111" i="20"/>
  <c r="AI95" i="20"/>
  <c r="J111" i="20"/>
  <c r="R111" i="20"/>
  <c r="Z111" i="20"/>
  <c r="AH95" i="20"/>
  <c r="AI106" i="20"/>
  <c r="B110" i="20"/>
  <c r="AG2" i="20"/>
  <c r="AG6" i="20" s="1"/>
  <c r="B100" i="20"/>
  <c r="J100" i="20"/>
  <c r="J102" i="20" s="1"/>
  <c r="J103" i="20" s="1"/>
  <c r="J7" i="20" s="1"/>
  <c r="R100" i="20"/>
  <c r="R102" i="20" s="1"/>
  <c r="R103" i="20" s="1"/>
  <c r="R7" i="20" s="1"/>
  <c r="Z100" i="20"/>
  <c r="Z102" i="20" s="1"/>
  <c r="Z103" i="20" s="1"/>
  <c r="Z7" i="20" s="1"/>
  <c r="AH61" i="20"/>
  <c r="AI83" i="20"/>
  <c r="AH83" i="20"/>
  <c r="K111" i="20"/>
  <c r="H110" i="20"/>
  <c r="H111" i="20" s="1"/>
  <c r="P110" i="20"/>
  <c r="X110" i="20"/>
  <c r="AF110" i="20"/>
  <c r="AH106" i="20"/>
  <c r="AI107" i="20"/>
  <c r="AI108" i="20"/>
  <c r="AI61" i="20"/>
  <c r="D111" i="20"/>
  <c r="T111" i="20"/>
  <c r="AI105" i="20"/>
  <c r="E254" i="20"/>
  <c r="AH104" i="20"/>
  <c r="AH105" i="20"/>
  <c r="AH108" i="20"/>
  <c r="S255" i="22" l="1"/>
  <c r="S121" i="22"/>
  <c r="T249" i="22"/>
  <c r="T254" i="21"/>
  <c r="S255" i="21"/>
  <c r="S121" i="21"/>
  <c r="V249" i="21"/>
  <c r="AA111" i="20"/>
  <c r="C259" i="20"/>
  <c r="K6" i="20" s="1"/>
  <c r="S111" i="20"/>
  <c r="AH111" i="20" s="1"/>
  <c r="L103" i="20"/>
  <c r="L7" i="20" s="1"/>
  <c r="AH100" i="20"/>
  <c r="B102" i="20"/>
  <c r="AI100" i="20"/>
  <c r="F250" i="20"/>
  <c r="E255" i="20"/>
  <c r="C111" i="20"/>
  <c r="AI111" i="20" s="1"/>
  <c r="AB111" i="20"/>
  <c r="AF111" i="20"/>
  <c r="BJ23" i="20"/>
  <c r="BJ24" i="20" s="1"/>
  <c r="AM23" i="20"/>
  <c r="AM24" i="20" s="1"/>
  <c r="AT9" i="20" s="1"/>
  <c r="AI110" i="20"/>
  <c r="AH110" i="20"/>
  <c r="C103" i="20"/>
  <c r="C7" i="20" s="1"/>
  <c r="H103" i="20"/>
  <c r="H7" i="20" s="1"/>
  <c r="F254" i="20"/>
  <c r="E121" i="20"/>
  <c r="BE24" i="20"/>
  <c r="BE23" i="20"/>
  <c r="X103" i="20"/>
  <c r="X7" i="20" s="1"/>
  <c r="X111" i="20"/>
  <c r="BG24" i="20"/>
  <c r="K103" i="20"/>
  <c r="K7" i="20" s="1"/>
  <c r="AT8" i="20"/>
  <c r="AX23" i="20"/>
  <c r="AX24" i="20" s="1"/>
  <c r="P111" i="20"/>
  <c r="P103" i="20"/>
  <c r="P7" i="20" s="1"/>
  <c r="J249" i="20"/>
  <c r="AB103" i="20"/>
  <c r="AB7" i="20" s="1"/>
  <c r="AO24" i="20"/>
  <c r="T255" i="22" l="1"/>
  <c r="T121" i="22"/>
  <c r="U249" i="22"/>
  <c r="W249" i="21"/>
  <c r="U254" i="21"/>
  <c r="T255" i="21"/>
  <c r="T121" i="21"/>
  <c r="B103" i="20"/>
  <c r="AI102" i="20"/>
  <c r="AH102" i="20"/>
  <c r="K249" i="20"/>
  <c r="G254" i="20"/>
  <c r="F121" i="20"/>
  <c r="G250" i="20"/>
  <c r="F255" i="20"/>
  <c r="U121" i="22" l="1"/>
  <c r="V249" i="22"/>
  <c r="U255" i="22"/>
  <c r="V254" i="21"/>
  <c r="U255" i="21"/>
  <c r="U121" i="21"/>
  <c r="X249" i="21"/>
  <c r="H254" i="20"/>
  <c r="G121" i="20"/>
  <c r="L249" i="20"/>
  <c r="H250" i="20"/>
  <c r="G255" i="20"/>
  <c r="AI103" i="20"/>
  <c r="AH103" i="20"/>
  <c r="B7" i="20"/>
  <c r="A7" i="20" s="1"/>
  <c r="W249" i="22" l="1"/>
  <c r="V121" i="22"/>
  <c r="V255" i="22"/>
  <c r="Y249" i="21"/>
  <c r="W254" i="21"/>
  <c r="V121" i="21"/>
  <c r="V255" i="21"/>
  <c r="I250" i="20"/>
  <c r="H255" i="20"/>
  <c r="M249" i="20"/>
  <c r="I254" i="20"/>
  <c r="H121" i="20"/>
  <c r="X249" i="22" l="1"/>
  <c r="W255" i="22"/>
  <c r="W121" i="22"/>
  <c r="Z249" i="21"/>
  <c r="X254" i="21"/>
  <c r="W255" i="21"/>
  <c r="W121" i="21"/>
  <c r="J254" i="20"/>
  <c r="I121" i="20"/>
  <c r="N249" i="20"/>
  <c r="J250" i="20"/>
  <c r="I255" i="20"/>
  <c r="Y249" i="22" l="1"/>
  <c r="X121" i="22"/>
  <c r="X255" i="22"/>
  <c r="Y254" i="21"/>
  <c r="X255" i="21"/>
  <c r="X121" i="21"/>
  <c r="AA249" i="21"/>
  <c r="K254" i="20"/>
  <c r="J121" i="20"/>
  <c r="K250" i="20"/>
  <c r="J255" i="20"/>
  <c r="O249" i="20"/>
  <c r="Z249" i="22" l="1"/>
  <c r="Y255" i="22"/>
  <c r="Z254" i="21"/>
  <c r="Y255" i="21"/>
  <c r="AB249" i="21"/>
  <c r="P249" i="20"/>
  <c r="L250" i="20"/>
  <c r="K255" i="20"/>
  <c r="L254" i="20"/>
  <c r="K121" i="20"/>
  <c r="Z255" i="22" l="1"/>
  <c r="AA249" i="22"/>
  <c r="AA254" i="21"/>
  <c r="Z255" i="21"/>
  <c r="AC249" i="21"/>
  <c r="M254" i="20"/>
  <c r="L121" i="20"/>
  <c r="M250" i="20"/>
  <c r="L255" i="20"/>
  <c r="Q249" i="20"/>
  <c r="AA255" i="22" l="1"/>
  <c r="AA121" i="22"/>
  <c r="AB249" i="22"/>
  <c r="AB254" i="21"/>
  <c r="AA255" i="21"/>
  <c r="AA121" i="21"/>
  <c r="AD249" i="21"/>
  <c r="N250" i="20"/>
  <c r="M255" i="20"/>
  <c r="R249" i="20"/>
  <c r="N254" i="20"/>
  <c r="M121" i="20"/>
  <c r="AB255" i="22" l="1"/>
  <c r="AB121" i="22"/>
  <c r="AC249" i="22"/>
  <c r="AE249" i="21"/>
  <c r="AC254" i="21"/>
  <c r="AB255" i="21"/>
  <c r="AB121" i="21"/>
  <c r="O254" i="20"/>
  <c r="N121" i="20"/>
  <c r="S249" i="20"/>
  <c r="O250" i="20"/>
  <c r="N255" i="20"/>
  <c r="AC121" i="22" l="1"/>
  <c r="AC255" i="22"/>
  <c r="AD249" i="22"/>
  <c r="AD254" i="21"/>
  <c r="AC121" i="21"/>
  <c r="AC255" i="21"/>
  <c r="AF249" i="21"/>
  <c r="P250" i="20"/>
  <c r="O255" i="20"/>
  <c r="T249" i="20"/>
  <c r="P254" i="20"/>
  <c r="Q254" i="20" s="1"/>
  <c r="O121" i="20"/>
  <c r="AE249" i="22" l="1"/>
  <c r="AD255" i="22"/>
  <c r="AD121" i="22"/>
  <c r="AE254" i="21"/>
  <c r="AD121" i="21"/>
  <c r="AD255" i="21"/>
  <c r="B249" i="21"/>
  <c r="R254" i="20"/>
  <c r="Q121" i="20"/>
  <c r="U249" i="20"/>
  <c r="Q250" i="20"/>
  <c r="P255" i="20"/>
  <c r="AF249" i="22" l="1"/>
  <c r="AE255" i="22"/>
  <c r="AE121" i="22"/>
  <c r="AF254" i="21"/>
  <c r="AE255" i="21"/>
  <c r="AE121" i="21"/>
  <c r="R250" i="20"/>
  <c r="Q255" i="20"/>
  <c r="V249" i="20"/>
  <c r="S254" i="20"/>
  <c r="R121" i="20"/>
  <c r="AF121" i="22" l="1"/>
  <c r="AF255" i="22"/>
  <c r="B249" i="22"/>
  <c r="B121" i="22" s="1"/>
  <c r="B254" i="21"/>
  <c r="AF255" i="21"/>
  <c r="AF121" i="21"/>
  <c r="T254" i="20"/>
  <c r="S121" i="20"/>
  <c r="W249" i="20"/>
  <c r="S250" i="20"/>
  <c r="R255" i="20"/>
  <c r="B255" i="22" l="1"/>
  <c r="B255" i="21"/>
  <c r="B121" i="21"/>
  <c r="T250" i="20"/>
  <c r="S255" i="20"/>
  <c r="X249" i="20"/>
  <c r="U254" i="20"/>
  <c r="T121" i="20"/>
  <c r="AI121" i="22" l="1"/>
  <c r="AH121" i="22"/>
  <c r="AI121" i="21"/>
  <c r="AH121" i="21"/>
  <c r="V254" i="20"/>
  <c r="U121" i="20"/>
  <c r="Y249" i="20"/>
  <c r="U250" i="20"/>
  <c r="T255" i="20"/>
  <c r="V250" i="20" l="1"/>
  <c r="U255" i="20"/>
  <c r="Z249" i="20"/>
  <c r="W254" i="20"/>
  <c r="V121" i="20"/>
  <c r="X254" i="20" l="1"/>
  <c r="W121" i="20"/>
  <c r="AA249" i="20"/>
  <c r="W250" i="20"/>
  <c r="V255" i="20"/>
  <c r="X250" i="20" l="1"/>
  <c r="W255" i="20"/>
  <c r="AB249" i="20"/>
  <c r="Y254" i="20"/>
  <c r="Z254" i="20" s="1"/>
  <c r="AA254" i="20" s="1"/>
  <c r="AB254" i="20" s="1"/>
  <c r="AC254" i="20" s="1"/>
  <c r="AD254" i="20" s="1"/>
  <c r="AE254" i="20" s="1"/>
  <c r="AF254" i="20" s="1"/>
  <c r="B254" i="20" s="1"/>
  <c r="X121" i="20"/>
  <c r="AA121" i="20" l="1"/>
  <c r="AB121" i="20"/>
  <c r="AC249" i="20"/>
  <c r="Y250" i="20"/>
  <c r="X255" i="20"/>
  <c r="Z250" i="20" l="1"/>
  <c r="Y255" i="20"/>
  <c r="AC121" i="20"/>
  <c r="AD249" i="20"/>
  <c r="AE249" i="20" l="1"/>
  <c r="AD121" i="20"/>
  <c r="AA250" i="20"/>
  <c r="Z255" i="20"/>
  <c r="AB250" i="20" l="1"/>
  <c r="AA255" i="20"/>
  <c r="AF249" i="20"/>
  <c r="AE121" i="20"/>
  <c r="AF121" i="20" l="1"/>
  <c r="B249" i="20"/>
  <c r="AC250" i="20"/>
  <c r="AB255" i="20"/>
  <c r="B121" i="20" l="1"/>
  <c r="AD250" i="20"/>
  <c r="AC255" i="20"/>
  <c r="AE250" i="20" l="1"/>
  <c r="AD255" i="20"/>
  <c r="AI121" i="20"/>
  <c r="AH121" i="20"/>
  <c r="AF250" i="20" l="1"/>
  <c r="AE255" i="20"/>
  <c r="B250" i="20" l="1"/>
  <c r="B255" i="20" s="1"/>
  <c r="AF255" i="20"/>
  <c r="Q57" i="19" l="1"/>
  <c r="P57" i="19"/>
  <c r="O57" i="19"/>
  <c r="N57" i="19" l="1"/>
  <c r="M57" i="19" l="1"/>
  <c r="L121" i="19"/>
  <c r="L57" i="19"/>
  <c r="K121" i="19" l="1"/>
  <c r="K57" i="19"/>
  <c r="J121" i="19"/>
  <c r="J57" i="19"/>
  <c r="I121" i="19"/>
  <c r="I57" i="19"/>
  <c r="H121" i="19"/>
  <c r="H57" i="19"/>
  <c r="G121" i="19"/>
  <c r="G57" i="19"/>
  <c r="F121" i="19"/>
  <c r="F57" i="19"/>
  <c r="AH125" i="19"/>
  <c r="AI125" i="19"/>
  <c r="AH124" i="19"/>
  <c r="AI124" i="19"/>
  <c r="E121" i="19"/>
  <c r="E57" i="19"/>
  <c r="D58" i="19"/>
  <c r="AO16" i="19" s="1"/>
  <c r="D62" i="19"/>
  <c r="AO17" i="19" s="1"/>
  <c r="D76" i="19"/>
  <c r="D80" i="19"/>
  <c r="D92" i="19"/>
  <c r="D101" i="19"/>
  <c r="D107" i="19" s="1"/>
  <c r="D108" i="19" s="1"/>
  <c r="D102" i="19"/>
  <c r="D103" i="19"/>
  <c r="D104" i="19"/>
  <c r="D105" i="19"/>
  <c r="D118" i="19"/>
  <c r="C58" i="19"/>
  <c r="C62" i="19"/>
  <c r="C76" i="19"/>
  <c r="C80" i="19"/>
  <c r="AN20" i="19" s="1"/>
  <c r="C92" i="19"/>
  <c r="AN19" i="19" s="1"/>
  <c r="C101" i="19"/>
  <c r="C102" i="19"/>
  <c r="C103" i="19"/>
  <c r="C104" i="19"/>
  <c r="C105" i="19"/>
  <c r="C118" i="19"/>
  <c r="B118" i="19"/>
  <c r="B105" i="19"/>
  <c r="B104" i="19"/>
  <c r="B103" i="19"/>
  <c r="B102" i="19"/>
  <c r="B101" i="19"/>
  <c r="B92" i="19"/>
  <c r="AF5" i="19" s="1"/>
  <c r="B80" i="19"/>
  <c r="B76" i="19"/>
  <c r="B62" i="19"/>
  <c r="B58" i="19"/>
  <c r="AM16" i="19" s="1"/>
  <c r="AG252" i="19"/>
  <c r="C252" i="19"/>
  <c r="D251" i="19"/>
  <c r="E250" i="19"/>
  <c r="F250" i="19" s="1"/>
  <c r="G250" i="19" s="1"/>
  <c r="H250" i="19" s="1"/>
  <c r="I250" i="19" s="1"/>
  <c r="J250" i="19" s="1"/>
  <c r="K250" i="19" s="1"/>
  <c r="L250" i="19" s="1"/>
  <c r="M250" i="19" s="1"/>
  <c r="N250" i="19" s="1"/>
  <c r="O250" i="19" s="1"/>
  <c r="P250" i="19" s="1"/>
  <c r="Q250" i="19" s="1"/>
  <c r="R250" i="19" s="1"/>
  <c r="S250" i="19" s="1"/>
  <c r="T250" i="19" s="1"/>
  <c r="U250" i="19" s="1"/>
  <c r="V250" i="19" s="1"/>
  <c r="W250" i="19" s="1"/>
  <c r="X250" i="19" s="1"/>
  <c r="Y250" i="19" s="1"/>
  <c r="Z250" i="19" s="1"/>
  <c r="AA250" i="19" s="1"/>
  <c r="AB250" i="19" s="1"/>
  <c r="AC250" i="19" s="1"/>
  <c r="AD250" i="19" s="1"/>
  <c r="AE250" i="19" s="1"/>
  <c r="AF250" i="19" s="1"/>
  <c r="B250" i="19" s="1"/>
  <c r="D250" i="19"/>
  <c r="E249" i="19"/>
  <c r="F249" i="19" s="1"/>
  <c r="G249" i="19" s="1"/>
  <c r="H249" i="19" s="1"/>
  <c r="I249" i="19" s="1"/>
  <c r="J249" i="19" s="1"/>
  <c r="K249" i="19" s="1"/>
  <c r="L249" i="19" s="1"/>
  <c r="M249" i="19" s="1"/>
  <c r="N249" i="19" s="1"/>
  <c r="O249" i="19" s="1"/>
  <c r="P249" i="19" s="1"/>
  <c r="Q249" i="19" s="1"/>
  <c r="R249" i="19" s="1"/>
  <c r="S249" i="19" s="1"/>
  <c r="T249" i="19" s="1"/>
  <c r="U249" i="19" s="1"/>
  <c r="V249" i="19" s="1"/>
  <c r="W249" i="19" s="1"/>
  <c r="X249" i="19" s="1"/>
  <c r="Y249" i="19" s="1"/>
  <c r="Z249" i="19" s="1"/>
  <c r="AA249" i="19" s="1"/>
  <c r="AB249" i="19" s="1"/>
  <c r="AC249" i="19" s="1"/>
  <c r="AD249" i="19" s="1"/>
  <c r="AE249" i="19" s="1"/>
  <c r="AF249" i="19" s="1"/>
  <c r="B249" i="19" s="1"/>
  <c r="D249" i="19"/>
  <c r="D248" i="19"/>
  <c r="E248" i="19" s="1"/>
  <c r="F248" i="19" s="1"/>
  <c r="G248" i="19" s="1"/>
  <c r="H248" i="19" s="1"/>
  <c r="I248" i="19" s="1"/>
  <c r="J248" i="19" s="1"/>
  <c r="K248" i="19" s="1"/>
  <c r="L248" i="19" s="1"/>
  <c r="M248" i="19" s="1"/>
  <c r="N248" i="19" s="1"/>
  <c r="O248" i="19" s="1"/>
  <c r="P248" i="19" s="1"/>
  <c r="Q248" i="19" s="1"/>
  <c r="R248" i="19" s="1"/>
  <c r="S248" i="19" s="1"/>
  <c r="T248" i="19" s="1"/>
  <c r="U248" i="19" s="1"/>
  <c r="V248" i="19" s="1"/>
  <c r="W248" i="19" s="1"/>
  <c r="X248" i="19" s="1"/>
  <c r="Y248" i="19" s="1"/>
  <c r="Z248" i="19" s="1"/>
  <c r="AA248" i="19" s="1"/>
  <c r="AB248" i="19" s="1"/>
  <c r="AC248" i="19" s="1"/>
  <c r="AD248" i="19" s="1"/>
  <c r="AE248" i="19" s="1"/>
  <c r="AF248" i="19" s="1"/>
  <c r="B248" i="19" s="1"/>
  <c r="D247" i="19"/>
  <c r="E247" i="19" s="1"/>
  <c r="F247" i="19" s="1"/>
  <c r="G247" i="19" s="1"/>
  <c r="H247" i="19" s="1"/>
  <c r="I247" i="19" s="1"/>
  <c r="J247" i="19" s="1"/>
  <c r="K247" i="19" s="1"/>
  <c r="L247" i="19" s="1"/>
  <c r="M247" i="19" s="1"/>
  <c r="N247" i="19" s="1"/>
  <c r="O247" i="19" s="1"/>
  <c r="P247" i="19" s="1"/>
  <c r="Q247" i="19" s="1"/>
  <c r="R247" i="19" s="1"/>
  <c r="S247" i="19" s="1"/>
  <c r="T247" i="19" s="1"/>
  <c r="U247" i="19" s="1"/>
  <c r="V247" i="19" s="1"/>
  <c r="W247" i="19" s="1"/>
  <c r="X247" i="19" s="1"/>
  <c r="Y247" i="19" s="1"/>
  <c r="Z247" i="19" s="1"/>
  <c r="AA247" i="19" s="1"/>
  <c r="AB247" i="19" s="1"/>
  <c r="AC247" i="19" s="1"/>
  <c r="AD247" i="19" s="1"/>
  <c r="AE247" i="19" s="1"/>
  <c r="AF247" i="19" s="1"/>
  <c r="B247" i="19" s="1"/>
  <c r="E246" i="19"/>
  <c r="F246" i="19" s="1"/>
  <c r="D246" i="19"/>
  <c r="AG244" i="19"/>
  <c r="AF244" i="19"/>
  <c r="AE244" i="19"/>
  <c r="AD244" i="19"/>
  <c r="AC244" i="19"/>
  <c r="AB244" i="19"/>
  <c r="AA244" i="19"/>
  <c r="Z244" i="19"/>
  <c r="Y244" i="19"/>
  <c r="Y118" i="19" s="1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AI130" i="19"/>
  <c r="AH130" i="19"/>
  <c r="AI129" i="19"/>
  <c r="AH129" i="19"/>
  <c r="AI128" i="19"/>
  <c r="AH128" i="19"/>
  <c r="AI127" i="19"/>
  <c r="AH127" i="19"/>
  <c r="AI126" i="19"/>
  <c r="AH126" i="19"/>
  <c r="AI123" i="19"/>
  <c r="AH123" i="19"/>
  <c r="AI122" i="19"/>
  <c r="AH122" i="19"/>
  <c r="AI120" i="19"/>
  <c r="AH120" i="19"/>
  <c r="AI119" i="19"/>
  <c r="AH119" i="19"/>
  <c r="Z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Y107" i="19"/>
  <c r="AI106" i="19"/>
  <c r="AH106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AF103" i="19"/>
  <c r="AE103" i="19"/>
  <c r="AD103" i="19"/>
  <c r="AD107" i="19" s="1"/>
  <c r="AC103" i="19"/>
  <c r="AB103" i="19"/>
  <c r="AA103" i="19"/>
  <c r="Z103" i="19"/>
  <c r="Y103" i="19"/>
  <c r="X103" i="19"/>
  <c r="W103" i="19"/>
  <c r="V103" i="19"/>
  <c r="V107" i="19" s="1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AF102" i="19"/>
  <c r="AE102" i="19"/>
  <c r="AD102" i="19"/>
  <c r="AC102" i="19"/>
  <c r="AB102" i="19"/>
  <c r="AA102" i="19"/>
  <c r="Z102" i="19"/>
  <c r="Y102" i="19"/>
  <c r="X102" i="19"/>
  <c r="W102" i="19"/>
  <c r="W107" i="19" s="1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AF101" i="19"/>
  <c r="AF107" i="19" s="1"/>
  <c r="AF108" i="19" s="1"/>
  <c r="AE101" i="19"/>
  <c r="AE107" i="19" s="1"/>
  <c r="AD101" i="19"/>
  <c r="AC101" i="19"/>
  <c r="AB101" i="19"/>
  <c r="AA101" i="19"/>
  <c r="AA107" i="19" s="1"/>
  <c r="Z101" i="19"/>
  <c r="Z107" i="19" s="1"/>
  <c r="BF23" i="19" s="1"/>
  <c r="Y101" i="19"/>
  <c r="X101" i="19"/>
  <c r="X107" i="19" s="1"/>
  <c r="X108" i="19" s="1"/>
  <c r="W101" i="19"/>
  <c r="V101" i="19"/>
  <c r="U101" i="19"/>
  <c r="T101" i="19"/>
  <c r="S101" i="19"/>
  <c r="S107" i="19" s="1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AI98" i="19"/>
  <c r="AH98" i="19"/>
  <c r="AI96" i="19"/>
  <c r="AH96" i="19"/>
  <c r="AG96" i="19"/>
  <c r="AI95" i="19"/>
  <c r="AH95" i="19"/>
  <c r="AI94" i="19"/>
  <c r="AH94" i="19"/>
  <c r="AI93" i="19"/>
  <c r="AH93" i="19"/>
  <c r="AG92" i="19"/>
  <c r="AF92" i="19"/>
  <c r="AE92" i="19"/>
  <c r="AD92" i="19"/>
  <c r="AD108" i="19" s="1"/>
  <c r="AC92" i="19"/>
  <c r="AB92" i="19"/>
  <c r="AA92" i="19"/>
  <c r="AA108" i="19" s="1"/>
  <c r="Z92" i="19"/>
  <c r="Y92" i="19"/>
  <c r="X92" i="19"/>
  <c r="W92" i="19"/>
  <c r="V92" i="19"/>
  <c r="V108" i="19" s="1"/>
  <c r="U92" i="19"/>
  <c r="T92" i="19"/>
  <c r="S92" i="19"/>
  <c r="S108" i="19" s="1"/>
  <c r="R92" i="19"/>
  <c r="AZ19" i="19" s="1"/>
  <c r="Q92" i="19"/>
  <c r="AY19" i="19" s="1"/>
  <c r="P92" i="19"/>
  <c r="O5" i="19" s="1"/>
  <c r="O92" i="19"/>
  <c r="AW19" i="19" s="1"/>
  <c r="N92" i="19"/>
  <c r="M92" i="19"/>
  <c r="AU19" i="19" s="1"/>
  <c r="L92" i="19"/>
  <c r="K5" i="19" s="1"/>
  <c r="K92" i="19"/>
  <c r="J92" i="19"/>
  <c r="I5" i="19" s="1"/>
  <c r="I92" i="19"/>
  <c r="H5" i="19" s="1"/>
  <c r="H92" i="19"/>
  <c r="G5" i="19" s="1"/>
  <c r="G92" i="19"/>
  <c r="AR19" i="19" s="1"/>
  <c r="F92" i="19"/>
  <c r="E92" i="19"/>
  <c r="D5" i="19" s="1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I81" i="19"/>
  <c r="AH81" i="19"/>
  <c r="BU80" i="19"/>
  <c r="BT80" i="19"/>
  <c r="BS80" i="19"/>
  <c r="BO80" i="19"/>
  <c r="BH80" i="19"/>
  <c r="BG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BB20" i="19" s="1"/>
  <c r="S80" i="19"/>
  <c r="R80" i="19"/>
  <c r="AZ20" i="19" s="1"/>
  <c r="Q80" i="19"/>
  <c r="AY20" i="19" s="1"/>
  <c r="P80" i="19"/>
  <c r="AX20" i="19" s="1"/>
  <c r="O80" i="19"/>
  <c r="AW20" i="19" s="1"/>
  <c r="N80" i="19"/>
  <c r="AV20" i="19" s="1"/>
  <c r="M80" i="19"/>
  <c r="AU20" i="19" s="1"/>
  <c r="L80" i="19"/>
  <c r="K80" i="19"/>
  <c r="AT20" i="19" s="1"/>
  <c r="J80" i="19"/>
  <c r="I80" i="19"/>
  <c r="AS20" i="19" s="1"/>
  <c r="H80" i="19"/>
  <c r="G80" i="19"/>
  <c r="AR20" i="19" s="1"/>
  <c r="F80" i="19"/>
  <c r="AQ20" i="19" s="1"/>
  <c r="E80" i="19"/>
  <c r="AP20" i="19" s="1"/>
  <c r="BW79" i="19"/>
  <c r="BQ79" i="19"/>
  <c r="BP79" i="19"/>
  <c r="BO79" i="19"/>
  <c r="BI79" i="19"/>
  <c r="BH79" i="19"/>
  <c r="AI79" i="19"/>
  <c r="AH79" i="19"/>
  <c r="BS78" i="19"/>
  <c r="BQ78" i="19"/>
  <c r="BO78" i="19"/>
  <c r="BF78" i="19"/>
  <c r="BC78" i="19"/>
  <c r="BA78" i="19"/>
  <c r="AI78" i="19"/>
  <c r="AH78" i="19"/>
  <c r="BV77" i="19"/>
  <c r="BU77" i="19"/>
  <c r="BT77" i="19"/>
  <c r="BM77" i="19"/>
  <c r="BK77" i="19"/>
  <c r="AI77" i="19"/>
  <c r="AH77" i="19"/>
  <c r="BW76" i="19"/>
  <c r="BV76" i="19"/>
  <c r="BU76" i="19"/>
  <c r="BO76" i="19"/>
  <c r="BN76" i="19"/>
  <c r="BM76" i="19"/>
  <c r="BF76" i="19"/>
  <c r="BE76" i="19"/>
  <c r="AF76" i="19"/>
  <c r="AE76" i="19"/>
  <c r="AD76" i="19"/>
  <c r="BH18" i="19" s="1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AY18" i="19" s="1"/>
  <c r="P76" i="19"/>
  <c r="AX18" i="19" s="1"/>
  <c r="O76" i="19"/>
  <c r="N76" i="19"/>
  <c r="AV18" i="19" s="1"/>
  <c r="M76" i="19"/>
  <c r="L76" i="19"/>
  <c r="K76" i="19"/>
  <c r="J76" i="19"/>
  <c r="I76" i="19"/>
  <c r="AS18" i="19" s="1"/>
  <c r="H76" i="19"/>
  <c r="G76" i="19"/>
  <c r="F76" i="19"/>
  <c r="AQ18" i="19" s="1"/>
  <c r="E76" i="19"/>
  <c r="AP18" i="19" s="1"/>
  <c r="BU75" i="19"/>
  <c r="BT75" i="19"/>
  <c r="BQ75" i="19"/>
  <c r="BO75" i="19"/>
  <c r="BM75" i="19"/>
  <c r="AI75" i="19"/>
  <c r="AH75" i="19"/>
  <c r="AG75" i="19"/>
  <c r="AG76" i="19" s="1"/>
  <c r="AG3" i="19" s="1"/>
  <c r="AI74" i="19"/>
  <c r="AH74" i="19"/>
  <c r="BW73" i="19"/>
  <c r="BW80" i="19" s="1"/>
  <c r="BV73" i="19"/>
  <c r="BV80" i="19" s="1"/>
  <c r="BU73" i="19"/>
  <c r="BT73" i="19"/>
  <c r="BS73" i="19"/>
  <c r="BR73" i="19"/>
  <c r="BR80" i="19" s="1"/>
  <c r="BQ73" i="19"/>
  <c r="BQ80" i="19" s="1"/>
  <c r="BP73" i="19"/>
  <c r="BP80" i="19" s="1"/>
  <c r="BO73" i="19"/>
  <c r="BN73" i="19"/>
  <c r="BN80" i="19" s="1"/>
  <c r="BM73" i="19"/>
  <c r="BM80" i="19" s="1"/>
  <c r="BL73" i="19"/>
  <c r="BL80" i="19" s="1"/>
  <c r="BK73" i="19"/>
  <c r="BK80" i="19" s="1"/>
  <c r="BJ73" i="19"/>
  <c r="BJ80" i="19" s="1"/>
  <c r="BI73" i="19"/>
  <c r="BI80" i="19" s="1"/>
  <c r="BH73" i="19"/>
  <c r="BG73" i="19"/>
  <c r="BF73" i="19"/>
  <c r="BF80" i="19" s="1"/>
  <c r="BE73" i="19"/>
  <c r="BE80" i="19" s="1"/>
  <c r="BD73" i="19"/>
  <c r="BD80" i="19" s="1"/>
  <c r="BC73" i="19"/>
  <c r="BC80" i="19" s="1"/>
  <c r="BB73" i="19"/>
  <c r="BB80" i="19" s="1"/>
  <c r="BA73" i="19"/>
  <c r="BA80" i="19" s="1"/>
  <c r="AZ73" i="19"/>
  <c r="AZ80" i="19" s="1"/>
  <c r="AI73" i="19"/>
  <c r="AH73" i="19"/>
  <c r="BW72" i="19"/>
  <c r="BV72" i="19"/>
  <c r="BV79" i="19" s="1"/>
  <c r="BU72" i="19"/>
  <c r="BU79" i="19" s="1"/>
  <c r="BT72" i="19"/>
  <c r="BT79" i="19" s="1"/>
  <c r="BS72" i="19"/>
  <c r="BS79" i="19" s="1"/>
  <c r="BR72" i="19"/>
  <c r="BR79" i="19" s="1"/>
  <c r="BQ72" i="19"/>
  <c r="BP72" i="19"/>
  <c r="BO72" i="19"/>
  <c r="BN72" i="19"/>
  <c r="BN79" i="19" s="1"/>
  <c r="BM72" i="19"/>
  <c r="BM79" i="19" s="1"/>
  <c r="BL72" i="19"/>
  <c r="BL79" i="19" s="1"/>
  <c r="BK72" i="19"/>
  <c r="BK79" i="19" s="1"/>
  <c r="BJ72" i="19"/>
  <c r="BJ79" i="19" s="1"/>
  <c r="BI72" i="19"/>
  <c r="BH72" i="19"/>
  <c r="BG72" i="19"/>
  <c r="BG79" i="19" s="1"/>
  <c r="BF72" i="19"/>
  <c r="BF79" i="19" s="1"/>
  <c r="BE72" i="19"/>
  <c r="BE79" i="19" s="1"/>
  <c r="BD72" i="19"/>
  <c r="BD79" i="19" s="1"/>
  <c r="BC72" i="19"/>
  <c r="BC79" i="19" s="1"/>
  <c r="BB72" i="19"/>
  <c r="BB79" i="19" s="1"/>
  <c r="BA72" i="19"/>
  <c r="BA79" i="19" s="1"/>
  <c r="AZ72" i="19"/>
  <c r="AZ79" i="19" s="1"/>
  <c r="AI72" i="19"/>
  <c r="AH72" i="19"/>
  <c r="BW71" i="19"/>
  <c r="BW78" i="19" s="1"/>
  <c r="BV71" i="19"/>
  <c r="BV78" i="19" s="1"/>
  <c r="BU71" i="19"/>
  <c r="BU78" i="19" s="1"/>
  <c r="BT71" i="19"/>
  <c r="BT78" i="19" s="1"/>
  <c r="BS71" i="19"/>
  <c r="BR71" i="19"/>
  <c r="BR78" i="19" s="1"/>
  <c r="BQ71" i="19"/>
  <c r="BP71" i="19"/>
  <c r="BP78" i="19" s="1"/>
  <c r="BO71" i="19"/>
  <c r="BN71" i="19"/>
  <c r="BN78" i="19" s="1"/>
  <c r="BM71" i="19"/>
  <c r="BM78" i="19" s="1"/>
  <c r="BL71" i="19"/>
  <c r="BL78" i="19" s="1"/>
  <c r="BK71" i="19"/>
  <c r="BK78" i="19" s="1"/>
  <c r="BJ71" i="19"/>
  <c r="BJ78" i="19" s="1"/>
  <c r="BI71" i="19"/>
  <c r="BI78" i="19" s="1"/>
  <c r="BH71" i="19"/>
  <c r="BH78" i="19" s="1"/>
  <c r="BG71" i="19"/>
  <c r="BG78" i="19" s="1"/>
  <c r="BF71" i="19"/>
  <c r="BE71" i="19"/>
  <c r="BE78" i="19" s="1"/>
  <c r="BD71" i="19"/>
  <c r="BD78" i="19" s="1"/>
  <c r="BC71" i="19"/>
  <c r="BB71" i="19"/>
  <c r="BB78" i="19" s="1"/>
  <c r="BA71" i="19"/>
  <c r="AZ71" i="19"/>
  <c r="AZ78" i="19" s="1"/>
  <c r="AI71" i="19"/>
  <c r="AH71" i="19"/>
  <c r="BW70" i="19"/>
  <c r="BW77" i="19" s="1"/>
  <c r="BV70" i="19"/>
  <c r="BU70" i="19"/>
  <c r="BT70" i="19"/>
  <c r="BS70" i="19"/>
  <c r="BS77" i="19" s="1"/>
  <c r="BR70" i="19"/>
  <c r="BR77" i="19" s="1"/>
  <c r="BQ70" i="19"/>
  <c r="BQ77" i="19" s="1"/>
  <c r="BP70" i="19"/>
  <c r="BP77" i="19" s="1"/>
  <c r="BO70" i="19"/>
  <c r="BO77" i="19" s="1"/>
  <c r="BN70" i="19"/>
  <c r="BN77" i="19" s="1"/>
  <c r="BM70" i="19"/>
  <c r="BL70" i="19"/>
  <c r="BL77" i="19" s="1"/>
  <c r="BK70" i="19"/>
  <c r="BJ70" i="19"/>
  <c r="BJ77" i="19" s="1"/>
  <c r="BI70" i="19"/>
  <c r="BI77" i="19" s="1"/>
  <c r="BH70" i="19"/>
  <c r="BH77" i="19" s="1"/>
  <c r="BG70" i="19"/>
  <c r="BG77" i="19" s="1"/>
  <c r="BF70" i="19"/>
  <c r="BF77" i="19" s="1"/>
  <c r="BE70" i="19"/>
  <c r="BE77" i="19" s="1"/>
  <c r="BD70" i="19"/>
  <c r="BD77" i="19" s="1"/>
  <c r="BC70" i="19"/>
  <c r="BC77" i="19" s="1"/>
  <c r="BB70" i="19"/>
  <c r="BB77" i="19" s="1"/>
  <c r="BA70" i="19"/>
  <c r="BA77" i="19" s="1"/>
  <c r="AZ70" i="19"/>
  <c r="AZ77" i="19" s="1"/>
  <c r="AI70" i="19"/>
  <c r="AH70" i="19"/>
  <c r="BW69" i="19"/>
  <c r="BV69" i="19"/>
  <c r="BU69" i="19"/>
  <c r="BT69" i="19"/>
  <c r="BT76" i="19" s="1"/>
  <c r="BS69" i="19"/>
  <c r="BS76" i="19" s="1"/>
  <c r="BR69" i="19"/>
  <c r="BR76" i="19" s="1"/>
  <c r="BQ69" i="19"/>
  <c r="BQ76" i="19" s="1"/>
  <c r="BP69" i="19"/>
  <c r="BP76" i="19" s="1"/>
  <c r="BO69" i="19"/>
  <c r="BN69" i="19"/>
  <c r="BM69" i="19"/>
  <c r="BL69" i="19"/>
  <c r="BL76" i="19" s="1"/>
  <c r="BK69" i="19"/>
  <c r="BK76" i="19" s="1"/>
  <c r="BJ69" i="19"/>
  <c r="BJ76" i="19" s="1"/>
  <c r="BI69" i="19"/>
  <c r="BI76" i="19" s="1"/>
  <c r="BH69" i="19"/>
  <c r="BH76" i="19" s="1"/>
  <c r="BG69" i="19"/>
  <c r="BG76" i="19" s="1"/>
  <c r="BF69" i="19"/>
  <c r="BE69" i="19"/>
  <c r="BD69" i="19"/>
  <c r="BD76" i="19" s="1"/>
  <c r="BC69" i="19"/>
  <c r="BC76" i="19" s="1"/>
  <c r="BB69" i="19"/>
  <c r="BB76" i="19" s="1"/>
  <c r="BA69" i="19"/>
  <c r="BA76" i="19" s="1"/>
  <c r="AZ69" i="19"/>
  <c r="AZ76" i="19" s="1"/>
  <c r="AI69" i="19"/>
  <c r="AH69" i="19"/>
  <c r="BW68" i="19"/>
  <c r="BW75" i="19" s="1"/>
  <c r="BV68" i="19"/>
  <c r="BV75" i="19" s="1"/>
  <c r="BU68" i="19"/>
  <c r="BT68" i="19"/>
  <c r="BS68" i="19"/>
  <c r="BS75" i="19" s="1"/>
  <c r="BR68" i="19"/>
  <c r="BR75" i="19" s="1"/>
  <c r="BQ68" i="19"/>
  <c r="BP68" i="19"/>
  <c r="BP75" i="19" s="1"/>
  <c r="BO68" i="19"/>
  <c r="BN68" i="19"/>
  <c r="BN75" i="19" s="1"/>
  <c r="BM68" i="19"/>
  <c r="BL68" i="19"/>
  <c r="BL75" i="19" s="1"/>
  <c r="BK68" i="19"/>
  <c r="BK75" i="19" s="1"/>
  <c r="BJ68" i="19"/>
  <c r="BJ75" i="19" s="1"/>
  <c r="BI68" i="19"/>
  <c r="BI75" i="19" s="1"/>
  <c r="BH68" i="19"/>
  <c r="BH75" i="19" s="1"/>
  <c r="BG68" i="19"/>
  <c r="BG75" i="19" s="1"/>
  <c r="BF68" i="19"/>
  <c r="BF75" i="19" s="1"/>
  <c r="BE68" i="19"/>
  <c r="BE75" i="19" s="1"/>
  <c r="BD68" i="19"/>
  <c r="BD75" i="19" s="1"/>
  <c r="BC68" i="19"/>
  <c r="BC75" i="19" s="1"/>
  <c r="BB68" i="19"/>
  <c r="BB75" i="19" s="1"/>
  <c r="BA68" i="19"/>
  <c r="BA75" i="19" s="1"/>
  <c r="AZ68" i="19"/>
  <c r="AZ75" i="19" s="1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F62" i="19"/>
  <c r="BJ17" i="19" s="1"/>
  <c r="AE62" i="19"/>
  <c r="AD62" i="19"/>
  <c r="BH17" i="19" s="1"/>
  <c r="AC62" i="19"/>
  <c r="AB62" i="19"/>
  <c r="BG17" i="19" s="1"/>
  <c r="AA62" i="19"/>
  <c r="Z62" i="19"/>
  <c r="Y62" i="19"/>
  <c r="X62" i="19"/>
  <c r="W62" i="19"/>
  <c r="V62" i="19"/>
  <c r="U62" i="19"/>
  <c r="T62" i="19"/>
  <c r="BB17" i="19" s="1"/>
  <c r="S62" i="19"/>
  <c r="BA17" i="19" s="1"/>
  <c r="R62" i="19"/>
  <c r="AZ17" i="19" s="1"/>
  <c r="Q62" i="19"/>
  <c r="P62" i="19"/>
  <c r="AX17" i="19" s="1"/>
  <c r="O62" i="19"/>
  <c r="AW17" i="19" s="1"/>
  <c r="N62" i="19"/>
  <c r="AV17" i="19" s="1"/>
  <c r="M62" i="19"/>
  <c r="AU17" i="19" s="1"/>
  <c r="L62" i="19"/>
  <c r="K62" i="19"/>
  <c r="AT17" i="19" s="1"/>
  <c r="J62" i="19"/>
  <c r="I62" i="19"/>
  <c r="AS17" i="19" s="1"/>
  <c r="H62" i="19"/>
  <c r="G62" i="19"/>
  <c r="AR17" i="19" s="1"/>
  <c r="F62" i="19"/>
  <c r="AQ17" i="19" s="1"/>
  <c r="E62" i="19"/>
  <c r="AP17" i="19" s="1"/>
  <c r="AI61" i="19"/>
  <c r="AH61" i="19"/>
  <c r="AI60" i="19"/>
  <c r="AH60" i="19"/>
  <c r="AI59" i="19"/>
  <c r="AH59" i="19"/>
  <c r="AG58" i="19"/>
  <c r="AF58" i="19"/>
  <c r="AF97" i="19" s="1"/>
  <c r="AF99" i="19" s="1"/>
  <c r="AF100" i="19" s="1"/>
  <c r="AF7" i="19" s="1"/>
  <c r="AE58" i="19"/>
  <c r="AD58" i="19"/>
  <c r="AC58" i="19"/>
  <c r="AC97" i="19" s="1"/>
  <c r="AC99" i="19" s="1"/>
  <c r="AB58" i="19"/>
  <c r="AA58" i="19"/>
  <c r="AA97" i="19" s="1"/>
  <c r="AA99" i="19" s="1"/>
  <c r="AA100" i="19" s="1"/>
  <c r="AA7" i="19" s="1"/>
  <c r="Z58" i="19"/>
  <c r="BF16" i="19" s="1"/>
  <c r="Y58" i="19"/>
  <c r="X58" i="19"/>
  <c r="X97" i="19" s="1"/>
  <c r="X99" i="19" s="1"/>
  <c r="X100" i="19" s="1"/>
  <c r="X7" i="19" s="1"/>
  <c r="W58" i="19"/>
  <c r="V58" i="19"/>
  <c r="U58" i="19"/>
  <c r="U97" i="19" s="1"/>
  <c r="U99" i="19" s="1"/>
  <c r="T58" i="19"/>
  <c r="S58" i="19"/>
  <c r="S97" i="19" s="1"/>
  <c r="S99" i="19" s="1"/>
  <c r="S100" i="19" s="1"/>
  <c r="S7" i="19" s="1"/>
  <c r="R58" i="19"/>
  <c r="AZ16" i="19" s="1"/>
  <c r="Q58" i="19"/>
  <c r="AY16" i="19" s="1"/>
  <c r="P58" i="19"/>
  <c r="O58" i="19"/>
  <c r="N58" i="19"/>
  <c r="M58" i="19"/>
  <c r="AU16" i="19" s="1"/>
  <c r="L58" i="19"/>
  <c r="K58" i="19"/>
  <c r="J58" i="19"/>
  <c r="I58" i="19"/>
  <c r="AS16" i="19" s="1"/>
  <c r="H58" i="19"/>
  <c r="G58" i="19"/>
  <c r="F58" i="19"/>
  <c r="E58" i="19"/>
  <c r="AP16" i="19" s="1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BJ23" i="19"/>
  <c r="BI23" i="19"/>
  <c r="BH23" i="19"/>
  <c r="BE23" i="19"/>
  <c r="BD23" i="19"/>
  <c r="BA23" i="19"/>
  <c r="AI23" i="19"/>
  <c r="AH23" i="19"/>
  <c r="AI22" i="19"/>
  <c r="AH22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I21" i="19"/>
  <c r="AH21" i="19"/>
  <c r="BJ20" i="19"/>
  <c r="BI20" i="19"/>
  <c r="BH20" i="19"/>
  <c r="BG20" i="19"/>
  <c r="BF20" i="19"/>
  <c r="BE20" i="19"/>
  <c r="BD20" i="19"/>
  <c r="BC20" i="19"/>
  <c r="BA20" i="19"/>
  <c r="AO20" i="19"/>
  <c r="AI20" i="19"/>
  <c r="AH20" i="19"/>
  <c r="BJ19" i="19"/>
  <c r="BI19" i="19"/>
  <c r="BH19" i="19"/>
  <c r="BG19" i="19"/>
  <c r="BF19" i="19"/>
  <c r="BE19" i="19"/>
  <c r="BD19" i="19"/>
  <c r="BC19" i="19"/>
  <c r="BB19" i="19"/>
  <c r="BA19" i="19"/>
  <c r="AO19" i="19"/>
  <c r="AI19" i="19"/>
  <c r="AH19" i="19"/>
  <c r="BJ18" i="19"/>
  <c r="BG18" i="19"/>
  <c r="BF18" i="19"/>
  <c r="BE18" i="19"/>
  <c r="BD18" i="19"/>
  <c r="BC18" i="19"/>
  <c r="BB18" i="19"/>
  <c r="BA18" i="19"/>
  <c r="AZ18" i="19"/>
  <c r="AU18" i="19"/>
  <c r="AT18" i="19"/>
  <c r="AO18" i="19"/>
  <c r="AN18" i="19"/>
  <c r="AM18" i="19"/>
  <c r="AI18" i="19"/>
  <c r="AH18" i="19"/>
  <c r="BI17" i="19"/>
  <c r="BF17" i="19"/>
  <c r="BE17" i="19"/>
  <c r="BD17" i="19"/>
  <c r="BC17" i="19"/>
  <c r="AY17" i="19"/>
  <c r="AM17" i="19"/>
  <c r="AI17" i="19"/>
  <c r="AH17" i="19"/>
  <c r="BI16" i="19"/>
  <c r="BH16" i="19"/>
  <c r="BH22" i="19" s="1"/>
  <c r="BH24" i="19" s="1"/>
  <c r="BE16" i="19"/>
  <c r="BE22" i="19" s="1"/>
  <c r="BE24" i="19" s="1"/>
  <c r="BA16" i="19"/>
  <c r="BA22" i="19" s="1"/>
  <c r="BA24" i="19" s="1"/>
  <c r="AX16" i="19"/>
  <c r="AW16" i="19"/>
  <c r="AR16" i="19"/>
  <c r="AQ16" i="19"/>
  <c r="AI16" i="19"/>
  <c r="AH16" i="19"/>
  <c r="AI15" i="19"/>
  <c r="AH15" i="19"/>
  <c r="AI14" i="19"/>
  <c r="AH14" i="19"/>
  <c r="AI13" i="19"/>
  <c r="AH13" i="19"/>
  <c r="AL12" i="19"/>
  <c r="AI12" i="19"/>
  <c r="AH12" i="19"/>
  <c r="AI11" i="19"/>
  <c r="AH11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L5" i="19"/>
  <c r="C5" i="19"/>
  <c r="B5" i="19"/>
  <c r="AG4" i="19"/>
  <c r="K4" i="19"/>
  <c r="E4" i="19"/>
  <c r="H4" i="19" s="1"/>
  <c r="B4" i="19"/>
  <c r="AG2" i="19"/>
  <c r="AG6" i="19" s="1"/>
  <c r="Q5" i="19" l="1"/>
  <c r="R107" i="19"/>
  <c r="AZ23" i="19" s="1"/>
  <c r="Q107" i="19"/>
  <c r="AY23" i="19" s="1"/>
  <c r="P5" i="19"/>
  <c r="P107" i="19"/>
  <c r="AX23" i="19" s="1"/>
  <c r="P97" i="19"/>
  <c r="P99" i="19" s="1"/>
  <c r="AX19" i="19"/>
  <c r="O107" i="19"/>
  <c r="AW23" i="19" s="1"/>
  <c r="N5" i="19"/>
  <c r="AI103" i="19"/>
  <c r="N107" i="19"/>
  <c r="AV23" i="19" s="1"/>
  <c r="AV19" i="19"/>
  <c r="M5" i="19"/>
  <c r="BC16" i="19"/>
  <c r="BC22" i="19" s="1"/>
  <c r="W97" i="19"/>
  <c r="W99" i="19" s="1"/>
  <c r="W100" i="19" s="1"/>
  <c r="W7" i="19" s="1"/>
  <c r="O97" i="19"/>
  <c r="O99" i="19" s="1"/>
  <c r="O100" i="19" s="1"/>
  <c r="O7" i="19" s="1"/>
  <c r="AE97" i="19"/>
  <c r="AE99" i="19" s="1"/>
  <c r="AE100" i="19" s="1"/>
  <c r="AE7" i="19" s="1"/>
  <c r="M97" i="19"/>
  <c r="M99" i="19" s="1"/>
  <c r="AU22" i="19"/>
  <c r="K107" i="19"/>
  <c r="AT23" i="19" s="1"/>
  <c r="J5" i="19"/>
  <c r="AT19" i="19"/>
  <c r="AI121" i="19"/>
  <c r="J107" i="19"/>
  <c r="J108" i="19" s="1"/>
  <c r="I107" i="19"/>
  <c r="AS23" i="19" s="1"/>
  <c r="AS19" i="19"/>
  <c r="AS22" i="19"/>
  <c r="AS24" i="19" s="1"/>
  <c r="AI104" i="19"/>
  <c r="H107" i="19"/>
  <c r="H108" i="19" s="1"/>
  <c r="H97" i="19"/>
  <c r="H99" i="19" s="1"/>
  <c r="AH121" i="19"/>
  <c r="G107" i="19"/>
  <c r="AR23" i="19" s="1"/>
  <c r="F5" i="19"/>
  <c r="AI57" i="19"/>
  <c r="E5" i="19"/>
  <c r="F107" i="19"/>
  <c r="AQ23" i="19" s="1"/>
  <c r="AQ19" i="19"/>
  <c r="AQ22" i="19"/>
  <c r="AQ24" i="19" s="1"/>
  <c r="AP19" i="19"/>
  <c r="AI62" i="19"/>
  <c r="E97" i="19"/>
  <c r="E99" i="19" s="1"/>
  <c r="D97" i="19"/>
  <c r="D99" i="19" s="1"/>
  <c r="D100" i="19" s="1"/>
  <c r="D7" i="19" s="1"/>
  <c r="C107" i="19"/>
  <c r="AN23" i="19" s="1"/>
  <c r="C97" i="19"/>
  <c r="C99" i="19" s="1"/>
  <c r="C100" i="19" s="1"/>
  <c r="C7" i="19" s="1"/>
  <c r="AH105" i="19"/>
  <c r="AM19" i="19"/>
  <c r="B107" i="19"/>
  <c r="B108" i="19" s="1"/>
  <c r="AI58" i="19"/>
  <c r="AH103" i="19"/>
  <c r="B97" i="19"/>
  <c r="B99" i="19" s="1"/>
  <c r="B100" i="19" s="1"/>
  <c r="AO22" i="19"/>
  <c r="K97" i="19"/>
  <c r="K99" i="19" s="1"/>
  <c r="K100" i="19" s="1"/>
  <c r="K7" i="19" s="1"/>
  <c r="AT16" i="19"/>
  <c r="AP22" i="19"/>
  <c r="AZ22" i="19"/>
  <c r="AZ24" i="19" s="1"/>
  <c r="AI76" i="19"/>
  <c r="AN16" i="19"/>
  <c r="L97" i="19"/>
  <c r="L99" i="19" s="1"/>
  <c r="L100" i="19" s="1"/>
  <c r="L7" i="19" s="1"/>
  <c r="T97" i="19"/>
  <c r="T99" i="19" s="1"/>
  <c r="BB16" i="19"/>
  <c r="BB22" i="19" s="1"/>
  <c r="AB97" i="19"/>
  <c r="AB99" i="19" s="1"/>
  <c r="D258" i="19"/>
  <c r="AL13" i="19"/>
  <c r="AN17" i="19"/>
  <c r="AR18" i="19"/>
  <c r="AR22" i="19" s="1"/>
  <c r="AR24" i="19" s="1"/>
  <c r="G97" i="19"/>
  <c r="G99" i="19" s="1"/>
  <c r="AM20" i="19"/>
  <c r="AI80" i="19"/>
  <c r="AH80" i="19"/>
  <c r="BG16" i="19"/>
  <c r="BG22" i="19" s="1"/>
  <c r="AW18" i="19"/>
  <c r="AW22" i="19" s="1"/>
  <c r="AW24" i="19" s="1"/>
  <c r="AB108" i="19"/>
  <c r="AX22" i="19"/>
  <c r="AX24" i="19" s="1"/>
  <c r="BF22" i="19"/>
  <c r="BF24" i="19" s="1"/>
  <c r="AY22" i="19"/>
  <c r="AY24" i="19" s="1"/>
  <c r="BI18" i="19"/>
  <c r="BI22" i="19" s="1"/>
  <c r="BI24" i="19" s="1"/>
  <c r="AH62" i="19"/>
  <c r="AH76" i="19"/>
  <c r="J97" i="19"/>
  <c r="J99" i="19" s="1"/>
  <c r="J100" i="19" s="1"/>
  <c r="J7" i="19" s="1"/>
  <c r="R97" i="19"/>
  <c r="R99" i="19" s="1"/>
  <c r="R100" i="19" s="1"/>
  <c r="R7" i="19" s="1"/>
  <c r="Z97" i="19"/>
  <c r="Z99" i="19" s="1"/>
  <c r="Z100" i="19" s="1"/>
  <c r="Z7" i="19" s="1"/>
  <c r="AH58" i="19"/>
  <c r="AI105" i="19"/>
  <c r="U108" i="19"/>
  <c r="U100" i="19"/>
  <c r="U7" i="19" s="1"/>
  <c r="AI102" i="19"/>
  <c r="V97" i="19"/>
  <c r="V99" i="19" s="1"/>
  <c r="V100" i="19" s="1"/>
  <c r="V7" i="19" s="1"/>
  <c r="F97" i="19"/>
  <c r="F99" i="19" s="1"/>
  <c r="N97" i="19"/>
  <c r="N99" i="19" s="1"/>
  <c r="AD97" i="19"/>
  <c r="AD99" i="19" s="1"/>
  <c r="AD100" i="19" s="1"/>
  <c r="AD7" i="19" s="1"/>
  <c r="G108" i="19"/>
  <c r="W108" i="19"/>
  <c r="AE108" i="19"/>
  <c r="AI101" i="19"/>
  <c r="BJ16" i="19"/>
  <c r="BJ22" i="19" s="1"/>
  <c r="BJ24" i="19" s="1"/>
  <c r="D252" i="19"/>
  <c r="I108" i="19"/>
  <c r="Q108" i="19"/>
  <c r="Y108" i="19"/>
  <c r="AG99" i="19"/>
  <c r="AO23" i="19"/>
  <c r="L107" i="19"/>
  <c r="L108" i="19" s="1"/>
  <c r="T107" i="19"/>
  <c r="BB23" i="19" s="1"/>
  <c r="AB107" i="19"/>
  <c r="BG23" i="19" s="1"/>
  <c r="P108" i="19"/>
  <c r="G246" i="19"/>
  <c r="E251" i="19"/>
  <c r="BG84" i="19" a="1"/>
  <c r="AV16" i="19"/>
  <c r="AV22" i="19" s="1"/>
  <c r="AV24" i="19" s="1"/>
  <c r="BD16" i="19"/>
  <c r="BD22" i="19" s="1"/>
  <c r="BD24" i="19" s="1"/>
  <c r="I97" i="19"/>
  <c r="I99" i="19" s="1"/>
  <c r="I100" i="19" s="1"/>
  <c r="I7" i="19" s="1"/>
  <c r="Q97" i="19"/>
  <c r="Q99" i="19" s="1"/>
  <c r="Q100" i="19" s="1"/>
  <c r="Q7" i="19" s="1"/>
  <c r="Y97" i="19"/>
  <c r="Y99" i="19" s="1"/>
  <c r="Y100" i="19" s="1"/>
  <c r="Y7" i="19" s="1"/>
  <c r="AG97" i="19"/>
  <c r="AI92" i="19"/>
  <c r="R108" i="19"/>
  <c r="Z108" i="19"/>
  <c r="AH92" i="19"/>
  <c r="E107" i="19"/>
  <c r="AP23" i="19" s="1"/>
  <c r="M107" i="19"/>
  <c r="AU23" i="19" s="1"/>
  <c r="U107" i="19"/>
  <c r="BC23" i="19" s="1"/>
  <c r="BC24" i="19" s="1"/>
  <c r="AC107" i="19"/>
  <c r="AC100" i="19" s="1"/>
  <c r="AC7" i="19" s="1"/>
  <c r="AH101" i="19"/>
  <c r="AH102" i="19"/>
  <c r="AH104" i="19"/>
  <c r="P100" i="19" l="1"/>
  <c r="P7" i="19" s="1"/>
  <c r="O108" i="19"/>
  <c r="N100" i="19"/>
  <c r="N7" i="19" s="1"/>
  <c r="N108" i="19"/>
  <c r="AU24" i="19"/>
  <c r="AT22" i="19"/>
  <c r="AT24" i="19" s="1"/>
  <c r="K108" i="19"/>
  <c r="H100" i="19"/>
  <c r="H7" i="19" s="1"/>
  <c r="F100" i="19"/>
  <c r="F7" i="19" s="1"/>
  <c r="F108" i="19"/>
  <c r="E100" i="19"/>
  <c r="E7" i="19" s="1"/>
  <c r="E108" i="19"/>
  <c r="C108" i="19"/>
  <c r="AM22" i="19"/>
  <c r="AM24" i="19" s="1"/>
  <c r="AI107" i="19"/>
  <c r="AH107" i="19"/>
  <c r="AM23" i="19"/>
  <c r="AC108" i="19"/>
  <c r="AB100" i="19"/>
  <c r="AB7" i="19" s="1"/>
  <c r="AP24" i="19"/>
  <c r="AI97" i="19"/>
  <c r="AH97" i="19"/>
  <c r="BB24" i="19"/>
  <c r="BJ107" i="19"/>
  <c r="BH106" i="19"/>
  <c r="BL104" i="19"/>
  <c r="BJ103" i="19"/>
  <c r="BH102" i="19"/>
  <c r="BL100" i="19"/>
  <c r="BJ99" i="19"/>
  <c r="BH98" i="19"/>
  <c r="BL96" i="19"/>
  <c r="BJ95" i="19"/>
  <c r="BH94" i="19"/>
  <c r="BL92" i="19"/>
  <c r="BJ91" i="19"/>
  <c r="BH90" i="19"/>
  <c r="BL88" i="19"/>
  <c r="BJ87" i="19"/>
  <c r="BH86" i="19"/>
  <c r="BL84" i="19"/>
  <c r="BG107" i="19"/>
  <c r="BK105" i="19"/>
  <c r="BI104" i="19"/>
  <c r="BG103" i="19"/>
  <c r="BK101" i="19"/>
  <c r="BI100" i="19"/>
  <c r="BG99" i="19"/>
  <c r="BK97" i="19"/>
  <c r="BI96" i="19"/>
  <c r="BG95" i="19"/>
  <c r="BK93" i="19"/>
  <c r="BI92" i="19"/>
  <c r="BG91" i="19"/>
  <c r="BK89" i="19"/>
  <c r="BK106" i="19"/>
  <c r="BI105" i="19"/>
  <c r="BG104" i="19"/>
  <c r="BK102" i="19"/>
  <c r="BI101" i="19"/>
  <c r="BG100" i="19"/>
  <c r="BK98" i="19"/>
  <c r="BI97" i="19"/>
  <c r="BG96" i="19"/>
  <c r="BK94" i="19"/>
  <c r="BI93" i="19"/>
  <c r="BG92" i="19"/>
  <c r="BK90" i="19"/>
  <c r="BI89" i="19"/>
  <c r="BG88" i="19"/>
  <c r="BK86" i="19"/>
  <c r="BI85" i="19"/>
  <c r="BG84" i="19"/>
  <c r="BL107" i="19"/>
  <c r="BJ106" i="19"/>
  <c r="BH105" i="19"/>
  <c r="BL103" i="19"/>
  <c r="BJ102" i="19"/>
  <c r="BH101" i="19"/>
  <c r="BL99" i="19"/>
  <c r="BJ98" i="19"/>
  <c r="BH97" i="19"/>
  <c r="BL95" i="19"/>
  <c r="BJ94" i="19"/>
  <c r="BH93" i="19"/>
  <c r="BL91" i="19"/>
  <c r="BJ90" i="19"/>
  <c r="BH89" i="19"/>
  <c r="BL87" i="19"/>
  <c r="BJ86" i="19"/>
  <c r="BH85" i="19"/>
  <c r="BI107" i="19"/>
  <c r="BK104" i="19"/>
  <c r="BG102" i="19"/>
  <c r="BI99" i="19"/>
  <c r="BK96" i="19"/>
  <c r="BG94" i="19"/>
  <c r="BI91" i="19"/>
  <c r="BK88" i="19"/>
  <c r="BL86" i="19"/>
  <c r="BJ84" i="19"/>
  <c r="BH107" i="19"/>
  <c r="BJ104" i="19"/>
  <c r="BL101" i="19"/>
  <c r="BH99" i="19"/>
  <c r="BJ96" i="19"/>
  <c r="BL93" i="19"/>
  <c r="BH91" i="19"/>
  <c r="BJ88" i="19"/>
  <c r="BI86" i="19"/>
  <c r="BI84" i="19"/>
  <c r="BL106" i="19"/>
  <c r="BH104" i="19"/>
  <c r="BJ101" i="19"/>
  <c r="BL98" i="19"/>
  <c r="BH96" i="19"/>
  <c r="BJ93" i="19"/>
  <c r="BL90" i="19"/>
  <c r="BI88" i="19"/>
  <c r="BG86" i="19"/>
  <c r="BH84" i="19"/>
  <c r="BI106" i="19"/>
  <c r="BK103" i="19"/>
  <c r="BG101" i="19"/>
  <c r="BI98" i="19"/>
  <c r="BK95" i="19"/>
  <c r="BG93" i="19"/>
  <c r="BI90" i="19"/>
  <c r="BH88" i="19"/>
  <c r="BL85" i="19"/>
  <c r="BG106" i="19"/>
  <c r="BI103" i="19"/>
  <c r="BK100" i="19"/>
  <c r="BG98" i="19"/>
  <c r="BI95" i="19"/>
  <c r="BK92" i="19"/>
  <c r="BG90" i="19"/>
  <c r="BK87" i="19"/>
  <c r="BK85" i="19"/>
  <c r="BL105" i="19"/>
  <c r="BH103" i="19"/>
  <c r="BJ100" i="19"/>
  <c r="BL97" i="19"/>
  <c r="BH95" i="19"/>
  <c r="BJ92" i="19"/>
  <c r="BL89" i="19"/>
  <c r="BI87" i="19"/>
  <c r="BJ85" i="19"/>
  <c r="BK107" i="19"/>
  <c r="BG105" i="19"/>
  <c r="BI102" i="19"/>
  <c r="BK99" i="19"/>
  <c r="BG97" i="19"/>
  <c r="BI94" i="19"/>
  <c r="BK91" i="19"/>
  <c r="BG89" i="19"/>
  <c r="BG87" i="19"/>
  <c r="BK84" i="19"/>
  <c r="BH92" i="19"/>
  <c r="BJ89" i="19"/>
  <c r="BH87" i="19"/>
  <c r="BJ105" i="19"/>
  <c r="BG85" i="19"/>
  <c r="BL102" i="19"/>
  <c r="BJ97" i="19"/>
  <c r="BH100" i="19"/>
  <c r="BL94" i="19"/>
  <c r="F251" i="19"/>
  <c r="E118" i="19"/>
  <c r="E252" i="19"/>
  <c r="M108" i="19"/>
  <c r="T108" i="19"/>
  <c r="T100" i="19"/>
  <c r="T7" i="19" s="1"/>
  <c r="C256" i="19"/>
  <c r="G100" i="19"/>
  <c r="G7" i="19" s="1"/>
  <c r="B256" i="19"/>
  <c r="AN22" i="19"/>
  <c r="AN24" i="19" s="1"/>
  <c r="AO24" i="19"/>
  <c r="H246" i="19"/>
  <c r="M100" i="19"/>
  <c r="M7" i="19" s="1"/>
  <c r="BG24" i="19"/>
  <c r="K6" i="19" l="1"/>
  <c r="AH99" i="19"/>
  <c r="AI99" i="19"/>
  <c r="AT8" i="19"/>
  <c r="G251" i="19"/>
  <c r="F252" i="19"/>
  <c r="F118" i="19"/>
  <c r="AT9" i="19"/>
  <c r="AI108" i="19"/>
  <c r="AH108" i="19"/>
  <c r="I246" i="19"/>
  <c r="AF58" i="18"/>
  <c r="AF62" i="18"/>
  <c r="AF76" i="18"/>
  <c r="AF80" i="18"/>
  <c r="AF92" i="18"/>
  <c r="AF101" i="18"/>
  <c r="AF102" i="18"/>
  <c r="AF103" i="18"/>
  <c r="AF104" i="18"/>
  <c r="AF105" i="18"/>
  <c r="AF118" i="18"/>
  <c r="AE58" i="18"/>
  <c r="AE62" i="18"/>
  <c r="AE76" i="18"/>
  <c r="AE80" i="18"/>
  <c r="AE92" i="18"/>
  <c r="AE101" i="18"/>
  <c r="AE102" i="18"/>
  <c r="AE103" i="18"/>
  <c r="AE104" i="18"/>
  <c r="AE105" i="18"/>
  <c r="AE118" i="18"/>
  <c r="H251" i="19" l="1"/>
  <c r="G118" i="19"/>
  <c r="G252" i="19"/>
  <c r="J246" i="19"/>
  <c r="AI100" i="19"/>
  <c r="B7" i="19"/>
  <c r="A7" i="19" s="1"/>
  <c r="AH100" i="19"/>
  <c r="AF107" i="18"/>
  <c r="AF108" i="18" s="1"/>
  <c r="AF97" i="18"/>
  <c r="AF99" i="18" s="1"/>
  <c r="AE107" i="18"/>
  <c r="AE108" i="18" s="1"/>
  <c r="AE97" i="18"/>
  <c r="AE99" i="18" s="1"/>
  <c r="AD58" i="18"/>
  <c r="AD62" i="18"/>
  <c r="AD76" i="18"/>
  <c r="AD80" i="18"/>
  <c r="AD92" i="18"/>
  <c r="AD101" i="18"/>
  <c r="AD107" i="18" s="1"/>
  <c r="AD102" i="18"/>
  <c r="AD103" i="18"/>
  <c r="AD104" i="18"/>
  <c r="AD105" i="18"/>
  <c r="AD118" i="18"/>
  <c r="AC58" i="18"/>
  <c r="AC62" i="18"/>
  <c r="AC76" i="18"/>
  <c r="AC80" i="18"/>
  <c r="AC92" i="18"/>
  <c r="AC101" i="18"/>
  <c r="AC102" i="18"/>
  <c r="AC103" i="18"/>
  <c r="AC104" i="18"/>
  <c r="AC105" i="18"/>
  <c r="AC118" i="18"/>
  <c r="AB58" i="18"/>
  <c r="AB62" i="18"/>
  <c r="AB76" i="18"/>
  <c r="AB80" i="18"/>
  <c r="AB92" i="18"/>
  <c r="AB101" i="18"/>
  <c r="AB107" i="18" s="1"/>
  <c r="AB102" i="18"/>
  <c r="AB103" i="18"/>
  <c r="AB104" i="18"/>
  <c r="AB105" i="18"/>
  <c r="AB118" i="18"/>
  <c r="O108" i="18"/>
  <c r="P108" i="18"/>
  <c r="Q108" i="18"/>
  <c r="R108" i="18"/>
  <c r="S108" i="18"/>
  <c r="T108" i="18"/>
  <c r="S57" i="18"/>
  <c r="R121" i="18"/>
  <c r="R57" i="18"/>
  <c r="R58" i="18"/>
  <c r="R62" i="18"/>
  <c r="R76" i="18"/>
  <c r="R80" i="18"/>
  <c r="R92" i="18"/>
  <c r="R101" i="18"/>
  <c r="R102" i="18"/>
  <c r="R103" i="18"/>
  <c r="R104" i="18"/>
  <c r="R105" i="18"/>
  <c r="Q121" i="18"/>
  <c r="Q57" i="18"/>
  <c r="P121" i="18"/>
  <c r="P57" i="18"/>
  <c r="O121" i="18"/>
  <c r="O57" i="18"/>
  <c r="K246" i="19" l="1"/>
  <c r="I251" i="19"/>
  <c r="H252" i="19"/>
  <c r="H118" i="19"/>
  <c r="AF100" i="18"/>
  <c r="AE100" i="18"/>
  <c r="AD108" i="18"/>
  <c r="AD97" i="18"/>
  <c r="AD99" i="18" s="1"/>
  <c r="AD100" i="18" s="1"/>
  <c r="AC107" i="18"/>
  <c r="AC108" i="18" s="1"/>
  <c r="AC97" i="18"/>
  <c r="AC99" i="18" s="1"/>
  <c r="AC100" i="18" s="1"/>
  <c r="AB97" i="18"/>
  <c r="AB99" i="18" s="1"/>
  <c r="AB100" i="18" s="1"/>
  <c r="AB108" i="18"/>
  <c r="R107" i="18"/>
  <c r="R97" i="18"/>
  <c r="R99" i="18" s="1"/>
  <c r="N121" i="18"/>
  <c r="N57" i="18"/>
  <c r="M121" i="18"/>
  <c r="J251" i="19" l="1"/>
  <c r="I252" i="19"/>
  <c r="I118" i="19"/>
  <c r="L246" i="19"/>
  <c r="R100" i="18"/>
  <c r="M57" i="18"/>
  <c r="M246" i="19" l="1"/>
  <c r="K251" i="19"/>
  <c r="J252" i="19"/>
  <c r="J118" i="19"/>
  <c r="L251" i="19" l="1"/>
  <c r="K118" i="19"/>
  <c r="K252" i="19"/>
  <c r="N246" i="19"/>
  <c r="AH125" i="18"/>
  <c r="AI125" i="18"/>
  <c r="AH124" i="18"/>
  <c r="AI124" i="18"/>
  <c r="AG252" i="18"/>
  <c r="C252" i="18"/>
  <c r="L251" i="18"/>
  <c r="M251" i="18" s="1"/>
  <c r="N251" i="18" s="1"/>
  <c r="O251" i="18" s="1"/>
  <c r="P251" i="18" s="1"/>
  <c r="Q251" i="18" s="1"/>
  <c r="R251" i="18" s="1"/>
  <c r="S251" i="18" s="1"/>
  <c r="T251" i="18" s="1"/>
  <c r="U251" i="18" s="1"/>
  <c r="V251" i="18" s="1"/>
  <c r="W251" i="18" s="1"/>
  <c r="X251" i="18" s="1"/>
  <c r="Y251" i="18" s="1"/>
  <c r="Z251" i="18" s="1"/>
  <c r="AA251" i="18" s="1"/>
  <c r="AB251" i="18" s="1"/>
  <c r="AC251" i="18" s="1"/>
  <c r="AD251" i="18" s="1"/>
  <c r="AE251" i="18" s="1"/>
  <c r="AF251" i="18" s="1"/>
  <c r="B251" i="18" s="1"/>
  <c r="D251" i="18"/>
  <c r="E251" i="18" s="1"/>
  <c r="F251" i="18" s="1"/>
  <c r="G251" i="18" s="1"/>
  <c r="H251" i="18" s="1"/>
  <c r="I251" i="18" s="1"/>
  <c r="J251" i="18" s="1"/>
  <c r="K251" i="18" s="1"/>
  <c r="J250" i="18"/>
  <c r="K250" i="18" s="1"/>
  <c r="L250" i="18" s="1"/>
  <c r="M250" i="18" s="1"/>
  <c r="N250" i="18" s="1"/>
  <c r="O250" i="18" s="1"/>
  <c r="P250" i="18" s="1"/>
  <c r="Q250" i="18" s="1"/>
  <c r="R250" i="18" s="1"/>
  <c r="S250" i="18" s="1"/>
  <c r="T250" i="18" s="1"/>
  <c r="U250" i="18" s="1"/>
  <c r="V250" i="18" s="1"/>
  <c r="W250" i="18" s="1"/>
  <c r="X250" i="18" s="1"/>
  <c r="Y250" i="18" s="1"/>
  <c r="Z250" i="18" s="1"/>
  <c r="AA250" i="18" s="1"/>
  <c r="AB250" i="18" s="1"/>
  <c r="AC250" i="18" s="1"/>
  <c r="AD250" i="18" s="1"/>
  <c r="AE250" i="18" s="1"/>
  <c r="AF250" i="18" s="1"/>
  <c r="B250" i="18" s="1"/>
  <c r="F250" i="18"/>
  <c r="G250" i="18" s="1"/>
  <c r="H250" i="18" s="1"/>
  <c r="I250" i="18" s="1"/>
  <c r="E250" i="18"/>
  <c r="D250" i="18"/>
  <c r="D249" i="18"/>
  <c r="E249" i="18" s="1"/>
  <c r="F249" i="18" s="1"/>
  <c r="G249" i="18" s="1"/>
  <c r="H249" i="18" s="1"/>
  <c r="I249" i="18" s="1"/>
  <c r="J249" i="18" s="1"/>
  <c r="K249" i="18" s="1"/>
  <c r="L249" i="18" s="1"/>
  <c r="M249" i="18" s="1"/>
  <c r="N249" i="18" s="1"/>
  <c r="O249" i="18" s="1"/>
  <c r="P249" i="18" s="1"/>
  <c r="Q249" i="18" s="1"/>
  <c r="R249" i="18" s="1"/>
  <c r="S249" i="18" s="1"/>
  <c r="T249" i="18" s="1"/>
  <c r="U249" i="18" s="1"/>
  <c r="V249" i="18" s="1"/>
  <c r="W249" i="18" s="1"/>
  <c r="X249" i="18" s="1"/>
  <c r="Y249" i="18" s="1"/>
  <c r="Z249" i="18" s="1"/>
  <c r="AA249" i="18" s="1"/>
  <c r="AB249" i="18" s="1"/>
  <c r="AC249" i="18" s="1"/>
  <c r="AD249" i="18" s="1"/>
  <c r="AE249" i="18" s="1"/>
  <c r="AF249" i="18" s="1"/>
  <c r="B249" i="18" s="1"/>
  <c r="F248" i="18"/>
  <c r="G248" i="18" s="1"/>
  <c r="H248" i="18" s="1"/>
  <c r="I248" i="18" s="1"/>
  <c r="J248" i="18" s="1"/>
  <c r="K248" i="18" s="1"/>
  <c r="L248" i="18" s="1"/>
  <c r="M248" i="18" s="1"/>
  <c r="N248" i="18" s="1"/>
  <c r="O248" i="18" s="1"/>
  <c r="P248" i="18" s="1"/>
  <c r="Q248" i="18" s="1"/>
  <c r="R248" i="18" s="1"/>
  <c r="S248" i="18" s="1"/>
  <c r="T248" i="18" s="1"/>
  <c r="U248" i="18" s="1"/>
  <c r="V248" i="18" s="1"/>
  <c r="W248" i="18" s="1"/>
  <c r="X248" i="18" s="1"/>
  <c r="Y248" i="18" s="1"/>
  <c r="Z248" i="18" s="1"/>
  <c r="AA248" i="18" s="1"/>
  <c r="AB248" i="18" s="1"/>
  <c r="AC248" i="18" s="1"/>
  <c r="AD248" i="18" s="1"/>
  <c r="AE248" i="18" s="1"/>
  <c r="AF248" i="18" s="1"/>
  <c r="B248" i="18" s="1"/>
  <c r="E248" i="18"/>
  <c r="D248" i="18"/>
  <c r="D247" i="18"/>
  <c r="F246" i="18"/>
  <c r="G246" i="18" s="1"/>
  <c r="E246" i="18"/>
  <c r="D246" i="18"/>
  <c r="AG244" i="18"/>
  <c r="AF244" i="18"/>
  <c r="AE244" i="18"/>
  <c r="AD244" i="18"/>
  <c r="AC244" i="18"/>
  <c r="AB244" i="18"/>
  <c r="AA244" i="18"/>
  <c r="Z244" i="18"/>
  <c r="Y244" i="18"/>
  <c r="Y118" i="18" s="1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I130" i="18"/>
  <c r="AH130" i="18"/>
  <c r="AI129" i="18"/>
  <c r="AH129" i="18"/>
  <c r="AI128" i="18"/>
  <c r="AH128" i="18"/>
  <c r="AI127" i="18"/>
  <c r="AH127" i="18"/>
  <c r="AI126" i="18"/>
  <c r="AH126" i="18"/>
  <c r="AI123" i="18"/>
  <c r="AH123" i="18"/>
  <c r="AI122" i="18"/>
  <c r="AH122" i="18"/>
  <c r="AI121" i="18"/>
  <c r="AH121" i="18"/>
  <c r="AI120" i="18"/>
  <c r="AH120" i="18"/>
  <c r="AI119" i="18"/>
  <c r="AH119" i="18"/>
  <c r="Z118" i="18"/>
  <c r="E118" i="18"/>
  <c r="D118" i="18"/>
  <c r="C118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I110" i="18"/>
  <c r="AH110" i="18"/>
  <c r="AI109" i="18"/>
  <c r="AH109" i="18"/>
  <c r="AI106" i="18"/>
  <c r="AH106" i="18"/>
  <c r="AA105" i="18"/>
  <c r="Z105" i="18"/>
  <c r="Y105" i="18"/>
  <c r="X105" i="18"/>
  <c r="W105" i="18"/>
  <c r="V105" i="18"/>
  <c r="U105" i="18"/>
  <c r="U107" i="18" s="1"/>
  <c r="BC23" i="18" s="1"/>
  <c r="T105" i="18"/>
  <c r="S105" i="18"/>
  <c r="Q105" i="18"/>
  <c r="P105" i="18"/>
  <c r="O105" i="18"/>
  <c r="N105" i="18"/>
  <c r="M105" i="18"/>
  <c r="M107" i="18" s="1"/>
  <c r="AU23" i="18" s="1"/>
  <c r="L105" i="18"/>
  <c r="K105" i="18"/>
  <c r="J105" i="18"/>
  <c r="I105" i="18"/>
  <c r="H105" i="18"/>
  <c r="G105" i="18"/>
  <c r="F105" i="18"/>
  <c r="E105" i="18"/>
  <c r="E107" i="18" s="1"/>
  <c r="AP23" i="18" s="1"/>
  <c r="D105" i="18"/>
  <c r="C105" i="18"/>
  <c r="B105" i="18"/>
  <c r="AA104" i="18"/>
  <c r="Z104" i="18"/>
  <c r="Y104" i="18"/>
  <c r="X104" i="18"/>
  <c r="W104" i="18"/>
  <c r="V104" i="18"/>
  <c r="U104" i="18"/>
  <c r="T104" i="18"/>
  <c r="S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AA103" i="18"/>
  <c r="Z103" i="18"/>
  <c r="Y103" i="18"/>
  <c r="X103" i="18"/>
  <c r="W103" i="18"/>
  <c r="V103" i="18"/>
  <c r="U103" i="18"/>
  <c r="T103" i="18"/>
  <c r="S103" i="18"/>
  <c r="Q103" i="18"/>
  <c r="P103" i="18"/>
  <c r="O103" i="18"/>
  <c r="N103" i="18"/>
  <c r="M103" i="18"/>
  <c r="L103" i="18"/>
  <c r="K103" i="18"/>
  <c r="J103" i="18"/>
  <c r="I103" i="18"/>
  <c r="I107" i="18" s="1"/>
  <c r="AS23" i="18" s="1"/>
  <c r="H103" i="18"/>
  <c r="G103" i="18"/>
  <c r="F103" i="18"/>
  <c r="E103" i="18"/>
  <c r="D103" i="18"/>
  <c r="C103" i="18"/>
  <c r="B103" i="18"/>
  <c r="AA102" i="18"/>
  <c r="Z102" i="18"/>
  <c r="Y102" i="18"/>
  <c r="X102" i="18"/>
  <c r="W102" i="18"/>
  <c r="V102" i="18"/>
  <c r="U102" i="18"/>
  <c r="T102" i="18"/>
  <c r="S102" i="18"/>
  <c r="Q102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BJ23" i="18"/>
  <c r="AA101" i="18"/>
  <c r="Z101" i="18"/>
  <c r="Y101" i="18"/>
  <c r="X101" i="18"/>
  <c r="W101" i="18"/>
  <c r="V101" i="18"/>
  <c r="U101" i="18"/>
  <c r="T101" i="18"/>
  <c r="S101" i="18"/>
  <c r="Q101" i="18"/>
  <c r="P101" i="18"/>
  <c r="O101" i="18"/>
  <c r="N101" i="18"/>
  <c r="M101" i="18"/>
  <c r="L101" i="18"/>
  <c r="K101" i="18"/>
  <c r="J101" i="18"/>
  <c r="I101" i="18"/>
  <c r="H101" i="18"/>
  <c r="H107" i="18" s="1"/>
  <c r="G101" i="18"/>
  <c r="F101" i="18"/>
  <c r="E101" i="18"/>
  <c r="D101" i="18"/>
  <c r="C101" i="18"/>
  <c r="B101" i="18"/>
  <c r="AI98" i="18"/>
  <c r="AH98" i="18"/>
  <c r="AI96" i="18"/>
  <c r="AH96" i="18"/>
  <c r="AG96" i="18"/>
  <c r="AG99" i="18" s="1"/>
  <c r="AI95" i="18"/>
  <c r="AH95" i="18"/>
  <c r="AI94" i="18"/>
  <c r="AH94" i="18"/>
  <c r="AI93" i="18"/>
  <c r="AH93" i="18"/>
  <c r="AG92" i="18"/>
  <c r="AA92" i="18"/>
  <c r="Z5" i="18" s="1"/>
  <c r="Z92" i="18"/>
  <c r="BF19" i="18" s="1"/>
  <c r="Y92" i="18"/>
  <c r="X92" i="18"/>
  <c r="W92" i="18"/>
  <c r="V92" i="18"/>
  <c r="BD19" i="18" s="1"/>
  <c r="U92" i="18"/>
  <c r="BC19" i="18" s="1"/>
  <c r="T92" i="18"/>
  <c r="S92" i="18"/>
  <c r="R5" i="18" s="1"/>
  <c r="Q92" i="18"/>
  <c r="AY19" i="18" s="1"/>
  <c r="P92" i="18"/>
  <c r="AX19" i="18" s="1"/>
  <c r="O92" i="18"/>
  <c r="AW19" i="18" s="1"/>
  <c r="N92" i="18"/>
  <c r="M92" i="18"/>
  <c r="AU19" i="18" s="1"/>
  <c r="L92" i="18"/>
  <c r="K92" i="18"/>
  <c r="AT19" i="18" s="1"/>
  <c r="J92" i="18"/>
  <c r="I92" i="18"/>
  <c r="H92" i="18"/>
  <c r="G5" i="18" s="1"/>
  <c r="G92" i="18"/>
  <c r="AR19" i="18" s="1"/>
  <c r="F92" i="18"/>
  <c r="E92" i="18"/>
  <c r="AP19" i="18" s="1"/>
  <c r="D92" i="18"/>
  <c r="C92" i="18"/>
  <c r="AN19" i="18" s="1"/>
  <c r="B92" i="18"/>
  <c r="AF5" i="18" s="1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I81" i="18"/>
  <c r="AH81" i="18"/>
  <c r="BQ80" i="18"/>
  <c r="BJ80" i="18"/>
  <c r="BH80" i="18"/>
  <c r="BB80" i="18"/>
  <c r="BA80" i="18"/>
  <c r="AG80" i="18"/>
  <c r="AA80" i="18"/>
  <c r="Z80" i="18"/>
  <c r="Y80" i="18"/>
  <c r="X80" i="18"/>
  <c r="W80" i="18"/>
  <c r="V80" i="18"/>
  <c r="U80" i="18"/>
  <c r="BC20" i="18" s="1"/>
  <c r="T80" i="18"/>
  <c r="BB20" i="18" s="1"/>
  <c r="S80" i="18"/>
  <c r="BA20" i="18" s="1"/>
  <c r="Q80" i="18"/>
  <c r="AY20" i="18" s="1"/>
  <c r="P80" i="18"/>
  <c r="O80" i="18"/>
  <c r="N80" i="18"/>
  <c r="M80" i="18"/>
  <c r="AU20" i="18" s="1"/>
  <c r="L80" i="18"/>
  <c r="K80" i="18"/>
  <c r="J80" i="18"/>
  <c r="I80" i="18"/>
  <c r="H80" i="18"/>
  <c r="G80" i="18"/>
  <c r="F80" i="18"/>
  <c r="AQ20" i="18" s="1"/>
  <c r="E80" i="18"/>
  <c r="AP20" i="18" s="1"/>
  <c r="D80" i="18"/>
  <c r="C80" i="18"/>
  <c r="B80" i="18"/>
  <c r="BT79" i="18"/>
  <c r="BR79" i="18"/>
  <c r="BB79" i="18"/>
  <c r="AZ79" i="18"/>
  <c r="AI79" i="18"/>
  <c r="AH79" i="18"/>
  <c r="BI78" i="18"/>
  <c r="BF78" i="18"/>
  <c r="AI78" i="18"/>
  <c r="AH78" i="18"/>
  <c r="BW77" i="18"/>
  <c r="BN77" i="18"/>
  <c r="BF77" i="18"/>
  <c r="AI77" i="18"/>
  <c r="AH77" i="18"/>
  <c r="BO76" i="18"/>
  <c r="BH76" i="18"/>
  <c r="BF76" i="18"/>
  <c r="AZ76" i="18"/>
  <c r="AG76" i="18"/>
  <c r="AA76" i="18"/>
  <c r="Z76" i="18"/>
  <c r="Y76" i="18"/>
  <c r="X76" i="18"/>
  <c r="BE18" i="18" s="1"/>
  <c r="W76" i="18"/>
  <c r="V76" i="18"/>
  <c r="U76" i="18"/>
  <c r="T76" i="18"/>
  <c r="BB18" i="18" s="1"/>
  <c r="S76" i="18"/>
  <c r="BA18" i="18" s="1"/>
  <c r="AZ18" i="18"/>
  <c r="Q76" i="18"/>
  <c r="P76" i="18"/>
  <c r="AX18" i="18" s="1"/>
  <c r="O76" i="18"/>
  <c r="AW18" i="18" s="1"/>
  <c r="N76" i="18"/>
  <c r="AV18" i="18" s="1"/>
  <c r="M76" i="18"/>
  <c r="L76" i="18"/>
  <c r="K76" i="18"/>
  <c r="AT18" i="18" s="1"/>
  <c r="J76" i="18"/>
  <c r="I76" i="18"/>
  <c r="H76" i="18"/>
  <c r="G76" i="18"/>
  <c r="F76" i="18"/>
  <c r="E76" i="18"/>
  <c r="AP18" i="18" s="1"/>
  <c r="D76" i="18"/>
  <c r="AO18" i="18" s="1"/>
  <c r="C76" i="18"/>
  <c r="AN18" i="18" s="1"/>
  <c r="B76" i="18"/>
  <c r="BP75" i="18"/>
  <c r="BJ75" i="18"/>
  <c r="AZ75" i="18"/>
  <c r="AI75" i="18"/>
  <c r="AH75" i="18"/>
  <c r="AG75" i="18"/>
  <c r="AI74" i="18"/>
  <c r="AH74" i="18"/>
  <c r="BW73" i="18"/>
  <c r="BW80" i="18" s="1"/>
  <c r="BV73" i="18"/>
  <c r="BV80" i="18" s="1"/>
  <c r="BU73" i="18"/>
  <c r="BU80" i="18" s="1"/>
  <c r="BT73" i="18"/>
  <c r="BT80" i="18" s="1"/>
  <c r="BS73" i="18"/>
  <c r="BS80" i="18" s="1"/>
  <c r="BR73" i="18"/>
  <c r="BR80" i="18" s="1"/>
  <c r="BQ73" i="18"/>
  <c r="BP73" i="18"/>
  <c r="BP80" i="18" s="1"/>
  <c r="BO73" i="18"/>
  <c r="BO80" i="18" s="1"/>
  <c r="BN73" i="18"/>
  <c r="BN80" i="18" s="1"/>
  <c r="BM73" i="18"/>
  <c r="BM80" i="18" s="1"/>
  <c r="BL73" i="18"/>
  <c r="BL80" i="18" s="1"/>
  <c r="BK73" i="18"/>
  <c r="BK80" i="18" s="1"/>
  <c r="BJ73" i="18"/>
  <c r="BI73" i="18"/>
  <c r="BI80" i="18" s="1"/>
  <c r="BH73" i="18"/>
  <c r="BG73" i="18"/>
  <c r="BG80" i="18" s="1"/>
  <c r="BF73" i="18"/>
  <c r="BF80" i="18" s="1"/>
  <c r="BE73" i="18"/>
  <c r="BE80" i="18" s="1"/>
  <c r="BD73" i="18"/>
  <c r="BD80" i="18" s="1"/>
  <c r="BC73" i="18"/>
  <c r="BC80" i="18" s="1"/>
  <c r="BB73" i="18"/>
  <c r="BA73" i="18"/>
  <c r="AZ73" i="18"/>
  <c r="AZ80" i="18" s="1"/>
  <c r="AI73" i="18"/>
  <c r="AH73" i="18"/>
  <c r="BW72" i="18"/>
  <c r="BW79" i="18" s="1"/>
  <c r="BV72" i="18"/>
  <c r="BV79" i="18" s="1"/>
  <c r="BU72" i="18"/>
  <c r="BU79" i="18" s="1"/>
  <c r="BT72" i="18"/>
  <c r="BS72" i="18"/>
  <c r="BS79" i="18" s="1"/>
  <c r="BR72" i="18"/>
  <c r="BQ72" i="18"/>
  <c r="BQ79" i="18" s="1"/>
  <c r="BP72" i="18"/>
  <c r="BP79" i="18" s="1"/>
  <c r="BO72" i="18"/>
  <c r="BO79" i="18" s="1"/>
  <c r="BN72" i="18"/>
  <c r="BN79" i="18" s="1"/>
  <c r="BM72" i="18"/>
  <c r="BM79" i="18" s="1"/>
  <c r="BL72" i="18"/>
  <c r="BL79" i="18" s="1"/>
  <c r="BK72" i="18"/>
  <c r="BK79" i="18" s="1"/>
  <c r="BJ72" i="18"/>
  <c r="BJ79" i="18" s="1"/>
  <c r="BI72" i="18"/>
  <c r="BI79" i="18" s="1"/>
  <c r="BH72" i="18"/>
  <c r="BH79" i="18" s="1"/>
  <c r="BG72" i="18"/>
  <c r="BG79" i="18" s="1"/>
  <c r="BF72" i="18"/>
  <c r="BF79" i="18" s="1"/>
  <c r="BE72" i="18"/>
  <c r="BE79" i="18" s="1"/>
  <c r="BD72" i="18"/>
  <c r="BD79" i="18" s="1"/>
  <c r="BC72" i="18"/>
  <c r="BC79" i="18" s="1"/>
  <c r="BB72" i="18"/>
  <c r="BA72" i="18"/>
  <c r="BA79" i="18" s="1"/>
  <c r="AZ72" i="18"/>
  <c r="AI72" i="18"/>
  <c r="AH72" i="18"/>
  <c r="BW71" i="18"/>
  <c r="BW78" i="18" s="1"/>
  <c r="BV71" i="18"/>
  <c r="BV78" i="18" s="1"/>
  <c r="BU71" i="18"/>
  <c r="BU78" i="18" s="1"/>
  <c r="BT71" i="18"/>
  <c r="BT78" i="18" s="1"/>
  <c r="BS71" i="18"/>
  <c r="BS78" i="18" s="1"/>
  <c r="BR71" i="18"/>
  <c r="BR78" i="18" s="1"/>
  <c r="BQ71" i="18"/>
  <c r="BQ78" i="18" s="1"/>
  <c r="BP71" i="18"/>
  <c r="BP78" i="18" s="1"/>
  <c r="BO71" i="18"/>
  <c r="BO78" i="18" s="1"/>
  <c r="BN71" i="18"/>
  <c r="BN78" i="18" s="1"/>
  <c r="BM71" i="18"/>
  <c r="BM78" i="18" s="1"/>
  <c r="BL71" i="18"/>
  <c r="BL78" i="18" s="1"/>
  <c r="BK71" i="18"/>
  <c r="BK78" i="18" s="1"/>
  <c r="BJ71" i="18"/>
  <c r="BJ78" i="18" s="1"/>
  <c r="BI71" i="18"/>
  <c r="BH71" i="18"/>
  <c r="BH78" i="18" s="1"/>
  <c r="BG71" i="18"/>
  <c r="BG78" i="18" s="1"/>
  <c r="BF71" i="18"/>
  <c r="BE71" i="18"/>
  <c r="BE78" i="18" s="1"/>
  <c r="BD71" i="18"/>
  <c r="BD78" i="18" s="1"/>
  <c r="BC71" i="18"/>
  <c r="BC78" i="18" s="1"/>
  <c r="BB71" i="18"/>
  <c r="BB78" i="18" s="1"/>
  <c r="BA71" i="18"/>
  <c r="BA78" i="18" s="1"/>
  <c r="AZ71" i="18"/>
  <c r="AZ78" i="18" s="1"/>
  <c r="AI71" i="18"/>
  <c r="AH71" i="18"/>
  <c r="BW70" i="18"/>
  <c r="BV70" i="18"/>
  <c r="BV77" i="18" s="1"/>
  <c r="BU70" i="18"/>
  <c r="BU77" i="18" s="1"/>
  <c r="BT70" i="18"/>
  <c r="BT77" i="18" s="1"/>
  <c r="BS70" i="18"/>
  <c r="BS77" i="18" s="1"/>
  <c r="BR70" i="18"/>
  <c r="BR77" i="18" s="1"/>
  <c r="BQ70" i="18"/>
  <c r="BQ77" i="18" s="1"/>
  <c r="BP70" i="18"/>
  <c r="BP77" i="18" s="1"/>
  <c r="BO70" i="18"/>
  <c r="BO77" i="18" s="1"/>
  <c r="BN70" i="18"/>
  <c r="BM70" i="18"/>
  <c r="BM77" i="18" s="1"/>
  <c r="BL70" i="18"/>
  <c r="BL77" i="18" s="1"/>
  <c r="BK70" i="18"/>
  <c r="BK77" i="18" s="1"/>
  <c r="BJ70" i="18"/>
  <c r="BJ77" i="18" s="1"/>
  <c r="BI70" i="18"/>
  <c r="BI77" i="18" s="1"/>
  <c r="BH70" i="18"/>
  <c r="BH77" i="18" s="1"/>
  <c r="BG70" i="18"/>
  <c r="BG77" i="18" s="1"/>
  <c r="BF70" i="18"/>
  <c r="BE70" i="18"/>
  <c r="BE77" i="18" s="1"/>
  <c r="BD70" i="18"/>
  <c r="BD77" i="18" s="1"/>
  <c r="BC70" i="18"/>
  <c r="BC77" i="18" s="1"/>
  <c r="BB70" i="18"/>
  <c r="BB77" i="18" s="1"/>
  <c r="BA70" i="18"/>
  <c r="BA77" i="18" s="1"/>
  <c r="AZ70" i="18"/>
  <c r="AZ77" i="18" s="1"/>
  <c r="AI70" i="18"/>
  <c r="AH70" i="18"/>
  <c r="BW69" i="18"/>
  <c r="BW76" i="18" s="1"/>
  <c r="BV69" i="18"/>
  <c r="BV76" i="18" s="1"/>
  <c r="BU69" i="18"/>
  <c r="BU76" i="18" s="1"/>
  <c r="BT69" i="18"/>
  <c r="BT76" i="18" s="1"/>
  <c r="BS69" i="18"/>
  <c r="BS76" i="18" s="1"/>
  <c r="BR69" i="18"/>
  <c r="BR76" i="18" s="1"/>
  <c r="BQ69" i="18"/>
  <c r="BQ76" i="18" s="1"/>
  <c r="BP69" i="18"/>
  <c r="BP76" i="18" s="1"/>
  <c r="BO69" i="18"/>
  <c r="BN69" i="18"/>
  <c r="BN76" i="18" s="1"/>
  <c r="BM69" i="18"/>
  <c r="BM76" i="18" s="1"/>
  <c r="BL69" i="18"/>
  <c r="BL76" i="18" s="1"/>
  <c r="BK69" i="18"/>
  <c r="BK76" i="18" s="1"/>
  <c r="BJ69" i="18"/>
  <c r="BJ76" i="18" s="1"/>
  <c r="BI69" i="18"/>
  <c r="BI76" i="18" s="1"/>
  <c r="BH69" i="18"/>
  <c r="BG69" i="18"/>
  <c r="BG76" i="18" s="1"/>
  <c r="BF69" i="18"/>
  <c r="BE69" i="18"/>
  <c r="BE76" i="18" s="1"/>
  <c r="BD69" i="18"/>
  <c r="BD76" i="18" s="1"/>
  <c r="BC69" i="18"/>
  <c r="BC76" i="18" s="1"/>
  <c r="BB69" i="18"/>
  <c r="BB76" i="18" s="1"/>
  <c r="BA69" i="18"/>
  <c r="BA76" i="18" s="1"/>
  <c r="AZ69" i="18"/>
  <c r="AI69" i="18"/>
  <c r="AH69" i="18"/>
  <c r="BW68" i="18"/>
  <c r="BW75" i="18" s="1"/>
  <c r="BV68" i="18"/>
  <c r="BV75" i="18" s="1"/>
  <c r="BU68" i="18"/>
  <c r="BU75" i="18" s="1"/>
  <c r="BT68" i="18"/>
  <c r="BT75" i="18" s="1"/>
  <c r="BS68" i="18"/>
  <c r="BS75" i="18" s="1"/>
  <c r="BR68" i="18"/>
  <c r="BR75" i="18" s="1"/>
  <c r="BQ68" i="18"/>
  <c r="BQ75" i="18" s="1"/>
  <c r="BP68" i="18"/>
  <c r="BO68" i="18"/>
  <c r="BO75" i="18" s="1"/>
  <c r="BN68" i="18"/>
  <c r="BN75" i="18" s="1"/>
  <c r="BM68" i="18"/>
  <c r="BM75" i="18" s="1"/>
  <c r="BL68" i="18"/>
  <c r="BL75" i="18" s="1"/>
  <c r="BK68" i="18"/>
  <c r="BK75" i="18" s="1"/>
  <c r="BJ68" i="18"/>
  <c r="BI68" i="18"/>
  <c r="BI75" i="18" s="1"/>
  <c r="BH68" i="18"/>
  <c r="BH75" i="18" s="1"/>
  <c r="BG68" i="18"/>
  <c r="BG75" i="18" s="1"/>
  <c r="BF68" i="18"/>
  <c r="BF75" i="18" s="1"/>
  <c r="BE68" i="18"/>
  <c r="BE75" i="18" s="1"/>
  <c r="BD68" i="18"/>
  <c r="BD75" i="18" s="1"/>
  <c r="BC68" i="18"/>
  <c r="BC75" i="18" s="1"/>
  <c r="BB68" i="18"/>
  <c r="BB75" i="18" s="1"/>
  <c r="BA68" i="18"/>
  <c r="BA75" i="18" s="1"/>
  <c r="AZ68" i="18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BJ17" i="18"/>
  <c r="BI17" i="18"/>
  <c r="AA62" i="18"/>
  <c r="Z62" i="18"/>
  <c r="BF17" i="18" s="1"/>
  <c r="Y62" i="18"/>
  <c r="X62" i="18"/>
  <c r="BE17" i="18" s="1"/>
  <c r="W62" i="18"/>
  <c r="V62" i="18"/>
  <c r="BD17" i="18" s="1"/>
  <c r="U62" i="18"/>
  <c r="BC17" i="18" s="1"/>
  <c r="T62" i="18"/>
  <c r="BB17" i="18" s="1"/>
  <c r="S62" i="18"/>
  <c r="BA17" i="18" s="1"/>
  <c r="Q62" i="18"/>
  <c r="P62" i="18"/>
  <c r="AX17" i="18" s="1"/>
  <c r="O62" i="18"/>
  <c r="AW17" i="18" s="1"/>
  <c r="N62" i="18"/>
  <c r="AV17" i="18" s="1"/>
  <c r="M62" i="18"/>
  <c r="AU17" i="18" s="1"/>
  <c r="L62" i="18"/>
  <c r="K62" i="18"/>
  <c r="J62" i="18"/>
  <c r="I62" i="18"/>
  <c r="AS17" i="18" s="1"/>
  <c r="H62" i="18"/>
  <c r="G62" i="18"/>
  <c r="AR17" i="18" s="1"/>
  <c r="F62" i="18"/>
  <c r="AQ17" i="18" s="1"/>
  <c r="E62" i="18"/>
  <c r="D62" i="18"/>
  <c r="AO17" i="18" s="1"/>
  <c r="C62" i="18"/>
  <c r="AN17" i="18" s="1"/>
  <c r="B62" i="18"/>
  <c r="AI61" i="18"/>
  <c r="AH61" i="18"/>
  <c r="AI60" i="18"/>
  <c r="AH60" i="18"/>
  <c r="AI59" i="18"/>
  <c r="AH59" i="18"/>
  <c r="AG58" i="18"/>
  <c r="AG97" i="18" s="1"/>
  <c r="AD7" i="18"/>
  <c r="AA58" i="18"/>
  <c r="Z58" i="18"/>
  <c r="BF16" i="18" s="1"/>
  <c r="Y58" i="18"/>
  <c r="X58" i="18"/>
  <c r="W58" i="18"/>
  <c r="V58" i="18"/>
  <c r="BD16" i="18" s="1"/>
  <c r="U58" i="18"/>
  <c r="BC16" i="18" s="1"/>
  <c r="T58" i="18"/>
  <c r="BB16" i="18" s="1"/>
  <c r="S58" i="18"/>
  <c r="Q58" i="18"/>
  <c r="P58" i="18"/>
  <c r="O58" i="18"/>
  <c r="N58" i="18"/>
  <c r="AV16" i="18" s="1"/>
  <c r="M58" i="18"/>
  <c r="L58" i="18"/>
  <c r="K58" i="18"/>
  <c r="AT16" i="18" s="1"/>
  <c r="J58" i="18"/>
  <c r="I58" i="18"/>
  <c r="H58" i="18"/>
  <c r="G58" i="18"/>
  <c r="F58" i="18"/>
  <c r="AQ16" i="18" s="1"/>
  <c r="E58" i="18"/>
  <c r="AP16" i="18" s="1"/>
  <c r="D58" i="18"/>
  <c r="AO16" i="18" s="1"/>
  <c r="C58" i="18"/>
  <c r="B58" i="18"/>
  <c r="AM16" i="18" s="1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BI23" i="18"/>
  <c r="BH23" i="18"/>
  <c r="AI23" i="18"/>
  <c r="AH23" i="18"/>
  <c r="AI22" i="18"/>
  <c r="AH22" i="18"/>
  <c r="BJ21" i="18"/>
  <c r="BI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I21" i="18"/>
  <c r="AH21" i="18"/>
  <c r="BJ20" i="18"/>
  <c r="BI20" i="18"/>
  <c r="BH20" i="18"/>
  <c r="BG20" i="18"/>
  <c r="BF20" i="18"/>
  <c r="BE20" i="18"/>
  <c r="BD20" i="18"/>
  <c r="AZ20" i="18"/>
  <c r="AX20" i="18"/>
  <c r="AW20" i="18"/>
  <c r="AV20" i="18"/>
  <c r="AT20" i="18"/>
  <c r="AS20" i="18"/>
  <c r="AR20" i="18"/>
  <c r="AO20" i="18"/>
  <c r="AN20" i="18"/>
  <c r="AM20" i="18"/>
  <c r="AI20" i="18"/>
  <c r="AH20" i="18"/>
  <c r="BJ19" i="18"/>
  <c r="BI19" i="18"/>
  <c r="BH19" i="18"/>
  <c r="BG19" i="18"/>
  <c r="AZ19" i="18"/>
  <c r="AS19" i="18"/>
  <c r="AQ19" i="18"/>
  <c r="AI19" i="18"/>
  <c r="AH19" i="18"/>
  <c r="BJ18" i="18"/>
  <c r="BI18" i="18"/>
  <c r="BH18" i="18"/>
  <c r="BG18" i="18"/>
  <c r="BF18" i="18"/>
  <c r="BD18" i="18"/>
  <c r="BC18" i="18"/>
  <c r="AY18" i="18"/>
  <c r="AU18" i="18"/>
  <c r="AS18" i="18"/>
  <c r="AR18" i="18"/>
  <c r="AQ18" i="18"/>
  <c r="AI18" i="18"/>
  <c r="AH18" i="18"/>
  <c r="BH17" i="18"/>
  <c r="BG17" i="18"/>
  <c r="AZ17" i="18"/>
  <c r="AY17" i="18"/>
  <c r="AT17" i="18"/>
  <c r="AP17" i="18"/>
  <c r="AM17" i="18"/>
  <c r="AI17" i="18"/>
  <c r="AH17" i="18"/>
  <c r="BJ16" i="18"/>
  <c r="BH16" i="18"/>
  <c r="BG16" i="18"/>
  <c r="BA16" i="18"/>
  <c r="AZ16" i="18"/>
  <c r="AU16" i="18"/>
  <c r="AS16" i="18"/>
  <c r="AI16" i="18"/>
  <c r="AH16" i="18"/>
  <c r="AI15" i="18"/>
  <c r="AH15" i="18"/>
  <c r="AI14" i="18"/>
  <c r="AH14" i="18"/>
  <c r="AI13" i="18"/>
  <c r="AH13" i="18"/>
  <c r="AL12" i="18"/>
  <c r="AI12" i="18"/>
  <c r="AH12" i="18"/>
  <c r="AI11" i="18"/>
  <c r="AH11" i="18"/>
  <c r="AG6" i="18"/>
  <c r="AE5" i="18"/>
  <c r="AD5" i="18"/>
  <c r="AC5" i="18"/>
  <c r="AB5" i="18"/>
  <c r="AA5" i="18"/>
  <c r="Q5" i="18"/>
  <c r="L5" i="18"/>
  <c r="I5" i="18"/>
  <c r="H5" i="18"/>
  <c r="E5" i="18"/>
  <c r="AG4" i="18"/>
  <c r="K4" i="18"/>
  <c r="E4" i="18"/>
  <c r="H4" i="18" s="1"/>
  <c r="B4" i="18"/>
  <c r="D258" i="18" s="1"/>
  <c r="AG3" i="18"/>
  <c r="AG2" i="18"/>
  <c r="O246" i="19" l="1"/>
  <c r="M251" i="19"/>
  <c r="L252" i="19"/>
  <c r="L118" i="19"/>
  <c r="BG22" i="18"/>
  <c r="AA97" i="18"/>
  <c r="AA99" i="18" s="1"/>
  <c r="Y5" i="18"/>
  <c r="BF22" i="18"/>
  <c r="Z97" i="18"/>
  <c r="Z99" i="18" s="1"/>
  <c r="Y107" i="18"/>
  <c r="Y108" i="18" s="1"/>
  <c r="X5" i="18"/>
  <c r="Y97" i="18"/>
  <c r="Y99" i="18" s="1"/>
  <c r="Y100" i="18" s="1"/>
  <c r="Y7" i="18" s="1"/>
  <c r="X107" i="18"/>
  <c r="BE23" i="18" s="1"/>
  <c r="BE19" i="18"/>
  <c r="W5" i="18"/>
  <c r="X97" i="18"/>
  <c r="X99" i="18" s="1"/>
  <c r="X100" i="18" s="1"/>
  <c r="X7" i="18" s="1"/>
  <c r="W107" i="18"/>
  <c r="W108" i="18" s="1"/>
  <c r="V5" i="18"/>
  <c r="V107" i="18"/>
  <c r="BD23" i="18" s="1"/>
  <c r="V97" i="18"/>
  <c r="V99" i="18" s="1"/>
  <c r="V100" i="18" s="1"/>
  <c r="V7" i="18" s="1"/>
  <c r="U5" i="18"/>
  <c r="V108" i="18"/>
  <c r="T5" i="18"/>
  <c r="U108" i="18"/>
  <c r="BA19" i="18"/>
  <c r="AI102" i="18"/>
  <c r="S97" i="18"/>
  <c r="S99" i="18" s="1"/>
  <c r="BA22" i="18"/>
  <c r="P5" i="18"/>
  <c r="Q107" i="18"/>
  <c r="AY23" i="18" s="1"/>
  <c r="Q97" i="18"/>
  <c r="Q99" i="18" s="1"/>
  <c r="O5" i="18"/>
  <c r="P107" i="18"/>
  <c r="AX23" i="18" s="1"/>
  <c r="P97" i="18"/>
  <c r="P99" i="18" s="1"/>
  <c r="AH102" i="18"/>
  <c r="O107" i="18"/>
  <c r="AW23" i="18" s="1"/>
  <c r="N5" i="18"/>
  <c r="N107" i="18"/>
  <c r="AV23" i="18" s="1"/>
  <c r="AV19" i="18"/>
  <c r="M5" i="18"/>
  <c r="N97" i="18"/>
  <c r="N99" i="18" s="1"/>
  <c r="N100" i="18" s="1"/>
  <c r="N7" i="18" s="1"/>
  <c r="M108" i="18"/>
  <c r="J97" i="18"/>
  <c r="J99" i="18" s="1"/>
  <c r="J5" i="18"/>
  <c r="AT22" i="18"/>
  <c r="K97" i="18"/>
  <c r="K99" i="18" s="1"/>
  <c r="I97" i="18"/>
  <c r="I99" i="18" s="1"/>
  <c r="I100" i="18" s="1"/>
  <c r="I7" i="18" s="1"/>
  <c r="AS22" i="18"/>
  <c r="AS24" i="18" s="1"/>
  <c r="H97" i="18"/>
  <c r="H99" i="18" s="1"/>
  <c r="H100" i="18" s="1"/>
  <c r="H7" i="18" s="1"/>
  <c r="H108" i="18"/>
  <c r="F5" i="18"/>
  <c r="G107" i="18"/>
  <c r="AQ22" i="18"/>
  <c r="F107" i="18"/>
  <c r="AQ23" i="18" s="1"/>
  <c r="F108" i="18"/>
  <c r="D5" i="18"/>
  <c r="E108" i="18"/>
  <c r="AP22" i="18"/>
  <c r="AP24" i="18" s="1"/>
  <c r="AH104" i="18"/>
  <c r="B5" i="18"/>
  <c r="C97" i="18"/>
  <c r="C99" i="18" s="1"/>
  <c r="AN16" i="18"/>
  <c r="AN22" i="18" s="1"/>
  <c r="AM19" i="18"/>
  <c r="AL13" i="18"/>
  <c r="BC22" i="18"/>
  <c r="BC24" i="18" s="1"/>
  <c r="M97" i="18"/>
  <c r="M99" i="18" s="1"/>
  <c r="M100" i="18" s="1"/>
  <c r="M7" i="18" s="1"/>
  <c r="U97" i="18"/>
  <c r="U99" i="18" s="1"/>
  <c r="U100" i="18" s="1"/>
  <c r="U7" i="18" s="1"/>
  <c r="AC7" i="18"/>
  <c r="AF7" i="18"/>
  <c r="AR16" i="18"/>
  <c r="AR22" i="18" s="1"/>
  <c r="G97" i="18"/>
  <c r="G99" i="18" s="1"/>
  <c r="AW16" i="18"/>
  <c r="AW22" i="18" s="1"/>
  <c r="O97" i="18"/>
  <c r="O99" i="18" s="1"/>
  <c r="W97" i="18"/>
  <c r="W99" i="18" s="1"/>
  <c r="W100" i="18" s="1"/>
  <c r="W7" i="18" s="1"/>
  <c r="AE7" i="18"/>
  <c r="BI16" i="18"/>
  <c r="BI22" i="18" s="1"/>
  <c r="BI24" i="18" s="1"/>
  <c r="AU22" i="18"/>
  <c r="AU24" i="18" s="1"/>
  <c r="AI62" i="18"/>
  <c r="AV22" i="18"/>
  <c r="AV24" i="18" s="1"/>
  <c r="BH22" i="18"/>
  <c r="BH24" i="18" s="1"/>
  <c r="AM18" i="18"/>
  <c r="AM22" i="18" s="1"/>
  <c r="AI76" i="18"/>
  <c r="AH76" i="18"/>
  <c r="AH80" i="18"/>
  <c r="AZ22" i="18"/>
  <c r="BJ22" i="18"/>
  <c r="BJ24" i="18" s="1"/>
  <c r="AI58" i="18"/>
  <c r="J100" i="18"/>
  <c r="J7" i="18" s="1"/>
  <c r="R7" i="18"/>
  <c r="AI80" i="18"/>
  <c r="BD22" i="18"/>
  <c r="BD24" i="18" s="1"/>
  <c r="B97" i="18"/>
  <c r="D108" i="18"/>
  <c r="AO19" i="18"/>
  <c r="AO22" i="18" s="1"/>
  <c r="AO24" i="18" s="1"/>
  <c r="C5" i="18"/>
  <c r="K5" i="18"/>
  <c r="BB19" i="18"/>
  <c r="BB22" i="18" s="1"/>
  <c r="S5" i="18"/>
  <c r="AI103" i="18"/>
  <c r="BG84" i="18" a="1"/>
  <c r="AH103" i="18"/>
  <c r="AI104" i="18"/>
  <c r="AI105" i="18"/>
  <c r="AH105" i="18"/>
  <c r="E97" i="18"/>
  <c r="E99" i="18" s="1"/>
  <c r="E100" i="18" s="1"/>
  <c r="E7" i="18" s="1"/>
  <c r="AI101" i="18"/>
  <c r="J107" i="18"/>
  <c r="J108" i="18" s="1"/>
  <c r="AZ23" i="18"/>
  <c r="Z107" i="18"/>
  <c r="BF23" i="18" s="1"/>
  <c r="D252" i="18"/>
  <c r="E247" i="18"/>
  <c r="BE16" i="18"/>
  <c r="BE22" i="18" s="1"/>
  <c r="BE24" i="18" s="1"/>
  <c r="AH58" i="18"/>
  <c r="AH62" i="18"/>
  <c r="F97" i="18"/>
  <c r="F99" i="18" s="1"/>
  <c r="F100" i="18" s="1"/>
  <c r="F7" i="18" s="1"/>
  <c r="C107" i="18"/>
  <c r="K107" i="18"/>
  <c r="S107" i="18"/>
  <c r="AA107" i="18"/>
  <c r="AA108" i="18" s="1"/>
  <c r="AX16" i="18"/>
  <c r="AX22" i="18" s="1"/>
  <c r="AX24" i="18" s="1"/>
  <c r="D107" i="18"/>
  <c r="AO23" i="18" s="1"/>
  <c r="L107" i="18"/>
  <c r="L108" i="18" s="1"/>
  <c r="T107" i="18"/>
  <c r="BB23" i="18" s="1"/>
  <c r="H246" i="18"/>
  <c r="G118" i="18"/>
  <c r="AY16" i="18"/>
  <c r="AY22" i="18" s="1"/>
  <c r="AY24" i="18" s="1"/>
  <c r="D97" i="18"/>
  <c r="D99" i="18" s="1"/>
  <c r="L97" i="18"/>
  <c r="L99" i="18" s="1"/>
  <c r="T97" i="18"/>
  <c r="T99" i="18" s="1"/>
  <c r="AB7" i="18"/>
  <c r="I108" i="18"/>
  <c r="AI92" i="18"/>
  <c r="AH92" i="18"/>
  <c r="AH101" i="18"/>
  <c r="B107" i="18"/>
  <c r="B108" i="18" s="1"/>
  <c r="F118" i="18"/>
  <c r="N251" i="19" l="1"/>
  <c r="M118" i="19"/>
  <c r="M252" i="19"/>
  <c r="P246" i="19"/>
  <c r="S100" i="18"/>
  <c r="S7" i="18" s="1"/>
  <c r="Z108" i="18"/>
  <c r="BF24" i="18"/>
  <c r="X108" i="18"/>
  <c r="BB24" i="18"/>
  <c r="T100" i="18"/>
  <c r="T7" i="18" s="1"/>
  <c r="Q100" i="18"/>
  <c r="Q7" i="18" s="1"/>
  <c r="P100" i="18"/>
  <c r="P7" i="18" s="1"/>
  <c r="O100" i="18"/>
  <c r="O7" i="18" s="1"/>
  <c r="AW24" i="18"/>
  <c r="N108" i="18"/>
  <c r="L100" i="18"/>
  <c r="L7" i="18" s="1"/>
  <c r="K100" i="18"/>
  <c r="K7" i="18" s="1"/>
  <c r="G108" i="18"/>
  <c r="AR23" i="18"/>
  <c r="AR24" i="18" s="1"/>
  <c r="AQ24" i="18"/>
  <c r="D100" i="18"/>
  <c r="D7" i="18" s="1"/>
  <c r="C100" i="18"/>
  <c r="C7" i="18" s="1"/>
  <c r="AI107" i="18"/>
  <c r="AH107" i="18"/>
  <c r="AM23" i="18"/>
  <c r="AM24" i="18" s="1"/>
  <c r="F247" i="18"/>
  <c r="E252" i="18"/>
  <c r="C256" i="18"/>
  <c r="B256" i="18"/>
  <c r="G100" i="18"/>
  <c r="G7" i="18" s="1"/>
  <c r="AA100" i="18"/>
  <c r="AA7" i="18" s="1"/>
  <c r="BA23" i="18"/>
  <c r="BA24" i="18" s="1"/>
  <c r="BG23" i="18"/>
  <c r="BG24" i="18" s="1"/>
  <c r="C108" i="18"/>
  <c r="AN23" i="18"/>
  <c r="AN24" i="18" s="1"/>
  <c r="AT8" i="18"/>
  <c r="AZ24" i="18"/>
  <c r="BH107" i="18"/>
  <c r="BL105" i="18"/>
  <c r="BJ104" i="18"/>
  <c r="BH103" i="18"/>
  <c r="BL101" i="18"/>
  <c r="BJ100" i="18"/>
  <c r="BH99" i="18"/>
  <c r="BL97" i="18"/>
  <c r="BJ96" i="18"/>
  <c r="BH95" i="18"/>
  <c r="BL93" i="18"/>
  <c r="BJ92" i="18"/>
  <c r="BH91" i="18"/>
  <c r="BL89" i="18"/>
  <c r="BJ88" i="18"/>
  <c r="BH87" i="18"/>
  <c r="BL85" i="18"/>
  <c r="BJ84" i="18"/>
  <c r="BL107" i="18"/>
  <c r="BJ106" i="18"/>
  <c r="BH105" i="18"/>
  <c r="BL103" i="18"/>
  <c r="BJ102" i="18"/>
  <c r="BH101" i="18"/>
  <c r="BL99" i="18"/>
  <c r="BJ98" i="18"/>
  <c r="BH97" i="18"/>
  <c r="BL95" i="18"/>
  <c r="BJ94" i="18"/>
  <c r="BH93" i="18"/>
  <c r="BL91" i="18"/>
  <c r="BJ90" i="18"/>
  <c r="BH89" i="18"/>
  <c r="BL87" i="18"/>
  <c r="BJ86" i="18"/>
  <c r="BH85" i="18"/>
  <c r="BJ107" i="18"/>
  <c r="BK105" i="18"/>
  <c r="BG104" i="18"/>
  <c r="BH102" i="18"/>
  <c r="BI100" i="18"/>
  <c r="BK98" i="18"/>
  <c r="BL96" i="18"/>
  <c r="BG95" i="18"/>
  <c r="BI93" i="18"/>
  <c r="BJ91" i="18"/>
  <c r="BK89" i="18"/>
  <c r="BG88" i="18"/>
  <c r="BH86" i="18"/>
  <c r="BI84" i="18"/>
  <c r="BI107" i="18"/>
  <c r="BJ105" i="18"/>
  <c r="BK103" i="18"/>
  <c r="BG102" i="18"/>
  <c r="BH100" i="18"/>
  <c r="BI98" i="18"/>
  <c r="BK96" i="18"/>
  <c r="BL94" i="18"/>
  <c r="BG93" i="18"/>
  <c r="BI91" i="18"/>
  <c r="BJ89" i="18"/>
  <c r="BK87" i="18"/>
  <c r="BG86" i="18"/>
  <c r="BH84" i="18"/>
  <c r="BG107" i="18"/>
  <c r="BI105" i="18"/>
  <c r="BJ103" i="18"/>
  <c r="BK101" i="18"/>
  <c r="BG100" i="18"/>
  <c r="BH98" i="18"/>
  <c r="BI96" i="18"/>
  <c r="BK94" i="18"/>
  <c r="BL92" i="18"/>
  <c r="BG91" i="18"/>
  <c r="BI89" i="18"/>
  <c r="BJ87" i="18"/>
  <c r="BK85" i="18"/>
  <c r="BG84" i="18"/>
  <c r="BL106" i="18"/>
  <c r="BG105" i="18"/>
  <c r="BI103" i="18"/>
  <c r="BJ101" i="18"/>
  <c r="BK99" i="18"/>
  <c r="BG98" i="18"/>
  <c r="BH96" i="18"/>
  <c r="BI94" i="18"/>
  <c r="BK92" i="18"/>
  <c r="BL90" i="18"/>
  <c r="BG89" i="18"/>
  <c r="BI87" i="18"/>
  <c r="BJ85" i="18"/>
  <c r="BK106" i="18"/>
  <c r="BL104" i="18"/>
  <c r="BG103" i="18"/>
  <c r="BI101" i="18"/>
  <c r="BJ99" i="18"/>
  <c r="BK97" i="18"/>
  <c r="BG96" i="18"/>
  <c r="BH94" i="18"/>
  <c r="BI92" i="18"/>
  <c r="BK90" i="18"/>
  <c r="BL88" i="18"/>
  <c r="BG87" i="18"/>
  <c r="BI85" i="18"/>
  <c r="BI106" i="18"/>
  <c r="BK104" i="18"/>
  <c r="BL102" i="18"/>
  <c r="BG101" i="18"/>
  <c r="BI99" i="18"/>
  <c r="BJ97" i="18"/>
  <c r="BK95" i="18"/>
  <c r="BG94" i="18"/>
  <c r="BH92" i="18"/>
  <c r="BI90" i="18"/>
  <c r="BK88" i="18"/>
  <c r="BL86" i="18"/>
  <c r="BG85" i="18"/>
  <c r="BK107" i="18"/>
  <c r="BG106" i="18"/>
  <c r="BH104" i="18"/>
  <c r="BI102" i="18"/>
  <c r="BK100" i="18"/>
  <c r="BL98" i="18"/>
  <c r="BG97" i="18"/>
  <c r="BI95" i="18"/>
  <c r="BJ93" i="18"/>
  <c r="BK91" i="18"/>
  <c r="BG90" i="18"/>
  <c r="BH88" i="18"/>
  <c r="BI86" i="18"/>
  <c r="BK84" i="18"/>
  <c r="BK93" i="18"/>
  <c r="BH106" i="18"/>
  <c r="BG92" i="18"/>
  <c r="BI97" i="18"/>
  <c r="BI104" i="18"/>
  <c r="BH90" i="18"/>
  <c r="BK102" i="18"/>
  <c r="BI88" i="18"/>
  <c r="BL100" i="18"/>
  <c r="BK86" i="18"/>
  <c r="BG99" i="18"/>
  <c r="BL84" i="18"/>
  <c r="BJ95" i="18"/>
  <c r="I246" i="18"/>
  <c r="H118" i="18"/>
  <c r="K108" i="18"/>
  <c r="AT23" i="18"/>
  <c r="AT24" i="18" s="1"/>
  <c r="AI97" i="18"/>
  <c r="AH97" i="18"/>
  <c r="B99" i="18"/>
  <c r="Z100" i="18"/>
  <c r="Z7" i="18" s="1"/>
  <c r="Q246" i="19" l="1"/>
  <c r="O251" i="19"/>
  <c r="N252" i="19"/>
  <c r="N118" i="19"/>
  <c r="AI108" i="18"/>
  <c r="AT9" i="18"/>
  <c r="G247" i="18"/>
  <c r="F252" i="18"/>
  <c r="J246" i="18"/>
  <c r="I118" i="18"/>
  <c r="AH108" i="18"/>
  <c r="B100" i="18"/>
  <c r="AI99" i="18"/>
  <c r="AH99" i="18"/>
  <c r="K6" i="18"/>
  <c r="P251" i="19" l="1"/>
  <c r="O118" i="19"/>
  <c r="O252" i="19"/>
  <c r="R246" i="19"/>
  <c r="AI100" i="18"/>
  <c r="B7" i="18"/>
  <c r="A7" i="18" s="1"/>
  <c r="AH100" i="18"/>
  <c r="J118" i="18"/>
  <c r="K246" i="18"/>
  <c r="H247" i="18"/>
  <c r="G252" i="18"/>
  <c r="S246" i="19" l="1"/>
  <c r="Q251" i="19"/>
  <c r="P252" i="19"/>
  <c r="K118" i="18"/>
  <c r="L246" i="18"/>
  <c r="I247" i="18"/>
  <c r="H252" i="18"/>
  <c r="R251" i="19" l="1"/>
  <c r="Q252" i="19"/>
  <c r="Q118" i="19"/>
  <c r="T246" i="19"/>
  <c r="J247" i="18"/>
  <c r="I252" i="18"/>
  <c r="M246" i="18"/>
  <c r="L118" i="18"/>
  <c r="U246" i="19" l="1"/>
  <c r="S251" i="19"/>
  <c r="R252" i="19"/>
  <c r="R118" i="19"/>
  <c r="N246" i="18"/>
  <c r="M118" i="18"/>
  <c r="K247" i="18"/>
  <c r="J252" i="18"/>
  <c r="T251" i="19" l="1"/>
  <c r="S118" i="19"/>
  <c r="S252" i="19"/>
  <c r="V246" i="19"/>
  <c r="L247" i="18"/>
  <c r="K252" i="18"/>
  <c r="O246" i="18"/>
  <c r="N118" i="18"/>
  <c r="W246" i="19" l="1"/>
  <c r="U251" i="19"/>
  <c r="T252" i="19"/>
  <c r="T118" i="19"/>
  <c r="P246" i="18"/>
  <c r="O118" i="18"/>
  <c r="M247" i="18"/>
  <c r="L252" i="18"/>
  <c r="AA118" i="17"/>
  <c r="AA105" i="17"/>
  <c r="AA104" i="17"/>
  <c r="AA103" i="17"/>
  <c r="AA102" i="17"/>
  <c r="AA101" i="17"/>
  <c r="AA107" i="17" s="1"/>
  <c r="AA92" i="17"/>
  <c r="AA80" i="17"/>
  <c r="AA76" i="17"/>
  <c r="AA62" i="17"/>
  <c r="AA58" i="17"/>
  <c r="AA97" i="17" s="1"/>
  <c r="AA99" i="17" s="1"/>
  <c r="Z58" i="17"/>
  <c r="Z62" i="17"/>
  <c r="Z76" i="17"/>
  <c r="Z80" i="17"/>
  <c r="Z92" i="17"/>
  <c r="Z101" i="17"/>
  <c r="Z102" i="17"/>
  <c r="Z103" i="17"/>
  <c r="Z104" i="17"/>
  <c r="Z105" i="17"/>
  <c r="Z118" i="17"/>
  <c r="Y58" i="17"/>
  <c r="Y62" i="17"/>
  <c r="Y76" i="17"/>
  <c r="Y80" i="17"/>
  <c r="Y92" i="17"/>
  <c r="Y101" i="17"/>
  <c r="Y102" i="17"/>
  <c r="Y103" i="17"/>
  <c r="Y104" i="17"/>
  <c r="Y105" i="17"/>
  <c r="Y118" i="17"/>
  <c r="X58" i="17"/>
  <c r="X62" i="17"/>
  <c r="X76" i="17"/>
  <c r="X80" i="17"/>
  <c r="X92" i="17"/>
  <c r="X101" i="17"/>
  <c r="X102" i="17"/>
  <c r="X103" i="17"/>
  <c r="X104" i="17"/>
  <c r="X105" i="17"/>
  <c r="X118" i="17"/>
  <c r="V251" i="19" l="1"/>
  <c r="U118" i="19"/>
  <c r="U252" i="19"/>
  <c r="X246" i="19"/>
  <c r="N247" i="18"/>
  <c r="M252" i="18"/>
  <c r="Q246" i="18"/>
  <c r="AA108" i="17"/>
  <c r="AA100" i="17"/>
  <c r="Z107" i="17"/>
  <c r="Z108" i="17" s="1"/>
  <c r="Z97" i="17"/>
  <c r="Z99" i="17" s="1"/>
  <c r="Y107" i="17"/>
  <c r="Y108" i="17" s="1"/>
  <c r="Y97" i="17"/>
  <c r="Y99" i="17" s="1"/>
  <c r="X107" i="17"/>
  <c r="X108" i="17" s="1"/>
  <c r="X97" i="17"/>
  <c r="X99" i="17" s="1"/>
  <c r="Y246" i="19" l="1"/>
  <c r="W251" i="19"/>
  <c r="V252" i="19"/>
  <c r="V118" i="19"/>
  <c r="Q118" i="18"/>
  <c r="R246" i="18"/>
  <c r="O247" i="18"/>
  <c r="N252" i="18"/>
  <c r="Z100" i="17"/>
  <c r="Y100" i="17"/>
  <c r="X100" i="17"/>
  <c r="X251" i="19" l="1"/>
  <c r="W252" i="19"/>
  <c r="W118" i="19"/>
  <c r="Z246" i="19"/>
  <c r="P247" i="18"/>
  <c r="O252" i="18"/>
  <c r="S246" i="18"/>
  <c r="R118" i="18"/>
  <c r="AA246" i="19" l="1"/>
  <c r="Y251" i="19"/>
  <c r="X252" i="19"/>
  <c r="X118" i="19"/>
  <c r="S118" i="18"/>
  <c r="T246" i="18"/>
  <c r="Q247" i="18"/>
  <c r="P252" i="18"/>
  <c r="Z251" i="19" l="1"/>
  <c r="Y252" i="19"/>
  <c r="AB246" i="19"/>
  <c r="R247" i="18"/>
  <c r="Q252" i="18"/>
  <c r="T118" i="18"/>
  <c r="U246" i="18"/>
  <c r="AC246" i="19" l="1"/>
  <c r="AA251" i="19"/>
  <c r="Z252" i="19"/>
  <c r="U118" i="18"/>
  <c r="V246" i="18"/>
  <c r="S247" i="18"/>
  <c r="R252" i="18"/>
  <c r="AB251" i="19" l="1"/>
  <c r="AA252" i="19"/>
  <c r="AA118" i="19"/>
  <c r="AD246" i="19"/>
  <c r="T247" i="18"/>
  <c r="S252" i="18"/>
  <c r="W246" i="18"/>
  <c r="V118" i="18"/>
  <c r="AE246" i="19" l="1"/>
  <c r="AC251" i="19"/>
  <c r="AB252" i="19"/>
  <c r="AB118" i="19"/>
  <c r="X246" i="18"/>
  <c r="W118" i="18"/>
  <c r="U247" i="18"/>
  <c r="T252" i="18"/>
  <c r="AD251" i="19" l="1"/>
  <c r="AC118" i="19"/>
  <c r="AC252" i="19"/>
  <c r="AF246" i="19"/>
  <c r="V247" i="18"/>
  <c r="U252" i="18"/>
  <c r="Y246" i="18"/>
  <c r="X118" i="18"/>
  <c r="B246" i="19" l="1"/>
  <c r="AE251" i="19"/>
  <c r="AD252" i="19"/>
  <c r="AD118" i="19"/>
  <c r="W247" i="18"/>
  <c r="V252" i="18"/>
  <c r="Z246" i="18"/>
  <c r="AF251" i="19" l="1"/>
  <c r="AE252" i="19"/>
  <c r="AE118" i="19"/>
  <c r="AA246" i="18"/>
  <c r="X247" i="18"/>
  <c r="W252" i="18"/>
  <c r="B251" i="19" l="1"/>
  <c r="AF252" i="19"/>
  <c r="AF118" i="19"/>
  <c r="AA118" i="18"/>
  <c r="AB246" i="18"/>
  <c r="Y247" i="18"/>
  <c r="X252" i="18"/>
  <c r="B252" i="19" l="1"/>
  <c r="Z247" i="18"/>
  <c r="Y252" i="18"/>
  <c r="AC246" i="18"/>
  <c r="AI118" i="19" l="1"/>
  <c r="AH118" i="19"/>
  <c r="AD246" i="18"/>
  <c r="AA247" i="18"/>
  <c r="Z252" i="18"/>
  <c r="AE246" i="18" l="1"/>
  <c r="AB247" i="18"/>
  <c r="AA252" i="18"/>
  <c r="AC247" i="18" l="1"/>
  <c r="AB252" i="18"/>
  <c r="AF246" i="18"/>
  <c r="B246" i="18" l="1"/>
  <c r="AD247" i="18"/>
  <c r="AC252" i="18"/>
  <c r="AE247" i="18" l="1"/>
  <c r="AD252" i="18"/>
  <c r="B118" i="18"/>
  <c r="AI118" i="18" l="1"/>
  <c r="AH118" i="18"/>
  <c r="AF247" i="18"/>
  <c r="AE252" i="18"/>
  <c r="B247" i="18" l="1"/>
  <c r="B252" i="18" s="1"/>
  <c r="AF252" i="18"/>
  <c r="W121" i="17" l="1"/>
  <c r="W57" i="17"/>
  <c r="V58" i="17"/>
  <c r="V62" i="17"/>
  <c r="V76" i="17"/>
  <c r="V80" i="17"/>
  <c r="V92" i="17"/>
  <c r="V101" i="17"/>
  <c r="V102" i="17"/>
  <c r="V103" i="17"/>
  <c r="V104" i="17"/>
  <c r="V105" i="17"/>
  <c r="V118" i="17"/>
  <c r="U58" i="17"/>
  <c r="U62" i="17"/>
  <c r="U76" i="17"/>
  <c r="U80" i="17"/>
  <c r="U92" i="17"/>
  <c r="U101" i="17"/>
  <c r="U102" i="17"/>
  <c r="U103" i="17"/>
  <c r="U104" i="17"/>
  <c r="U105" i="17"/>
  <c r="U118" i="17"/>
  <c r="V107" i="17" l="1"/>
  <c r="V108" i="17" s="1"/>
  <c r="V97" i="17"/>
  <c r="V99" i="17" s="1"/>
  <c r="U107" i="17"/>
  <c r="U108" i="17" s="1"/>
  <c r="U97" i="17"/>
  <c r="U99" i="17" s="1"/>
  <c r="U100" i="17" s="1"/>
  <c r="V100" i="17" l="1"/>
  <c r="T76" i="17" l="1"/>
  <c r="T80" i="17"/>
  <c r="T92" i="17"/>
  <c r="T101" i="17"/>
  <c r="T102" i="17"/>
  <c r="T103" i="17"/>
  <c r="T104" i="17"/>
  <c r="T105" i="17"/>
  <c r="T118" i="17"/>
  <c r="T58" i="17"/>
  <c r="T62" i="17"/>
  <c r="S58" i="17"/>
  <c r="S62" i="17"/>
  <c r="S76" i="17"/>
  <c r="S80" i="17"/>
  <c r="S92" i="17"/>
  <c r="S101" i="17"/>
  <c r="S107" i="17" s="1"/>
  <c r="S102" i="17"/>
  <c r="S103" i="17"/>
  <c r="S104" i="17"/>
  <c r="S105" i="17"/>
  <c r="S118" i="17"/>
  <c r="T107" i="17" l="1"/>
  <c r="T108" i="17" s="1"/>
  <c r="T97" i="17"/>
  <c r="T99" i="17" s="1"/>
  <c r="S108" i="17"/>
  <c r="S97" i="17"/>
  <c r="S99" i="17" s="1"/>
  <c r="S100" i="17" s="1"/>
  <c r="T100" i="17" l="1"/>
  <c r="R121" i="17"/>
  <c r="R57" i="17"/>
  <c r="R58" i="17"/>
  <c r="Q121" i="17" l="1"/>
  <c r="Q57" i="17"/>
  <c r="P121" i="17" l="1"/>
  <c r="P57" i="17"/>
  <c r="P58" i="17"/>
  <c r="P62" i="17"/>
  <c r="O121" i="17"/>
  <c r="O57" i="17"/>
  <c r="O58" i="17"/>
  <c r="O62" i="17"/>
  <c r="N121" i="17" l="1"/>
  <c r="N57" i="17" l="1"/>
  <c r="M121" i="17"/>
  <c r="M57" i="17"/>
  <c r="AH125" i="17" l="1"/>
  <c r="AI125" i="17"/>
  <c r="AH124" i="17"/>
  <c r="AI124" i="17"/>
  <c r="AG252" i="17"/>
  <c r="C252" i="17"/>
  <c r="E251" i="17"/>
  <c r="F251" i="17" s="1"/>
  <c r="G251" i="17" s="1"/>
  <c r="H251" i="17" s="1"/>
  <c r="I251" i="17" s="1"/>
  <c r="J251" i="17" s="1"/>
  <c r="K251" i="17" s="1"/>
  <c r="L251" i="17" s="1"/>
  <c r="M251" i="17" s="1"/>
  <c r="N251" i="17" s="1"/>
  <c r="O251" i="17" s="1"/>
  <c r="P251" i="17" s="1"/>
  <c r="Q251" i="17" s="1"/>
  <c r="R251" i="17" s="1"/>
  <c r="S251" i="17" s="1"/>
  <c r="T251" i="17" s="1"/>
  <c r="U251" i="17" s="1"/>
  <c r="V251" i="17" s="1"/>
  <c r="W251" i="17" s="1"/>
  <c r="X251" i="17" s="1"/>
  <c r="Y251" i="17" s="1"/>
  <c r="Z251" i="17" s="1"/>
  <c r="AA251" i="17" s="1"/>
  <c r="AB251" i="17" s="1"/>
  <c r="AC251" i="17" s="1"/>
  <c r="AD251" i="17" s="1"/>
  <c r="AE251" i="17" s="1"/>
  <c r="AF251" i="17" s="1"/>
  <c r="B251" i="17" s="1"/>
  <c r="D251" i="17"/>
  <c r="D118" i="17" s="1"/>
  <c r="D250" i="17"/>
  <c r="E250" i="17" s="1"/>
  <c r="F250" i="17" s="1"/>
  <c r="G250" i="17" s="1"/>
  <c r="H250" i="17" s="1"/>
  <c r="I250" i="17" s="1"/>
  <c r="J250" i="17" s="1"/>
  <c r="K250" i="17" s="1"/>
  <c r="L250" i="17" s="1"/>
  <c r="M250" i="17" s="1"/>
  <c r="N250" i="17" s="1"/>
  <c r="O250" i="17" s="1"/>
  <c r="P250" i="17" s="1"/>
  <c r="Q250" i="17" s="1"/>
  <c r="R250" i="17" s="1"/>
  <c r="S250" i="17" s="1"/>
  <c r="T250" i="17" s="1"/>
  <c r="U250" i="17" s="1"/>
  <c r="V250" i="17" s="1"/>
  <c r="W250" i="17" s="1"/>
  <c r="X250" i="17" s="1"/>
  <c r="Y250" i="17" s="1"/>
  <c r="Z250" i="17" s="1"/>
  <c r="AA250" i="17" s="1"/>
  <c r="AB250" i="17" s="1"/>
  <c r="AC250" i="17" s="1"/>
  <c r="AD250" i="17" s="1"/>
  <c r="AE250" i="17" s="1"/>
  <c r="AF250" i="17" s="1"/>
  <c r="B250" i="17" s="1"/>
  <c r="D249" i="17"/>
  <c r="E249" i="17" s="1"/>
  <c r="F249" i="17" s="1"/>
  <c r="G249" i="17" s="1"/>
  <c r="H249" i="17" s="1"/>
  <c r="I249" i="17" s="1"/>
  <c r="J249" i="17" s="1"/>
  <c r="K249" i="17" s="1"/>
  <c r="L249" i="17" s="1"/>
  <c r="M249" i="17" s="1"/>
  <c r="N249" i="17" s="1"/>
  <c r="O249" i="17" s="1"/>
  <c r="P249" i="17" s="1"/>
  <c r="Q249" i="17" s="1"/>
  <c r="R249" i="17" s="1"/>
  <c r="S249" i="17" s="1"/>
  <c r="T249" i="17" s="1"/>
  <c r="U249" i="17" s="1"/>
  <c r="V249" i="17" s="1"/>
  <c r="W249" i="17" s="1"/>
  <c r="X249" i="17" s="1"/>
  <c r="Y249" i="17" s="1"/>
  <c r="Z249" i="17" s="1"/>
  <c r="AA249" i="17" s="1"/>
  <c r="AB249" i="17" s="1"/>
  <c r="AC249" i="17" s="1"/>
  <c r="AD249" i="17" s="1"/>
  <c r="AE249" i="17" s="1"/>
  <c r="AF249" i="17" s="1"/>
  <c r="B249" i="17" s="1"/>
  <c r="D248" i="17"/>
  <c r="E248" i="17" s="1"/>
  <c r="F248" i="17" s="1"/>
  <c r="G248" i="17" s="1"/>
  <c r="H248" i="17" s="1"/>
  <c r="I248" i="17" s="1"/>
  <c r="J248" i="17" s="1"/>
  <c r="K248" i="17" s="1"/>
  <c r="L248" i="17" s="1"/>
  <c r="M248" i="17" s="1"/>
  <c r="N248" i="17" s="1"/>
  <c r="O248" i="17" s="1"/>
  <c r="P248" i="17" s="1"/>
  <c r="Q248" i="17" s="1"/>
  <c r="R248" i="17" s="1"/>
  <c r="S248" i="17" s="1"/>
  <c r="T248" i="17" s="1"/>
  <c r="U248" i="17" s="1"/>
  <c r="V248" i="17" s="1"/>
  <c r="W248" i="17" s="1"/>
  <c r="X248" i="17" s="1"/>
  <c r="Y248" i="17" s="1"/>
  <c r="Z248" i="17" s="1"/>
  <c r="AA248" i="17" s="1"/>
  <c r="AB248" i="17" s="1"/>
  <c r="AC248" i="17" s="1"/>
  <c r="AD248" i="17" s="1"/>
  <c r="AE248" i="17" s="1"/>
  <c r="AF248" i="17" s="1"/>
  <c r="B248" i="17" s="1"/>
  <c r="E247" i="17"/>
  <c r="D247" i="17"/>
  <c r="D246" i="17"/>
  <c r="E246" i="17" s="1"/>
  <c r="E118" i="17" s="1"/>
  <c r="AG244" i="17"/>
  <c r="AF244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I130" i="17"/>
  <c r="AH130" i="17"/>
  <c r="AI129" i="17"/>
  <c r="AH129" i="17"/>
  <c r="AI128" i="17"/>
  <c r="AH128" i="17"/>
  <c r="AI127" i="17"/>
  <c r="AH127" i="17"/>
  <c r="AI126" i="17"/>
  <c r="AH126" i="17"/>
  <c r="AI123" i="17"/>
  <c r="AH123" i="17"/>
  <c r="AI122" i="17"/>
  <c r="AH122" i="17"/>
  <c r="AI121" i="17"/>
  <c r="AH121" i="17"/>
  <c r="AI120" i="17"/>
  <c r="AH120" i="17"/>
  <c r="AI119" i="17"/>
  <c r="AH119" i="17"/>
  <c r="C118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I106" i="17"/>
  <c r="AH106" i="17"/>
  <c r="AF105" i="17"/>
  <c r="AE105" i="17"/>
  <c r="AD105" i="17"/>
  <c r="AC105" i="17"/>
  <c r="AB105" i="17"/>
  <c r="W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F104" i="17"/>
  <c r="AE104" i="17"/>
  <c r="AD104" i="17"/>
  <c r="AC104" i="17"/>
  <c r="AB104" i="17"/>
  <c r="W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AF103" i="17"/>
  <c r="AE103" i="17"/>
  <c r="AD103" i="17"/>
  <c r="AC103" i="17"/>
  <c r="AB103" i="17"/>
  <c r="W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B103" i="17"/>
  <c r="AF102" i="17"/>
  <c r="AE102" i="17"/>
  <c r="AD102" i="17"/>
  <c r="AC102" i="17"/>
  <c r="AB102" i="17"/>
  <c r="W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B102" i="17"/>
  <c r="AF101" i="17"/>
  <c r="AE101" i="17"/>
  <c r="AD101" i="17"/>
  <c r="AC101" i="17"/>
  <c r="AB101" i="17"/>
  <c r="W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B101" i="17"/>
  <c r="AI98" i="17"/>
  <c r="AH98" i="17"/>
  <c r="AI96" i="17"/>
  <c r="AH96" i="17"/>
  <c r="AG96" i="17"/>
  <c r="AI95" i="17"/>
  <c r="AH95" i="17"/>
  <c r="AI94" i="17"/>
  <c r="AH94" i="17"/>
  <c r="AI93" i="17"/>
  <c r="AH93" i="17"/>
  <c r="AG92" i="17"/>
  <c r="AF92" i="17"/>
  <c r="AE92" i="17"/>
  <c r="BI19" i="17" s="1"/>
  <c r="AD92" i="17"/>
  <c r="BH19" i="17" s="1"/>
  <c r="AC92" i="17"/>
  <c r="AB92" i="17"/>
  <c r="AA5" i="17" s="1"/>
  <c r="Z5" i="17"/>
  <c r="Y5" i="17"/>
  <c r="W92" i="17"/>
  <c r="V5" i="17" s="1"/>
  <c r="BD19" i="17"/>
  <c r="T5" i="17"/>
  <c r="R92" i="17"/>
  <c r="Q5" i="17" s="1"/>
  <c r="Q92" i="17"/>
  <c r="P5" i="17" s="1"/>
  <c r="P92" i="17"/>
  <c r="AX19" i="17" s="1"/>
  <c r="O92" i="17"/>
  <c r="N5" i="17" s="1"/>
  <c r="N92" i="17"/>
  <c r="AV19" i="17" s="1"/>
  <c r="M92" i="17"/>
  <c r="L5" i="17" s="1"/>
  <c r="L92" i="17"/>
  <c r="K5" i="17" s="1"/>
  <c r="K92" i="17"/>
  <c r="J5" i="17" s="1"/>
  <c r="J92" i="17"/>
  <c r="I5" i="17" s="1"/>
  <c r="I92" i="17"/>
  <c r="AS19" i="17" s="1"/>
  <c r="H92" i="17"/>
  <c r="G92" i="17"/>
  <c r="AR19" i="17" s="1"/>
  <c r="F92" i="17"/>
  <c r="E5" i="17" s="1"/>
  <c r="E92" i="17"/>
  <c r="D5" i="17" s="1"/>
  <c r="D92" i="17"/>
  <c r="AO19" i="17" s="1"/>
  <c r="C92" i="17"/>
  <c r="AN19" i="17" s="1"/>
  <c r="B92" i="17"/>
  <c r="AM19" i="17" s="1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I81" i="17"/>
  <c r="AH81" i="17"/>
  <c r="AG80" i="17"/>
  <c r="AF80" i="17"/>
  <c r="AE80" i="17"/>
  <c r="BI20" i="17" s="1"/>
  <c r="AD80" i="17"/>
  <c r="BH20" i="17" s="1"/>
  <c r="AC80" i="17"/>
  <c r="AB80" i="17"/>
  <c r="BF20" i="17"/>
  <c r="W80" i="17"/>
  <c r="BD20" i="17"/>
  <c r="R80" i="17"/>
  <c r="AZ20" i="17" s="1"/>
  <c r="Q80" i="17"/>
  <c r="AY20" i="17" s="1"/>
  <c r="P80" i="17"/>
  <c r="AX20" i="17" s="1"/>
  <c r="O80" i="17"/>
  <c r="AW20" i="17" s="1"/>
  <c r="N80" i="17"/>
  <c r="AV20" i="17" s="1"/>
  <c r="M80" i="17"/>
  <c r="L80" i="17"/>
  <c r="K80" i="17"/>
  <c r="J80" i="17"/>
  <c r="I80" i="17"/>
  <c r="AS20" i="17" s="1"/>
  <c r="H80" i="17"/>
  <c r="G80" i="17"/>
  <c r="AR20" i="17" s="1"/>
  <c r="F80" i="17"/>
  <c r="E80" i="17"/>
  <c r="D80" i="17"/>
  <c r="AO20" i="17" s="1"/>
  <c r="C80" i="17"/>
  <c r="B80" i="17"/>
  <c r="AM20" i="17" s="1"/>
  <c r="BT79" i="17"/>
  <c r="BL79" i="17"/>
  <c r="AI79" i="17"/>
  <c r="AH79" i="17"/>
  <c r="AI78" i="17"/>
  <c r="AH78" i="17"/>
  <c r="BN77" i="17"/>
  <c r="BH77" i="17"/>
  <c r="AI77" i="17"/>
  <c r="AH77" i="17"/>
  <c r="BJ76" i="17"/>
  <c r="BG76" i="17"/>
  <c r="AF76" i="17"/>
  <c r="BJ18" i="17" s="1"/>
  <c r="AE76" i="17"/>
  <c r="BI18" i="17" s="1"/>
  <c r="AD76" i="17"/>
  <c r="AC76" i="17"/>
  <c r="AB76" i="17"/>
  <c r="BG18" i="17" s="1"/>
  <c r="BE18" i="17"/>
  <c r="W76" i="17"/>
  <c r="BD18" i="17"/>
  <c r="BC18" i="17"/>
  <c r="BA18" i="17"/>
  <c r="R76" i="17"/>
  <c r="AZ18" i="17" s="1"/>
  <c r="Q76" i="17"/>
  <c r="AY18" i="17" s="1"/>
  <c r="P76" i="17"/>
  <c r="O76" i="17"/>
  <c r="AW18" i="17" s="1"/>
  <c r="N76" i="17"/>
  <c r="AV18" i="17" s="1"/>
  <c r="M76" i="17"/>
  <c r="AU18" i="17" s="1"/>
  <c r="L76" i="17"/>
  <c r="K76" i="17"/>
  <c r="AT18" i="17" s="1"/>
  <c r="J76" i="17"/>
  <c r="I76" i="17"/>
  <c r="AS18" i="17" s="1"/>
  <c r="H76" i="17"/>
  <c r="G76" i="17"/>
  <c r="AR18" i="17" s="1"/>
  <c r="F76" i="17"/>
  <c r="AQ18" i="17" s="1"/>
  <c r="E76" i="17"/>
  <c r="AP18" i="17" s="1"/>
  <c r="D76" i="17"/>
  <c r="AO18" i="17" s="1"/>
  <c r="C76" i="17"/>
  <c r="AN18" i="17" s="1"/>
  <c r="B76" i="17"/>
  <c r="AM18" i="17" s="1"/>
  <c r="AI75" i="17"/>
  <c r="AH75" i="17"/>
  <c r="AG75" i="17"/>
  <c r="AG76" i="17" s="1"/>
  <c r="AG3" i="17" s="1"/>
  <c r="AI74" i="17"/>
  <c r="AH74" i="17"/>
  <c r="BW73" i="17"/>
  <c r="BW80" i="17" s="1"/>
  <c r="BV73" i="17"/>
  <c r="BV80" i="17" s="1"/>
  <c r="BU73" i="17"/>
  <c r="BU80" i="17" s="1"/>
  <c r="BT73" i="17"/>
  <c r="BT80" i="17" s="1"/>
  <c r="BS73" i="17"/>
  <c r="BS80" i="17" s="1"/>
  <c r="BR73" i="17"/>
  <c r="BR80" i="17" s="1"/>
  <c r="BQ73" i="17"/>
  <c r="BQ80" i="17" s="1"/>
  <c r="BP73" i="17"/>
  <c r="BP80" i="17" s="1"/>
  <c r="BO73" i="17"/>
  <c r="BO80" i="17" s="1"/>
  <c r="BN73" i="17"/>
  <c r="BN80" i="17" s="1"/>
  <c r="BM73" i="17"/>
  <c r="BM80" i="17" s="1"/>
  <c r="BL73" i="17"/>
  <c r="BL80" i="17" s="1"/>
  <c r="BK73" i="17"/>
  <c r="BK80" i="17" s="1"/>
  <c r="BJ73" i="17"/>
  <c r="BJ80" i="17" s="1"/>
  <c r="BI73" i="17"/>
  <c r="BI80" i="17" s="1"/>
  <c r="BH73" i="17"/>
  <c r="BH80" i="17" s="1"/>
  <c r="BG73" i="17"/>
  <c r="BG80" i="17" s="1"/>
  <c r="BF73" i="17"/>
  <c r="BF80" i="17" s="1"/>
  <c r="BE73" i="17"/>
  <c r="BE80" i="17" s="1"/>
  <c r="BD73" i="17"/>
  <c r="BD80" i="17" s="1"/>
  <c r="BC73" i="17"/>
  <c r="BC80" i="17" s="1"/>
  <c r="BB73" i="17"/>
  <c r="BB80" i="17" s="1"/>
  <c r="BA73" i="17"/>
  <c r="BA80" i="17" s="1"/>
  <c r="AZ73" i="17"/>
  <c r="AZ80" i="17" s="1"/>
  <c r="AI73" i="17"/>
  <c r="AH73" i="17"/>
  <c r="BW72" i="17"/>
  <c r="BW79" i="17" s="1"/>
  <c r="BV72" i="17"/>
  <c r="BV79" i="17" s="1"/>
  <c r="BU72" i="17"/>
  <c r="BU79" i="17" s="1"/>
  <c r="BT72" i="17"/>
  <c r="BS72" i="17"/>
  <c r="BS79" i="17" s="1"/>
  <c r="BR72" i="17"/>
  <c r="BR79" i="17" s="1"/>
  <c r="BQ72" i="17"/>
  <c r="BQ79" i="17" s="1"/>
  <c r="BP72" i="17"/>
  <c r="BP79" i="17" s="1"/>
  <c r="BO72" i="17"/>
  <c r="BO79" i="17" s="1"/>
  <c r="BN72" i="17"/>
  <c r="BN79" i="17" s="1"/>
  <c r="BM72" i="17"/>
  <c r="BM79" i="17" s="1"/>
  <c r="BL72" i="17"/>
  <c r="BK72" i="17"/>
  <c r="BK79" i="17" s="1"/>
  <c r="BJ72" i="17"/>
  <c r="BJ79" i="17" s="1"/>
  <c r="BI72" i="17"/>
  <c r="BI79" i="17" s="1"/>
  <c r="BH72" i="17"/>
  <c r="BH79" i="17" s="1"/>
  <c r="BG72" i="17"/>
  <c r="BG79" i="17" s="1"/>
  <c r="BF72" i="17"/>
  <c r="BF79" i="17" s="1"/>
  <c r="BE72" i="17"/>
  <c r="BE79" i="17" s="1"/>
  <c r="BD72" i="17"/>
  <c r="BD79" i="17" s="1"/>
  <c r="BC72" i="17"/>
  <c r="BC79" i="17" s="1"/>
  <c r="BB72" i="17"/>
  <c r="BB79" i="17" s="1"/>
  <c r="BA72" i="17"/>
  <c r="BA79" i="17" s="1"/>
  <c r="AZ72" i="17"/>
  <c r="AZ79" i="17" s="1"/>
  <c r="AI72" i="17"/>
  <c r="AH72" i="17"/>
  <c r="BW71" i="17"/>
  <c r="BW78" i="17" s="1"/>
  <c r="BV71" i="17"/>
  <c r="BV78" i="17" s="1"/>
  <c r="BU71" i="17"/>
  <c r="BU78" i="17" s="1"/>
  <c r="BT71" i="17"/>
  <c r="BT78" i="17" s="1"/>
  <c r="BS71" i="17"/>
  <c r="BS78" i="17" s="1"/>
  <c r="BR71" i="17"/>
  <c r="BR78" i="17" s="1"/>
  <c r="BQ71" i="17"/>
  <c r="BQ78" i="17" s="1"/>
  <c r="BP71" i="17"/>
  <c r="BP78" i="17" s="1"/>
  <c r="BO71" i="17"/>
  <c r="BO78" i="17" s="1"/>
  <c r="BN71" i="17"/>
  <c r="BN78" i="17" s="1"/>
  <c r="BM71" i="17"/>
  <c r="BM78" i="17" s="1"/>
  <c r="BL71" i="17"/>
  <c r="BL78" i="17" s="1"/>
  <c r="BK71" i="17"/>
  <c r="BK78" i="17" s="1"/>
  <c r="BJ71" i="17"/>
  <c r="BJ78" i="17" s="1"/>
  <c r="BI71" i="17"/>
  <c r="BI78" i="17" s="1"/>
  <c r="BH71" i="17"/>
  <c r="BH78" i="17" s="1"/>
  <c r="BG71" i="17"/>
  <c r="BG78" i="17" s="1"/>
  <c r="BF71" i="17"/>
  <c r="BF78" i="17" s="1"/>
  <c r="BE71" i="17"/>
  <c r="BE78" i="17" s="1"/>
  <c r="BD71" i="17"/>
  <c r="BD78" i="17" s="1"/>
  <c r="BC71" i="17"/>
  <c r="BC78" i="17" s="1"/>
  <c r="BB71" i="17"/>
  <c r="BB78" i="17" s="1"/>
  <c r="BA71" i="17"/>
  <c r="BA78" i="17" s="1"/>
  <c r="AZ71" i="17"/>
  <c r="AZ78" i="17" s="1"/>
  <c r="AI71" i="17"/>
  <c r="AH71" i="17"/>
  <c r="BW70" i="17"/>
  <c r="BW77" i="17" s="1"/>
  <c r="BV70" i="17"/>
  <c r="BV77" i="17" s="1"/>
  <c r="BU70" i="17"/>
  <c r="BU77" i="17" s="1"/>
  <c r="BT70" i="17"/>
  <c r="BT77" i="17" s="1"/>
  <c r="BS70" i="17"/>
  <c r="BS77" i="17" s="1"/>
  <c r="BR70" i="17"/>
  <c r="BR77" i="17" s="1"/>
  <c r="BQ70" i="17"/>
  <c r="BQ77" i="17" s="1"/>
  <c r="BP70" i="17"/>
  <c r="BP77" i="17" s="1"/>
  <c r="BO70" i="17"/>
  <c r="BO77" i="17" s="1"/>
  <c r="BN70" i="17"/>
  <c r="BM70" i="17"/>
  <c r="BM77" i="17" s="1"/>
  <c r="BL70" i="17"/>
  <c r="BL77" i="17" s="1"/>
  <c r="BK70" i="17"/>
  <c r="BK77" i="17" s="1"/>
  <c r="BJ70" i="17"/>
  <c r="BJ77" i="17" s="1"/>
  <c r="BI70" i="17"/>
  <c r="BI77" i="17" s="1"/>
  <c r="BH70" i="17"/>
  <c r="BG70" i="17"/>
  <c r="BG77" i="17" s="1"/>
  <c r="BF70" i="17"/>
  <c r="BF77" i="17" s="1"/>
  <c r="BE70" i="17"/>
  <c r="BE77" i="17" s="1"/>
  <c r="BD70" i="17"/>
  <c r="BD77" i="17" s="1"/>
  <c r="BC70" i="17"/>
  <c r="BC77" i="17" s="1"/>
  <c r="BB70" i="17"/>
  <c r="BB77" i="17" s="1"/>
  <c r="BA70" i="17"/>
  <c r="BA77" i="17" s="1"/>
  <c r="AZ70" i="17"/>
  <c r="AZ77" i="17" s="1"/>
  <c r="AI70" i="17"/>
  <c r="AH70" i="17"/>
  <c r="BW69" i="17"/>
  <c r="BW76" i="17" s="1"/>
  <c r="BV69" i="17"/>
  <c r="BV76" i="17" s="1"/>
  <c r="BU69" i="17"/>
  <c r="BU76" i="17" s="1"/>
  <c r="BT69" i="17"/>
  <c r="BT76" i="17" s="1"/>
  <c r="BS69" i="17"/>
  <c r="BS76" i="17" s="1"/>
  <c r="BR69" i="17"/>
  <c r="BR76" i="17" s="1"/>
  <c r="BQ69" i="17"/>
  <c r="BQ76" i="17" s="1"/>
  <c r="BP69" i="17"/>
  <c r="BP76" i="17" s="1"/>
  <c r="BO69" i="17"/>
  <c r="BO76" i="17" s="1"/>
  <c r="BN69" i="17"/>
  <c r="BN76" i="17" s="1"/>
  <c r="BM69" i="17"/>
  <c r="BM76" i="17" s="1"/>
  <c r="BL69" i="17"/>
  <c r="BL76" i="17" s="1"/>
  <c r="BK69" i="17"/>
  <c r="BK76" i="17" s="1"/>
  <c r="BJ69" i="17"/>
  <c r="BI69" i="17"/>
  <c r="BI76" i="17" s="1"/>
  <c r="BH69" i="17"/>
  <c r="BH76" i="17" s="1"/>
  <c r="BG69" i="17"/>
  <c r="BF69" i="17"/>
  <c r="BF76" i="17" s="1"/>
  <c r="BE69" i="17"/>
  <c r="BE76" i="17" s="1"/>
  <c r="BD69" i="17"/>
  <c r="BD76" i="17" s="1"/>
  <c r="BC69" i="17"/>
  <c r="BC76" i="17" s="1"/>
  <c r="BB69" i="17"/>
  <c r="BB76" i="17" s="1"/>
  <c r="BA69" i="17"/>
  <c r="BA76" i="17" s="1"/>
  <c r="AZ69" i="17"/>
  <c r="AZ76" i="17" s="1"/>
  <c r="AI69" i="17"/>
  <c r="AH69" i="17"/>
  <c r="BW68" i="17"/>
  <c r="BW75" i="17" s="1"/>
  <c r="BV68" i="17"/>
  <c r="BV75" i="17" s="1"/>
  <c r="BU68" i="17"/>
  <c r="BU75" i="17" s="1"/>
  <c r="BT68" i="17"/>
  <c r="BT75" i="17" s="1"/>
  <c r="BS68" i="17"/>
  <c r="BS75" i="17" s="1"/>
  <c r="BR68" i="17"/>
  <c r="BR75" i="17" s="1"/>
  <c r="BQ68" i="17"/>
  <c r="BQ75" i="17" s="1"/>
  <c r="BP68" i="17"/>
  <c r="BP75" i="17" s="1"/>
  <c r="BO68" i="17"/>
  <c r="BO75" i="17" s="1"/>
  <c r="BN68" i="17"/>
  <c r="BN75" i="17" s="1"/>
  <c r="BM68" i="17"/>
  <c r="BM75" i="17" s="1"/>
  <c r="BL68" i="17"/>
  <c r="BL75" i="17" s="1"/>
  <c r="BK68" i="17"/>
  <c r="BK75" i="17" s="1"/>
  <c r="BJ68" i="17"/>
  <c r="BJ75" i="17" s="1"/>
  <c r="BI68" i="17"/>
  <c r="BI75" i="17" s="1"/>
  <c r="BH68" i="17"/>
  <c r="BH75" i="17" s="1"/>
  <c r="BG68" i="17"/>
  <c r="BG75" i="17" s="1"/>
  <c r="BF68" i="17"/>
  <c r="BF75" i="17" s="1"/>
  <c r="BE68" i="17"/>
  <c r="BE75" i="17" s="1"/>
  <c r="BD68" i="17"/>
  <c r="BD75" i="17" s="1"/>
  <c r="BC68" i="17"/>
  <c r="BC75" i="17" s="1"/>
  <c r="BB68" i="17"/>
  <c r="BB75" i="17" s="1"/>
  <c r="BA68" i="17"/>
  <c r="BA75" i="17" s="1"/>
  <c r="AZ68" i="17"/>
  <c r="AZ75" i="17" s="1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AF62" i="17"/>
  <c r="BJ17" i="17" s="1"/>
  <c r="AE62" i="17"/>
  <c r="BI17" i="17" s="1"/>
  <c r="AD62" i="17"/>
  <c r="BH17" i="17" s="1"/>
  <c r="AC62" i="17"/>
  <c r="AB62" i="17"/>
  <c r="BG17" i="17" s="1"/>
  <c r="BE17" i="17"/>
  <c r="W62" i="17"/>
  <c r="BB17" i="17"/>
  <c r="BA17" i="17"/>
  <c r="R62" i="17"/>
  <c r="Q62" i="17"/>
  <c r="AY17" i="17" s="1"/>
  <c r="AX17" i="17"/>
  <c r="AW17" i="17"/>
  <c r="N62" i="17"/>
  <c r="M62" i="17"/>
  <c r="AU17" i="17" s="1"/>
  <c r="L62" i="17"/>
  <c r="K62" i="17"/>
  <c r="AT17" i="17" s="1"/>
  <c r="J62" i="17"/>
  <c r="I62" i="17"/>
  <c r="AS17" i="17" s="1"/>
  <c r="H62" i="17"/>
  <c r="G62" i="17"/>
  <c r="AR17" i="17" s="1"/>
  <c r="F62" i="17"/>
  <c r="AQ17" i="17" s="1"/>
  <c r="E62" i="17"/>
  <c r="AP17" i="17" s="1"/>
  <c r="D62" i="17"/>
  <c r="AO17" i="17" s="1"/>
  <c r="C62" i="17"/>
  <c r="AN17" i="17" s="1"/>
  <c r="B62" i="17"/>
  <c r="AI61" i="17"/>
  <c r="AH61" i="17"/>
  <c r="AI60" i="17"/>
  <c r="AH60" i="17"/>
  <c r="AI59" i="17"/>
  <c r="AH59" i="17"/>
  <c r="AG58" i="17"/>
  <c r="AG2" i="17" s="1"/>
  <c r="AF58" i="17"/>
  <c r="AE58" i="17"/>
  <c r="BI16" i="17" s="1"/>
  <c r="AD58" i="17"/>
  <c r="AC58" i="17"/>
  <c r="AB58" i="17"/>
  <c r="W58" i="17"/>
  <c r="Q58" i="17"/>
  <c r="AY16" i="17" s="1"/>
  <c r="N58" i="17"/>
  <c r="M58" i="17"/>
  <c r="AU16" i="17" s="1"/>
  <c r="L58" i="17"/>
  <c r="K58" i="17"/>
  <c r="J58" i="17"/>
  <c r="I58" i="17"/>
  <c r="AS16" i="17" s="1"/>
  <c r="H58" i="17"/>
  <c r="G58" i="17"/>
  <c r="F58" i="17"/>
  <c r="E58" i="17"/>
  <c r="AP16" i="17" s="1"/>
  <c r="D58" i="17"/>
  <c r="C58" i="17"/>
  <c r="AN16" i="17" s="1"/>
  <c r="B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BJ21" i="17"/>
  <c r="BI21" i="17"/>
  <c r="BH21" i="17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I21" i="17"/>
  <c r="AH21" i="17"/>
  <c r="BJ20" i="17"/>
  <c r="BG20" i="17"/>
  <c r="BE20" i="17"/>
  <c r="BC20" i="17"/>
  <c r="BB20" i="17"/>
  <c r="BA20" i="17"/>
  <c r="AU20" i="17"/>
  <c r="AT20" i="17"/>
  <c r="AP20" i="17"/>
  <c r="AN20" i="17"/>
  <c r="AI20" i="17"/>
  <c r="AH20" i="17"/>
  <c r="BJ19" i="17"/>
  <c r="BF19" i="17"/>
  <c r="BE19" i="17"/>
  <c r="BC19" i="17"/>
  <c r="BB19" i="17"/>
  <c r="BA19" i="17"/>
  <c r="AW19" i="17"/>
  <c r="AI19" i="17"/>
  <c r="AH19" i="17"/>
  <c r="BH18" i="17"/>
  <c r="BF18" i="17"/>
  <c r="BB18" i="17"/>
  <c r="AI18" i="17"/>
  <c r="AH18" i="17"/>
  <c r="BF17" i="17"/>
  <c r="BD17" i="17"/>
  <c r="BC17" i="17"/>
  <c r="AZ17" i="17"/>
  <c r="AV17" i="17"/>
  <c r="AI17" i="17"/>
  <c r="AH17" i="17"/>
  <c r="BJ16" i="17"/>
  <c r="BC16" i="17"/>
  <c r="BB16" i="17"/>
  <c r="BA16" i="17"/>
  <c r="AZ16" i="17"/>
  <c r="AO16" i="17"/>
  <c r="AI16" i="17"/>
  <c r="AH16" i="17"/>
  <c r="AI15" i="17"/>
  <c r="AH15" i="17"/>
  <c r="AI14" i="17"/>
  <c r="AH14" i="17"/>
  <c r="AI13" i="17"/>
  <c r="AH13" i="17"/>
  <c r="AL12" i="17"/>
  <c r="AI12" i="17"/>
  <c r="AH12" i="17"/>
  <c r="AI11" i="17"/>
  <c r="AH11" i="17"/>
  <c r="AE5" i="17"/>
  <c r="X5" i="17"/>
  <c r="W5" i="17"/>
  <c r="S5" i="17"/>
  <c r="R5" i="17"/>
  <c r="AG4" i="17"/>
  <c r="K4" i="17"/>
  <c r="E4" i="17"/>
  <c r="H4" i="17" s="1"/>
  <c r="B4" i="17"/>
  <c r="AE107" i="17" l="1"/>
  <c r="BI23" i="17" s="1"/>
  <c r="AD5" i="17"/>
  <c r="BG19" i="17"/>
  <c r="W107" i="17"/>
  <c r="R107" i="17"/>
  <c r="AZ23" i="17" s="1"/>
  <c r="Q107" i="17"/>
  <c r="AY23" i="17" s="1"/>
  <c r="AY19" i="17"/>
  <c r="P107" i="17"/>
  <c r="AX23" i="17" s="1"/>
  <c r="AF107" i="17"/>
  <c r="BJ23" i="17" s="1"/>
  <c r="BA22" i="17"/>
  <c r="AZ19" i="17"/>
  <c r="AZ22" i="17" s="1"/>
  <c r="AZ24" i="17" s="1"/>
  <c r="BF23" i="17"/>
  <c r="BC23" i="17"/>
  <c r="AC107" i="17"/>
  <c r="AC108" i="17" s="1"/>
  <c r="T7" i="17"/>
  <c r="AB107" i="17"/>
  <c r="AB108" i="17" s="1"/>
  <c r="AB97" i="17"/>
  <c r="AB99" i="17" s="1"/>
  <c r="BF16" i="17"/>
  <c r="BF22" i="17" s="1"/>
  <c r="BF24" i="17" s="1"/>
  <c r="BG16" i="17"/>
  <c r="BG22" i="17" s="1"/>
  <c r="AG6" i="17"/>
  <c r="AF97" i="17"/>
  <c r="AF99" i="17" s="1"/>
  <c r="AF100" i="17" s="1"/>
  <c r="AF7" i="17" s="1"/>
  <c r="AY22" i="17"/>
  <c r="P97" i="17"/>
  <c r="P99" i="17" s="1"/>
  <c r="O5" i="17"/>
  <c r="P108" i="17"/>
  <c r="AX18" i="17"/>
  <c r="AX16" i="17"/>
  <c r="O107" i="17"/>
  <c r="AW23" i="17" s="1"/>
  <c r="M5" i="17"/>
  <c r="AU19" i="17"/>
  <c r="AU22" i="17" s="1"/>
  <c r="AU24" i="17" s="1"/>
  <c r="M107" i="17"/>
  <c r="AU23" i="17" s="1"/>
  <c r="L107" i="17"/>
  <c r="L108" i="17" s="1"/>
  <c r="L97" i="17"/>
  <c r="L99" i="17" s="1"/>
  <c r="L100" i="17" s="1"/>
  <c r="L7" i="17" s="1"/>
  <c r="AT19" i="17"/>
  <c r="K97" i="17"/>
  <c r="K99" i="17" s="1"/>
  <c r="AT16" i="17"/>
  <c r="J107" i="17"/>
  <c r="J97" i="17"/>
  <c r="J99" i="17" s="1"/>
  <c r="I107" i="17"/>
  <c r="AS23" i="17" s="1"/>
  <c r="H5" i="17"/>
  <c r="I108" i="17"/>
  <c r="F5" i="17"/>
  <c r="AI104" i="17"/>
  <c r="H107" i="17"/>
  <c r="H108" i="17" s="1"/>
  <c r="G5" i="17"/>
  <c r="G107" i="17"/>
  <c r="AR23" i="17" s="1"/>
  <c r="AH58" i="17"/>
  <c r="C5" i="17"/>
  <c r="D107" i="17"/>
  <c r="D108" i="17" s="1"/>
  <c r="D97" i="17"/>
  <c r="D99" i="17" s="1"/>
  <c r="AO22" i="17"/>
  <c r="AI103" i="17"/>
  <c r="B5" i="17"/>
  <c r="AN22" i="17"/>
  <c r="C97" i="17"/>
  <c r="C99" i="17" s="1"/>
  <c r="AM16" i="17"/>
  <c r="AF5" i="17"/>
  <c r="B107" i="17"/>
  <c r="AM23" i="17" s="1"/>
  <c r="AH104" i="17"/>
  <c r="AH105" i="17"/>
  <c r="B97" i="17"/>
  <c r="B99" i="17" s="1"/>
  <c r="AI62" i="17"/>
  <c r="AM17" i="17"/>
  <c r="D258" i="17"/>
  <c r="AL13" i="17"/>
  <c r="BB22" i="17"/>
  <c r="AI58" i="17"/>
  <c r="AP19" i="17"/>
  <c r="AP22" i="17" s="1"/>
  <c r="AB5" i="17"/>
  <c r="AI105" i="17"/>
  <c r="AS22" i="17"/>
  <c r="AS24" i="17" s="1"/>
  <c r="BC22" i="17"/>
  <c r="BG84" i="17" a="1"/>
  <c r="AQ20" i="17"/>
  <c r="AI80" i="17"/>
  <c r="AQ19" i="17"/>
  <c r="U5" i="17"/>
  <c r="AC5" i="17"/>
  <c r="R97" i="17"/>
  <c r="R99" i="17" s="1"/>
  <c r="R100" i="17" s="1"/>
  <c r="R7" i="17" s="1"/>
  <c r="F247" i="17"/>
  <c r="G247" i="17" s="1"/>
  <c r="H247" i="17" s="1"/>
  <c r="I247" i="17" s="1"/>
  <c r="J247" i="17" s="1"/>
  <c r="K247" i="17" s="1"/>
  <c r="L247" i="17" s="1"/>
  <c r="M247" i="17" s="1"/>
  <c r="N247" i="17" s="1"/>
  <c r="O247" i="17" s="1"/>
  <c r="P247" i="17" s="1"/>
  <c r="Q247" i="17" s="1"/>
  <c r="R247" i="17" s="1"/>
  <c r="S247" i="17" s="1"/>
  <c r="T247" i="17" s="1"/>
  <c r="U247" i="17" s="1"/>
  <c r="V247" i="17" s="1"/>
  <c r="W247" i="17" s="1"/>
  <c r="X247" i="17" s="1"/>
  <c r="Y247" i="17" s="1"/>
  <c r="Z247" i="17" s="1"/>
  <c r="AA247" i="17" s="1"/>
  <c r="AB247" i="17" s="1"/>
  <c r="AC247" i="17" s="1"/>
  <c r="AD247" i="17" s="1"/>
  <c r="AE247" i="17" s="1"/>
  <c r="AF247" i="17" s="1"/>
  <c r="B247" i="17" s="1"/>
  <c r="E252" i="17"/>
  <c r="F97" i="17"/>
  <c r="F99" i="17" s="1"/>
  <c r="AQ16" i="17"/>
  <c r="N97" i="17"/>
  <c r="N99" i="17" s="1"/>
  <c r="AV16" i="17"/>
  <c r="AV22" i="17" s="1"/>
  <c r="AV24" i="17" s="1"/>
  <c r="BD16" i="17"/>
  <c r="BD22" i="17" s="1"/>
  <c r="AD97" i="17"/>
  <c r="AD99" i="17" s="1"/>
  <c r="BH16" i="17"/>
  <c r="BH22" i="17" s="1"/>
  <c r="AI102" i="17"/>
  <c r="BI22" i="17"/>
  <c r="BI24" i="17" s="1"/>
  <c r="AR16" i="17"/>
  <c r="AR22" i="17" s="1"/>
  <c r="G97" i="17"/>
  <c r="G99" i="17" s="1"/>
  <c r="O97" i="17"/>
  <c r="O99" i="17" s="1"/>
  <c r="AW16" i="17"/>
  <c r="AW22" i="17" s="1"/>
  <c r="W97" i="17"/>
  <c r="W99" i="17" s="1"/>
  <c r="W100" i="17" s="1"/>
  <c r="W7" i="17" s="1"/>
  <c r="AE97" i="17"/>
  <c r="AE99" i="17" s="1"/>
  <c r="AE100" i="17" s="1"/>
  <c r="AE7" i="17" s="1"/>
  <c r="AH76" i="17"/>
  <c r="BJ22" i="17"/>
  <c r="BJ24" i="17" s="1"/>
  <c r="H97" i="17"/>
  <c r="H99" i="17" s="1"/>
  <c r="H100" i="17" s="1"/>
  <c r="H7" i="17" s="1"/>
  <c r="X7" i="17"/>
  <c r="BE16" i="17"/>
  <c r="BE22" i="17" s="1"/>
  <c r="AH62" i="17"/>
  <c r="AI76" i="17"/>
  <c r="C107" i="17"/>
  <c r="AH101" i="17"/>
  <c r="K107" i="17"/>
  <c r="AT23" i="17" s="1"/>
  <c r="AA7" i="17"/>
  <c r="D252" i="17"/>
  <c r="I97" i="17"/>
  <c r="I99" i="17" s="1"/>
  <c r="I100" i="17" s="1"/>
  <c r="I7" i="17" s="1"/>
  <c r="Q97" i="17"/>
  <c r="Q99" i="17" s="1"/>
  <c r="Q100" i="17" s="1"/>
  <c r="Q7" i="17" s="1"/>
  <c r="Y7" i="17"/>
  <c r="AG97" i="17"/>
  <c r="G108" i="17"/>
  <c r="W108" i="17"/>
  <c r="AE108" i="17"/>
  <c r="F107" i="17"/>
  <c r="AQ23" i="17" s="1"/>
  <c r="N107" i="17"/>
  <c r="AV23" i="17" s="1"/>
  <c r="BD23" i="17"/>
  <c r="AD107" i="17"/>
  <c r="BH23" i="17" s="1"/>
  <c r="E107" i="17"/>
  <c r="AP23" i="17" s="1"/>
  <c r="F246" i="17"/>
  <c r="AH80" i="17"/>
  <c r="B108" i="17"/>
  <c r="J108" i="17"/>
  <c r="R108" i="17"/>
  <c r="AH92" i="17"/>
  <c r="AG99" i="17"/>
  <c r="AH103" i="17"/>
  <c r="E97" i="17"/>
  <c r="E99" i="17" s="1"/>
  <c r="M97" i="17"/>
  <c r="M99" i="17" s="1"/>
  <c r="M100" i="17" s="1"/>
  <c r="M7" i="17" s="1"/>
  <c r="U7" i="17"/>
  <c r="AC97" i="17"/>
  <c r="AC99" i="17" s="1"/>
  <c r="AI92" i="17"/>
  <c r="AI101" i="17"/>
  <c r="AH102" i="17"/>
  <c r="AC100" i="17" l="1"/>
  <c r="AC7" i="17" s="1"/>
  <c r="AB100" i="17"/>
  <c r="AB7" i="17" s="1"/>
  <c r="Q108" i="17"/>
  <c r="AY24" i="17"/>
  <c r="BG23" i="17"/>
  <c r="BG24" i="17" s="1"/>
  <c r="BE23" i="17"/>
  <c r="BB23" i="17"/>
  <c r="BB24" i="17" s="1"/>
  <c r="BE24" i="17"/>
  <c r="AW24" i="17"/>
  <c r="AO23" i="17"/>
  <c r="AO24" i="17" s="1"/>
  <c r="AM22" i="17"/>
  <c r="P100" i="17"/>
  <c r="P7" i="17" s="1"/>
  <c r="O108" i="17"/>
  <c r="S7" i="17"/>
  <c r="O100" i="17"/>
  <c r="O7" i="17" s="1"/>
  <c r="BC24" i="17"/>
  <c r="Z7" i="17"/>
  <c r="AF108" i="17"/>
  <c r="AX22" i="17"/>
  <c r="AX24" i="17" s="1"/>
  <c r="N108" i="17"/>
  <c r="M108" i="17"/>
  <c r="AT22" i="17"/>
  <c r="AT24" i="17" s="1"/>
  <c r="K108" i="17"/>
  <c r="J100" i="17"/>
  <c r="J7" i="17" s="1"/>
  <c r="AR24" i="17"/>
  <c r="E100" i="17"/>
  <c r="E7" i="17" s="1"/>
  <c r="AP24" i="17"/>
  <c r="E108" i="17"/>
  <c r="D100" i="17"/>
  <c r="D7" i="17" s="1"/>
  <c r="B100" i="17"/>
  <c r="B7" i="17" s="1"/>
  <c r="AI99" i="17"/>
  <c r="BJ107" i="17"/>
  <c r="BH106" i="17"/>
  <c r="BL104" i="17"/>
  <c r="BJ103" i="17"/>
  <c r="BH102" i="17"/>
  <c r="BL100" i="17"/>
  <c r="BJ99" i="17"/>
  <c r="BH98" i="17"/>
  <c r="BL96" i="17"/>
  <c r="BJ95" i="17"/>
  <c r="BH94" i="17"/>
  <c r="BL92" i="17"/>
  <c r="BJ91" i="17"/>
  <c r="BH90" i="17"/>
  <c r="BL88" i="17"/>
  <c r="BJ87" i="17"/>
  <c r="BH86" i="17"/>
  <c r="BL84" i="17"/>
  <c r="BI107" i="17"/>
  <c r="BG106" i="17"/>
  <c r="BK104" i="17"/>
  <c r="BI103" i="17"/>
  <c r="BG102" i="17"/>
  <c r="BK100" i="17"/>
  <c r="BI99" i="17"/>
  <c r="BG98" i="17"/>
  <c r="BK96" i="17"/>
  <c r="BI95" i="17"/>
  <c r="BG94" i="17"/>
  <c r="BK92" i="17"/>
  <c r="BI91" i="17"/>
  <c r="BG90" i="17"/>
  <c r="BK88" i="17"/>
  <c r="BI87" i="17"/>
  <c r="BG86" i="17"/>
  <c r="BK84" i="17"/>
  <c r="BK106" i="17"/>
  <c r="BI105" i="17"/>
  <c r="BG104" i="17"/>
  <c r="BK102" i="17"/>
  <c r="BI101" i="17"/>
  <c r="BG100" i="17"/>
  <c r="BK98" i="17"/>
  <c r="BI97" i="17"/>
  <c r="BG96" i="17"/>
  <c r="BK94" i="17"/>
  <c r="BI93" i="17"/>
  <c r="BG92" i="17"/>
  <c r="BK90" i="17"/>
  <c r="BI89" i="17"/>
  <c r="BG88" i="17"/>
  <c r="BK86" i="17"/>
  <c r="BI85" i="17"/>
  <c r="BG84" i="17"/>
  <c r="BL107" i="17"/>
  <c r="BK105" i="17"/>
  <c r="BK103" i="17"/>
  <c r="BJ101" i="17"/>
  <c r="BH99" i="17"/>
  <c r="BH97" i="17"/>
  <c r="BG95" i="17"/>
  <c r="BG93" i="17"/>
  <c r="BL90" i="17"/>
  <c r="BJ88" i="17"/>
  <c r="BJ86" i="17"/>
  <c r="BI84" i="17"/>
  <c r="BK107" i="17"/>
  <c r="BJ105" i="17"/>
  <c r="BH103" i="17"/>
  <c r="BH101" i="17"/>
  <c r="BG99" i="17"/>
  <c r="BG97" i="17"/>
  <c r="BL94" i="17"/>
  <c r="BJ92" i="17"/>
  <c r="BJ90" i="17"/>
  <c r="BI88" i="17"/>
  <c r="BI86" i="17"/>
  <c r="BH84" i="17"/>
  <c r="BH107" i="17"/>
  <c r="BH105" i="17"/>
  <c r="BG103" i="17"/>
  <c r="BG101" i="17"/>
  <c r="BL98" i="17"/>
  <c r="BJ96" i="17"/>
  <c r="BJ94" i="17"/>
  <c r="BI92" i="17"/>
  <c r="BI90" i="17"/>
  <c r="BH88" i="17"/>
  <c r="BL85" i="17"/>
  <c r="BG107" i="17"/>
  <c r="BG105" i="17"/>
  <c r="BL102" i="17"/>
  <c r="BJ100" i="17"/>
  <c r="BJ98" i="17"/>
  <c r="BI96" i="17"/>
  <c r="BI94" i="17"/>
  <c r="BH92" i="17"/>
  <c r="BL89" i="17"/>
  <c r="BL87" i="17"/>
  <c r="BK85" i="17"/>
  <c r="BL106" i="17"/>
  <c r="BJ104" i="17"/>
  <c r="BJ102" i="17"/>
  <c r="BI100" i="17"/>
  <c r="BI98" i="17"/>
  <c r="BH96" i="17"/>
  <c r="BL93" i="17"/>
  <c r="BL91" i="17"/>
  <c r="BK89" i="17"/>
  <c r="BK87" i="17"/>
  <c r="BJ85" i="17"/>
  <c r="BI106" i="17"/>
  <c r="BH100" i="17"/>
  <c r="BH95" i="17"/>
  <c r="BH89" i="17"/>
  <c r="BL101" i="17"/>
  <c r="BG91" i="17"/>
  <c r="BK95" i="17"/>
  <c r="BL105" i="17"/>
  <c r="BL99" i="17"/>
  <c r="BK93" i="17"/>
  <c r="BG89" i="17"/>
  <c r="BL95" i="17"/>
  <c r="BK101" i="17"/>
  <c r="BI104" i="17"/>
  <c r="BK99" i="17"/>
  <c r="BJ93" i="17"/>
  <c r="BH87" i="17"/>
  <c r="BG85" i="17"/>
  <c r="BH104" i="17"/>
  <c r="BL97" i="17"/>
  <c r="BH93" i="17"/>
  <c r="BG87" i="17"/>
  <c r="BL103" i="17"/>
  <c r="BK97" i="17"/>
  <c r="BK91" i="17"/>
  <c r="BL86" i="17"/>
  <c r="BJ106" i="17"/>
  <c r="BJ89" i="17"/>
  <c r="BI102" i="17"/>
  <c r="BJ97" i="17"/>
  <c r="BH91" i="17"/>
  <c r="BH85" i="17"/>
  <c r="BJ84" i="17"/>
  <c r="AM24" i="17"/>
  <c r="BD24" i="17"/>
  <c r="AH99" i="17"/>
  <c r="AN23" i="17"/>
  <c r="AN24" i="17" s="1"/>
  <c r="C108" i="17"/>
  <c r="AI107" i="17"/>
  <c r="AD100" i="17"/>
  <c r="AD7" i="17" s="1"/>
  <c r="AD108" i="17"/>
  <c r="AI97" i="17"/>
  <c r="C256" i="17"/>
  <c r="G100" i="17"/>
  <c r="G7" i="17" s="1"/>
  <c r="B256" i="17"/>
  <c r="V7" i="17"/>
  <c r="AH97" i="17"/>
  <c r="N100" i="17"/>
  <c r="N7" i="17" s="1"/>
  <c r="G246" i="17"/>
  <c r="F118" i="17"/>
  <c r="F252" i="17"/>
  <c r="BA23" i="17"/>
  <c r="BA24" i="17" s="1"/>
  <c r="AQ22" i="17"/>
  <c r="AQ24" i="17" s="1"/>
  <c r="AH107" i="17"/>
  <c r="F108" i="17"/>
  <c r="BH24" i="17"/>
  <c r="C100" i="17"/>
  <c r="C7" i="17" s="1"/>
  <c r="F100" i="17"/>
  <c r="F7" i="17" s="1"/>
  <c r="K100" i="17"/>
  <c r="K7" i="17" s="1"/>
  <c r="K6" i="17" l="1"/>
  <c r="AH108" i="17"/>
  <c r="AI108" i="17"/>
  <c r="H246" i="17"/>
  <c r="G252" i="17"/>
  <c r="G118" i="17"/>
  <c r="A7" i="17"/>
  <c r="AH100" i="17"/>
  <c r="AI100" i="17"/>
  <c r="AT8" i="17"/>
  <c r="AT9" i="17"/>
  <c r="I246" i="17" l="1"/>
  <c r="H118" i="17"/>
  <c r="H252" i="17"/>
  <c r="AF62" i="16"/>
  <c r="J246" i="17" l="1"/>
  <c r="I252" i="17"/>
  <c r="I118" i="17"/>
  <c r="AD57" i="16"/>
  <c r="AC151" i="16"/>
  <c r="AC150" i="16"/>
  <c r="AA118" i="16"/>
  <c r="AA105" i="16"/>
  <c r="AA104" i="16"/>
  <c r="AA103" i="16"/>
  <c r="AA102" i="16"/>
  <c r="AA101" i="16"/>
  <c r="AA107" i="16" s="1"/>
  <c r="AA92" i="16"/>
  <c r="AA108" i="16" s="1"/>
  <c r="AA80" i="16"/>
  <c r="AA76" i="16"/>
  <c r="AA62" i="16"/>
  <c r="AA58" i="16"/>
  <c r="AA97" i="16" s="1"/>
  <c r="AA99" i="16" s="1"/>
  <c r="Z58" i="16"/>
  <c r="Z62" i="16"/>
  <c r="Z76" i="16"/>
  <c r="Z80" i="16"/>
  <c r="Z101" i="16"/>
  <c r="Z102" i="16"/>
  <c r="Z103" i="16"/>
  <c r="Z104" i="16"/>
  <c r="Z105" i="16"/>
  <c r="Z118" i="16"/>
  <c r="Y58" i="16"/>
  <c r="Y62" i="16"/>
  <c r="Y76" i="16"/>
  <c r="Y80" i="16"/>
  <c r="Y101" i="16"/>
  <c r="Y102" i="16"/>
  <c r="Y103" i="16"/>
  <c r="Y104" i="16"/>
  <c r="Y105" i="16"/>
  <c r="Y118" i="16"/>
  <c r="X58" i="16"/>
  <c r="X62" i="16"/>
  <c r="X76" i="16"/>
  <c r="X80" i="16"/>
  <c r="X92" i="16"/>
  <c r="X101" i="16"/>
  <c r="X102" i="16"/>
  <c r="X103" i="16"/>
  <c r="X104" i="16"/>
  <c r="X105" i="16"/>
  <c r="X118" i="16"/>
  <c r="W58" i="16"/>
  <c r="W62" i="16"/>
  <c r="W76" i="16"/>
  <c r="W80" i="16"/>
  <c r="W92" i="16"/>
  <c r="W101" i="16"/>
  <c r="W102" i="16"/>
  <c r="W103" i="16"/>
  <c r="W104" i="16"/>
  <c r="W105" i="16"/>
  <c r="W118" i="16"/>
  <c r="V58" i="16"/>
  <c r="V62" i="16"/>
  <c r="V76" i="16"/>
  <c r="V80" i="16"/>
  <c r="V92" i="16"/>
  <c r="V101" i="16"/>
  <c r="V102" i="16"/>
  <c r="V103" i="16"/>
  <c r="V104" i="16"/>
  <c r="V105" i="16"/>
  <c r="V118" i="16"/>
  <c r="T145" i="16"/>
  <c r="U58" i="16"/>
  <c r="U62" i="16"/>
  <c r="U76" i="16"/>
  <c r="U80" i="16"/>
  <c r="U92" i="16"/>
  <c r="U101" i="16"/>
  <c r="U102" i="16"/>
  <c r="U103" i="16"/>
  <c r="U104" i="16"/>
  <c r="U105" i="16"/>
  <c r="U118" i="16"/>
  <c r="J252" i="17" l="1"/>
  <c r="J118" i="17"/>
  <c r="K246" i="17"/>
  <c r="AA100" i="16"/>
  <c r="Z97" i="16"/>
  <c r="Z99" i="16" s="1"/>
  <c r="Z100" i="16" s="1"/>
  <c r="Z107" i="16"/>
  <c r="Z108" i="16" s="1"/>
  <c r="Y107" i="16"/>
  <c r="Y108" i="16" s="1"/>
  <c r="Y97" i="16"/>
  <c r="Y99" i="16" s="1"/>
  <c r="X107" i="16"/>
  <c r="X108" i="16" s="1"/>
  <c r="X97" i="16"/>
  <c r="X99" i="16" s="1"/>
  <c r="W107" i="16"/>
  <c r="W108" i="16" s="1"/>
  <c r="W97" i="16"/>
  <c r="W99" i="16" s="1"/>
  <c r="V107" i="16"/>
  <c r="V108" i="16" s="1"/>
  <c r="V97" i="16"/>
  <c r="V99" i="16" s="1"/>
  <c r="U107" i="16"/>
  <c r="U108" i="16" s="1"/>
  <c r="U97" i="16"/>
  <c r="U99" i="16" s="1"/>
  <c r="K252" i="17" l="1"/>
  <c r="K118" i="17"/>
  <c r="L246" i="17"/>
  <c r="Y100" i="16"/>
  <c r="X100" i="16"/>
  <c r="W100" i="16"/>
  <c r="V100" i="16"/>
  <c r="U100" i="16"/>
  <c r="L252" i="17" l="1"/>
  <c r="L118" i="17"/>
  <c r="M246" i="17"/>
  <c r="M252" i="17" l="1"/>
  <c r="N246" i="17"/>
  <c r="M118" i="17"/>
  <c r="O246" i="17" l="1"/>
  <c r="N252" i="17"/>
  <c r="N118" i="17"/>
  <c r="P246" i="17" l="1"/>
  <c r="O252" i="17"/>
  <c r="O118" i="17"/>
  <c r="Q246" i="17" l="1"/>
  <c r="P252" i="17"/>
  <c r="Q252" i="17" l="1"/>
  <c r="Q118" i="17"/>
  <c r="R246" i="17"/>
  <c r="R252" i="17" l="1"/>
  <c r="R118" i="17"/>
  <c r="S246" i="17"/>
  <c r="S252" i="17" l="1"/>
  <c r="T246" i="17"/>
  <c r="T252" i="17" l="1"/>
  <c r="U246" i="17"/>
  <c r="V246" i="17" l="1"/>
  <c r="U252" i="17"/>
  <c r="W246" i="17" l="1"/>
  <c r="V252" i="17"/>
  <c r="X246" i="17" l="1"/>
  <c r="W252" i="17"/>
  <c r="W118" i="17"/>
  <c r="Y246" i="17" l="1"/>
  <c r="X252" i="17"/>
  <c r="Z246" i="17" l="1"/>
  <c r="Y252" i="17"/>
  <c r="Z252" i="17" l="1"/>
  <c r="AA246" i="17"/>
  <c r="AA252" i="17" l="1"/>
  <c r="AB246" i="17"/>
  <c r="AB252" i="17" l="1"/>
  <c r="AB118" i="17"/>
  <c r="AC246" i="17"/>
  <c r="AC118" i="17" l="1"/>
  <c r="AC252" i="17"/>
  <c r="AD246" i="17"/>
  <c r="AE246" i="17" l="1"/>
  <c r="AD252" i="17"/>
  <c r="AD118" i="17"/>
  <c r="AF246" i="17" l="1"/>
  <c r="AE252" i="17"/>
  <c r="AE118" i="17"/>
  <c r="AF118" i="17" l="1"/>
  <c r="AF252" i="17"/>
  <c r="B246" i="17"/>
  <c r="B252" i="17" l="1"/>
  <c r="B118" i="17"/>
  <c r="AI118" i="17" l="1"/>
  <c r="AH118" i="17"/>
  <c r="S57" i="16" l="1"/>
  <c r="T57" i="16"/>
  <c r="S58" i="16"/>
  <c r="T58" i="16"/>
  <c r="S62" i="16"/>
  <c r="T62" i="16"/>
  <c r="S76" i="16"/>
  <c r="T76" i="16"/>
  <c r="S80" i="16"/>
  <c r="T80" i="16"/>
  <c r="S92" i="16"/>
  <c r="T92" i="16"/>
  <c r="S101" i="16"/>
  <c r="T101" i="16"/>
  <c r="S102" i="16"/>
  <c r="T102" i="16"/>
  <c r="S103" i="16"/>
  <c r="T103" i="16"/>
  <c r="S104" i="16"/>
  <c r="T104" i="16"/>
  <c r="S105" i="16"/>
  <c r="T105" i="16"/>
  <c r="S118" i="16"/>
  <c r="T118" i="16"/>
  <c r="S97" i="16" l="1"/>
  <c r="S99" i="16" s="1"/>
  <c r="S100" i="16" s="1"/>
  <c r="S107" i="16"/>
  <c r="S108" i="16" s="1"/>
  <c r="T107" i="16"/>
  <c r="T108" i="16" s="1"/>
  <c r="T97" i="16"/>
  <c r="T99" i="16" s="1"/>
  <c r="R57" i="16"/>
  <c r="R58" i="16"/>
  <c r="R62" i="16"/>
  <c r="Q57" i="16"/>
  <c r="P57" i="16"/>
  <c r="O57" i="16"/>
  <c r="T100" i="16" l="1"/>
  <c r="N57" i="16" l="1"/>
  <c r="M121" i="16"/>
  <c r="M57" i="16"/>
  <c r="AH125" i="16" l="1"/>
  <c r="AI125" i="16"/>
  <c r="AH124" i="16"/>
  <c r="AI124" i="16"/>
  <c r="C58" i="16"/>
  <c r="C62" i="16"/>
  <c r="C76" i="16"/>
  <c r="C80" i="16"/>
  <c r="C92" i="16"/>
  <c r="C101" i="16"/>
  <c r="C102" i="16"/>
  <c r="C103" i="16"/>
  <c r="C104" i="16"/>
  <c r="C105" i="16"/>
  <c r="C118" i="16"/>
  <c r="C97" i="16" l="1"/>
  <c r="C99" i="16" s="1"/>
  <c r="C100" i="16" s="1"/>
  <c r="C108" i="16"/>
  <c r="B118" i="16"/>
  <c r="B105" i="16"/>
  <c r="B104" i="16"/>
  <c r="B103" i="16"/>
  <c r="B102" i="16"/>
  <c r="B101" i="16"/>
  <c r="B107" i="16" s="1"/>
  <c r="B92" i="16"/>
  <c r="B108" i="16" s="1"/>
  <c r="B80" i="16"/>
  <c r="AM20" i="16" s="1"/>
  <c r="B76" i="16"/>
  <c r="B62" i="16"/>
  <c r="AM17" i="16" s="1"/>
  <c r="B58" i="16"/>
  <c r="AG252" i="16"/>
  <c r="C252" i="16"/>
  <c r="D251" i="16"/>
  <c r="E251" i="16" s="1"/>
  <c r="F251" i="16" s="1"/>
  <c r="G251" i="16" s="1"/>
  <c r="H251" i="16" s="1"/>
  <c r="I251" i="16" s="1"/>
  <c r="J251" i="16" s="1"/>
  <c r="K251" i="16" s="1"/>
  <c r="L251" i="16" s="1"/>
  <c r="M251" i="16" s="1"/>
  <c r="N251" i="16" s="1"/>
  <c r="O251" i="16" s="1"/>
  <c r="P251" i="16" s="1"/>
  <c r="Q251" i="16" s="1"/>
  <c r="R251" i="16" s="1"/>
  <c r="S251" i="16" s="1"/>
  <c r="T251" i="16" s="1"/>
  <c r="U251" i="16" s="1"/>
  <c r="V251" i="16" s="1"/>
  <c r="W251" i="16" s="1"/>
  <c r="X251" i="16" s="1"/>
  <c r="Y251" i="16" s="1"/>
  <c r="Z251" i="16" s="1"/>
  <c r="AA251" i="16" s="1"/>
  <c r="AB251" i="16" s="1"/>
  <c r="AC251" i="16" s="1"/>
  <c r="AD251" i="16" s="1"/>
  <c r="AE251" i="16" s="1"/>
  <c r="AF251" i="16" s="1"/>
  <c r="B251" i="16" s="1"/>
  <c r="D250" i="16"/>
  <c r="E250" i="16" s="1"/>
  <c r="F250" i="16" s="1"/>
  <c r="G250" i="16" s="1"/>
  <c r="H250" i="16" s="1"/>
  <c r="I250" i="16" s="1"/>
  <c r="J250" i="16" s="1"/>
  <c r="K250" i="16" s="1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X249" i="16"/>
  <c r="Y249" i="16" s="1"/>
  <c r="Z249" i="16" s="1"/>
  <c r="AA249" i="16" s="1"/>
  <c r="AB249" i="16" s="1"/>
  <c r="AC249" i="16" s="1"/>
  <c r="AD249" i="16" s="1"/>
  <c r="AE249" i="16" s="1"/>
  <c r="AF249" i="16" s="1"/>
  <c r="B249" i="16" s="1"/>
  <c r="H249" i="16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D249" i="16"/>
  <c r="E249" i="16" s="1"/>
  <c r="F249" i="16" s="1"/>
  <c r="G249" i="16" s="1"/>
  <c r="D248" i="16"/>
  <c r="E248" i="16" s="1"/>
  <c r="F248" i="16" s="1"/>
  <c r="G248" i="16" s="1"/>
  <c r="H248" i="16" s="1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D247" i="16"/>
  <c r="E247" i="16" s="1"/>
  <c r="F247" i="16" s="1"/>
  <c r="G247" i="16" s="1"/>
  <c r="H247" i="16" s="1"/>
  <c r="I247" i="16" s="1"/>
  <c r="J247" i="16" s="1"/>
  <c r="K247" i="16" s="1"/>
  <c r="L247" i="16" s="1"/>
  <c r="M247" i="16" s="1"/>
  <c r="N247" i="16" s="1"/>
  <c r="O247" i="16" s="1"/>
  <c r="P247" i="16" s="1"/>
  <c r="Q247" i="16" s="1"/>
  <c r="R247" i="16" s="1"/>
  <c r="S247" i="16" s="1"/>
  <c r="T247" i="16" s="1"/>
  <c r="U247" i="16" s="1"/>
  <c r="V247" i="16" s="1"/>
  <c r="W247" i="16" s="1"/>
  <c r="X247" i="16" s="1"/>
  <c r="Y247" i="16" s="1"/>
  <c r="Z247" i="16" s="1"/>
  <c r="AA247" i="16" s="1"/>
  <c r="AB247" i="16" s="1"/>
  <c r="AC247" i="16" s="1"/>
  <c r="AD247" i="16" s="1"/>
  <c r="AE247" i="16" s="1"/>
  <c r="AF247" i="16" s="1"/>
  <c r="B247" i="16" s="1"/>
  <c r="D246" i="16"/>
  <c r="D252" i="16" s="1"/>
  <c r="AG244" i="16"/>
  <c r="AF244" i="16"/>
  <c r="AE244" i="16"/>
  <c r="AD244" i="16"/>
  <c r="AC244" i="16"/>
  <c r="AB244" i="16"/>
  <c r="AA244" i="16"/>
  <c r="Z244" i="16"/>
  <c r="Y244" i="16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H123" i="16"/>
  <c r="AI122" i="16"/>
  <c r="AH122" i="16"/>
  <c r="AI121" i="16"/>
  <c r="AH121" i="16"/>
  <c r="AI120" i="16"/>
  <c r="AH120" i="16"/>
  <c r="AI119" i="16"/>
  <c r="AH119" i="16"/>
  <c r="D118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I106" i="16"/>
  <c r="AH106" i="16"/>
  <c r="AF105" i="16"/>
  <c r="AE105" i="16"/>
  <c r="AD105" i="16"/>
  <c r="AC105" i="16"/>
  <c r="AB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AF104" i="16"/>
  <c r="AE104" i="16"/>
  <c r="AD104" i="16"/>
  <c r="AC104" i="16"/>
  <c r="AB104" i="16"/>
  <c r="R104" i="16"/>
  <c r="Q104" i="16"/>
  <c r="P104" i="16"/>
  <c r="O104" i="16"/>
  <c r="N104" i="16"/>
  <c r="M104" i="16"/>
  <c r="L104" i="16"/>
  <c r="K104" i="16"/>
  <c r="K107" i="16" s="1"/>
  <c r="J104" i="16"/>
  <c r="I104" i="16"/>
  <c r="H104" i="16"/>
  <c r="G104" i="16"/>
  <c r="F104" i="16"/>
  <c r="E104" i="16"/>
  <c r="D104" i="16"/>
  <c r="AF103" i="16"/>
  <c r="AE103" i="16"/>
  <c r="AD103" i="16"/>
  <c r="AC103" i="16"/>
  <c r="AB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AF102" i="16"/>
  <c r="AE102" i="16"/>
  <c r="AD102" i="16"/>
  <c r="AC102" i="16"/>
  <c r="AB102" i="16"/>
  <c r="BC23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E107" i="16" s="1"/>
  <c r="AP23" i="16" s="1"/>
  <c r="D102" i="16"/>
  <c r="AF101" i="16"/>
  <c r="AE101" i="16"/>
  <c r="AD101" i="16"/>
  <c r="AC101" i="16"/>
  <c r="AB101" i="16"/>
  <c r="AB107" i="16" s="1"/>
  <c r="BG23" i="16" s="1"/>
  <c r="BE23" i="16"/>
  <c r="R101" i="16"/>
  <c r="Q101" i="16"/>
  <c r="P101" i="16"/>
  <c r="P107" i="16" s="1"/>
  <c r="AX23" i="16" s="1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AI98" i="16"/>
  <c r="AH98" i="16"/>
  <c r="AI96" i="16"/>
  <c r="AH96" i="16"/>
  <c r="AG96" i="16"/>
  <c r="AI95" i="16"/>
  <c r="AH95" i="16"/>
  <c r="AI94" i="16"/>
  <c r="AH94" i="16"/>
  <c r="AI93" i="16"/>
  <c r="AH93" i="16"/>
  <c r="AG92" i="16"/>
  <c r="AF92" i="16"/>
  <c r="BJ19" i="16" s="1"/>
  <c r="AE92" i="16"/>
  <c r="AD92" i="16"/>
  <c r="BH19" i="16" s="1"/>
  <c r="AC92" i="16"/>
  <c r="AB92" i="16"/>
  <c r="BG19" i="16" s="1"/>
  <c r="S5" i="16"/>
  <c r="R92" i="16"/>
  <c r="Q5" i="16" s="1"/>
  <c r="Q92" i="16"/>
  <c r="P5" i="16" s="1"/>
  <c r="P92" i="16"/>
  <c r="AX19" i="16" s="1"/>
  <c r="O92" i="16"/>
  <c r="AW19" i="16" s="1"/>
  <c r="N92" i="16"/>
  <c r="AV19" i="16" s="1"/>
  <c r="M92" i="16"/>
  <c r="L5" i="16" s="1"/>
  <c r="L92" i="16"/>
  <c r="K5" i="16" s="1"/>
  <c r="K92" i="16"/>
  <c r="AT19" i="16" s="1"/>
  <c r="J92" i="16"/>
  <c r="I92" i="16"/>
  <c r="AS19" i="16" s="1"/>
  <c r="H92" i="16"/>
  <c r="G92" i="16"/>
  <c r="F92" i="16"/>
  <c r="E92" i="16"/>
  <c r="AP19" i="16" s="1"/>
  <c r="D92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BS80" i="16"/>
  <c r="BP80" i="16"/>
  <c r="BK80" i="16"/>
  <c r="BH80" i="16"/>
  <c r="AG80" i="16"/>
  <c r="AG4" i="16" s="1"/>
  <c r="AF80" i="16"/>
  <c r="AE80" i="16"/>
  <c r="BI20" i="16" s="1"/>
  <c r="AD80" i="16"/>
  <c r="BH20" i="16" s="1"/>
  <c r="AC80" i="16"/>
  <c r="AB80" i="16"/>
  <c r="BC20" i="16"/>
  <c r="BA20" i="16"/>
  <c r="R80" i="16"/>
  <c r="Q80" i="16"/>
  <c r="P80" i="16"/>
  <c r="O80" i="16"/>
  <c r="AW20" i="16" s="1"/>
  <c r="N80" i="16"/>
  <c r="M80" i="16"/>
  <c r="AU20" i="16" s="1"/>
  <c r="L80" i="16"/>
  <c r="K80" i="16"/>
  <c r="J80" i="16"/>
  <c r="I80" i="16"/>
  <c r="AS20" i="16" s="1"/>
  <c r="H80" i="16"/>
  <c r="G80" i="16"/>
  <c r="AR20" i="16" s="1"/>
  <c r="F80" i="16"/>
  <c r="E80" i="16"/>
  <c r="D80" i="16"/>
  <c r="BW79" i="16"/>
  <c r="BM79" i="16"/>
  <c r="AI79" i="16"/>
  <c r="AH79" i="16"/>
  <c r="BT78" i="16"/>
  <c r="BS78" i="16"/>
  <c r="BD78" i="16"/>
  <c r="AI78" i="16"/>
  <c r="AH78" i="16"/>
  <c r="BI77" i="16"/>
  <c r="AI77" i="16"/>
  <c r="AH77" i="16"/>
  <c r="BU76" i="16"/>
  <c r="BP76" i="16"/>
  <c r="BD76" i="16"/>
  <c r="BC76" i="16"/>
  <c r="AF76" i="16"/>
  <c r="BJ18" i="16" s="1"/>
  <c r="AE76" i="16"/>
  <c r="BI18" i="16" s="1"/>
  <c r="AD76" i="16"/>
  <c r="BH18" i="16" s="1"/>
  <c r="AC76" i="16"/>
  <c r="AB76" i="16"/>
  <c r="BE18" i="16"/>
  <c r="BA18" i="16"/>
  <c r="R76" i="16"/>
  <c r="Q76" i="16"/>
  <c r="P76" i="16"/>
  <c r="O76" i="16"/>
  <c r="AW18" i="16" s="1"/>
  <c r="N76" i="16"/>
  <c r="M76" i="16"/>
  <c r="AU18" i="16" s="1"/>
  <c r="L76" i="16"/>
  <c r="K76" i="16"/>
  <c r="AT18" i="16" s="1"/>
  <c r="J76" i="16"/>
  <c r="I76" i="16"/>
  <c r="AS18" i="16" s="1"/>
  <c r="H76" i="16"/>
  <c r="G76" i="16"/>
  <c r="AR18" i="16" s="1"/>
  <c r="F76" i="16"/>
  <c r="AQ18" i="16" s="1"/>
  <c r="E76" i="16"/>
  <c r="AP18" i="16" s="1"/>
  <c r="D76" i="16"/>
  <c r="AO18" i="16" s="1"/>
  <c r="BV75" i="16"/>
  <c r="BL75" i="16"/>
  <c r="BI75" i="16"/>
  <c r="BF75" i="16"/>
  <c r="BE75" i="16"/>
  <c r="BB75" i="16"/>
  <c r="AI75" i="16"/>
  <c r="AH75" i="16"/>
  <c r="AG75" i="16"/>
  <c r="AG76" i="16" s="1"/>
  <c r="AI74" i="16"/>
  <c r="AH74" i="16"/>
  <c r="BW73" i="16"/>
  <c r="BW80" i="16" s="1"/>
  <c r="BV73" i="16"/>
  <c r="BV80" i="16" s="1"/>
  <c r="BU73" i="16"/>
  <c r="BU80" i="16" s="1"/>
  <c r="BT73" i="16"/>
  <c r="BT80" i="16" s="1"/>
  <c r="BS73" i="16"/>
  <c r="BR73" i="16"/>
  <c r="BR80" i="16" s="1"/>
  <c r="BQ73" i="16"/>
  <c r="BQ80" i="16" s="1"/>
  <c r="BP73" i="16"/>
  <c r="BO73" i="16"/>
  <c r="BO80" i="16" s="1"/>
  <c r="BN73" i="16"/>
  <c r="BN80" i="16" s="1"/>
  <c r="BM73" i="16"/>
  <c r="BM80" i="16" s="1"/>
  <c r="BL73" i="16"/>
  <c r="BL80" i="16" s="1"/>
  <c r="BK73" i="16"/>
  <c r="BJ73" i="16"/>
  <c r="BJ80" i="16" s="1"/>
  <c r="BI73" i="16"/>
  <c r="BI80" i="16" s="1"/>
  <c r="BH73" i="16"/>
  <c r="BG73" i="16"/>
  <c r="BG80" i="16" s="1"/>
  <c r="BF73" i="16"/>
  <c r="BF80" i="16" s="1"/>
  <c r="BE73" i="16"/>
  <c r="BE80" i="16" s="1"/>
  <c r="BD73" i="16"/>
  <c r="BD80" i="16" s="1"/>
  <c r="BC73" i="16"/>
  <c r="BC80" i="16" s="1"/>
  <c r="BB73" i="16"/>
  <c r="BB80" i="16" s="1"/>
  <c r="BA73" i="16"/>
  <c r="BA80" i="16" s="1"/>
  <c r="AZ73" i="16"/>
  <c r="AZ80" i="16" s="1"/>
  <c r="AI73" i="16"/>
  <c r="AH73" i="16"/>
  <c r="BW72" i="16"/>
  <c r="BV72" i="16"/>
  <c r="BV79" i="16" s="1"/>
  <c r="BU72" i="16"/>
  <c r="BU79" i="16" s="1"/>
  <c r="BT72" i="16"/>
  <c r="BT79" i="16" s="1"/>
  <c r="BS72" i="16"/>
  <c r="BS79" i="16" s="1"/>
  <c r="BR72" i="16"/>
  <c r="BR79" i="16" s="1"/>
  <c r="BQ72" i="16"/>
  <c r="BQ79" i="16" s="1"/>
  <c r="BP72" i="16"/>
  <c r="BP79" i="16" s="1"/>
  <c r="BO72" i="16"/>
  <c r="BO79" i="16" s="1"/>
  <c r="BN72" i="16"/>
  <c r="BN79" i="16" s="1"/>
  <c r="BM72" i="16"/>
  <c r="BL72" i="16"/>
  <c r="BL79" i="16" s="1"/>
  <c r="BK72" i="16"/>
  <c r="BK79" i="16" s="1"/>
  <c r="BJ72" i="16"/>
  <c r="BJ79" i="16" s="1"/>
  <c r="BI72" i="16"/>
  <c r="BI79" i="16" s="1"/>
  <c r="BH72" i="16"/>
  <c r="BH79" i="16" s="1"/>
  <c r="BG72" i="16"/>
  <c r="BG79" i="16" s="1"/>
  <c r="BF72" i="16"/>
  <c r="BF79" i="16" s="1"/>
  <c r="BE72" i="16"/>
  <c r="BE79" i="16" s="1"/>
  <c r="BD72" i="16"/>
  <c r="BD79" i="16" s="1"/>
  <c r="BC72" i="16"/>
  <c r="BC79" i="16" s="1"/>
  <c r="BB72" i="16"/>
  <c r="BB79" i="16" s="1"/>
  <c r="BA72" i="16"/>
  <c r="BA79" i="16" s="1"/>
  <c r="AZ72" i="16"/>
  <c r="AZ79" i="16" s="1"/>
  <c r="AI72" i="16"/>
  <c r="AH72" i="16"/>
  <c r="BW71" i="16"/>
  <c r="BW78" i="16" s="1"/>
  <c r="BV71" i="16"/>
  <c r="BV78" i="16" s="1"/>
  <c r="BU71" i="16"/>
  <c r="BU78" i="16" s="1"/>
  <c r="BT71" i="16"/>
  <c r="BS71" i="16"/>
  <c r="BR71" i="16"/>
  <c r="BR78" i="16" s="1"/>
  <c r="BQ71" i="16"/>
  <c r="BQ78" i="16" s="1"/>
  <c r="BP71" i="16"/>
  <c r="BP78" i="16" s="1"/>
  <c r="BO71" i="16"/>
  <c r="BO78" i="16" s="1"/>
  <c r="BN71" i="16"/>
  <c r="BN78" i="16" s="1"/>
  <c r="BM71" i="16"/>
  <c r="BM78" i="16" s="1"/>
  <c r="BL71" i="16"/>
  <c r="BL78" i="16" s="1"/>
  <c r="BK71" i="16"/>
  <c r="BK78" i="16" s="1"/>
  <c r="BJ71" i="16"/>
  <c r="BJ78" i="16" s="1"/>
  <c r="BI71" i="16"/>
  <c r="BI78" i="16" s="1"/>
  <c r="BH71" i="16"/>
  <c r="BH78" i="16" s="1"/>
  <c r="BG71" i="16"/>
  <c r="BG78" i="16" s="1"/>
  <c r="BF71" i="16"/>
  <c r="BF78" i="16" s="1"/>
  <c r="BE71" i="16"/>
  <c r="BE78" i="16" s="1"/>
  <c r="BD71" i="16"/>
  <c r="BC71" i="16"/>
  <c r="BC78" i="16" s="1"/>
  <c r="BB71" i="16"/>
  <c r="BB78" i="16" s="1"/>
  <c r="BA71" i="16"/>
  <c r="BA78" i="16" s="1"/>
  <c r="AZ71" i="16"/>
  <c r="AZ78" i="16" s="1"/>
  <c r="AI71" i="16"/>
  <c r="AH71" i="16"/>
  <c r="BW70" i="16"/>
  <c r="BW77" i="16" s="1"/>
  <c r="BV70" i="16"/>
  <c r="BV77" i="16" s="1"/>
  <c r="BU70" i="16"/>
  <c r="BU77" i="16" s="1"/>
  <c r="BT70" i="16"/>
  <c r="BT77" i="16" s="1"/>
  <c r="BS70" i="16"/>
  <c r="BS77" i="16" s="1"/>
  <c r="BR70" i="16"/>
  <c r="BR77" i="16" s="1"/>
  <c r="BQ70" i="16"/>
  <c r="BQ77" i="16" s="1"/>
  <c r="BP70" i="16"/>
  <c r="BP77" i="16" s="1"/>
  <c r="BO70" i="16"/>
  <c r="BO77" i="16" s="1"/>
  <c r="BN70" i="16"/>
  <c r="BN77" i="16" s="1"/>
  <c r="BM70" i="16"/>
  <c r="BM77" i="16" s="1"/>
  <c r="BL70" i="16"/>
  <c r="BL77" i="16" s="1"/>
  <c r="BK70" i="16"/>
  <c r="BK77" i="16" s="1"/>
  <c r="BJ70" i="16"/>
  <c r="BJ77" i="16" s="1"/>
  <c r="BI70" i="16"/>
  <c r="BH70" i="16"/>
  <c r="BH77" i="16" s="1"/>
  <c r="BG70" i="16"/>
  <c r="BG77" i="16" s="1"/>
  <c r="BF70" i="16"/>
  <c r="BF77" i="16" s="1"/>
  <c r="BE70" i="16"/>
  <c r="BE77" i="16" s="1"/>
  <c r="BD70" i="16"/>
  <c r="BD77" i="16" s="1"/>
  <c r="BC70" i="16"/>
  <c r="BC77" i="16" s="1"/>
  <c r="BB70" i="16"/>
  <c r="BB77" i="16" s="1"/>
  <c r="BA70" i="16"/>
  <c r="BA77" i="16" s="1"/>
  <c r="AZ70" i="16"/>
  <c r="AZ77" i="16" s="1"/>
  <c r="AI70" i="16"/>
  <c r="AH70" i="16"/>
  <c r="BW69" i="16"/>
  <c r="BW76" i="16" s="1"/>
  <c r="BV69" i="16"/>
  <c r="BV76" i="16" s="1"/>
  <c r="BU69" i="16"/>
  <c r="BT69" i="16"/>
  <c r="BT76" i="16" s="1"/>
  <c r="BS69" i="16"/>
  <c r="BS76" i="16" s="1"/>
  <c r="BR69" i="16"/>
  <c r="BR76" i="16" s="1"/>
  <c r="BQ69" i="16"/>
  <c r="BQ76" i="16" s="1"/>
  <c r="BP69" i="16"/>
  <c r="BO69" i="16"/>
  <c r="BO76" i="16" s="1"/>
  <c r="BN69" i="16"/>
  <c r="BN76" i="16" s="1"/>
  <c r="BM69" i="16"/>
  <c r="BM76" i="16" s="1"/>
  <c r="BL69" i="16"/>
  <c r="BL76" i="16" s="1"/>
  <c r="BK69" i="16"/>
  <c r="BK76" i="16" s="1"/>
  <c r="BJ69" i="16"/>
  <c r="BJ76" i="16" s="1"/>
  <c r="BI69" i="16"/>
  <c r="BI76" i="16" s="1"/>
  <c r="BH69" i="16"/>
  <c r="BH76" i="16" s="1"/>
  <c r="BG69" i="16"/>
  <c r="BG76" i="16" s="1"/>
  <c r="BF69" i="16"/>
  <c r="BF76" i="16" s="1"/>
  <c r="BE69" i="16"/>
  <c r="BE76" i="16" s="1"/>
  <c r="BD69" i="16"/>
  <c r="BC69" i="16"/>
  <c r="BB69" i="16"/>
  <c r="BB76" i="16" s="1"/>
  <c r="BA69" i="16"/>
  <c r="BA76" i="16" s="1"/>
  <c r="AZ69" i="16"/>
  <c r="AZ76" i="16" s="1"/>
  <c r="AI69" i="16"/>
  <c r="AH69" i="16"/>
  <c r="BW68" i="16"/>
  <c r="BW75" i="16" s="1"/>
  <c r="BV68" i="16"/>
  <c r="BU68" i="16"/>
  <c r="BU75" i="16" s="1"/>
  <c r="BT68" i="16"/>
  <c r="BT75" i="16" s="1"/>
  <c r="BS68" i="16"/>
  <c r="BS75" i="16" s="1"/>
  <c r="BR68" i="16"/>
  <c r="BR75" i="16" s="1"/>
  <c r="BQ68" i="16"/>
  <c r="BQ75" i="16" s="1"/>
  <c r="BP68" i="16"/>
  <c r="BP75" i="16" s="1"/>
  <c r="BO68" i="16"/>
  <c r="BO75" i="16" s="1"/>
  <c r="BN68" i="16"/>
  <c r="BN75" i="16" s="1"/>
  <c r="BM68" i="16"/>
  <c r="BM75" i="16" s="1"/>
  <c r="BL68" i="16"/>
  <c r="BK68" i="16"/>
  <c r="BK75" i="16" s="1"/>
  <c r="BJ68" i="16"/>
  <c r="BJ75" i="16" s="1"/>
  <c r="BI68" i="16"/>
  <c r="BH68" i="16"/>
  <c r="BH75" i="16" s="1"/>
  <c r="BG68" i="16"/>
  <c r="BG75" i="16" s="1"/>
  <c r="BF68" i="16"/>
  <c r="BE68" i="16"/>
  <c r="BD68" i="16"/>
  <c r="BD75" i="16" s="1"/>
  <c r="BC68" i="16"/>
  <c r="BC75" i="16" s="1"/>
  <c r="BB68" i="16"/>
  <c r="BA68" i="16"/>
  <c r="BA75" i="16" s="1"/>
  <c r="AZ68" i="16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E62" i="16"/>
  <c r="BI17" i="16" s="1"/>
  <c r="AD62" i="16"/>
  <c r="BH17" i="16" s="1"/>
  <c r="AC62" i="16"/>
  <c r="AB62" i="16"/>
  <c r="BG17" i="16" s="1"/>
  <c r="BC17" i="16"/>
  <c r="BA17" i="16"/>
  <c r="Q62" i="16"/>
  <c r="AY17" i="16" s="1"/>
  <c r="P62" i="16"/>
  <c r="AX17" i="16" s="1"/>
  <c r="O62" i="16"/>
  <c r="AW17" i="16" s="1"/>
  <c r="N62" i="16"/>
  <c r="AV17" i="16" s="1"/>
  <c r="M62" i="16"/>
  <c r="AU17" i="16" s="1"/>
  <c r="L62" i="16"/>
  <c r="K62" i="16"/>
  <c r="AT17" i="16" s="1"/>
  <c r="J62" i="16"/>
  <c r="I62" i="16"/>
  <c r="AS17" i="16" s="1"/>
  <c r="H62" i="16"/>
  <c r="G62" i="16"/>
  <c r="AR17" i="16" s="1"/>
  <c r="F62" i="16"/>
  <c r="AQ17" i="16" s="1"/>
  <c r="E62" i="16"/>
  <c r="D62" i="16"/>
  <c r="AO17" i="16" s="1"/>
  <c r="AI61" i="16"/>
  <c r="AH61" i="16"/>
  <c r="AI60" i="16"/>
  <c r="AH60" i="16"/>
  <c r="AI59" i="16"/>
  <c r="AH59" i="16"/>
  <c r="AG58" i="16"/>
  <c r="AF58" i="16"/>
  <c r="BJ16" i="16" s="1"/>
  <c r="AE58" i="16"/>
  <c r="BI16" i="16" s="1"/>
  <c r="AD58" i="16"/>
  <c r="AC58" i="16"/>
  <c r="AB58" i="16"/>
  <c r="V7" i="16"/>
  <c r="U7" i="16"/>
  <c r="Q58" i="16"/>
  <c r="P58" i="16"/>
  <c r="O58" i="16"/>
  <c r="N58" i="16"/>
  <c r="M58" i="16"/>
  <c r="L58" i="16"/>
  <c r="K58" i="16"/>
  <c r="AT16" i="16" s="1"/>
  <c r="J58" i="16"/>
  <c r="I58" i="16"/>
  <c r="H58" i="16"/>
  <c r="G58" i="16"/>
  <c r="F58" i="16"/>
  <c r="E58" i="16"/>
  <c r="D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BF23" i="16"/>
  <c r="BD23" i="16"/>
  <c r="BB23" i="16"/>
  <c r="BA23" i="16"/>
  <c r="AN23" i="16"/>
  <c r="AI23" i="16"/>
  <c r="AH23" i="16"/>
  <c r="AI22" i="16"/>
  <c r="AH22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I21" i="16"/>
  <c r="AH21" i="16"/>
  <c r="BJ20" i="16"/>
  <c r="BG20" i="16"/>
  <c r="BF20" i="16"/>
  <c r="BE20" i="16"/>
  <c r="BD20" i="16"/>
  <c r="BB20" i="16"/>
  <c r="AZ20" i="16"/>
  <c r="AY20" i="16"/>
  <c r="AX20" i="16"/>
  <c r="AV20" i="16"/>
  <c r="AT20" i="16"/>
  <c r="AQ20" i="16"/>
  <c r="AP20" i="16"/>
  <c r="AO20" i="16"/>
  <c r="AI20" i="16"/>
  <c r="AH20" i="16"/>
  <c r="BI19" i="16"/>
  <c r="BF19" i="16"/>
  <c r="BD19" i="16"/>
  <c r="BB19" i="16"/>
  <c r="BA19" i="16"/>
  <c r="AR19" i="16"/>
  <c r="AN19" i="16"/>
  <c r="AI19" i="16"/>
  <c r="AH19" i="16"/>
  <c r="BG18" i="16"/>
  <c r="BF18" i="16"/>
  <c r="BD18" i="16"/>
  <c r="BC18" i="16"/>
  <c r="BB18" i="16"/>
  <c r="AZ18" i="16"/>
  <c r="AY18" i="16"/>
  <c r="AX18" i="16"/>
  <c r="AV18" i="16"/>
  <c r="AN18" i="16"/>
  <c r="AM18" i="16"/>
  <c r="AI18" i="16"/>
  <c r="AH18" i="16"/>
  <c r="BJ17" i="16"/>
  <c r="BF17" i="16"/>
  <c r="BE17" i="16"/>
  <c r="BD17" i="16"/>
  <c r="BB17" i="16"/>
  <c r="AZ17" i="16"/>
  <c r="AP17" i="16"/>
  <c r="AN17" i="16"/>
  <c r="AI17" i="16"/>
  <c r="AH17" i="16"/>
  <c r="BH16" i="16"/>
  <c r="BF16" i="16"/>
  <c r="BD16" i="16"/>
  <c r="AZ16" i="16"/>
  <c r="AY16" i="16"/>
  <c r="AV16" i="16"/>
  <c r="AR16" i="16"/>
  <c r="AN16" i="16"/>
  <c r="AI16" i="16"/>
  <c r="AH16" i="16"/>
  <c r="AI15" i="16"/>
  <c r="AH15" i="16"/>
  <c r="AI14" i="16"/>
  <c r="AH14" i="16"/>
  <c r="AI13" i="16"/>
  <c r="AH13" i="16"/>
  <c r="AL12" i="16"/>
  <c r="AI12" i="16"/>
  <c r="AH12" i="16"/>
  <c r="AI11" i="16"/>
  <c r="AH11" i="16"/>
  <c r="AE5" i="16"/>
  <c r="AD5" i="16"/>
  <c r="Z5" i="16"/>
  <c r="X5" i="16"/>
  <c r="W5" i="16"/>
  <c r="V5" i="16"/>
  <c r="T5" i="16"/>
  <c r="R5" i="16"/>
  <c r="N5" i="16"/>
  <c r="G5" i="16"/>
  <c r="B5" i="16"/>
  <c r="K4" i="16"/>
  <c r="E4" i="16"/>
  <c r="H4" i="16" s="1"/>
  <c r="B4" i="16"/>
  <c r="D258" i="16" s="1"/>
  <c r="AG3" i="16"/>
  <c r="AG2" i="16"/>
  <c r="AG6" i="16" s="1"/>
  <c r="AD62" i="15"/>
  <c r="AD76" i="15"/>
  <c r="AD80" i="15"/>
  <c r="AD92" i="15"/>
  <c r="AD97" i="15" s="1"/>
  <c r="AD99" i="15" s="1"/>
  <c r="AD101" i="15"/>
  <c r="AD107" i="15" s="1"/>
  <c r="BH23" i="15" s="1"/>
  <c r="AD102" i="15"/>
  <c r="AD103" i="15"/>
  <c r="AD104" i="15"/>
  <c r="AD105" i="15"/>
  <c r="AD118" i="15"/>
  <c r="AC58" i="15"/>
  <c r="AC62" i="15"/>
  <c r="AC76" i="15"/>
  <c r="AC80" i="15"/>
  <c r="AC92" i="15"/>
  <c r="AC101" i="15"/>
  <c r="AC102" i="15"/>
  <c r="AC103" i="15"/>
  <c r="AC104" i="15"/>
  <c r="AC105" i="15"/>
  <c r="AC118" i="15"/>
  <c r="AB58" i="15"/>
  <c r="AB62" i="15"/>
  <c r="AB76" i="15"/>
  <c r="AB80" i="15"/>
  <c r="BG20" i="15" s="1"/>
  <c r="L121" i="15"/>
  <c r="L57" i="15"/>
  <c r="K121" i="15"/>
  <c r="K57" i="15"/>
  <c r="J121" i="15"/>
  <c r="J57" i="15"/>
  <c r="I121" i="15"/>
  <c r="I57" i="15"/>
  <c r="AI122" i="15"/>
  <c r="H121" i="15"/>
  <c r="H57" i="15"/>
  <c r="G121" i="15"/>
  <c r="G57" i="15"/>
  <c r="F121" i="15"/>
  <c r="F57" i="15"/>
  <c r="E121" i="15"/>
  <c r="E57" i="15"/>
  <c r="E58" i="15"/>
  <c r="E62" i="15"/>
  <c r="AH125" i="15"/>
  <c r="AI125" i="15"/>
  <c r="AH124" i="15"/>
  <c r="AI124" i="15"/>
  <c r="D121" i="15"/>
  <c r="D57" i="15"/>
  <c r="C57" i="15"/>
  <c r="C58" i="15"/>
  <c r="D58" i="15"/>
  <c r="C62" i="15"/>
  <c r="AN17" i="15" s="1"/>
  <c r="D62" i="15"/>
  <c r="AO17" i="15" s="1"/>
  <c r="C76" i="15"/>
  <c r="AN18" i="15" s="1"/>
  <c r="D76" i="15"/>
  <c r="AO18" i="15" s="1"/>
  <c r="C80" i="15"/>
  <c r="D80" i="15"/>
  <c r="B121" i="15"/>
  <c r="B118" i="15" s="1"/>
  <c r="B105" i="15"/>
  <c r="B104" i="15"/>
  <c r="B103" i="15"/>
  <c r="B102" i="15"/>
  <c r="B101" i="15"/>
  <c r="B107" i="15" s="1"/>
  <c r="B92" i="15"/>
  <c r="B80" i="15"/>
  <c r="AM20" i="15" s="1"/>
  <c r="B76" i="15"/>
  <c r="B62" i="15"/>
  <c r="AM17" i="15" s="1"/>
  <c r="AG252" i="15"/>
  <c r="C252" i="15"/>
  <c r="D251" i="15"/>
  <c r="E251" i="15" s="1"/>
  <c r="F251" i="15" s="1"/>
  <c r="G251" i="15" s="1"/>
  <c r="H251" i="15" s="1"/>
  <c r="I251" i="15" s="1"/>
  <c r="J251" i="15" s="1"/>
  <c r="K251" i="15" s="1"/>
  <c r="L251" i="15" s="1"/>
  <c r="M251" i="15" s="1"/>
  <c r="N251" i="15" s="1"/>
  <c r="O251" i="15" s="1"/>
  <c r="P251" i="15" s="1"/>
  <c r="Q251" i="15" s="1"/>
  <c r="R251" i="15" s="1"/>
  <c r="S251" i="15" s="1"/>
  <c r="T251" i="15" s="1"/>
  <c r="U251" i="15" s="1"/>
  <c r="V251" i="15" s="1"/>
  <c r="W251" i="15" s="1"/>
  <c r="X251" i="15" s="1"/>
  <c r="Y251" i="15" s="1"/>
  <c r="Z251" i="15" s="1"/>
  <c r="AA251" i="15" s="1"/>
  <c r="AB251" i="15" s="1"/>
  <c r="AC251" i="15" s="1"/>
  <c r="AD251" i="15" s="1"/>
  <c r="AE251" i="15" s="1"/>
  <c r="AF251" i="15" s="1"/>
  <c r="B251" i="15" s="1"/>
  <c r="R250" i="15"/>
  <c r="S250" i="15" s="1"/>
  <c r="T250" i="15" s="1"/>
  <c r="U250" i="15" s="1"/>
  <c r="V250" i="15" s="1"/>
  <c r="W250" i="15" s="1"/>
  <c r="X250" i="15" s="1"/>
  <c r="Y250" i="15" s="1"/>
  <c r="Z250" i="15" s="1"/>
  <c r="AA250" i="15" s="1"/>
  <c r="AB250" i="15" s="1"/>
  <c r="AC250" i="15" s="1"/>
  <c r="AD250" i="15" s="1"/>
  <c r="AE250" i="15" s="1"/>
  <c r="AF250" i="15" s="1"/>
  <c r="B250" i="15" s="1"/>
  <c r="J250" i="15"/>
  <c r="K250" i="15" s="1"/>
  <c r="L250" i="15" s="1"/>
  <c r="M250" i="15" s="1"/>
  <c r="N250" i="15" s="1"/>
  <c r="O250" i="15" s="1"/>
  <c r="P250" i="15" s="1"/>
  <c r="Q250" i="15" s="1"/>
  <c r="D250" i="15"/>
  <c r="E250" i="15" s="1"/>
  <c r="F250" i="15" s="1"/>
  <c r="G250" i="15" s="1"/>
  <c r="H250" i="15" s="1"/>
  <c r="I250" i="15" s="1"/>
  <c r="H249" i="15"/>
  <c r="I249" i="15" s="1"/>
  <c r="J249" i="15" s="1"/>
  <c r="K249" i="15" s="1"/>
  <c r="L249" i="15" s="1"/>
  <c r="M249" i="15" s="1"/>
  <c r="N249" i="15" s="1"/>
  <c r="O249" i="15" s="1"/>
  <c r="P249" i="15" s="1"/>
  <c r="Q249" i="15" s="1"/>
  <c r="R249" i="15" s="1"/>
  <c r="S249" i="15" s="1"/>
  <c r="T249" i="15" s="1"/>
  <c r="U249" i="15" s="1"/>
  <c r="V249" i="15" s="1"/>
  <c r="W249" i="15" s="1"/>
  <c r="X249" i="15" s="1"/>
  <c r="Y249" i="15" s="1"/>
  <c r="Z249" i="15" s="1"/>
  <c r="AA249" i="15" s="1"/>
  <c r="AB249" i="15" s="1"/>
  <c r="AC249" i="15" s="1"/>
  <c r="AD249" i="15" s="1"/>
  <c r="AE249" i="15" s="1"/>
  <c r="AF249" i="15" s="1"/>
  <c r="B249" i="15" s="1"/>
  <c r="E249" i="15"/>
  <c r="F249" i="15" s="1"/>
  <c r="G249" i="15" s="1"/>
  <c r="D249" i="15"/>
  <c r="N248" i="15"/>
  <c r="O248" i="15" s="1"/>
  <c r="P248" i="15" s="1"/>
  <c r="Q248" i="15" s="1"/>
  <c r="R248" i="15" s="1"/>
  <c r="S248" i="15" s="1"/>
  <c r="T248" i="15" s="1"/>
  <c r="U248" i="15" s="1"/>
  <c r="V248" i="15" s="1"/>
  <c r="W248" i="15" s="1"/>
  <c r="X248" i="15" s="1"/>
  <c r="Y248" i="15" s="1"/>
  <c r="Z248" i="15" s="1"/>
  <c r="AA248" i="15" s="1"/>
  <c r="AB248" i="15" s="1"/>
  <c r="AC248" i="15" s="1"/>
  <c r="AD248" i="15" s="1"/>
  <c r="AE248" i="15" s="1"/>
  <c r="AF248" i="15" s="1"/>
  <c r="B248" i="15" s="1"/>
  <c r="F248" i="15"/>
  <c r="G248" i="15" s="1"/>
  <c r="H248" i="15" s="1"/>
  <c r="I248" i="15" s="1"/>
  <c r="J248" i="15" s="1"/>
  <c r="K248" i="15" s="1"/>
  <c r="L248" i="15" s="1"/>
  <c r="M248" i="15" s="1"/>
  <c r="E248" i="15"/>
  <c r="D248" i="15"/>
  <c r="F247" i="15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B247" i="15" s="1"/>
  <c r="D247" i="15"/>
  <c r="E247" i="15" s="1"/>
  <c r="D246" i="15"/>
  <c r="AG244" i="15"/>
  <c r="AF244" i="15"/>
  <c r="AE244" i="15"/>
  <c r="AD244" i="15"/>
  <c r="AC244" i="15"/>
  <c r="AB244" i="15"/>
  <c r="AA244" i="15"/>
  <c r="Z244" i="15"/>
  <c r="Y244" i="15"/>
  <c r="Y118" i="15" s="1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I130" i="15"/>
  <c r="AH130" i="15"/>
  <c r="AI129" i="15"/>
  <c r="AH129" i="15"/>
  <c r="AI128" i="15"/>
  <c r="AH128" i="15"/>
  <c r="AI127" i="15"/>
  <c r="AH127" i="15"/>
  <c r="AI126" i="15"/>
  <c r="AH126" i="15"/>
  <c r="AI123" i="15"/>
  <c r="AH123" i="15"/>
  <c r="AI120" i="15"/>
  <c r="AH120" i="15"/>
  <c r="AI119" i="15"/>
  <c r="AH119" i="15"/>
  <c r="Z118" i="15"/>
  <c r="C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I106" i="15"/>
  <c r="AH106" i="15"/>
  <c r="AF105" i="15"/>
  <c r="AE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AF104" i="15"/>
  <c r="AE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AF103" i="15"/>
  <c r="AE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AF102" i="15"/>
  <c r="AE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AF101" i="15"/>
  <c r="AE101" i="15"/>
  <c r="AE107" i="15" s="1"/>
  <c r="AB101" i="15"/>
  <c r="AA101" i="15"/>
  <c r="Z101" i="15"/>
  <c r="Y101" i="15"/>
  <c r="X101" i="15"/>
  <c r="W101" i="15"/>
  <c r="V101" i="15"/>
  <c r="U101" i="15"/>
  <c r="T101" i="15"/>
  <c r="S101" i="15"/>
  <c r="R101" i="15"/>
  <c r="R107" i="15" s="1"/>
  <c r="AZ23" i="15" s="1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C107" i="15" s="1"/>
  <c r="AN23" i="15" s="1"/>
  <c r="AI98" i="15"/>
  <c r="AH98" i="15"/>
  <c r="AG97" i="15"/>
  <c r="AI96" i="15"/>
  <c r="AH96" i="15"/>
  <c r="AG96" i="15"/>
  <c r="AI95" i="15"/>
  <c r="AH95" i="15"/>
  <c r="AI94" i="15"/>
  <c r="AH94" i="15"/>
  <c r="AI93" i="15"/>
  <c r="AH93" i="15"/>
  <c r="AG92" i="15"/>
  <c r="AF92" i="15"/>
  <c r="BJ19" i="15" s="1"/>
  <c r="AE92" i="15"/>
  <c r="AB92" i="15"/>
  <c r="BG19" i="15" s="1"/>
  <c r="AA92" i="15"/>
  <c r="Z92" i="15"/>
  <c r="BF19" i="15" s="1"/>
  <c r="Y92" i="15"/>
  <c r="X92" i="15"/>
  <c r="BE19" i="15" s="1"/>
  <c r="W92" i="15"/>
  <c r="V5" i="15" s="1"/>
  <c r="V92" i="15"/>
  <c r="U92" i="15"/>
  <c r="BC19" i="15" s="1"/>
  <c r="T92" i="15"/>
  <c r="S5" i="15" s="1"/>
  <c r="S92" i="15"/>
  <c r="R5" i="15" s="1"/>
  <c r="R92" i="15"/>
  <c r="AZ19" i="15" s="1"/>
  <c r="Q92" i="15"/>
  <c r="P92" i="15"/>
  <c r="AX19" i="15" s="1"/>
  <c r="O92" i="15"/>
  <c r="AW19" i="15" s="1"/>
  <c r="N92" i="15"/>
  <c r="AV19" i="15" s="1"/>
  <c r="M92" i="15"/>
  <c r="AU19" i="15" s="1"/>
  <c r="L92" i="15"/>
  <c r="K5" i="15" s="1"/>
  <c r="K92" i="15"/>
  <c r="J5" i="15" s="1"/>
  <c r="J92" i="15"/>
  <c r="I92" i="15"/>
  <c r="H92" i="15"/>
  <c r="G5" i="15" s="1"/>
  <c r="G92" i="15"/>
  <c r="AR19" i="15" s="1"/>
  <c r="F92" i="15"/>
  <c r="E92" i="15"/>
  <c r="D92" i="15"/>
  <c r="C5" i="15" s="1"/>
  <c r="C92" i="15"/>
  <c r="AN19" i="15" s="1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I81" i="15"/>
  <c r="AH81" i="15"/>
  <c r="BO80" i="15"/>
  <c r="BI80" i="15"/>
  <c r="BG80" i="15"/>
  <c r="BC80" i="15"/>
  <c r="AG80" i="15"/>
  <c r="AF80" i="15"/>
  <c r="BJ20" i="15" s="1"/>
  <c r="AE80" i="15"/>
  <c r="AA80" i="15"/>
  <c r="Z80" i="15"/>
  <c r="BF20" i="15" s="1"/>
  <c r="Y80" i="15"/>
  <c r="X80" i="15"/>
  <c r="W80" i="15"/>
  <c r="V80" i="15"/>
  <c r="BD20" i="15" s="1"/>
  <c r="U80" i="15"/>
  <c r="T80" i="15"/>
  <c r="S80" i="15"/>
  <c r="R80" i="15"/>
  <c r="AZ20" i="15" s="1"/>
  <c r="Q80" i="15"/>
  <c r="P80" i="15"/>
  <c r="AX20" i="15" s="1"/>
  <c r="O80" i="15"/>
  <c r="N80" i="15"/>
  <c r="AV20" i="15" s="1"/>
  <c r="M80" i="15"/>
  <c r="AU20" i="15" s="1"/>
  <c r="L80" i="15"/>
  <c r="K80" i="15"/>
  <c r="AT20" i="15" s="1"/>
  <c r="J80" i="15"/>
  <c r="I80" i="15"/>
  <c r="AS20" i="15" s="1"/>
  <c r="H80" i="15"/>
  <c r="G80" i="15"/>
  <c r="F80" i="15"/>
  <c r="AQ20" i="15" s="1"/>
  <c r="E80" i="15"/>
  <c r="BS79" i="15"/>
  <c r="BK79" i="15"/>
  <c r="BC79" i="15"/>
  <c r="AI79" i="15"/>
  <c r="AH79" i="15"/>
  <c r="BS78" i="15"/>
  <c r="BO78" i="15"/>
  <c r="BK78" i="15"/>
  <c r="BF78" i="15"/>
  <c r="BE78" i="15"/>
  <c r="BC78" i="15"/>
  <c r="AI78" i="15"/>
  <c r="AH78" i="15"/>
  <c r="BU77" i="15"/>
  <c r="BM77" i="15"/>
  <c r="BI77" i="15"/>
  <c r="BH77" i="15"/>
  <c r="BF77" i="15"/>
  <c r="AI77" i="15"/>
  <c r="AH77" i="15"/>
  <c r="BW76" i="15"/>
  <c r="BK76" i="15"/>
  <c r="BG76" i="15"/>
  <c r="AF76" i="15"/>
  <c r="AE76" i="15"/>
  <c r="BG18" i="15"/>
  <c r="AA76" i="15"/>
  <c r="Z76" i="15"/>
  <c r="BF18" i="15" s="1"/>
  <c r="Y76" i="15"/>
  <c r="X76" i="15"/>
  <c r="BE18" i="15" s="1"/>
  <c r="W76" i="15"/>
  <c r="V76" i="15"/>
  <c r="BD18" i="15" s="1"/>
  <c r="U76" i="15"/>
  <c r="T76" i="15"/>
  <c r="BB18" i="15" s="1"/>
  <c r="S76" i="15"/>
  <c r="BA18" i="15" s="1"/>
  <c r="R76" i="15"/>
  <c r="AZ18" i="15" s="1"/>
  <c r="Q76" i="15"/>
  <c r="P76" i="15"/>
  <c r="AX18" i="15" s="1"/>
  <c r="O76" i="15"/>
  <c r="AW18" i="15" s="1"/>
  <c r="N76" i="15"/>
  <c r="AV18" i="15" s="1"/>
  <c r="M76" i="15"/>
  <c r="AU18" i="15" s="1"/>
  <c r="L76" i="15"/>
  <c r="K76" i="15"/>
  <c r="J76" i="15"/>
  <c r="I76" i="15"/>
  <c r="AS18" i="15" s="1"/>
  <c r="H76" i="15"/>
  <c r="G76" i="15"/>
  <c r="AR18" i="15" s="1"/>
  <c r="F76" i="15"/>
  <c r="AQ18" i="15" s="1"/>
  <c r="E76" i="15"/>
  <c r="BR75" i="15"/>
  <c r="BM75" i="15"/>
  <c r="BK75" i="15"/>
  <c r="AI75" i="15"/>
  <c r="AH75" i="15"/>
  <c r="AG75" i="15"/>
  <c r="AG76" i="15" s="1"/>
  <c r="AG3" i="15" s="1"/>
  <c r="AI74" i="15"/>
  <c r="AH74" i="15"/>
  <c r="BW73" i="15"/>
  <c r="BW80" i="15" s="1"/>
  <c r="BV73" i="15"/>
  <c r="BV80" i="15" s="1"/>
  <c r="BU73" i="15"/>
  <c r="BU80" i="15" s="1"/>
  <c r="BT73" i="15"/>
  <c r="BT80" i="15" s="1"/>
  <c r="BS73" i="15"/>
  <c r="BS80" i="15" s="1"/>
  <c r="BR73" i="15"/>
  <c r="BR80" i="15" s="1"/>
  <c r="BQ73" i="15"/>
  <c r="BQ80" i="15" s="1"/>
  <c r="BP73" i="15"/>
  <c r="BP80" i="15" s="1"/>
  <c r="BO73" i="15"/>
  <c r="BN73" i="15"/>
  <c r="BN80" i="15" s="1"/>
  <c r="BM73" i="15"/>
  <c r="BM80" i="15" s="1"/>
  <c r="BL73" i="15"/>
  <c r="BL80" i="15" s="1"/>
  <c r="BK73" i="15"/>
  <c r="BK80" i="15" s="1"/>
  <c r="BJ73" i="15"/>
  <c r="BJ80" i="15" s="1"/>
  <c r="BI73" i="15"/>
  <c r="BH73" i="15"/>
  <c r="BH80" i="15" s="1"/>
  <c r="BG73" i="15"/>
  <c r="BF73" i="15"/>
  <c r="BF80" i="15" s="1"/>
  <c r="BE73" i="15"/>
  <c r="BE80" i="15" s="1"/>
  <c r="BD73" i="15"/>
  <c r="BD80" i="15" s="1"/>
  <c r="BC73" i="15"/>
  <c r="BB73" i="15"/>
  <c r="BB80" i="15" s="1"/>
  <c r="BA73" i="15"/>
  <c r="BA80" i="15" s="1"/>
  <c r="AZ73" i="15"/>
  <c r="AZ80" i="15" s="1"/>
  <c r="AI73" i="15"/>
  <c r="AH73" i="15"/>
  <c r="BW72" i="15"/>
  <c r="BW79" i="15" s="1"/>
  <c r="BV72" i="15"/>
  <c r="BV79" i="15" s="1"/>
  <c r="BU72" i="15"/>
  <c r="BU79" i="15" s="1"/>
  <c r="BT72" i="15"/>
  <c r="BT79" i="15" s="1"/>
  <c r="BS72" i="15"/>
  <c r="BR72" i="15"/>
  <c r="BR79" i="15" s="1"/>
  <c r="BQ72" i="15"/>
  <c r="BQ79" i="15" s="1"/>
  <c r="BP72" i="15"/>
  <c r="BP79" i="15" s="1"/>
  <c r="BO72" i="15"/>
  <c r="BO79" i="15" s="1"/>
  <c r="BN72" i="15"/>
  <c r="BN79" i="15" s="1"/>
  <c r="BM72" i="15"/>
  <c r="BM79" i="15" s="1"/>
  <c r="BL72" i="15"/>
  <c r="BL79" i="15" s="1"/>
  <c r="BK72" i="15"/>
  <c r="BJ72" i="15"/>
  <c r="BJ79" i="15" s="1"/>
  <c r="BI72" i="15"/>
  <c r="BI79" i="15" s="1"/>
  <c r="BH72" i="15"/>
  <c r="BH79" i="15" s="1"/>
  <c r="BG72" i="15"/>
  <c r="BG79" i="15" s="1"/>
  <c r="BF72" i="15"/>
  <c r="BF79" i="15" s="1"/>
  <c r="BE72" i="15"/>
  <c r="BE79" i="15" s="1"/>
  <c r="BD72" i="15"/>
  <c r="BD79" i="15" s="1"/>
  <c r="BC72" i="15"/>
  <c r="BB72" i="15"/>
  <c r="BB79" i="15" s="1"/>
  <c r="BA72" i="15"/>
  <c r="BA79" i="15" s="1"/>
  <c r="AZ72" i="15"/>
  <c r="AZ79" i="15" s="1"/>
  <c r="AI72" i="15"/>
  <c r="AH72" i="15"/>
  <c r="BW71" i="15"/>
  <c r="BW78" i="15" s="1"/>
  <c r="BV71" i="15"/>
  <c r="BV78" i="15" s="1"/>
  <c r="BU71" i="15"/>
  <c r="BU78" i="15" s="1"/>
  <c r="BT71" i="15"/>
  <c r="BT78" i="15" s="1"/>
  <c r="BS71" i="15"/>
  <c r="BR71" i="15"/>
  <c r="BR78" i="15" s="1"/>
  <c r="BQ71" i="15"/>
  <c r="BQ78" i="15" s="1"/>
  <c r="BP71" i="15"/>
  <c r="BP78" i="15" s="1"/>
  <c r="BO71" i="15"/>
  <c r="BN71" i="15"/>
  <c r="BN78" i="15" s="1"/>
  <c r="BM71" i="15"/>
  <c r="BM78" i="15" s="1"/>
  <c r="BL71" i="15"/>
  <c r="BL78" i="15" s="1"/>
  <c r="BK71" i="15"/>
  <c r="BJ71" i="15"/>
  <c r="BJ78" i="15" s="1"/>
  <c r="BI71" i="15"/>
  <c r="BI78" i="15" s="1"/>
  <c r="BH71" i="15"/>
  <c r="BH78" i="15" s="1"/>
  <c r="BG71" i="15"/>
  <c r="BG78" i="15" s="1"/>
  <c r="BF71" i="15"/>
  <c r="BE71" i="15"/>
  <c r="BD71" i="15"/>
  <c r="BD78" i="15" s="1"/>
  <c r="BC71" i="15"/>
  <c r="BB71" i="15"/>
  <c r="BB78" i="15" s="1"/>
  <c r="BA71" i="15"/>
  <c r="BA78" i="15" s="1"/>
  <c r="AZ71" i="15"/>
  <c r="AZ78" i="15" s="1"/>
  <c r="AI71" i="15"/>
  <c r="AH71" i="15"/>
  <c r="BW70" i="15"/>
  <c r="BW77" i="15" s="1"/>
  <c r="BV70" i="15"/>
  <c r="BV77" i="15" s="1"/>
  <c r="BU70" i="15"/>
  <c r="BT70" i="15"/>
  <c r="BT77" i="15" s="1"/>
  <c r="BS70" i="15"/>
  <c r="BS77" i="15" s="1"/>
  <c r="BR70" i="15"/>
  <c r="BR77" i="15" s="1"/>
  <c r="BQ70" i="15"/>
  <c r="BQ77" i="15" s="1"/>
  <c r="BP70" i="15"/>
  <c r="BP77" i="15" s="1"/>
  <c r="BO70" i="15"/>
  <c r="BO77" i="15" s="1"/>
  <c r="BN70" i="15"/>
  <c r="BN77" i="15" s="1"/>
  <c r="BM70" i="15"/>
  <c r="BL70" i="15"/>
  <c r="BL77" i="15" s="1"/>
  <c r="BK70" i="15"/>
  <c r="BK77" i="15" s="1"/>
  <c r="BJ70" i="15"/>
  <c r="BJ77" i="15" s="1"/>
  <c r="BI70" i="15"/>
  <c r="BH70" i="15"/>
  <c r="BG70" i="15"/>
  <c r="BG77" i="15" s="1"/>
  <c r="BF70" i="15"/>
  <c r="BE70" i="15"/>
  <c r="BE77" i="15" s="1"/>
  <c r="BD70" i="15"/>
  <c r="BD77" i="15" s="1"/>
  <c r="BC70" i="15"/>
  <c r="BC77" i="15" s="1"/>
  <c r="BB70" i="15"/>
  <c r="BB77" i="15" s="1"/>
  <c r="BA70" i="15"/>
  <c r="BA77" i="15" s="1"/>
  <c r="AZ70" i="15"/>
  <c r="AZ77" i="15" s="1"/>
  <c r="AI70" i="15"/>
  <c r="AH70" i="15"/>
  <c r="BW69" i="15"/>
  <c r="BV69" i="15"/>
  <c r="BV76" i="15" s="1"/>
  <c r="BU69" i="15"/>
  <c r="BU76" i="15" s="1"/>
  <c r="BT69" i="15"/>
  <c r="BT76" i="15" s="1"/>
  <c r="BS69" i="15"/>
  <c r="BS76" i="15" s="1"/>
  <c r="BR69" i="15"/>
  <c r="BR76" i="15" s="1"/>
  <c r="BQ69" i="15"/>
  <c r="BQ76" i="15" s="1"/>
  <c r="BP69" i="15"/>
  <c r="BP76" i="15" s="1"/>
  <c r="BO69" i="15"/>
  <c r="BO76" i="15" s="1"/>
  <c r="BN69" i="15"/>
  <c r="BN76" i="15" s="1"/>
  <c r="BM69" i="15"/>
  <c r="BM76" i="15" s="1"/>
  <c r="BL69" i="15"/>
  <c r="BL76" i="15" s="1"/>
  <c r="BK69" i="15"/>
  <c r="BJ69" i="15"/>
  <c r="BJ76" i="15" s="1"/>
  <c r="BI69" i="15"/>
  <c r="BI76" i="15" s="1"/>
  <c r="BH69" i="15"/>
  <c r="BH76" i="15" s="1"/>
  <c r="BG69" i="15"/>
  <c r="BF69" i="15"/>
  <c r="BF76" i="15" s="1"/>
  <c r="BE69" i="15"/>
  <c r="BE76" i="15" s="1"/>
  <c r="BD69" i="15"/>
  <c r="BD76" i="15" s="1"/>
  <c r="BC69" i="15"/>
  <c r="BC76" i="15" s="1"/>
  <c r="BB69" i="15"/>
  <c r="BB76" i="15" s="1"/>
  <c r="BA69" i="15"/>
  <c r="BA76" i="15" s="1"/>
  <c r="AZ69" i="15"/>
  <c r="AZ76" i="15" s="1"/>
  <c r="AI69" i="15"/>
  <c r="AH69" i="15"/>
  <c r="BW68" i="15"/>
  <c r="BW75" i="15" s="1"/>
  <c r="BV68" i="15"/>
  <c r="BV75" i="15" s="1"/>
  <c r="BU68" i="15"/>
  <c r="BU75" i="15" s="1"/>
  <c r="BT68" i="15"/>
  <c r="BT75" i="15" s="1"/>
  <c r="BS68" i="15"/>
  <c r="BS75" i="15" s="1"/>
  <c r="BR68" i="15"/>
  <c r="BQ68" i="15"/>
  <c r="BQ75" i="15" s="1"/>
  <c r="BP68" i="15"/>
  <c r="BP75" i="15" s="1"/>
  <c r="BO68" i="15"/>
  <c r="BO75" i="15" s="1"/>
  <c r="BN68" i="15"/>
  <c r="BN75" i="15" s="1"/>
  <c r="BM68" i="15"/>
  <c r="BL68" i="15"/>
  <c r="BL75" i="15" s="1"/>
  <c r="BK68" i="15"/>
  <c r="BJ68" i="15"/>
  <c r="BJ75" i="15" s="1"/>
  <c r="BI68" i="15"/>
  <c r="BI75" i="15" s="1"/>
  <c r="BH68" i="15"/>
  <c r="BH75" i="15" s="1"/>
  <c r="BG68" i="15"/>
  <c r="BG75" i="15" s="1"/>
  <c r="BF68" i="15"/>
  <c r="BF75" i="15" s="1"/>
  <c r="BE68" i="15"/>
  <c r="BE75" i="15" s="1"/>
  <c r="BD68" i="15"/>
  <c r="BD75" i="15" s="1"/>
  <c r="BC68" i="15"/>
  <c r="BC75" i="15" s="1"/>
  <c r="BB68" i="15"/>
  <c r="BB75" i="15" s="1"/>
  <c r="BA68" i="15"/>
  <c r="BA75" i="15" s="1"/>
  <c r="AZ68" i="15"/>
  <c r="AZ75" i="15" s="1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AF62" i="15"/>
  <c r="BJ17" i="15" s="1"/>
  <c r="AE62" i="15"/>
  <c r="BH17" i="15"/>
  <c r="AA62" i="15"/>
  <c r="Z62" i="15"/>
  <c r="BF17" i="15" s="1"/>
  <c r="Y62" i="15"/>
  <c r="X62" i="15"/>
  <c r="BE17" i="15" s="1"/>
  <c r="W62" i="15"/>
  <c r="V62" i="15"/>
  <c r="BD17" i="15" s="1"/>
  <c r="U62" i="15"/>
  <c r="BC17" i="15" s="1"/>
  <c r="T62" i="15"/>
  <c r="BB17" i="15" s="1"/>
  <c r="S62" i="15"/>
  <c r="BA17" i="15" s="1"/>
  <c r="R62" i="15"/>
  <c r="AZ17" i="15" s="1"/>
  <c r="Q62" i="15"/>
  <c r="AY17" i="15" s="1"/>
  <c r="P62" i="15"/>
  <c r="O62" i="15"/>
  <c r="AW17" i="15" s="1"/>
  <c r="N62" i="15"/>
  <c r="AV17" i="15" s="1"/>
  <c r="M62" i="15"/>
  <c r="AU17" i="15" s="1"/>
  <c r="L62" i="15"/>
  <c r="K62" i="15"/>
  <c r="J62" i="15"/>
  <c r="I62" i="15"/>
  <c r="H62" i="15"/>
  <c r="G62" i="15"/>
  <c r="AR17" i="15" s="1"/>
  <c r="F62" i="15"/>
  <c r="AQ17" i="15" s="1"/>
  <c r="AI61" i="15"/>
  <c r="AH61" i="15"/>
  <c r="AI60" i="15"/>
  <c r="AH60" i="15"/>
  <c r="AI59" i="15"/>
  <c r="AH59" i="15"/>
  <c r="AG58" i="15"/>
  <c r="AF58" i="15"/>
  <c r="AE58" i="15"/>
  <c r="AD58" i="15"/>
  <c r="BH16" i="15" s="1"/>
  <c r="AA58" i="15"/>
  <c r="Z58" i="15"/>
  <c r="Y58" i="15"/>
  <c r="X58" i="15"/>
  <c r="BE16" i="15" s="1"/>
  <c r="W58" i="15"/>
  <c r="V58" i="15"/>
  <c r="U58" i="15"/>
  <c r="T58" i="15"/>
  <c r="S58" i="15"/>
  <c r="BA16" i="15" s="1"/>
  <c r="R58" i="15"/>
  <c r="Q58" i="15"/>
  <c r="P58" i="15"/>
  <c r="O58" i="15"/>
  <c r="N58" i="15"/>
  <c r="M58" i="15"/>
  <c r="L58" i="15"/>
  <c r="K58" i="15"/>
  <c r="AT16" i="15" s="1"/>
  <c r="J58" i="15"/>
  <c r="I58" i="15"/>
  <c r="AS16" i="15" s="1"/>
  <c r="H58" i="15"/>
  <c r="G58" i="15"/>
  <c r="AR16" i="15" s="1"/>
  <c r="F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BI23" i="15"/>
  <c r="AI23" i="15"/>
  <c r="AH23" i="15"/>
  <c r="AI22" i="15"/>
  <c r="AH22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I21" i="15"/>
  <c r="AH21" i="15"/>
  <c r="BI20" i="15"/>
  <c r="BH20" i="15"/>
  <c r="BE20" i="15"/>
  <c r="BC20" i="15"/>
  <c r="BB20" i="15"/>
  <c r="BA20" i="15"/>
  <c r="AY20" i="15"/>
  <c r="AW20" i="15"/>
  <c r="AR20" i="15"/>
  <c r="AP20" i="15"/>
  <c r="AO20" i="15"/>
  <c r="AN20" i="15"/>
  <c r="AI20" i="15"/>
  <c r="AH20" i="15"/>
  <c r="BI19" i="15"/>
  <c r="AP19" i="15"/>
  <c r="AI19" i="15"/>
  <c r="AH19" i="15"/>
  <c r="BJ18" i="15"/>
  <c r="BI18" i="15"/>
  <c r="BH18" i="15"/>
  <c r="BC18" i="15"/>
  <c r="AY18" i="15"/>
  <c r="AP18" i="15"/>
  <c r="AI18" i="15"/>
  <c r="AH18" i="15"/>
  <c r="BI17" i="15"/>
  <c r="BG17" i="15"/>
  <c r="AX17" i="15"/>
  <c r="AT17" i="15"/>
  <c r="AS17" i="15"/>
  <c r="AP17" i="15"/>
  <c r="AI17" i="15"/>
  <c r="AH17" i="15"/>
  <c r="BJ16" i="15"/>
  <c r="BI16" i="15"/>
  <c r="BI22" i="15" s="1"/>
  <c r="BI24" i="15" s="1"/>
  <c r="BG16" i="15"/>
  <c r="AZ16" i="15"/>
  <c r="AW16" i="15"/>
  <c r="AU16" i="15"/>
  <c r="AN16" i="15"/>
  <c r="AM16" i="15"/>
  <c r="AI16" i="15"/>
  <c r="AH16" i="15"/>
  <c r="AI15" i="15"/>
  <c r="AH15" i="15"/>
  <c r="AI14" i="15"/>
  <c r="AH14" i="15"/>
  <c r="AI13" i="15"/>
  <c r="AH13" i="15"/>
  <c r="AL12" i="15"/>
  <c r="AI12" i="15"/>
  <c r="AH12" i="15"/>
  <c r="AI11" i="15"/>
  <c r="AH11" i="15"/>
  <c r="AF5" i="15"/>
  <c r="AD5" i="15"/>
  <c r="AC5" i="15"/>
  <c r="AB5" i="15"/>
  <c r="Z5" i="15"/>
  <c r="Y5" i="15"/>
  <c r="F5" i="15"/>
  <c r="D5" i="15"/>
  <c r="AG4" i="15"/>
  <c r="AG6" i="15" s="1"/>
  <c r="K4" i="15"/>
  <c r="E4" i="15"/>
  <c r="H4" i="15" s="1"/>
  <c r="B4" i="15"/>
  <c r="AG2" i="15"/>
  <c r="AF121" i="13"/>
  <c r="AF57" i="13"/>
  <c r="AF58" i="13"/>
  <c r="AF62" i="13"/>
  <c r="AF76" i="13"/>
  <c r="AF80" i="13"/>
  <c r="AF92" i="13"/>
  <c r="AF108" i="13" s="1"/>
  <c r="AF101" i="13"/>
  <c r="AF102" i="13"/>
  <c r="AF103" i="13"/>
  <c r="AF104" i="13"/>
  <c r="AF105" i="13"/>
  <c r="AF107" i="13" s="1"/>
  <c r="AE121" i="13"/>
  <c r="AE57" i="13"/>
  <c r="AE58" i="13"/>
  <c r="AE62" i="13"/>
  <c r="AE76" i="13"/>
  <c r="AE80" i="13"/>
  <c r="AD121" i="13"/>
  <c r="AD57" i="13"/>
  <c r="AC121" i="13"/>
  <c r="AC57" i="13"/>
  <c r="AB121" i="13"/>
  <c r="AB57" i="13"/>
  <c r="AB58" i="13"/>
  <c r="AB62" i="13"/>
  <c r="Y57" i="13"/>
  <c r="Z57" i="13"/>
  <c r="X57" i="13"/>
  <c r="W57" i="13"/>
  <c r="V57" i="13"/>
  <c r="U121" i="13"/>
  <c r="U57" i="13"/>
  <c r="T57" i="13"/>
  <c r="S57" i="13"/>
  <c r="AF97" i="16" l="1"/>
  <c r="AF99" i="16" s="1"/>
  <c r="AF107" i="16"/>
  <c r="BJ23" i="16" s="1"/>
  <c r="BJ22" i="16"/>
  <c r="AE107" i="16"/>
  <c r="AE108" i="16" s="1"/>
  <c r="AD107" i="16"/>
  <c r="BH23" i="16" s="1"/>
  <c r="AC107" i="16"/>
  <c r="AC108" i="16"/>
  <c r="AB5" i="16"/>
  <c r="AC97" i="16"/>
  <c r="AC99" i="16" s="1"/>
  <c r="AC100" i="16" s="1"/>
  <c r="AC7" i="16" s="1"/>
  <c r="AB97" i="16"/>
  <c r="AB99" i="16" s="1"/>
  <c r="AA5" i="16"/>
  <c r="BF22" i="16"/>
  <c r="BF24" i="16" s="1"/>
  <c r="BD22" i="16"/>
  <c r="BD24" i="16" s="1"/>
  <c r="R107" i="16"/>
  <c r="AZ23" i="16" s="1"/>
  <c r="AZ19" i="16"/>
  <c r="AZ22" i="16" s="1"/>
  <c r="AZ24" i="16" s="1"/>
  <c r="O5" i="16"/>
  <c r="Q107" i="16"/>
  <c r="AY23" i="16" s="1"/>
  <c r="P108" i="16"/>
  <c r="P97" i="16"/>
  <c r="P99" i="16" s="1"/>
  <c r="P100" i="16" s="1"/>
  <c r="P7" i="16" s="1"/>
  <c r="O107" i="16"/>
  <c r="N107" i="16"/>
  <c r="AV23" i="16" s="1"/>
  <c r="M107" i="16"/>
  <c r="AU23" i="16" s="1"/>
  <c r="M97" i="16"/>
  <c r="M99" i="16" s="1"/>
  <c r="M100" i="16" s="1"/>
  <c r="M7" i="16" s="1"/>
  <c r="AH102" i="16"/>
  <c r="L107" i="16"/>
  <c r="L97" i="16"/>
  <c r="L99" i="16" s="1"/>
  <c r="J5" i="16"/>
  <c r="K108" i="16"/>
  <c r="J107" i="16"/>
  <c r="J108" i="16" s="1"/>
  <c r="J97" i="16"/>
  <c r="J99" i="16" s="1"/>
  <c r="I107" i="16"/>
  <c r="AS23" i="16" s="1"/>
  <c r="H107" i="16"/>
  <c r="H97" i="16"/>
  <c r="H99" i="16" s="1"/>
  <c r="G107" i="16"/>
  <c r="AR23" i="16" s="1"/>
  <c r="F5" i="16"/>
  <c r="AH103" i="16"/>
  <c r="F107" i="16"/>
  <c r="AQ23" i="16" s="1"/>
  <c r="F97" i="16"/>
  <c r="F99" i="16" s="1"/>
  <c r="BG16" i="16"/>
  <c r="BG22" i="16" s="1"/>
  <c r="BG24" i="16" s="1"/>
  <c r="AU16" i="16"/>
  <c r="AV22" i="16"/>
  <c r="BH22" i="16"/>
  <c r="BH24" i="16" s="1"/>
  <c r="BB16" i="16"/>
  <c r="BB22" i="16" s="1"/>
  <c r="BB24" i="16" s="1"/>
  <c r="D5" i="16"/>
  <c r="E97" i="16"/>
  <c r="E99" i="16" s="1"/>
  <c r="E100" i="16" s="1"/>
  <c r="E7" i="16" s="1"/>
  <c r="AP16" i="16"/>
  <c r="AP22" i="16" s="1"/>
  <c r="AP24" i="16" s="1"/>
  <c r="AQ16" i="16"/>
  <c r="D107" i="16"/>
  <c r="AO23" i="16" s="1"/>
  <c r="AI76" i="16"/>
  <c r="AF5" i="16"/>
  <c r="AI80" i="16"/>
  <c r="AH76" i="16"/>
  <c r="B97" i="16"/>
  <c r="B99" i="16" s="1"/>
  <c r="B100" i="16" s="1"/>
  <c r="AM16" i="16"/>
  <c r="BG84" i="16" a="1"/>
  <c r="BH99" i="16" s="1"/>
  <c r="AI58" i="16"/>
  <c r="AI102" i="16"/>
  <c r="AI62" i="16"/>
  <c r="AL13" i="16"/>
  <c r="AR22" i="16"/>
  <c r="AT22" i="16"/>
  <c r="Q108" i="16"/>
  <c r="AY19" i="16"/>
  <c r="AY22" i="16" s="1"/>
  <c r="AY24" i="16" s="1"/>
  <c r="AG99" i="16"/>
  <c r="H5" i="16"/>
  <c r="BC16" i="16"/>
  <c r="BC22" i="16" s="1"/>
  <c r="BC24" i="16" s="1"/>
  <c r="BE19" i="16"/>
  <c r="AN20" i="16"/>
  <c r="AN22" i="16" s="1"/>
  <c r="AN24" i="16" s="1"/>
  <c r="AT23" i="16"/>
  <c r="G97" i="16"/>
  <c r="G99" i="16" s="1"/>
  <c r="AW16" i="16"/>
  <c r="AW22" i="16" s="1"/>
  <c r="O97" i="16"/>
  <c r="O99" i="16" s="1"/>
  <c r="O100" i="16" s="1"/>
  <c r="O7" i="16" s="1"/>
  <c r="W7" i="16"/>
  <c r="BI22" i="16"/>
  <c r="R97" i="16"/>
  <c r="R99" i="16" s="1"/>
  <c r="R100" i="16" s="1"/>
  <c r="R7" i="16" s="1"/>
  <c r="Z7" i="16"/>
  <c r="AH80" i="16"/>
  <c r="AI92" i="16"/>
  <c r="AM19" i="16"/>
  <c r="AM22" i="16" s="1"/>
  <c r="I5" i="16"/>
  <c r="Y5" i="16"/>
  <c r="AH92" i="16"/>
  <c r="R108" i="16"/>
  <c r="H100" i="16"/>
  <c r="H7" i="16" s="1"/>
  <c r="X7" i="16"/>
  <c r="BE16" i="16"/>
  <c r="AB108" i="16"/>
  <c r="I97" i="16"/>
  <c r="I99" i="16" s="1"/>
  <c r="I100" i="16" s="1"/>
  <c r="I7" i="16" s="1"/>
  <c r="AS16" i="16"/>
  <c r="AS22" i="16" s="1"/>
  <c r="AS24" i="16" s="1"/>
  <c r="Q97" i="16"/>
  <c r="Q99" i="16" s="1"/>
  <c r="Q100" i="16" s="1"/>
  <c r="Q7" i="16" s="1"/>
  <c r="Y7" i="16"/>
  <c r="AG97" i="16"/>
  <c r="AH62" i="16"/>
  <c r="D108" i="16"/>
  <c r="L108" i="16"/>
  <c r="J100" i="16"/>
  <c r="J7" i="16" s="1"/>
  <c r="AH58" i="16"/>
  <c r="E108" i="16"/>
  <c r="M108" i="16"/>
  <c r="AU19" i="16"/>
  <c r="AU22" i="16" s="1"/>
  <c r="AU24" i="16" s="1"/>
  <c r="BC19" i="16"/>
  <c r="AI105" i="16"/>
  <c r="C5" i="16"/>
  <c r="AX16" i="16"/>
  <c r="AX22" i="16" s="1"/>
  <c r="AX24" i="16" s="1"/>
  <c r="AO19" i="16"/>
  <c r="C7" i="16"/>
  <c r="K97" i="16"/>
  <c r="K99" i="16" s="1"/>
  <c r="K100" i="16" s="1"/>
  <c r="K7" i="16" s="1"/>
  <c r="S7" i="16"/>
  <c r="BA16" i="16"/>
  <c r="BA22" i="16" s="1"/>
  <c r="BA24" i="16" s="1"/>
  <c r="AA7" i="16"/>
  <c r="N97" i="16"/>
  <c r="N99" i="16" s="1"/>
  <c r="N100" i="16" s="1"/>
  <c r="N7" i="16" s="1"/>
  <c r="AD97" i="16"/>
  <c r="AD99" i="16" s="1"/>
  <c r="AD100" i="16" s="1"/>
  <c r="AD7" i="16" s="1"/>
  <c r="AQ19" i="16"/>
  <c r="E5" i="16"/>
  <c r="M5" i="16"/>
  <c r="U5" i="16"/>
  <c r="AC5" i="16"/>
  <c r="AD108" i="16"/>
  <c r="AE97" i="16"/>
  <c r="AE99" i="16" s="1"/>
  <c r="AE100" i="16" s="1"/>
  <c r="AE7" i="16" s="1"/>
  <c r="AI103" i="16"/>
  <c r="D97" i="16"/>
  <c r="D99" i="16" s="1"/>
  <c r="D100" i="16" s="1"/>
  <c r="D7" i="16" s="1"/>
  <c r="AO16" i="16"/>
  <c r="T7" i="16"/>
  <c r="AB100" i="16"/>
  <c r="AB7" i="16" s="1"/>
  <c r="AH101" i="16"/>
  <c r="AI101" i="16"/>
  <c r="AZ75" i="16"/>
  <c r="H108" i="16"/>
  <c r="AF108" i="16"/>
  <c r="AH104" i="16"/>
  <c r="AI104" i="16"/>
  <c r="AH105" i="16"/>
  <c r="E246" i="16"/>
  <c r="AF107" i="15"/>
  <c r="BJ23" i="15" s="1"/>
  <c r="AE5" i="15"/>
  <c r="AF108" i="15"/>
  <c r="AD100" i="15"/>
  <c r="AD108" i="15"/>
  <c r="AC107" i="15"/>
  <c r="AC108" i="15" s="1"/>
  <c r="AC97" i="15"/>
  <c r="AC99" i="15" s="1"/>
  <c r="AC100" i="15" s="1"/>
  <c r="AC7" i="15" s="1"/>
  <c r="AB97" i="15"/>
  <c r="AB99" i="15" s="1"/>
  <c r="AA5" i="15"/>
  <c r="BG22" i="15"/>
  <c r="AA107" i="15"/>
  <c r="AA97" i="15"/>
  <c r="AA99" i="15" s="1"/>
  <c r="Z107" i="15"/>
  <c r="BF23" i="15" s="1"/>
  <c r="Y97" i="15"/>
  <c r="Y99" i="15" s="1"/>
  <c r="X5" i="15"/>
  <c r="Y107" i="15"/>
  <c r="X107" i="15"/>
  <c r="BE23" i="15" s="1"/>
  <c r="W5" i="15"/>
  <c r="X108" i="15"/>
  <c r="BE22" i="15"/>
  <c r="BE24" i="15" s="1"/>
  <c r="W107" i="15"/>
  <c r="W97" i="15"/>
  <c r="W99" i="15" s="1"/>
  <c r="W100" i="15" s="1"/>
  <c r="W7" i="15" s="1"/>
  <c r="V107" i="15"/>
  <c r="BD23" i="15" s="1"/>
  <c r="U5" i="15"/>
  <c r="BD19" i="15"/>
  <c r="T5" i="15"/>
  <c r="U107" i="15"/>
  <c r="BC23" i="15" s="1"/>
  <c r="T97" i="15"/>
  <c r="T99" i="15" s="1"/>
  <c r="BB19" i="15"/>
  <c r="BA19" i="15"/>
  <c r="S107" i="15"/>
  <c r="BA23" i="15" s="1"/>
  <c r="R108" i="15"/>
  <c r="Q5" i="15"/>
  <c r="R97" i="15"/>
  <c r="R99" i="15" s="1"/>
  <c r="R100" i="15" s="1"/>
  <c r="R7" i="15" s="1"/>
  <c r="Q107" i="15"/>
  <c r="AY23" i="15" s="1"/>
  <c r="P5" i="15"/>
  <c r="AY19" i="15"/>
  <c r="Q97" i="15"/>
  <c r="Q99" i="15" s="1"/>
  <c r="Q100" i="15" s="1"/>
  <c r="Q7" i="15" s="1"/>
  <c r="AY16" i="15"/>
  <c r="AY22" i="15" s="1"/>
  <c r="AY24" i="15" s="1"/>
  <c r="O5" i="15"/>
  <c r="P107" i="15"/>
  <c r="N5" i="15"/>
  <c r="O107" i="15"/>
  <c r="AW23" i="15" s="1"/>
  <c r="AW22" i="15"/>
  <c r="M5" i="15"/>
  <c r="N107" i="15"/>
  <c r="AV23" i="15" s="1"/>
  <c r="M107" i="15"/>
  <c r="AU23" i="15" s="1"/>
  <c r="L5" i="15"/>
  <c r="M97" i="15"/>
  <c r="M99" i="15" s="1"/>
  <c r="L97" i="15"/>
  <c r="L99" i="15" s="1"/>
  <c r="AT19" i="15"/>
  <c r="K107" i="15"/>
  <c r="AT23" i="15" s="1"/>
  <c r="J107" i="15"/>
  <c r="J108" i="15" s="1"/>
  <c r="I5" i="15"/>
  <c r="J97" i="15"/>
  <c r="J99" i="15" s="1"/>
  <c r="I108" i="15"/>
  <c r="I107" i="15"/>
  <c r="AS23" i="15" s="1"/>
  <c r="H5" i="15"/>
  <c r="AS19" i="15"/>
  <c r="AS22" i="15"/>
  <c r="AS24" i="15" s="1"/>
  <c r="AH122" i="15"/>
  <c r="H107" i="15"/>
  <c r="H108" i="15" s="1"/>
  <c r="G107" i="15"/>
  <c r="AR23" i="15" s="1"/>
  <c r="F107" i="15"/>
  <c r="AQ23" i="15" s="1"/>
  <c r="AQ19" i="15"/>
  <c r="E5" i="15"/>
  <c r="AH105" i="15"/>
  <c r="AI104" i="15"/>
  <c r="AI105" i="15"/>
  <c r="B5" i="15"/>
  <c r="AN22" i="15"/>
  <c r="AN24" i="15" s="1"/>
  <c r="AH102" i="15"/>
  <c r="AO19" i="15"/>
  <c r="AI76" i="15"/>
  <c r="C108" i="15"/>
  <c r="AH121" i="15"/>
  <c r="AI121" i="15"/>
  <c r="B108" i="15"/>
  <c r="B97" i="15"/>
  <c r="B99" i="15" s="1"/>
  <c r="B100" i="15" s="1"/>
  <c r="AI80" i="15"/>
  <c r="AM18" i="15"/>
  <c r="AH76" i="15"/>
  <c r="AU22" i="15"/>
  <c r="AU24" i="15" s="1"/>
  <c r="AO16" i="15"/>
  <c r="AO22" i="15" s="1"/>
  <c r="D97" i="15"/>
  <c r="D99" i="15" s="1"/>
  <c r="U97" i="15"/>
  <c r="U99" i="15" s="1"/>
  <c r="U100" i="15" s="1"/>
  <c r="U7" i="15" s="1"/>
  <c r="BC16" i="15"/>
  <c r="BC22" i="15" s="1"/>
  <c r="BC24" i="15" s="1"/>
  <c r="E97" i="15"/>
  <c r="E99" i="15" s="1"/>
  <c r="AP16" i="15"/>
  <c r="AP22" i="15" s="1"/>
  <c r="BA22" i="15"/>
  <c r="BA24" i="15" s="1"/>
  <c r="BG84" i="15" a="1"/>
  <c r="K97" i="15"/>
  <c r="K99" i="15" s="1"/>
  <c r="AT18" i="15"/>
  <c r="AT22" i="15" s="1"/>
  <c r="AR22" i="15"/>
  <c r="AR24" i="15" s="1"/>
  <c r="BB16" i="15"/>
  <c r="BB22" i="15" s="1"/>
  <c r="AI58" i="15"/>
  <c r="Z97" i="15"/>
  <c r="Z99" i="15" s="1"/>
  <c r="Z100" i="15" s="1"/>
  <c r="Z7" i="15" s="1"/>
  <c r="BF16" i="15"/>
  <c r="BF22" i="15" s="1"/>
  <c r="BF24" i="15" s="1"/>
  <c r="AH58" i="15"/>
  <c r="C97" i="15"/>
  <c r="C99" i="15" s="1"/>
  <c r="C100" i="15" s="1"/>
  <c r="C7" i="15" s="1"/>
  <c r="S97" i="15"/>
  <c r="S99" i="15" s="1"/>
  <c r="S100" i="15" s="1"/>
  <c r="S7" i="15" s="1"/>
  <c r="AG99" i="15"/>
  <c r="AH80" i="15"/>
  <c r="I97" i="15"/>
  <c r="I99" i="15" s="1"/>
  <c r="I100" i="15" s="1"/>
  <c r="I7" i="15" s="1"/>
  <c r="E107" i="15"/>
  <c r="AP23" i="15" s="1"/>
  <c r="AI101" i="15"/>
  <c r="AI92" i="15"/>
  <c r="AH92" i="15"/>
  <c r="AM19" i="15"/>
  <c r="F97" i="15"/>
  <c r="F99" i="15" s="1"/>
  <c r="F100" i="15" s="1"/>
  <c r="F7" i="15" s="1"/>
  <c r="N97" i="15"/>
  <c r="N99" i="15" s="1"/>
  <c r="N100" i="15" s="1"/>
  <c r="N7" i="15" s="1"/>
  <c r="AV16" i="15"/>
  <c r="AV22" i="15" s="1"/>
  <c r="AV24" i="15" s="1"/>
  <c r="V97" i="15"/>
  <c r="V99" i="15" s="1"/>
  <c r="V100" i="15" s="1"/>
  <c r="V7" i="15" s="1"/>
  <c r="BD16" i="15"/>
  <c r="BD22" i="15" s="1"/>
  <c r="BD24" i="15" s="1"/>
  <c r="AD7" i="15"/>
  <c r="AZ22" i="15"/>
  <c r="AZ24" i="15" s="1"/>
  <c r="BJ22" i="15"/>
  <c r="BJ24" i="15" s="1"/>
  <c r="G97" i="15"/>
  <c r="G99" i="15" s="1"/>
  <c r="O97" i="15"/>
  <c r="O99" i="15" s="1"/>
  <c r="AE97" i="15"/>
  <c r="AE99" i="15" s="1"/>
  <c r="AE100" i="15" s="1"/>
  <c r="AE7" i="15" s="1"/>
  <c r="AQ16" i="15"/>
  <c r="AQ22" i="15" s="1"/>
  <c r="AQ24" i="15" s="1"/>
  <c r="H97" i="15"/>
  <c r="H99" i="15" s="1"/>
  <c r="H100" i="15" s="1"/>
  <c r="H7" i="15" s="1"/>
  <c r="P97" i="15"/>
  <c r="P99" i="15" s="1"/>
  <c r="P100" i="15" s="1"/>
  <c r="P7" i="15" s="1"/>
  <c r="AX16" i="15"/>
  <c r="AX22" i="15" s="1"/>
  <c r="X97" i="15"/>
  <c r="X99" i="15" s="1"/>
  <c r="X100" i="15" s="1"/>
  <c r="X7" i="15" s="1"/>
  <c r="AF97" i="15"/>
  <c r="AF99" i="15" s="1"/>
  <c r="AF100" i="15" s="1"/>
  <c r="AF7" i="15" s="1"/>
  <c r="D258" i="15"/>
  <c r="AL13" i="15"/>
  <c r="AI62" i="15"/>
  <c r="AH62" i="15"/>
  <c r="BH19" i="15"/>
  <c r="BH22" i="15" s="1"/>
  <c r="BH24" i="15" s="1"/>
  <c r="P108" i="15"/>
  <c r="AX23" i="15"/>
  <c r="G108" i="15"/>
  <c r="W108" i="15"/>
  <c r="AE108" i="15"/>
  <c r="K108" i="15"/>
  <c r="S108" i="15"/>
  <c r="AA108" i="15"/>
  <c r="AH101" i="15"/>
  <c r="AI102" i="15"/>
  <c r="AI103" i="15"/>
  <c r="D252" i="15"/>
  <c r="D118" i="15"/>
  <c r="E246" i="15"/>
  <c r="T108" i="15"/>
  <c r="M108" i="15"/>
  <c r="U108" i="15"/>
  <c r="D107" i="15"/>
  <c r="AO23" i="15" s="1"/>
  <c r="L107" i="15"/>
  <c r="L100" i="15" s="1"/>
  <c r="L7" i="15" s="1"/>
  <c r="T107" i="15"/>
  <c r="BB23" i="15" s="1"/>
  <c r="AB107" i="15"/>
  <c r="BG23" i="15" s="1"/>
  <c r="BG24" i="15" s="1"/>
  <c r="AH103" i="15"/>
  <c r="AH104" i="15"/>
  <c r="AF97" i="13"/>
  <c r="AF99" i="13" s="1"/>
  <c r="AF100" i="13" s="1"/>
  <c r="BJ24" i="16" l="1"/>
  <c r="AF100" i="16"/>
  <c r="AF7" i="16" s="1"/>
  <c r="BI23" i="16"/>
  <c r="BI24" i="16"/>
  <c r="O108" i="16"/>
  <c r="AW23" i="16"/>
  <c r="AW24" i="16" s="1"/>
  <c r="AV24" i="16"/>
  <c r="N108" i="16"/>
  <c r="L100" i="16"/>
  <c r="L7" i="16" s="1"/>
  <c r="I108" i="16"/>
  <c r="AR24" i="16"/>
  <c r="G108" i="16"/>
  <c r="F108" i="16"/>
  <c r="F100" i="16"/>
  <c r="F7" i="16" s="1"/>
  <c r="AQ22" i="16"/>
  <c r="AQ24" i="16" s="1"/>
  <c r="AO22" i="16"/>
  <c r="AO24" i="16" s="1"/>
  <c r="BL94" i="16"/>
  <c r="BL96" i="16"/>
  <c r="BK105" i="16"/>
  <c r="BH98" i="16"/>
  <c r="BJ95" i="16"/>
  <c r="BI86" i="16"/>
  <c r="BL90" i="16"/>
  <c r="BH93" i="16"/>
  <c r="BL89" i="16"/>
  <c r="BH90" i="16"/>
  <c r="BK89" i="16"/>
  <c r="BK98" i="16"/>
  <c r="BI93" i="16"/>
  <c r="BG93" i="16"/>
  <c r="BH88" i="16"/>
  <c r="BK92" i="16"/>
  <c r="BJ94" i="16"/>
  <c r="BH91" i="16"/>
  <c r="BL88" i="16"/>
  <c r="BJ104" i="16"/>
  <c r="BH89" i="16"/>
  <c r="BI85" i="16"/>
  <c r="BJ87" i="16"/>
  <c r="BI96" i="16"/>
  <c r="BG103" i="16"/>
  <c r="BK88" i="16"/>
  <c r="BI88" i="16"/>
  <c r="BK91" i="16"/>
  <c r="BH96" i="16"/>
  <c r="BH97" i="16"/>
  <c r="BL93" i="16"/>
  <c r="BH105" i="16"/>
  <c r="BI106" i="16"/>
  <c r="BG92" i="16"/>
  <c r="BJ107" i="16"/>
  <c r="BI107" i="16"/>
  <c r="BL92" i="16"/>
  <c r="BG106" i="16"/>
  <c r="BJ86" i="16"/>
  <c r="BI97" i="16"/>
  <c r="BG87" i="16"/>
  <c r="BI100" i="16"/>
  <c r="BL85" i="16"/>
  <c r="BH106" i="16"/>
  <c r="BJ91" i="16"/>
  <c r="BG96" i="16"/>
  <c r="BG107" i="16"/>
  <c r="BI95" i="16"/>
  <c r="BK99" i="16"/>
  <c r="BL99" i="16"/>
  <c r="BJ96" i="16"/>
  <c r="BH94" i="16"/>
  <c r="BJ97" i="16"/>
  <c r="BI102" i="16"/>
  <c r="BL106" i="16"/>
  <c r="BL101" i="16"/>
  <c r="BI104" i="16"/>
  <c r="BH84" i="16"/>
  <c r="BL107" i="16"/>
  <c r="BK101" i="16"/>
  <c r="BK102" i="16"/>
  <c r="BG88" i="16"/>
  <c r="BJ85" i="16"/>
  <c r="BH107" i="16"/>
  <c r="BI101" i="16"/>
  <c r="BL86" i="16"/>
  <c r="BK93" i="16"/>
  <c r="BG100" i="16"/>
  <c r="BK100" i="16"/>
  <c r="BG105" i="16"/>
  <c r="BL103" i="16"/>
  <c r="BJ100" i="16"/>
  <c r="BI92" i="16"/>
  <c r="BG104" i="16"/>
  <c r="BG85" i="16"/>
  <c r="BJ89" i="16"/>
  <c r="BG94" i="16"/>
  <c r="BI91" i="16"/>
  <c r="BK95" i="16"/>
  <c r="BK90" i="16"/>
  <c r="BG95" i="16"/>
  <c r="BG90" i="16"/>
  <c r="BH104" i="16"/>
  <c r="BI94" i="16"/>
  <c r="BH85" i="16"/>
  <c r="BL95" i="16"/>
  <c r="BJ106" i="16"/>
  <c r="BJ92" i="16"/>
  <c r="BH103" i="16"/>
  <c r="BK106" i="16"/>
  <c r="BK87" i="16"/>
  <c r="BI99" i="16"/>
  <c r="BK103" i="16"/>
  <c r="BL84" i="16"/>
  <c r="BI89" i="16"/>
  <c r="BJ105" i="16"/>
  <c r="BK86" i="16"/>
  <c r="BG91" i="16"/>
  <c r="BL104" i="16"/>
  <c r="BG86" i="16"/>
  <c r="BI90" i="16"/>
  <c r="BJ93" i="16"/>
  <c r="BK107" i="16"/>
  <c r="BG98" i="16"/>
  <c r="BL87" i="16"/>
  <c r="BJ98" i="16"/>
  <c r="BJ84" i="16"/>
  <c r="BH95" i="16"/>
  <c r="BL105" i="16"/>
  <c r="BG102" i="16"/>
  <c r="BK94" i="16"/>
  <c r="BG99" i="16"/>
  <c r="BJ103" i="16"/>
  <c r="BI84" i="16"/>
  <c r="BL100" i="16"/>
  <c r="BI105" i="16"/>
  <c r="BH86" i="16"/>
  <c r="BH100" i="16"/>
  <c r="BK104" i="16"/>
  <c r="BK85" i="16"/>
  <c r="BG97" i="16"/>
  <c r="BI87" i="16"/>
  <c r="BJ101" i="16"/>
  <c r="BJ90" i="16"/>
  <c r="BH101" i="16"/>
  <c r="BH87" i="16"/>
  <c r="BL97" i="16"/>
  <c r="BJ99" i="16"/>
  <c r="BH92" i="16"/>
  <c r="BK96" i="16"/>
  <c r="BG101" i="16"/>
  <c r="BI98" i="16"/>
  <c r="BL102" i="16"/>
  <c r="BG84" i="16"/>
  <c r="BK97" i="16"/>
  <c r="BH102" i="16"/>
  <c r="BK84" i="16"/>
  <c r="BL98" i="16"/>
  <c r="BG89" i="16"/>
  <c r="BI103" i="16"/>
  <c r="BL91" i="16"/>
  <c r="BJ102" i="16"/>
  <c r="BJ88" i="16"/>
  <c r="C256" i="16"/>
  <c r="B256" i="16"/>
  <c r="G100" i="16"/>
  <c r="G7" i="16" s="1"/>
  <c r="AI107" i="16"/>
  <c r="AH107" i="16"/>
  <c r="AM23" i="16"/>
  <c r="BE22" i="16"/>
  <c r="BE24" i="16" s="1"/>
  <c r="AM24" i="16"/>
  <c r="AI97" i="16"/>
  <c r="AH97" i="16"/>
  <c r="AT24" i="16"/>
  <c r="AH108" i="16"/>
  <c r="F246" i="16"/>
  <c r="E252" i="16"/>
  <c r="E118" i="16"/>
  <c r="AA100" i="15"/>
  <c r="AA7" i="15" s="1"/>
  <c r="Z108" i="15"/>
  <c r="Y100" i="15"/>
  <c r="Y7" i="15" s="1"/>
  <c r="Y108" i="15"/>
  <c r="V108" i="15"/>
  <c r="T100" i="15"/>
  <c r="T7" i="15" s="1"/>
  <c r="Q108" i="15"/>
  <c r="O100" i="15"/>
  <c r="O7" i="15" s="1"/>
  <c r="AW24" i="15"/>
  <c r="O108" i="15"/>
  <c r="N108" i="15"/>
  <c r="M100" i="15"/>
  <c r="M7" i="15" s="1"/>
  <c r="AT24" i="15"/>
  <c r="K100" i="15"/>
  <c r="K7" i="15" s="1"/>
  <c r="J100" i="15"/>
  <c r="J7" i="15" s="1"/>
  <c r="F108" i="15"/>
  <c r="AP24" i="15"/>
  <c r="E108" i="15"/>
  <c r="D108" i="15"/>
  <c r="AO24" i="15"/>
  <c r="C256" i="15"/>
  <c r="G100" i="15"/>
  <c r="G7" i="15" s="1"/>
  <c r="B256" i="15"/>
  <c r="AB108" i="15"/>
  <c r="BI107" i="15"/>
  <c r="BG106" i="15"/>
  <c r="BK104" i="15"/>
  <c r="BI103" i="15"/>
  <c r="BG102" i="15"/>
  <c r="BK100" i="15"/>
  <c r="BI99" i="15"/>
  <c r="BG98" i="15"/>
  <c r="BK96" i="15"/>
  <c r="BI95" i="15"/>
  <c r="BG94" i="15"/>
  <c r="BK92" i="15"/>
  <c r="BI91" i="15"/>
  <c r="BG90" i="15"/>
  <c r="BK88" i="15"/>
  <c r="BI87" i="15"/>
  <c r="BG86" i="15"/>
  <c r="BK84" i="15"/>
  <c r="BL107" i="15"/>
  <c r="BJ106" i="15"/>
  <c r="BH105" i="15"/>
  <c r="BL103" i="15"/>
  <c r="BJ102" i="15"/>
  <c r="BH101" i="15"/>
  <c r="BL99" i="15"/>
  <c r="BJ98" i="15"/>
  <c r="BH97" i="15"/>
  <c r="BL95" i="15"/>
  <c r="BJ94" i="15"/>
  <c r="BH93" i="15"/>
  <c r="BL91" i="15"/>
  <c r="BJ90" i="15"/>
  <c r="BH89" i="15"/>
  <c r="BL87" i="15"/>
  <c r="BJ86" i="15"/>
  <c r="BH85" i="15"/>
  <c r="BI106" i="15"/>
  <c r="BJ104" i="15"/>
  <c r="BL102" i="15"/>
  <c r="BG101" i="15"/>
  <c r="BH99" i="15"/>
  <c r="BJ97" i="15"/>
  <c r="BK95" i="15"/>
  <c r="BL93" i="15"/>
  <c r="BH92" i="15"/>
  <c r="BI90" i="15"/>
  <c r="BJ88" i="15"/>
  <c r="BL86" i="15"/>
  <c r="BG85" i="15"/>
  <c r="BH106" i="15"/>
  <c r="BI104" i="15"/>
  <c r="BK102" i="15"/>
  <c r="BL100" i="15"/>
  <c r="BG99" i="15"/>
  <c r="BI97" i="15"/>
  <c r="BK107" i="15"/>
  <c r="BL105" i="15"/>
  <c r="BH104" i="15"/>
  <c r="BI102" i="15"/>
  <c r="BJ100" i="15"/>
  <c r="BL98" i="15"/>
  <c r="BG97" i="15"/>
  <c r="BH95" i="15"/>
  <c r="BJ93" i="15"/>
  <c r="BK91" i="15"/>
  <c r="BL89" i="15"/>
  <c r="BH88" i="15"/>
  <c r="BI86" i="15"/>
  <c r="BJ84" i="15"/>
  <c r="BL106" i="15"/>
  <c r="BG105" i="15"/>
  <c r="BH103" i="15"/>
  <c r="BJ101" i="15"/>
  <c r="BK99" i="15"/>
  <c r="BL97" i="15"/>
  <c r="BH96" i="15"/>
  <c r="BI94" i="15"/>
  <c r="BJ92" i="15"/>
  <c r="BL90" i="15"/>
  <c r="BG89" i="15"/>
  <c r="BH87" i="15"/>
  <c r="BJ85" i="15"/>
  <c r="BK105" i="15"/>
  <c r="BH102" i="15"/>
  <c r="BK98" i="15"/>
  <c r="BJ95" i="15"/>
  <c r="BL92" i="15"/>
  <c r="BK89" i="15"/>
  <c r="BG87" i="15"/>
  <c r="BH84" i="15"/>
  <c r="BJ105" i="15"/>
  <c r="BL101" i="15"/>
  <c r="BI98" i="15"/>
  <c r="BG95" i="15"/>
  <c r="BI92" i="15"/>
  <c r="BJ89" i="15"/>
  <c r="BK86" i="15"/>
  <c r="BG84" i="15"/>
  <c r="BI105" i="15"/>
  <c r="BK101" i="15"/>
  <c r="BH98" i="15"/>
  <c r="BL94" i="15"/>
  <c r="BG92" i="15"/>
  <c r="BI89" i="15"/>
  <c r="BH86" i="15"/>
  <c r="BJ107" i="15"/>
  <c r="BG104" i="15"/>
  <c r="BI100" i="15"/>
  <c r="BL96" i="15"/>
  <c r="BH94" i="15"/>
  <c r="BH91" i="15"/>
  <c r="BI88" i="15"/>
  <c r="BK85" i="15"/>
  <c r="BH100" i="15"/>
  <c r="BL104" i="15"/>
  <c r="BI101" i="15"/>
  <c r="BK97" i="15"/>
  <c r="BK94" i="15"/>
  <c r="BJ91" i="15"/>
  <c r="BL88" i="15"/>
  <c r="BL85" i="15"/>
  <c r="BG107" i="15"/>
  <c r="BJ103" i="15"/>
  <c r="BG100" i="15"/>
  <c r="BI96" i="15"/>
  <c r="BI93" i="15"/>
  <c r="BK90" i="15"/>
  <c r="BK87" i="15"/>
  <c r="BL84" i="15"/>
  <c r="BK106" i="15"/>
  <c r="BG103" i="15"/>
  <c r="BJ99" i="15"/>
  <c r="BG96" i="15"/>
  <c r="BG93" i="15"/>
  <c r="BH90" i="15"/>
  <c r="BJ87" i="15"/>
  <c r="BI84" i="15"/>
  <c r="BJ96" i="15"/>
  <c r="BG91" i="15"/>
  <c r="BK103" i="15"/>
  <c r="BK93" i="15"/>
  <c r="BG88" i="15"/>
  <c r="BH107" i="15"/>
  <c r="BI85" i="15"/>
  <c r="D100" i="15"/>
  <c r="D7" i="15" s="1"/>
  <c r="AI107" i="15"/>
  <c r="AH107" i="15"/>
  <c r="AM23" i="15"/>
  <c r="L108" i="15"/>
  <c r="F246" i="15"/>
  <c r="E252" i="15"/>
  <c r="E118" i="15"/>
  <c r="AX24" i="15"/>
  <c r="AH97" i="15"/>
  <c r="AI97" i="15"/>
  <c r="E100" i="15"/>
  <c r="E7" i="15" s="1"/>
  <c r="BB24" i="15"/>
  <c r="AM22" i="15"/>
  <c r="AB100" i="15"/>
  <c r="AB7" i="15" s="1"/>
  <c r="AI108" i="16" l="1"/>
  <c r="AT9" i="16"/>
  <c r="AT8" i="16"/>
  <c r="G246" i="16"/>
  <c r="F252" i="16"/>
  <c r="F118" i="16"/>
  <c r="AI99" i="16"/>
  <c r="AH99" i="16"/>
  <c r="K6" i="16"/>
  <c r="AH99" i="15"/>
  <c r="AI99" i="15"/>
  <c r="AH108" i="15"/>
  <c r="AI108" i="15"/>
  <c r="AT8" i="15"/>
  <c r="AM24" i="15"/>
  <c r="AT9" i="15" s="1"/>
  <c r="K6" i="15"/>
  <c r="G246" i="15"/>
  <c r="F252" i="15"/>
  <c r="F118" i="15"/>
  <c r="H246" i="16" l="1"/>
  <c r="G252" i="16"/>
  <c r="G118" i="16"/>
  <c r="AI100" i="16"/>
  <c r="AH100" i="16"/>
  <c r="B7" i="16"/>
  <c r="A7" i="16" s="1"/>
  <c r="AI100" i="15"/>
  <c r="B7" i="15"/>
  <c r="A7" i="15" s="1"/>
  <c r="AH100" i="15"/>
  <c r="H246" i="15"/>
  <c r="G118" i="15"/>
  <c r="G252" i="15"/>
  <c r="R57" i="13"/>
  <c r="I246" i="16" l="1"/>
  <c r="H252" i="16"/>
  <c r="H118" i="16"/>
  <c r="I246" i="15"/>
  <c r="H252" i="15"/>
  <c r="H118" i="15"/>
  <c r="Q57" i="13"/>
  <c r="P118" i="13"/>
  <c r="P57" i="13"/>
  <c r="O57" i="13"/>
  <c r="I252" i="16" l="1"/>
  <c r="I118" i="16"/>
  <c r="J246" i="16"/>
  <c r="I252" i="15"/>
  <c r="I118" i="15"/>
  <c r="J246" i="15"/>
  <c r="N57" i="13"/>
  <c r="M57" i="13"/>
  <c r="L121" i="13"/>
  <c r="L57" i="13"/>
  <c r="K121" i="13"/>
  <c r="K57" i="13"/>
  <c r="J252" i="16" l="1"/>
  <c r="J118" i="16"/>
  <c r="K246" i="16"/>
  <c r="J252" i="15"/>
  <c r="J118" i="15"/>
  <c r="K246" i="15"/>
  <c r="K252" i="16" l="1"/>
  <c r="L246" i="16"/>
  <c r="K118" i="16"/>
  <c r="K252" i="15"/>
  <c r="K118" i="15"/>
  <c r="L246" i="15"/>
  <c r="J121" i="13"/>
  <c r="J57" i="13"/>
  <c r="I121" i="13"/>
  <c r="I57" i="13"/>
  <c r="H121" i="13"/>
  <c r="H57" i="13"/>
  <c r="G121" i="13"/>
  <c r="G57" i="13"/>
  <c r="F121" i="13"/>
  <c r="F57" i="13"/>
  <c r="L252" i="16" l="1"/>
  <c r="L118" i="16"/>
  <c r="M246" i="16"/>
  <c r="L252" i="15"/>
  <c r="L118" i="15"/>
  <c r="M246" i="15"/>
  <c r="AH125" i="13"/>
  <c r="AI125" i="13"/>
  <c r="AH124" i="13"/>
  <c r="AI124" i="13"/>
  <c r="E121" i="13"/>
  <c r="E57" i="13"/>
  <c r="D58" i="13"/>
  <c r="D62" i="13"/>
  <c r="D76" i="13"/>
  <c r="D80" i="13"/>
  <c r="D92" i="13"/>
  <c r="AO19" i="13" s="1"/>
  <c r="D101" i="13"/>
  <c r="D102" i="13"/>
  <c r="D103" i="13"/>
  <c r="D104" i="13"/>
  <c r="D105" i="13"/>
  <c r="D118" i="13"/>
  <c r="C58" i="13"/>
  <c r="C62" i="13"/>
  <c r="C76" i="13"/>
  <c r="C80" i="13"/>
  <c r="C92" i="13"/>
  <c r="B5" i="13" s="1"/>
  <c r="C101" i="13"/>
  <c r="C102" i="13"/>
  <c r="C103" i="13"/>
  <c r="C104" i="13"/>
  <c r="C107" i="13" s="1"/>
  <c r="AN23" i="13" s="1"/>
  <c r="C105" i="13"/>
  <c r="C118" i="13"/>
  <c r="B118" i="13"/>
  <c r="B105" i="13"/>
  <c r="B104" i="13"/>
  <c r="B103" i="13"/>
  <c r="B102" i="13"/>
  <c r="B101" i="13"/>
  <c r="B107" i="13" s="1"/>
  <c r="B92" i="13"/>
  <c r="AM19" i="13" s="1"/>
  <c r="B80" i="13"/>
  <c r="B76" i="13"/>
  <c r="AM18" i="13" s="1"/>
  <c r="B62" i="13"/>
  <c r="B58" i="13"/>
  <c r="AG252" i="13"/>
  <c r="C252" i="13"/>
  <c r="F251" i="13"/>
  <c r="G251" i="13" s="1"/>
  <c r="H251" i="13" s="1"/>
  <c r="I251" i="13" s="1"/>
  <c r="J251" i="13" s="1"/>
  <c r="K251" i="13" s="1"/>
  <c r="L251" i="13" s="1"/>
  <c r="M251" i="13" s="1"/>
  <c r="N251" i="13" s="1"/>
  <c r="O251" i="13" s="1"/>
  <c r="P251" i="13" s="1"/>
  <c r="Q251" i="13" s="1"/>
  <c r="R251" i="13" s="1"/>
  <c r="S251" i="13" s="1"/>
  <c r="T251" i="13" s="1"/>
  <c r="U251" i="13" s="1"/>
  <c r="V251" i="13" s="1"/>
  <c r="W251" i="13" s="1"/>
  <c r="X251" i="13" s="1"/>
  <c r="Y251" i="13" s="1"/>
  <c r="Z251" i="13" s="1"/>
  <c r="AA251" i="13" s="1"/>
  <c r="AB251" i="13" s="1"/>
  <c r="AC251" i="13" s="1"/>
  <c r="AD251" i="13" s="1"/>
  <c r="AE251" i="13" s="1"/>
  <c r="AF251" i="13" s="1"/>
  <c r="B251" i="13" s="1"/>
  <c r="E251" i="13"/>
  <c r="D251" i="13"/>
  <c r="D250" i="13"/>
  <c r="E250" i="13" s="1"/>
  <c r="F250" i="13" s="1"/>
  <c r="G250" i="13" s="1"/>
  <c r="H250" i="13" s="1"/>
  <c r="I250" i="13" s="1"/>
  <c r="J250" i="13" s="1"/>
  <c r="K250" i="13" s="1"/>
  <c r="L250" i="13" s="1"/>
  <c r="M250" i="13" s="1"/>
  <c r="N250" i="13" s="1"/>
  <c r="O250" i="13" s="1"/>
  <c r="P250" i="13" s="1"/>
  <c r="Q250" i="13" s="1"/>
  <c r="R250" i="13" s="1"/>
  <c r="S250" i="13" s="1"/>
  <c r="T250" i="13" s="1"/>
  <c r="U250" i="13" s="1"/>
  <c r="V250" i="13" s="1"/>
  <c r="W250" i="13" s="1"/>
  <c r="X250" i="13" s="1"/>
  <c r="Y250" i="13" s="1"/>
  <c r="Z250" i="13" s="1"/>
  <c r="AA250" i="13" s="1"/>
  <c r="AB250" i="13" s="1"/>
  <c r="AC250" i="13" s="1"/>
  <c r="AD250" i="13" s="1"/>
  <c r="AE250" i="13" s="1"/>
  <c r="AF250" i="13" s="1"/>
  <c r="B250" i="13" s="1"/>
  <c r="D249" i="13"/>
  <c r="E249" i="13" s="1"/>
  <c r="F249" i="13" s="1"/>
  <c r="G249" i="13" s="1"/>
  <c r="H249" i="13" s="1"/>
  <c r="I249" i="13" s="1"/>
  <c r="J249" i="13" s="1"/>
  <c r="K249" i="13" s="1"/>
  <c r="L249" i="13" s="1"/>
  <c r="M249" i="13" s="1"/>
  <c r="N249" i="13" s="1"/>
  <c r="O249" i="13" s="1"/>
  <c r="P249" i="13" s="1"/>
  <c r="Q249" i="13" s="1"/>
  <c r="R249" i="13" s="1"/>
  <c r="S249" i="13" s="1"/>
  <c r="T249" i="13" s="1"/>
  <c r="U249" i="13" s="1"/>
  <c r="V249" i="13" s="1"/>
  <c r="W249" i="13" s="1"/>
  <c r="X249" i="13" s="1"/>
  <c r="Y249" i="13" s="1"/>
  <c r="Z249" i="13" s="1"/>
  <c r="AA249" i="13" s="1"/>
  <c r="AB249" i="13" s="1"/>
  <c r="AC249" i="13" s="1"/>
  <c r="AD249" i="13" s="1"/>
  <c r="AE249" i="13" s="1"/>
  <c r="AF249" i="13" s="1"/>
  <c r="B249" i="13" s="1"/>
  <c r="D248" i="13"/>
  <c r="E248" i="13" s="1"/>
  <c r="F248" i="13" s="1"/>
  <c r="G248" i="13" s="1"/>
  <c r="H248" i="13" s="1"/>
  <c r="I248" i="13" s="1"/>
  <c r="J248" i="13" s="1"/>
  <c r="K248" i="13" s="1"/>
  <c r="L248" i="13" s="1"/>
  <c r="M248" i="13" s="1"/>
  <c r="N248" i="13" s="1"/>
  <c r="O248" i="13" s="1"/>
  <c r="P248" i="13" s="1"/>
  <c r="Q248" i="13" s="1"/>
  <c r="R248" i="13" s="1"/>
  <c r="S248" i="13" s="1"/>
  <c r="T248" i="13" s="1"/>
  <c r="U248" i="13" s="1"/>
  <c r="V248" i="13" s="1"/>
  <c r="W248" i="13" s="1"/>
  <c r="X248" i="13" s="1"/>
  <c r="Y248" i="13" s="1"/>
  <c r="Z248" i="13" s="1"/>
  <c r="AA248" i="13" s="1"/>
  <c r="AB248" i="13" s="1"/>
  <c r="AC248" i="13" s="1"/>
  <c r="AD248" i="13" s="1"/>
  <c r="AE248" i="13" s="1"/>
  <c r="AF248" i="13" s="1"/>
  <c r="B248" i="13" s="1"/>
  <c r="E247" i="13"/>
  <c r="F247" i="13" s="1"/>
  <c r="G247" i="13" s="1"/>
  <c r="H247" i="13" s="1"/>
  <c r="I247" i="13" s="1"/>
  <c r="J247" i="13" s="1"/>
  <c r="K247" i="13" s="1"/>
  <c r="L247" i="13" s="1"/>
  <c r="M247" i="13" s="1"/>
  <c r="N247" i="13" s="1"/>
  <c r="O247" i="13" s="1"/>
  <c r="P247" i="13" s="1"/>
  <c r="Q247" i="13" s="1"/>
  <c r="R247" i="13" s="1"/>
  <c r="S247" i="13" s="1"/>
  <c r="T247" i="13" s="1"/>
  <c r="U247" i="13" s="1"/>
  <c r="V247" i="13" s="1"/>
  <c r="W247" i="13" s="1"/>
  <c r="X247" i="13" s="1"/>
  <c r="Y247" i="13" s="1"/>
  <c r="Z247" i="13" s="1"/>
  <c r="AA247" i="13" s="1"/>
  <c r="AB247" i="13" s="1"/>
  <c r="AC247" i="13" s="1"/>
  <c r="AD247" i="13" s="1"/>
  <c r="AE247" i="13" s="1"/>
  <c r="AF247" i="13" s="1"/>
  <c r="B247" i="13" s="1"/>
  <c r="D247" i="13"/>
  <c r="D246" i="13"/>
  <c r="AG244" i="13"/>
  <c r="AF244" i="13"/>
  <c r="AE244" i="13"/>
  <c r="AD244" i="13"/>
  <c r="AC244" i="13"/>
  <c r="AB244" i="13"/>
  <c r="AA244" i="13"/>
  <c r="Z244" i="13"/>
  <c r="Z118" i="13" s="1"/>
  <c r="Y244" i="13"/>
  <c r="Y118" i="13" s="1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I130" i="13"/>
  <c r="AH130" i="13"/>
  <c r="AI129" i="13"/>
  <c r="AH129" i="13"/>
  <c r="AI128" i="13"/>
  <c r="AH128" i="13"/>
  <c r="AI127" i="13"/>
  <c r="AH127" i="13"/>
  <c r="AI126" i="13"/>
  <c r="AH126" i="13"/>
  <c r="AI123" i="13"/>
  <c r="AH123" i="13"/>
  <c r="AI122" i="13"/>
  <c r="AH122" i="13"/>
  <c r="AI121" i="13"/>
  <c r="AH121" i="13"/>
  <c r="AI120" i="13"/>
  <c r="AH120" i="13"/>
  <c r="AI119" i="13"/>
  <c r="AH119" i="13"/>
  <c r="AI117" i="13"/>
  <c r="AH117" i="13"/>
  <c r="AI116" i="13"/>
  <c r="AH116" i="13"/>
  <c r="AI115" i="13"/>
  <c r="AH115" i="13"/>
  <c r="AI114" i="13"/>
  <c r="AH114" i="13"/>
  <c r="AI113" i="13"/>
  <c r="AH113" i="13"/>
  <c r="AI112" i="13"/>
  <c r="AH112" i="13"/>
  <c r="AI111" i="13"/>
  <c r="AH111" i="13"/>
  <c r="AI110" i="13"/>
  <c r="AH110" i="13"/>
  <c r="AI109" i="13"/>
  <c r="AH109" i="13"/>
  <c r="AI106" i="13"/>
  <c r="AH106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AE101" i="13"/>
  <c r="AD101" i="13"/>
  <c r="AC101" i="13"/>
  <c r="AC107" i="13" s="1"/>
  <c r="AB101" i="13"/>
  <c r="AA101" i="13"/>
  <c r="AA107" i="13" s="1"/>
  <c r="Z101" i="13"/>
  <c r="Y101" i="13"/>
  <c r="X101" i="13"/>
  <c r="W101" i="13"/>
  <c r="V101" i="13"/>
  <c r="U101" i="13"/>
  <c r="U107" i="13" s="1"/>
  <c r="BC23" i="13" s="1"/>
  <c r="T101" i="13"/>
  <c r="S101" i="13"/>
  <c r="R101" i="13"/>
  <c r="Q101" i="13"/>
  <c r="P101" i="13"/>
  <c r="O101" i="13"/>
  <c r="N101" i="13"/>
  <c r="M101" i="13"/>
  <c r="L101" i="13"/>
  <c r="K101" i="13"/>
  <c r="J101" i="13"/>
  <c r="J107" i="13" s="1"/>
  <c r="I101" i="13"/>
  <c r="H101" i="13"/>
  <c r="G101" i="13"/>
  <c r="F101" i="13"/>
  <c r="E101" i="13"/>
  <c r="E107" i="13" s="1"/>
  <c r="AP23" i="13" s="1"/>
  <c r="AI98" i="13"/>
  <c r="AH98" i="13"/>
  <c r="AI96" i="13"/>
  <c r="AH96" i="13"/>
  <c r="AG96" i="13"/>
  <c r="AI95" i="13"/>
  <c r="AH95" i="13"/>
  <c r="AI94" i="13"/>
  <c r="AH94" i="13"/>
  <c r="AI93" i="13"/>
  <c r="AH93" i="13"/>
  <c r="AG92" i="13"/>
  <c r="AE92" i="13"/>
  <c r="BI19" i="13" s="1"/>
  <c r="AD92" i="13"/>
  <c r="BH19" i="13" s="1"/>
  <c r="AC92" i="13"/>
  <c r="AC108" i="13" s="1"/>
  <c r="AB92" i="13"/>
  <c r="BG19" i="13" s="1"/>
  <c r="AA92" i="13"/>
  <c r="Z92" i="13"/>
  <c r="BF19" i="13" s="1"/>
  <c r="Y92" i="13"/>
  <c r="X5" i="13" s="1"/>
  <c r="X92" i="13"/>
  <c r="BE19" i="13" s="1"/>
  <c r="W92" i="13"/>
  <c r="V5" i="13" s="1"/>
  <c r="V92" i="13"/>
  <c r="BD19" i="13" s="1"/>
  <c r="U92" i="13"/>
  <c r="U108" i="13" s="1"/>
  <c r="T92" i="13"/>
  <c r="S5" i="13" s="1"/>
  <c r="S92" i="13"/>
  <c r="BA19" i="13" s="1"/>
  <c r="R92" i="13"/>
  <c r="Q92" i="13"/>
  <c r="AY19" i="13" s="1"/>
  <c r="P92" i="13"/>
  <c r="O92" i="13"/>
  <c r="AW19" i="13" s="1"/>
  <c r="N92" i="13"/>
  <c r="AV19" i="13" s="1"/>
  <c r="M92" i="13"/>
  <c r="L92" i="13"/>
  <c r="K5" i="13" s="1"/>
  <c r="K92" i="13"/>
  <c r="J5" i="13" s="1"/>
  <c r="J92" i="13"/>
  <c r="I5" i="13" s="1"/>
  <c r="I92" i="13"/>
  <c r="H5" i="13" s="1"/>
  <c r="H92" i="13"/>
  <c r="G5" i="13" s="1"/>
  <c r="G92" i="13"/>
  <c r="F5" i="13" s="1"/>
  <c r="F92" i="13"/>
  <c r="E5" i="13" s="1"/>
  <c r="E92" i="13"/>
  <c r="AP19" i="13" s="1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I81" i="13"/>
  <c r="AH81" i="13"/>
  <c r="AG80" i="13"/>
  <c r="AD80" i="13"/>
  <c r="BH20" i="13" s="1"/>
  <c r="AC80" i="13"/>
  <c r="AB80" i="13"/>
  <c r="AA80" i="13"/>
  <c r="Z80" i="13"/>
  <c r="BF20" i="13" s="1"/>
  <c r="Y80" i="13"/>
  <c r="X80" i="13"/>
  <c r="BE20" i="13" s="1"/>
  <c r="W80" i="13"/>
  <c r="V80" i="13"/>
  <c r="U80" i="13"/>
  <c r="BC20" i="13" s="1"/>
  <c r="T80" i="13"/>
  <c r="S80" i="13"/>
  <c r="BA20" i="13" s="1"/>
  <c r="R80" i="13"/>
  <c r="AZ20" i="13" s="1"/>
  <c r="Q80" i="13"/>
  <c r="P80" i="13"/>
  <c r="O80" i="13"/>
  <c r="AW20" i="13" s="1"/>
  <c r="N80" i="13"/>
  <c r="AV20" i="13" s="1"/>
  <c r="M80" i="13"/>
  <c r="AU20" i="13" s="1"/>
  <c r="L80" i="13"/>
  <c r="K80" i="13"/>
  <c r="J80" i="13"/>
  <c r="I80" i="13"/>
  <c r="H80" i="13"/>
  <c r="G80" i="13"/>
  <c r="F80" i="13"/>
  <c r="E80" i="13"/>
  <c r="AP20" i="13" s="1"/>
  <c r="BJ79" i="13"/>
  <c r="BB79" i="13"/>
  <c r="AI79" i="13"/>
  <c r="AH79" i="13"/>
  <c r="BT78" i="13"/>
  <c r="AI78" i="13"/>
  <c r="AH78" i="13"/>
  <c r="AI77" i="13"/>
  <c r="AH77" i="13"/>
  <c r="BD76" i="13"/>
  <c r="BI18" i="13"/>
  <c r="AD76" i="13"/>
  <c r="BH18" i="13" s="1"/>
  <c r="AC76" i="13"/>
  <c r="AB76" i="13"/>
  <c r="AA76" i="13"/>
  <c r="Z76" i="13"/>
  <c r="BF18" i="13" s="1"/>
  <c r="Y76" i="13"/>
  <c r="X76" i="13"/>
  <c r="W76" i="13"/>
  <c r="V76" i="13"/>
  <c r="U76" i="13"/>
  <c r="T76" i="13"/>
  <c r="S76" i="13"/>
  <c r="BA18" i="13" s="1"/>
  <c r="R76" i="13"/>
  <c r="AZ18" i="13" s="1"/>
  <c r="Q76" i="13"/>
  <c r="AY18" i="13" s="1"/>
  <c r="P76" i="13"/>
  <c r="AX18" i="13" s="1"/>
  <c r="O76" i="13"/>
  <c r="AW18" i="13" s="1"/>
  <c r="N76" i="13"/>
  <c r="AV18" i="13" s="1"/>
  <c r="M76" i="13"/>
  <c r="L76" i="13"/>
  <c r="K76" i="13"/>
  <c r="AT18" i="13" s="1"/>
  <c r="J76" i="13"/>
  <c r="I76" i="13"/>
  <c r="AS18" i="13" s="1"/>
  <c r="H76" i="13"/>
  <c r="G76" i="13"/>
  <c r="AR18" i="13" s="1"/>
  <c r="F76" i="13"/>
  <c r="AQ18" i="13" s="1"/>
  <c r="E76" i="13"/>
  <c r="AP18" i="13" s="1"/>
  <c r="BR75" i="13"/>
  <c r="BJ75" i="13"/>
  <c r="BB75" i="13"/>
  <c r="AI75" i="13"/>
  <c r="AH75" i="13"/>
  <c r="AG75" i="13"/>
  <c r="AG76" i="13" s="1"/>
  <c r="AG3" i="13" s="1"/>
  <c r="AI74" i="13"/>
  <c r="AH74" i="13"/>
  <c r="BW73" i="13"/>
  <c r="BW80" i="13" s="1"/>
  <c r="BV73" i="13"/>
  <c r="BV80" i="13" s="1"/>
  <c r="BU73" i="13"/>
  <c r="BU80" i="13" s="1"/>
  <c r="BT73" i="13"/>
  <c r="BT80" i="13" s="1"/>
  <c r="BS73" i="13"/>
  <c r="BS80" i="13" s="1"/>
  <c r="BR73" i="13"/>
  <c r="BR80" i="13" s="1"/>
  <c r="BQ73" i="13"/>
  <c r="BQ80" i="13" s="1"/>
  <c r="BP73" i="13"/>
  <c r="BP80" i="13" s="1"/>
  <c r="BO73" i="13"/>
  <c r="BO80" i="13" s="1"/>
  <c r="BN73" i="13"/>
  <c r="BN80" i="13" s="1"/>
  <c r="BM73" i="13"/>
  <c r="BM80" i="13" s="1"/>
  <c r="BL73" i="13"/>
  <c r="BL80" i="13" s="1"/>
  <c r="BK73" i="13"/>
  <c r="BK80" i="13" s="1"/>
  <c r="BJ73" i="13"/>
  <c r="BJ80" i="13" s="1"/>
  <c r="BI73" i="13"/>
  <c r="BI80" i="13" s="1"/>
  <c r="BH73" i="13"/>
  <c r="BH80" i="13" s="1"/>
  <c r="BG73" i="13"/>
  <c r="BG80" i="13" s="1"/>
  <c r="BF73" i="13"/>
  <c r="BF80" i="13" s="1"/>
  <c r="BE73" i="13"/>
  <c r="BE80" i="13" s="1"/>
  <c r="BD73" i="13"/>
  <c r="BD80" i="13" s="1"/>
  <c r="BC73" i="13"/>
  <c r="BC80" i="13" s="1"/>
  <c r="BB73" i="13"/>
  <c r="BB80" i="13" s="1"/>
  <c r="BA73" i="13"/>
  <c r="BA80" i="13" s="1"/>
  <c r="AZ73" i="13"/>
  <c r="AZ80" i="13" s="1"/>
  <c r="AI73" i="13"/>
  <c r="AH73" i="13"/>
  <c r="BW72" i="13"/>
  <c r="BW79" i="13" s="1"/>
  <c r="BV72" i="13"/>
  <c r="BV79" i="13" s="1"/>
  <c r="BU72" i="13"/>
  <c r="BU79" i="13" s="1"/>
  <c r="BT72" i="13"/>
  <c r="BT79" i="13" s="1"/>
  <c r="BS72" i="13"/>
  <c r="BS79" i="13" s="1"/>
  <c r="BR72" i="13"/>
  <c r="BR79" i="13" s="1"/>
  <c r="BQ72" i="13"/>
  <c r="BQ79" i="13" s="1"/>
  <c r="BP72" i="13"/>
  <c r="BP79" i="13" s="1"/>
  <c r="BO72" i="13"/>
  <c r="BO79" i="13" s="1"/>
  <c r="BN72" i="13"/>
  <c r="BN79" i="13" s="1"/>
  <c r="BM72" i="13"/>
  <c r="BM79" i="13" s="1"/>
  <c r="BL72" i="13"/>
  <c r="BL79" i="13" s="1"/>
  <c r="BK72" i="13"/>
  <c r="BK79" i="13" s="1"/>
  <c r="BJ72" i="13"/>
  <c r="BI72" i="13"/>
  <c r="BI79" i="13" s="1"/>
  <c r="BH72" i="13"/>
  <c r="BH79" i="13" s="1"/>
  <c r="BG72" i="13"/>
  <c r="BG79" i="13" s="1"/>
  <c r="BF72" i="13"/>
  <c r="BF79" i="13" s="1"/>
  <c r="BE72" i="13"/>
  <c r="BE79" i="13" s="1"/>
  <c r="BD72" i="13"/>
  <c r="BD79" i="13" s="1"/>
  <c r="BC72" i="13"/>
  <c r="BC79" i="13" s="1"/>
  <c r="BB72" i="13"/>
  <c r="BA72" i="13"/>
  <c r="BA79" i="13" s="1"/>
  <c r="AZ72" i="13"/>
  <c r="AZ79" i="13" s="1"/>
  <c r="AI72" i="13"/>
  <c r="AH72" i="13"/>
  <c r="BW71" i="13"/>
  <c r="BW78" i="13" s="1"/>
  <c r="BV71" i="13"/>
  <c r="BV78" i="13" s="1"/>
  <c r="BU71" i="13"/>
  <c r="BU78" i="13" s="1"/>
  <c r="BT71" i="13"/>
  <c r="BS71" i="13"/>
  <c r="BS78" i="13" s="1"/>
  <c r="BR71" i="13"/>
  <c r="BR78" i="13" s="1"/>
  <c r="BQ71" i="13"/>
  <c r="BQ78" i="13" s="1"/>
  <c r="BP71" i="13"/>
  <c r="BP78" i="13" s="1"/>
  <c r="BO71" i="13"/>
  <c r="BO78" i="13" s="1"/>
  <c r="BN71" i="13"/>
  <c r="BN78" i="13" s="1"/>
  <c r="BM71" i="13"/>
  <c r="BM78" i="13" s="1"/>
  <c r="BL71" i="13"/>
  <c r="BL78" i="13" s="1"/>
  <c r="BK71" i="13"/>
  <c r="BK78" i="13" s="1"/>
  <c r="BJ71" i="13"/>
  <c r="BJ78" i="13" s="1"/>
  <c r="BI71" i="13"/>
  <c r="BI78" i="13" s="1"/>
  <c r="BH71" i="13"/>
  <c r="BH78" i="13" s="1"/>
  <c r="BG71" i="13"/>
  <c r="BG78" i="13" s="1"/>
  <c r="BF71" i="13"/>
  <c r="BF78" i="13" s="1"/>
  <c r="BE71" i="13"/>
  <c r="BE78" i="13" s="1"/>
  <c r="BD71" i="13"/>
  <c r="BD78" i="13" s="1"/>
  <c r="BC71" i="13"/>
  <c r="BC78" i="13" s="1"/>
  <c r="BB71" i="13"/>
  <c r="BB78" i="13" s="1"/>
  <c r="BA71" i="13"/>
  <c r="BA78" i="13" s="1"/>
  <c r="AZ71" i="13"/>
  <c r="AZ78" i="13" s="1"/>
  <c r="AI71" i="13"/>
  <c r="AH71" i="13"/>
  <c r="BW70" i="13"/>
  <c r="BW77" i="13" s="1"/>
  <c r="BV70" i="13"/>
  <c r="BV77" i="13" s="1"/>
  <c r="BU70" i="13"/>
  <c r="BU77" i="13" s="1"/>
  <c r="BT70" i="13"/>
  <c r="BT77" i="13" s="1"/>
  <c r="BS70" i="13"/>
  <c r="BS77" i="13" s="1"/>
  <c r="BR70" i="13"/>
  <c r="BR77" i="13" s="1"/>
  <c r="BQ70" i="13"/>
  <c r="BQ77" i="13" s="1"/>
  <c r="BP70" i="13"/>
  <c r="BP77" i="13" s="1"/>
  <c r="BO70" i="13"/>
  <c r="BO77" i="13" s="1"/>
  <c r="BN70" i="13"/>
  <c r="BN77" i="13" s="1"/>
  <c r="BM70" i="13"/>
  <c r="BM77" i="13" s="1"/>
  <c r="BL70" i="13"/>
  <c r="BL77" i="13" s="1"/>
  <c r="BK70" i="13"/>
  <c r="BK77" i="13" s="1"/>
  <c r="BJ70" i="13"/>
  <c r="BJ77" i="13" s="1"/>
  <c r="BI70" i="13"/>
  <c r="BI77" i="13" s="1"/>
  <c r="BH70" i="13"/>
  <c r="BH77" i="13" s="1"/>
  <c r="BG70" i="13"/>
  <c r="BG77" i="13" s="1"/>
  <c r="BF70" i="13"/>
  <c r="BF77" i="13" s="1"/>
  <c r="BE70" i="13"/>
  <c r="BE77" i="13" s="1"/>
  <c r="BD70" i="13"/>
  <c r="BD77" i="13" s="1"/>
  <c r="BC70" i="13"/>
  <c r="BC77" i="13" s="1"/>
  <c r="BB70" i="13"/>
  <c r="BB77" i="13" s="1"/>
  <c r="BA70" i="13"/>
  <c r="BA77" i="13" s="1"/>
  <c r="AZ70" i="13"/>
  <c r="AZ77" i="13" s="1"/>
  <c r="AI70" i="13"/>
  <c r="AH70" i="13"/>
  <c r="BW69" i="13"/>
  <c r="BW76" i="13" s="1"/>
  <c r="BV69" i="13"/>
  <c r="BV76" i="13" s="1"/>
  <c r="BU69" i="13"/>
  <c r="BU76" i="13" s="1"/>
  <c r="BT69" i="13"/>
  <c r="BT76" i="13" s="1"/>
  <c r="BS69" i="13"/>
  <c r="BS76" i="13" s="1"/>
  <c r="BR69" i="13"/>
  <c r="BR76" i="13" s="1"/>
  <c r="BQ69" i="13"/>
  <c r="BQ76" i="13" s="1"/>
  <c r="BP69" i="13"/>
  <c r="BP76" i="13" s="1"/>
  <c r="BO69" i="13"/>
  <c r="BO76" i="13" s="1"/>
  <c r="BN69" i="13"/>
  <c r="BN76" i="13" s="1"/>
  <c r="BM69" i="13"/>
  <c r="BM76" i="13" s="1"/>
  <c r="BL69" i="13"/>
  <c r="BL76" i="13" s="1"/>
  <c r="BK69" i="13"/>
  <c r="BK76" i="13" s="1"/>
  <c r="BJ69" i="13"/>
  <c r="BJ76" i="13" s="1"/>
  <c r="BI69" i="13"/>
  <c r="BI76" i="13" s="1"/>
  <c r="BH69" i="13"/>
  <c r="BH76" i="13" s="1"/>
  <c r="BG69" i="13"/>
  <c r="BG76" i="13" s="1"/>
  <c r="BF69" i="13"/>
  <c r="BF76" i="13" s="1"/>
  <c r="BE69" i="13"/>
  <c r="BE76" i="13" s="1"/>
  <c r="BD69" i="13"/>
  <c r="BC69" i="13"/>
  <c r="BC76" i="13" s="1"/>
  <c r="BB69" i="13"/>
  <c r="BB76" i="13" s="1"/>
  <c r="BA69" i="13"/>
  <c r="BA76" i="13" s="1"/>
  <c r="AZ69" i="13"/>
  <c r="AZ76" i="13" s="1"/>
  <c r="AI69" i="13"/>
  <c r="AH69" i="13"/>
  <c r="BW68" i="13"/>
  <c r="BW75" i="13" s="1"/>
  <c r="BV68" i="13"/>
  <c r="BV75" i="13" s="1"/>
  <c r="BU68" i="13"/>
  <c r="BU75" i="13" s="1"/>
  <c r="BT68" i="13"/>
  <c r="BT75" i="13" s="1"/>
  <c r="BS68" i="13"/>
  <c r="BS75" i="13" s="1"/>
  <c r="BR68" i="13"/>
  <c r="BQ68" i="13"/>
  <c r="BQ75" i="13" s="1"/>
  <c r="BP68" i="13"/>
  <c r="BP75" i="13" s="1"/>
  <c r="BO68" i="13"/>
  <c r="BO75" i="13" s="1"/>
  <c r="BN68" i="13"/>
  <c r="BN75" i="13" s="1"/>
  <c r="BM68" i="13"/>
  <c r="BM75" i="13" s="1"/>
  <c r="BL68" i="13"/>
  <c r="BL75" i="13" s="1"/>
  <c r="BK68" i="13"/>
  <c r="BK75" i="13" s="1"/>
  <c r="BJ68" i="13"/>
  <c r="BI68" i="13"/>
  <c r="BI75" i="13" s="1"/>
  <c r="BH68" i="13"/>
  <c r="BH75" i="13" s="1"/>
  <c r="BG68" i="13"/>
  <c r="BG75" i="13" s="1"/>
  <c r="BF68" i="13"/>
  <c r="BF75" i="13" s="1"/>
  <c r="BE68" i="13"/>
  <c r="BE75" i="13" s="1"/>
  <c r="BD68" i="13"/>
  <c r="BD75" i="13" s="1"/>
  <c r="BC68" i="13"/>
  <c r="BC75" i="13" s="1"/>
  <c r="BB68" i="13"/>
  <c r="BA68" i="13"/>
  <c r="BA75" i="13" s="1"/>
  <c r="AZ68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AD62" i="13"/>
  <c r="AC62" i="13"/>
  <c r="BG17" i="13"/>
  <c r="AA62" i="13"/>
  <c r="Z62" i="13"/>
  <c r="Y62" i="13"/>
  <c r="X62" i="13"/>
  <c r="W62" i="13"/>
  <c r="V62" i="13"/>
  <c r="U62" i="13"/>
  <c r="T62" i="13"/>
  <c r="BB17" i="13" s="1"/>
  <c r="S62" i="13"/>
  <c r="BA17" i="13" s="1"/>
  <c r="R62" i="13"/>
  <c r="Q62" i="13"/>
  <c r="P62" i="13"/>
  <c r="AX17" i="13" s="1"/>
  <c r="O62" i="13"/>
  <c r="AW17" i="13" s="1"/>
  <c r="N62" i="13"/>
  <c r="AV17" i="13" s="1"/>
  <c r="M62" i="13"/>
  <c r="L62" i="13"/>
  <c r="K62" i="13"/>
  <c r="AT17" i="13" s="1"/>
  <c r="J62" i="13"/>
  <c r="I62" i="13"/>
  <c r="H62" i="13"/>
  <c r="G62" i="13"/>
  <c r="AR17" i="13" s="1"/>
  <c r="F62" i="13"/>
  <c r="E62" i="13"/>
  <c r="AP17" i="13" s="1"/>
  <c r="AI61" i="13"/>
  <c r="AH61" i="13"/>
  <c r="AI60" i="13"/>
  <c r="AH60" i="13"/>
  <c r="AI59" i="13"/>
  <c r="AH59" i="13"/>
  <c r="AG58" i="13"/>
  <c r="AG97" i="13" s="1"/>
  <c r="BJ16" i="13"/>
  <c r="AD58" i="13"/>
  <c r="AC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H97" i="13" s="1"/>
  <c r="H99" i="13" s="1"/>
  <c r="G58" i="13"/>
  <c r="F58" i="13"/>
  <c r="E58" i="13"/>
  <c r="AP16" i="13" s="1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BJ23" i="13"/>
  <c r="AI23" i="13"/>
  <c r="AH23" i="13"/>
  <c r="AI22" i="13"/>
  <c r="AH22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I21" i="13"/>
  <c r="AH21" i="13"/>
  <c r="BJ20" i="13"/>
  <c r="BI20" i="13"/>
  <c r="BG20" i="13"/>
  <c r="BD20" i="13"/>
  <c r="BB20" i="13"/>
  <c r="AY20" i="13"/>
  <c r="AX20" i="13"/>
  <c r="AT20" i="13"/>
  <c r="AS20" i="13"/>
  <c r="AR20" i="13"/>
  <c r="AQ20" i="13"/>
  <c r="AN20" i="13"/>
  <c r="AM20" i="13"/>
  <c r="AI20" i="13"/>
  <c r="AH20" i="13"/>
  <c r="BJ19" i="13"/>
  <c r="AZ19" i="13"/>
  <c r="AI19" i="13"/>
  <c r="AH19" i="13"/>
  <c r="BJ18" i="13"/>
  <c r="BG18" i="13"/>
  <c r="BE18" i="13"/>
  <c r="BD18" i="13"/>
  <c r="BC18" i="13"/>
  <c r="BB18" i="13"/>
  <c r="AU18" i="13"/>
  <c r="AO18" i="13"/>
  <c r="AN18" i="13"/>
  <c r="AI18" i="13"/>
  <c r="AH18" i="13"/>
  <c r="BJ17" i="13"/>
  <c r="BI17" i="13"/>
  <c r="BH17" i="13"/>
  <c r="BF17" i="13"/>
  <c r="BE17" i="13"/>
  <c r="BD17" i="13"/>
  <c r="BC17" i="13"/>
  <c r="AZ17" i="13"/>
  <c r="AY17" i="13"/>
  <c r="AU17" i="13"/>
  <c r="AS17" i="13"/>
  <c r="AQ17" i="13"/>
  <c r="AO17" i="13"/>
  <c r="AN17" i="13"/>
  <c r="AM17" i="13"/>
  <c r="AI17" i="13"/>
  <c r="AH17" i="13"/>
  <c r="BI16" i="13"/>
  <c r="BH16" i="13"/>
  <c r="BF16" i="13"/>
  <c r="BD16" i="13"/>
  <c r="BC16" i="13"/>
  <c r="BA16" i="13"/>
  <c r="AZ16" i="13"/>
  <c r="AY16" i="13"/>
  <c r="AW16" i="13"/>
  <c r="AV16" i="13"/>
  <c r="AU16" i="13"/>
  <c r="AT16" i="13"/>
  <c r="AS16" i="13"/>
  <c r="AR16" i="13"/>
  <c r="AQ16" i="13"/>
  <c r="AN16" i="13"/>
  <c r="AI16" i="13"/>
  <c r="AH16" i="13"/>
  <c r="AI15" i="13"/>
  <c r="AH15" i="13"/>
  <c r="AI14" i="13"/>
  <c r="AH14" i="13"/>
  <c r="AI13" i="13"/>
  <c r="AH13" i="13"/>
  <c r="AL12" i="13"/>
  <c r="AI12" i="13"/>
  <c r="AH12" i="13"/>
  <c r="AI11" i="13"/>
  <c r="AH11" i="13"/>
  <c r="AF5" i="13"/>
  <c r="AE5" i="13"/>
  <c r="Z5" i="13"/>
  <c r="Q5" i="13"/>
  <c r="AG4" i="13"/>
  <c r="K4" i="13"/>
  <c r="E4" i="13"/>
  <c r="H4" i="13" s="1"/>
  <c r="B4" i="13"/>
  <c r="D258" i="13" s="1"/>
  <c r="AG2" i="13"/>
  <c r="AG6" i="13" s="1"/>
  <c r="AF58" i="12"/>
  <c r="AF62" i="12"/>
  <c r="AF76" i="12"/>
  <c r="AF80" i="12"/>
  <c r="AF92" i="12"/>
  <c r="AF101" i="12"/>
  <c r="AF107" i="12" s="1"/>
  <c r="AF102" i="12"/>
  <c r="AF103" i="12"/>
  <c r="AF104" i="12"/>
  <c r="AF105" i="12"/>
  <c r="AF118" i="12"/>
  <c r="AE58" i="12"/>
  <c r="AE62" i="12"/>
  <c r="AE76" i="12"/>
  <c r="AE80" i="12"/>
  <c r="AE92" i="12"/>
  <c r="AE101" i="12"/>
  <c r="AE102" i="12"/>
  <c r="AE103" i="12"/>
  <c r="AE104" i="12"/>
  <c r="AE107" i="12" s="1"/>
  <c r="AE105" i="12"/>
  <c r="AE118" i="12"/>
  <c r="AD58" i="12"/>
  <c r="AD62" i="12"/>
  <c r="AD76" i="12"/>
  <c r="AD80" i="12"/>
  <c r="AD92" i="12"/>
  <c r="AD101" i="12"/>
  <c r="AD102" i="12"/>
  <c r="AD103" i="12"/>
  <c r="AD104" i="12"/>
  <c r="AD105" i="12"/>
  <c r="AD118" i="12"/>
  <c r="AC58" i="12"/>
  <c r="AC62" i="12"/>
  <c r="AC76" i="12"/>
  <c r="AC80" i="12"/>
  <c r="AC92" i="12"/>
  <c r="AC97" i="12" s="1"/>
  <c r="AC99" i="12" s="1"/>
  <c r="AC100" i="12" s="1"/>
  <c r="AC101" i="12"/>
  <c r="AC102" i="12"/>
  <c r="AC103" i="12"/>
  <c r="AC104" i="12"/>
  <c r="AC105" i="12"/>
  <c r="AC107" i="12"/>
  <c r="AC118" i="12"/>
  <c r="AB58" i="12"/>
  <c r="AB62" i="12"/>
  <c r="AB76" i="12"/>
  <c r="AB80" i="12"/>
  <c r="AB92" i="12"/>
  <c r="AB101" i="12"/>
  <c r="AB102" i="12"/>
  <c r="AB103" i="12"/>
  <c r="AB104" i="12"/>
  <c r="AB105" i="12"/>
  <c r="AB118" i="12"/>
  <c r="N246" i="16" l="1"/>
  <c r="M118" i="16"/>
  <c r="M252" i="16"/>
  <c r="N246" i="15"/>
  <c r="M252" i="15"/>
  <c r="M118" i="15"/>
  <c r="BJ22" i="13"/>
  <c r="BJ24" i="13" s="1"/>
  <c r="AD5" i="13"/>
  <c r="AE107" i="13"/>
  <c r="BI23" i="13" s="1"/>
  <c r="BI22" i="13"/>
  <c r="AC5" i="13"/>
  <c r="BH22" i="13"/>
  <c r="AB5" i="13"/>
  <c r="AA5" i="13"/>
  <c r="AB97" i="13"/>
  <c r="AB99" i="13" s="1"/>
  <c r="BG16" i="13"/>
  <c r="BG22" i="13" s="1"/>
  <c r="AA108" i="13"/>
  <c r="AA97" i="13"/>
  <c r="AA99" i="13" s="1"/>
  <c r="AA100" i="13" s="1"/>
  <c r="AA7" i="13" s="1"/>
  <c r="Z107" i="13"/>
  <c r="BF23" i="13" s="1"/>
  <c r="Y5" i="13"/>
  <c r="Y107" i="13"/>
  <c r="Y108" i="13"/>
  <c r="Z97" i="13"/>
  <c r="Z99" i="13" s="1"/>
  <c r="Z100" i="13" s="1"/>
  <c r="Z7" i="13" s="1"/>
  <c r="Y97" i="13"/>
  <c r="Y99" i="13" s="1"/>
  <c r="Y100" i="13" s="1"/>
  <c r="Y7" i="13" s="1"/>
  <c r="BF22" i="13"/>
  <c r="BF24" i="13" s="1"/>
  <c r="X97" i="13"/>
  <c r="X99" i="13" s="1"/>
  <c r="W5" i="13"/>
  <c r="X107" i="13"/>
  <c r="W107" i="13"/>
  <c r="W97" i="13"/>
  <c r="W99" i="13" s="1"/>
  <c r="W100" i="13" s="1"/>
  <c r="W7" i="13" s="1"/>
  <c r="U5" i="13"/>
  <c r="BD22" i="13"/>
  <c r="BC19" i="13"/>
  <c r="T5" i="13"/>
  <c r="BB19" i="13"/>
  <c r="T97" i="13"/>
  <c r="T99" i="13" s="1"/>
  <c r="S107" i="13"/>
  <c r="BA23" i="13" s="1"/>
  <c r="R5" i="13"/>
  <c r="BA22" i="13"/>
  <c r="S97" i="13"/>
  <c r="S99" i="13" s="1"/>
  <c r="S100" i="13" s="1"/>
  <c r="S7" i="13" s="1"/>
  <c r="R107" i="13"/>
  <c r="R97" i="13"/>
  <c r="R99" i="13" s="1"/>
  <c r="R100" i="13" s="1"/>
  <c r="R7" i="13" s="1"/>
  <c r="AZ22" i="13"/>
  <c r="Q107" i="13"/>
  <c r="Q108" i="13"/>
  <c r="AY23" i="13"/>
  <c r="P5" i="13"/>
  <c r="Q97" i="13"/>
  <c r="Q99" i="13" s="1"/>
  <c r="Q100" i="13" s="1"/>
  <c r="Q7" i="13" s="1"/>
  <c r="AY22" i="13"/>
  <c r="AY24" i="13" s="1"/>
  <c r="AX19" i="13"/>
  <c r="P107" i="13"/>
  <c r="AX23" i="13" s="1"/>
  <c r="O5" i="13"/>
  <c r="P97" i="13"/>
  <c r="P99" i="13" s="1"/>
  <c r="P100" i="13" s="1"/>
  <c r="P7" i="13" s="1"/>
  <c r="AX16" i="13"/>
  <c r="AX22" i="13" s="1"/>
  <c r="AX24" i="13" s="1"/>
  <c r="O97" i="13"/>
  <c r="O99" i="13" s="1"/>
  <c r="N5" i="13"/>
  <c r="AW22" i="13"/>
  <c r="O107" i="13"/>
  <c r="AW23" i="13" s="1"/>
  <c r="M5" i="13"/>
  <c r="AV22" i="13"/>
  <c r="AI103" i="13"/>
  <c r="M107" i="13"/>
  <c r="AU23" i="13" s="1"/>
  <c r="AI102" i="13"/>
  <c r="AU19" i="13"/>
  <c r="AU22" i="13" s="1"/>
  <c r="AU24" i="13" s="1"/>
  <c r="L5" i="13"/>
  <c r="L97" i="13"/>
  <c r="L99" i="13" s="1"/>
  <c r="K107" i="13"/>
  <c r="AT23" i="13" s="1"/>
  <c r="K108" i="13"/>
  <c r="AT19" i="13"/>
  <c r="K97" i="13"/>
  <c r="K99" i="13" s="1"/>
  <c r="K100" i="13" s="1"/>
  <c r="K7" i="13" s="1"/>
  <c r="AT22" i="13"/>
  <c r="AT24" i="13" s="1"/>
  <c r="J97" i="13"/>
  <c r="J99" i="13" s="1"/>
  <c r="J100" i="13" s="1"/>
  <c r="J7" i="13" s="1"/>
  <c r="AS19" i="13"/>
  <c r="I107" i="13"/>
  <c r="AS23" i="13" s="1"/>
  <c r="I97" i="13"/>
  <c r="I99" i="13" s="1"/>
  <c r="AS22" i="13"/>
  <c r="H107" i="13"/>
  <c r="H100" i="13" s="1"/>
  <c r="H7" i="13" s="1"/>
  <c r="AR19" i="13"/>
  <c r="G107" i="13"/>
  <c r="AR23" i="13" s="1"/>
  <c r="AI80" i="13"/>
  <c r="G97" i="13"/>
  <c r="G99" i="13" s="1"/>
  <c r="G100" i="13" s="1"/>
  <c r="G7" i="13" s="1"/>
  <c r="AR22" i="13"/>
  <c r="AR24" i="13" s="1"/>
  <c r="AQ19" i="13"/>
  <c r="AQ22" i="13"/>
  <c r="D5" i="13"/>
  <c r="E108" i="13"/>
  <c r="AH76" i="13"/>
  <c r="AH62" i="13"/>
  <c r="D97" i="13"/>
  <c r="D99" i="13" s="1"/>
  <c r="D100" i="13" s="1"/>
  <c r="D107" i="13"/>
  <c r="C5" i="13"/>
  <c r="AO20" i="13"/>
  <c r="D108" i="13"/>
  <c r="C97" i="13"/>
  <c r="C99" i="13" s="1"/>
  <c r="C100" i="13" s="1"/>
  <c r="C7" i="13" s="1"/>
  <c r="C108" i="13"/>
  <c r="AN19" i="13"/>
  <c r="AN22" i="13" s="1"/>
  <c r="AN24" i="13" s="1"/>
  <c r="AH102" i="13"/>
  <c r="B108" i="13"/>
  <c r="AI92" i="13"/>
  <c r="AI62" i="13"/>
  <c r="B97" i="13"/>
  <c r="B99" i="13" s="1"/>
  <c r="B100" i="13" s="1"/>
  <c r="AM16" i="13"/>
  <c r="AI76" i="13"/>
  <c r="AM22" i="13"/>
  <c r="BG84" i="13" a="1"/>
  <c r="BL100" i="13" s="1"/>
  <c r="AP22" i="13"/>
  <c r="AP24" i="13" s="1"/>
  <c r="AM23" i="13"/>
  <c r="AZ23" i="13"/>
  <c r="BC22" i="13"/>
  <c r="BC24" i="13" s="1"/>
  <c r="J108" i="13"/>
  <c r="R108" i="13"/>
  <c r="AE97" i="13"/>
  <c r="AE99" i="13" s="1"/>
  <c r="E97" i="13"/>
  <c r="E99" i="13" s="1"/>
  <c r="E100" i="13" s="1"/>
  <c r="E7" i="13" s="1"/>
  <c r="M97" i="13"/>
  <c r="M99" i="13" s="1"/>
  <c r="M100" i="13" s="1"/>
  <c r="M7" i="13" s="1"/>
  <c r="U97" i="13"/>
  <c r="U99" i="13" s="1"/>
  <c r="U100" i="13" s="1"/>
  <c r="U7" i="13" s="1"/>
  <c r="AC97" i="13"/>
  <c r="AC99" i="13" s="1"/>
  <c r="AC100" i="13" s="1"/>
  <c r="AC7" i="13" s="1"/>
  <c r="G108" i="13"/>
  <c r="W108" i="13"/>
  <c r="AE108" i="13"/>
  <c r="AF7" i="13"/>
  <c r="AO23" i="13"/>
  <c r="L107" i="13"/>
  <c r="L100" i="13" s="1"/>
  <c r="L7" i="13" s="1"/>
  <c r="T107" i="13"/>
  <c r="BB23" i="13" s="1"/>
  <c r="AB107" i="13"/>
  <c r="BG23" i="13" s="1"/>
  <c r="F97" i="13"/>
  <c r="F99" i="13" s="1"/>
  <c r="N97" i="13"/>
  <c r="N99" i="13" s="1"/>
  <c r="N100" i="13" s="1"/>
  <c r="N7" i="13" s="1"/>
  <c r="V97" i="13"/>
  <c r="V99" i="13" s="1"/>
  <c r="AD97" i="13"/>
  <c r="AD99" i="13" s="1"/>
  <c r="BB16" i="13"/>
  <c r="BB22" i="13" s="1"/>
  <c r="AZ75" i="13"/>
  <c r="F107" i="13"/>
  <c r="AQ23" i="13" s="1"/>
  <c r="AQ24" i="13" s="1"/>
  <c r="N107" i="13"/>
  <c r="AV23" i="13" s="1"/>
  <c r="AV24" i="13" s="1"/>
  <c r="V107" i="13"/>
  <c r="BD23" i="13" s="1"/>
  <c r="AD107" i="13"/>
  <c r="BH23" i="13" s="1"/>
  <c r="AH92" i="13"/>
  <c r="AG99" i="13"/>
  <c r="AL13" i="13"/>
  <c r="AH80" i="13"/>
  <c r="D252" i="13"/>
  <c r="E246" i="13"/>
  <c r="AO16" i="13"/>
  <c r="BE16" i="13"/>
  <c r="BE22" i="13" s="1"/>
  <c r="AH58" i="13"/>
  <c r="T108" i="13"/>
  <c r="AH101" i="13"/>
  <c r="AI105" i="13"/>
  <c r="AI58" i="13"/>
  <c r="AI101" i="13"/>
  <c r="AI104" i="13"/>
  <c r="AH103" i="13"/>
  <c r="AH104" i="13"/>
  <c r="AH105" i="13"/>
  <c r="AF97" i="12"/>
  <c r="AF99" i="12" s="1"/>
  <c r="AF100" i="12" s="1"/>
  <c r="AF108" i="12"/>
  <c r="AE97" i="12"/>
  <c r="AE99" i="12" s="1"/>
  <c r="AE100" i="12" s="1"/>
  <c r="AE108" i="12"/>
  <c r="AD97" i="12"/>
  <c r="AD99" i="12" s="1"/>
  <c r="AD100" i="12" s="1"/>
  <c r="AD107" i="12"/>
  <c r="AD108" i="12"/>
  <c r="AC108" i="12"/>
  <c r="AB107" i="12"/>
  <c r="AB108" i="12" s="1"/>
  <c r="AB97" i="12"/>
  <c r="AB99" i="12" s="1"/>
  <c r="AB100" i="12" s="1"/>
  <c r="O246" i="16" l="1"/>
  <c r="N252" i="16"/>
  <c r="N118" i="16"/>
  <c r="BG24" i="13"/>
  <c r="O246" i="15"/>
  <c r="N252" i="15"/>
  <c r="N118" i="15"/>
  <c r="AE100" i="13"/>
  <c r="AE7" i="13" s="1"/>
  <c r="BI24" i="13"/>
  <c r="BH24" i="13"/>
  <c r="AB100" i="13"/>
  <c r="AB7" i="13" s="1"/>
  <c r="Z108" i="13"/>
  <c r="BD24" i="13"/>
  <c r="X100" i="13"/>
  <c r="X7" i="13" s="1"/>
  <c r="X108" i="13"/>
  <c r="BE23" i="13"/>
  <c r="BE24" i="13" s="1"/>
  <c r="V108" i="13"/>
  <c r="BA24" i="13"/>
  <c r="S108" i="13"/>
  <c r="AZ24" i="13"/>
  <c r="P108" i="13"/>
  <c r="O108" i="13"/>
  <c r="O100" i="13"/>
  <c r="O7" i="13" s="1"/>
  <c r="AW24" i="13"/>
  <c r="M108" i="13"/>
  <c r="L108" i="13"/>
  <c r="I108" i="13"/>
  <c r="I100" i="13"/>
  <c r="I7" i="13" s="1"/>
  <c r="AS24" i="13"/>
  <c r="H108" i="13"/>
  <c r="AO22" i="13"/>
  <c r="AO24" i="13" s="1"/>
  <c r="BI88" i="13"/>
  <c r="BH102" i="13"/>
  <c r="BI106" i="13"/>
  <c r="BG84" i="13"/>
  <c r="BK89" i="13"/>
  <c r="BJ103" i="13"/>
  <c r="BJ106" i="13"/>
  <c r="BG99" i="13"/>
  <c r="BK91" i="13"/>
  <c r="BI100" i="13"/>
  <c r="BJ90" i="13"/>
  <c r="BH107" i="13"/>
  <c r="BI94" i="13"/>
  <c r="BK84" i="13"/>
  <c r="BI98" i="13"/>
  <c r="BG94" i="13"/>
  <c r="BI101" i="13"/>
  <c r="BI95" i="13"/>
  <c r="BK106" i="13"/>
  <c r="BL90" i="13"/>
  <c r="BL85" i="13"/>
  <c r="BK104" i="13"/>
  <c r="BI86" i="13"/>
  <c r="BH92" i="13"/>
  <c r="BH87" i="13"/>
  <c r="BG106" i="13"/>
  <c r="BI102" i="13"/>
  <c r="BJ86" i="13"/>
  <c r="BJ101" i="13"/>
  <c r="BJ96" i="13"/>
  <c r="BJ91" i="13"/>
  <c r="BI105" i="13"/>
  <c r="BI90" i="13"/>
  <c r="BL102" i="13"/>
  <c r="BL97" i="13"/>
  <c r="BL92" i="13"/>
  <c r="BG85" i="13"/>
  <c r="BH85" i="13"/>
  <c r="BI85" i="13"/>
  <c r="BI89" i="13"/>
  <c r="BI93" i="13"/>
  <c r="BI97" i="13"/>
  <c r="BH105" i="13"/>
  <c r="BJ93" i="13"/>
  <c r="BH104" i="13"/>
  <c r="BG91" i="13"/>
  <c r="BK101" i="13"/>
  <c r="BJ88" i="13"/>
  <c r="BH99" i="13"/>
  <c r="BG86" i="13"/>
  <c r="BK96" i="13"/>
  <c r="BI107" i="13"/>
  <c r="BH94" i="13"/>
  <c r="BL104" i="13"/>
  <c r="BL91" i="13"/>
  <c r="BG92" i="13"/>
  <c r="BG93" i="13"/>
  <c r="BG97" i="13"/>
  <c r="BG101" i="13"/>
  <c r="BG105" i="13"/>
  <c r="BJ85" i="13"/>
  <c r="BH96" i="13"/>
  <c r="BL106" i="13"/>
  <c r="BK93" i="13"/>
  <c r="BI104" i="13"/>
  <c r="BH91" i="13"/>
  <c r="BL101" i="13"/>
  <c r="BK88" i="13"/>
  <c r="BI99" i="13"/>
  <c r="BH86" i="13"/>
  <c r="BL96" i="13"/>
  <c r="BJ107" i="13"/>
  <c r="BG89" i="13"/>
  <c r="BH93" i="13"/>
  <c r="BH101" i="13"/>
  <c r="BL94" i="13"/>
  <c r="BJ105" i="13"/>
  <c r="BG103" i="13"/>
  <c r="BI87" i="13"/>
  <c r="BL84" i="13"/>
  <c r="BH106" i="13"/>
  <c r="BL87" i="13"/>
  <c r="BK95" i="13"/>
  <c r="BL95" i="13"/>
  <c r="BG96" i="13"/>
  <c r="BG100" i="13"/>
  <c r="BG104" i="13"/>
  <c r="BK87" i="13"/>
  <c r="BL86" i="13"/>
  <c r="BJ97" i="13"/>
  <c r="BI84" i="13"/>
  <c r="BG95" i="13"/>
  <c r="BK105" i="13"/>
  <c r="BJ92" i="13"/>
  <c r="BH103" i="13"/>
  <c r="BG90" i="13"/>
  <c r="BK100" i="13"/>
  <c r="BJ87" i="13"/>
  <c r="BH98" i="13"/>
  <c r="BG88" i="13"/>
  <c r="BH89" i="13"/>
  <c r="BH97" i="13"/>
  <c r="BH84" i="13"/>
  <c r="BI92" i="13"/>
  <c r="BL89" i="13"/>
  <c r="BJ100" i="13"/>
  <c r="BG98" i="13"/>
  <c r="BJ95" i="13"/>
  <c r="BK94" i="13"/>
  <c r="BK98" i="13"/>
  <c r="BK99" i="13"/>
  <c r="BL99" i="13"/>
  <c r="BL103" i="13"/>
  <c r="BL107" i="13"/>
  <c r="BK90" i="13"/>
  <c r="BH88" i="13"/>
  <c r="BL98" i="13"/>
  <c r="BK85" i="13"/>
  <c r="BI96" i="13"/>
  <c r="BG107" i="13"/>
  <c r="BL93" i="13"/>
  <c r="BJ104" i="13"/>
  <c r="BI91" i="13"/>
  <c r="BG102" i="13"/>
  <c r="BL88" i="13"/>
  <c r="BJ99" i="13"/>
  <c r="BJ98" i="13"/>
  <c r="BJ102" i="13"/>
  <c r="BK102" i="13"/>
  <c r="BK103" i="13"/>
  <c r="BK107" i="13"/>
  <c r="BK86" i="13"/>
  <c r="BJ94" i="13"/>
  <c r="BJ89" i="13"/>
  <c r="BH100" i="13"/>
  <c r="BG87" i="13"/>
  <c r="BK97" i="13"/>
  <c r="BJ84" i="13"/>
  <c r="BH95" i="13"/>
  <c r="BL105" i="13"/>
  <c r="BK92" i="13"/>
  <c r="BI103" i="13"/>
  <c r="BH90" i="13"/>
  <c r="AM24" i="13"/>
  <c r="C256" i="13"/>
  <c r="F100" i="13"/>
  <c r="F7" i="13" s="1"/>
  <c r="AD108" i="13"/>
  <c r="D7" i="13"/>
  <c r="AH107" i="13"/>
  <c r="AH97" i="13"/>
  <c r="N108" i="13"/>
  <c r="AI107" i="13"/>
  <c r="AI97" i="13"/>
  <c r="F108" i="13"/>
  <c r="AH99" i="13"/>
  <c r="AI99" i="13"/>
  <c r="AB108" i="13"/>
  <c r="BB24" i="13"/>
  <c r="T100" i="13"/>
  <c r="T7" i="13" s="1"/>
  <c r="AD100" i="13"/>
  <c r="AD7" i="13" s="1"/>
  <c r="B256" i="13"/>
  <c r="AT8" i="13"/>
  <c r="F246" i="13"/>
  <c r="E118" i="13"/>
  <c r="E252" i="13"/>
  <c r="V100" i="13"/>
  <c r="V7" i="13" s="1"/>
  <c r="AA57" i="12"/>
  <c r="Z57" i="12"/>
  <c r="Y57" i="12"/>
  <c r="X57" i="12"/>
  <c r="W57" i="12"/>
  <c r="W58" i="12"/>
  <c r="W62" i="12"/>
  <c r="W76" i="12"/>
  <c r="W80" i="12"/>
  <c r="W92" i="12"/>
  <c r="W101" i="12"/>
  <c r="W102" i="12"/>
  <c r="W103" i="12"/>
  <c r="W104" i="12"/>
  <c r="W105" i="12"/>
  <c r="W118" i="12"/>
  <c r="V57" i="12"/>
  <c r="V58" i="12"/>
  <c r="V62" i="12"/>
  <c r="V76" i="12"/>
  <c r="V80" i="12"/>
  <c r="V92" i="12"/>
  <c r="V101" i="12"/>
  <c r="V102" i="12"/>
  <c r="V103" i="12"/>
  <c r="V104" i="12"/>
  <c r="V105" i="12"/>
  <c r="V118" i="12"/>
  <c r="U57" i="12"/>
  <c r="T57" i="12"/>
  <c r="P246" i="16" l="1"/>
  <c r="O252" i="16"/>
  <c r="O118" i="16"/>
  <c r="P246" i="15"/>
  <c r="O118" i="15"/>
  <c r="O252" i="15"/>
  <c r="AI108" i="13"/>
  <c r="K6" i="13"/>
  <c r="AT9" i="13"/>
  <c r="AH108" i="13"/>
  <c r="AI100" i="13"/>
  <c r="AH100" i="13"/>
  <c r="B7" i="13"/>
  <c r="A7" i="13" s="1"/>
  <c r="G246" i="13"/>
  <c r="F118" i="13"/>
  <c r="F252" i="13"/>
  <c r="W107" i="12"/>
  <c r="W108" i="12" s="1"/>
  <c r="W97" i="12"/>
  <c r="W99" i="12" s="1"/>
  <c r="W100" i="12" s="1"/>
  <c r="V107" i="12"/>
  <c r="V108" i="12" s="1"/>
  <c r="V97" i="12"/>
  <c r="V99" i="12" s="1"/>
  <c r="S57" i="12"/>
  <c r="S58" i="12"/>
  <c r="S62" i="12"/>
  <c r="S76" i="12"/>
  <c r="S80" i="12"/>
  <c r="S92" i="12"/>
  <c r="S101" i="12"/>
  <c r="S102" i="12"/>
  <c r="S103" i="12"/>
  <c r="S104" i="12"/>
  <c r="S105" i="12"/>
  <c r="S118" i="12"/>
  <c r="R121" i="12"/>
  <c r="Q246" i="16" l="1"/>
  <c r="P252" i="16"/>
  <c r="Q246" i="15"/>
  <c r="P252" i="15"/>
  <c r="H246" i="13"/>
  <c r="G118" i="13"/>
  <c r="G252" i="13"/>
  <c r="V100" i="12"/>
  <c r="S97" i="12"/>
  <c r="S99" i="12" s="1"/>
  <c r="S107" i="12"/>
  <c r="S108" i="12" s="1"/>
  <c r="Q252" i="16" l="1"/>
  <c r="Q118" i="16"/>
  <c r="R246" i="16"/>
  <c r="Q252" i="15"/>
  <c r="Q118" i="15"/>
  <c r="R246" i="15"/>
  <c r="I246" i="13"/>
  <c r="H252" i="13"/>
  <c r="H118" i="13"/>
  <c r="S100" i="12"/>
  <c r="R57" i="12"/>
  <c r="Q121" i="12"/>
  <c r="Q57" i="12"/>
  <c r="P121" i="12"/>
  <c r="P57" i="12"/>
  <c r="O121" i="12"/>
  <c r="O57" i="12"/>
  <c r="R252" i="16" l="1"/>
  <c r="S246" i="16"/>
  <c r="R118" i="16"/>
  <c r="R252" i="15"/>
  <c r="R118" i="15"/>
  <c r="S246" i="15"/>
  <c r="I252" i="13"/>
  <c r="I118" i="13"/>
  <c r="J246" i="13"/>
  <c r="S252" i="16" l="1"/>
  <c r="T246" i="16"/>
  <c r="S252" i="15"/>
  <c r="S118" i="15"/>
  <c r="T246" i="15"/>
  <c r="J252" i="13"/>
  <c r="J118" i="13"/>
  <c r="K246" i="13"/>
  <c r="T252" i="16" l="1"/>
  <c r="U246" i="16"/>
  <c r="T252" i="15"/>
  <c r="T118" i="15"/>
  <c r="U246" i="15"/>
  <c r="K252" i="13"/>
  <c r="K118" i="13"/>
  <c r="L246" i="13"/>
  <c r="V246" i="16" l="1"/>
  <c r="U252" i="16"/>
  <c r="U118" i="15"/>
  <c r="V246" i="15"/>
  <c r="U252" i="15"/>
  <c r="L252" i="13"/>
  <c r="L118" i="13"/>
  <c r="M246" i="13"/>
  <c r="W246" i="16" l="1"/>
  <c r="V252" i="16"/>
  <c r="W246" i="15"/>
  <c r="V252" i="15"/>
  <c r="V118" i="15"/>
  <c r="N246" i="13"/>
  <c r="M118" i="13"/>
  <c r="M252" i="13"/>
  <c r="N121" i="12"/>
  <c r="N57" i="12"/>
  <c r="M121" i="12"/>
  <c r="M57" i="12"/>
  <c r="F58" i="12"/>
  <c r="G58" i="12"/>
  <c r="AH125" i="12"/>
  <c r="AI125" i="12"/>
  <c r="AH124" i="12"/>
  <c r="AI124" i="12"/>
  <c r="AG252" i="12"/>
  <c r="C252" i="12"/>
  <c r="G251" i="12"/>
  <c r="H251" i="12" s="1"/>
  <c r="I251" i="12" s="1"/>
  <c r="J251" i="12" s="1"/>
  <c r="K251" i="12" s="1"/>
  <c r="L251" i="12" s="1"/>
  <c r="M251" i="12" s="1"/>
  <c r="N251" i="12" s="1"/>
  <c r="O251" i="12" s="1"/>
  <c r="P251" i="12" s="1"/>
  <c r="Q251" i="12" s="1"/>
  <c r="R251" i="12" s="1"/>
  <c r="S251" i="12" s="1"/>
  <c r="T251" i="12" s="1"/>
  <c r="U251" i="12" s="1"/>
  <c r="V251" i="12" s="1"/>
  <c r="W251" i="12" s="1"/>
  <c r="X251" i="12" s="1"/>
  <c r="Y251" i="12" s="1"/>
  <c r="Z251" i="12" s="1"/>
  <c r="AA251" i="12" s="1"/>
  <c r="AB251" i="12" s="1"/>
  <c r="AC251" i="12" s="1"/>
  <c r="AD251" i="12" s="1"/>
  <c r="AE251" i="12" s="1"/>
  <c r="AF251" i="12" s="1"/>
  <c r="B251" i="12" s="1"/>
  <c r="F251" i="12"/>
  <c r="D251" i="12"/>
  <c r="E251" i="12" s="1"/>
  <c r="D250" i="12"/>
  <c r="E250" i="12" s="1"/>
  <c r="F250" i="12" s="1"/>
  <c r="G250" i="12" s="1"/>
  <c r="H250" i="12" s="1"/>
  <c r="I250" i="12" s="1"/>
  <c r="J250" i="12" s="1"/>
  <c r="K250" i="12" s="1"/>
  <c r="L250" i="12" s="1"/>
  <c r="M250" i="12" s="1"/>
  <c r="N250" i="12" s="1"/>
  <c r="O250" i="12" s="1"/>
  <c r="P250" i="12" s="1"/>
  <c r="Q250" i="12" s="1"/>
  <c r="R250" i="12" s="1"/>
  <c r="S250" i="12" s="1"/>
  <c r="T250" i="12" s="1"/>
  <c r="U250" i="12" s="1"/>
  <c r="V250" i="12" s="1"/>
  <c r="W250" i="12" s="1"/>
  <c r="X250" i="12" s="1"/>
  <c r="Y250" i="12" s="1"/>
  <c r="Z250" i="12" s="1"/>
  <c r="AA250" i="12" s="1"/>
  <c r="AB250" i="12" s="1"/>
  <c r="AC250" i="12" s="1"/>
  <c r="AD250" i="12" s="1"/>
  <c r="AE250" i="12" s="1"/>
  <c r="AF250" i="12" s="1"/>
  <c r="B250" i="12" s="1"/>
  <c r="D249" i="12"/>
  <c r="E249" i="12" s="1"/>
  <c r="F249" i="12" s="1"/>
  <c r="G249" i="12" s="1"/>
  <c r="H249" i="12" s="1"/>
  <c r="I249" i="12" s="1"/>
  <c r="J249" i="12" s="1"/>
  <c r="K249" i="12" s="1"/>
  <c r="L249" i="12" s="1"/>
  <c r="M249" i="12" s="1"/>
  <c r="N249" i="12" s="1"/>
  <c r="O249" i="12" s="1"/>
  <c r="P249" i="12" s="1"/>
  <c r="Q249" i="12" s="1"/>
  <c r="R249" i="12" s="1"/>
  <c r="S249" i="12" s="1"/>
  <c r="T249" i="12" s="1"/>
  <c r="U249" i="12" s="1"/>
  <c r="V249" i="12" s="1"/>
  <c r="W249" i="12" s="1"/>
  <c r="X249" i="12" s="1"/>
  <c r="Y249" i="12" s="1"/>
  <c r="Z249" i="12" s="1"/>
  <c r="AA249" i="12" s="1"/>
  <c r="AB249" i="12" s="1"/>
  <c r="AC249" i="12" s="1"/>
  <c r="AD249" i="12" s="1"/>
  <c r="AE249" i="12" s="1"/>
  <c r="AF249" i="12" s="1"/>
  <c r="B249" i="12" s="1"/>
  <c r="D248" i="12"/>
  <c r="E248" i="12" s="1"/>
  <c r="F248" i="12" s="1"/>
  <c r="G248" i="12" s="1"/>
  <c r="H248" i="12" s="1"/>
  <c r="I248" i="12" s="1"/>
  <c r="J248" i="12" s="1"/>
  <c r="K248" i="12" s="1"/>
  <c r="L248" i="12" s="1"/>
  <c r="M248" i="12" s="1"/>
  <c r="N248" i="12" s="1"/>
  <c r="O248" i="12" s="1"/>
  <c r="P248" i="12" s="1"/>
  <c r="Q248" i="12" s="1"/>
  <c r="R248" i="12" s="1"/>
  <c r="S248" i="12" s="1"/>
  <c r="T248" i="12" s="1"/>
  <c r="U248" i="12" s="1"/>
  <c r="V248" i="12" s="1"/>
  <c r="W248" i="12" s="1"/>
  <c r="X248" i="12" s="1"/>
  <c r="Y248" i="12" s="1"/>
  <c r="Z248" i="12" s="1"/>
  <c r="AA248" i="12" s="1"/>
  <c r="AB248" i="12" s="1"/>
  <c r="AC248" i="12" s="1"/>
  <c r="AD248" i="12" s="1"/>
  <c r="AE248" i="12" s="1"/>
  <c r="AF248" i="12" s="1"/>
  <c r="B248" i="12" s="1"/>
  <c r="F247" i="12"/>
  <c r="G247" i="12" s="1"/>
  <c r="H247" i="12" s="1"/>
  <c r="I247" i="12" s="1"/>
  <c r="J247" i="12" s="1"/>
  <c r="K247" i="12" s="1"/>
  <c r="L247" i="12" s="1"/>
  <c r="M247" i="12" s="1"/>
  <c r="N247" i="12" s="1"/>
  <c r="O247" i="12" s="1"/>
  <c r="P247" i="12" s="1"/>
  <c r="Q247" i="12" s="1"/>
  <c r="R247" i="12" s="1"/>
  <c r="S247" i="12" s="1"/>
  <c r="T247" i="12" s="1"/>
  <c r="U247" i="12" s="1"/>
  <c r="V247" i="12" s="1"/>
  <c r="W247" i="12" s="1"/>
  <c r="X247" i="12" s="1"/>
  <c r="Y247" i="12" s="1"/>
  <c r="Z247" i="12" s="1"/>
  <c r="AA247" i="12" s="1"/>
  <c r="AB247" i="12" s="1"/>
  <c r="AC247" i="12" s="1"/>
  <c r="AD247" i="12" s="1"/>
  <c r="AE247" i="12" s="1"/>
  <c r="AF247" i="12" s="1"/>
  <c r="B247" i="12" s="1"/>
  <c r="D247" i="12"/>
  <c r="E247" i="12" s="1"/>
  <c r="D246" i="12"/>
  <c r="AG244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I130" i="12"/>
  <c r="AH130" i="12"/>
  <c r="AI129" i="12"/>
  <c r="AH129" i="12"/>
  <c r="AI128" i="12"/>
  <c r="AH128" i="12"/>
  <c r="AI127" i="12"/>
  <c r="AH127" i="12"/>
  <c r="AI126" i="12"/>
  <c r="AH126" i="12"/>
  <c r="AI123" i="12"/>
  <c r="AH123" i="12"/>
  <c r="AI122" i="12"/>
  <c r="AH122" i="12"/>
  <c r="AI121" i="12"/>
  <c r="AH121" i="12"/>
  <c r="AI120" i="12"/>
  <c r="AH120" i="12"/>
  <c r="AI119" i="12"/>
  <c r="AH119" i="12"/>
  <c r="Z118" i="12"/>
  <c r="Y118" i="12"/>
  <c r="C118" i="12"/>
  <c r="AI117" i="12"/>
  <c r="AH117" i="12"/>
  <c r="AI116" i="12"/>
  <c r="AH116" i="12"/>
  <c r="AI115" i="12"/>
  <c r="AH115" i="12"/>
  <c r="AI114" i="12"/>
  <c r="AH114" i="12"/>
  <c r="AI113" i="12"/>
  <c r="AH113" i="12"/>
  <c r="AI112" i="12"/>
  <c r="AH112" i="12"/>
  <c r="AI111" i="12"/>
  <c r="AH111" i="12"/>
  <c r="AI110" i="12"/>
  <c r="AH110" i="12"/>
  <c r="AI109" i="12"/>
  <c r="AH109" i="12"/>
  <c r="AI106" i="12"/>
  <c r="AH106" i="12"/>
  <c r="BG23" i="12"/>
  <c r="AA105" i="12"/>
  <c r="Z105" i="12"/>
  <c r="Y105" i="12"/>
  <c r="X105" i="12"/>
  <c r="U105" i="12"/>
  <c r="T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AA104" i="12"/>
  <c r="Z104" i="12"/>
  <c r="Y104" i="12"/>
  <c r="X104" i="12"/>
  <c r="U104" i="12"/>
  <c r="T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3" i="12"/>
  <c r="Z103" i="12"/>
  <c r="Y103" i="12"/>
  <c r="X103" i="12"/>
  <c r="U103" i="12"/>
  <c r="T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AA102" i="12"/>
  <c r="Z102" i="12"/>
  <c r="Y102" i="12"/>
  <c r="X102" i="12"/>
  <c r="U102" i="12"/>
  <c r="T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BH23" i="12"/>
  <c r="AA101" i="12"/>
  <c r="Z101" i="12"/>
  <c r="Y101" i="12"/>
  <c r="X101" i="12"/>
  <c r="X107" i="12" s="1"/>
  <c r="BE23" i="12" s="1"/>
  <c r="U101" i="12"/>
  <c r="T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G107" i="12" s="1"/>
  <c r="AR23" i="12" s="1"/>
  <c r="F101" i="12"/>
  <c r="F107" i="12" s="1"/>
  <c r="AQ23" i="12" s="1"/>
  <c r="E101" i="12"/>
  <c r="D101" i="12"/>
  <c r="C101" i="12"/>
  <c r="C107" i="12" s="1"/>
  <c r="B101" i="12"/>
  <c r="AD7" i="12"/>
  <c r="AI98" i="12"/>
  <c r="AH98" i="12"/>
  <c r="AI96" i="12"/>
  <c r="AH96" i="12"/>
  <c r="AG96" i="12"/>
  <c r="AI95" i="12"/>
  <c r="AH95" i="12"/>
  <c r="AI94" i="12"/>
  <c r="AH94" i="12"/>
  <c r="AI93" i="12"/>
  <c r="AH93" i="12"/>
  <c r="AG92" i="12"/>
  <c r="AA92" i="12"/>
  <c r="Z92" i="12"/>
  <c r="Y92" i="12"/>
  <c r="X5" i="12" s="1"/>
  <c r="X92" i="12"/>
  <c r="BE19" i="12" s="1"/>
  <c r="U92" i="12"/>
  <c r="BC19" i="12" s="1"/>
  <c r="T92" i="12"/>
  <c r="S5" i="12" s="1"/>
  <c r="R92" i="12"/>
  <c r="AZ19" i="12" s="1"/>
  <c r="Q92" i="12"/>
  <c r="AY19" i="12" s="1"/>
  <c r="P92" i="12"/>
  <c r="AX19" i="12" s="1"/>
  <c r="O92" i="12"/>
  <c r="AW19" i="12" s="1"/>
  <c r="N92" i="12"/>
  <c r="M92" i="12"/>
  <c r="L5" i="12" s="1"/>
  <c r="L92" i="12"/>
  <c r="K5" i="12" s="1"/>
  <c r="K92" i="12"/>
  <c r="J5" i="12" s="1"/>
  <c r="J92" i="12"/>
  <c r="I5" i="12" s="1"/>
  <c r="I92" i="12"/>
  <c r="H92" i="12"/>
  <c r="G5" i="12" s="1"/>
  <c r="G92" i="12"/>
  <c r="F92" i="12"/>
  <c r="E92" i="12"/>
  <c r="D92" i="12"/>
  <c r="AO19" i="12" s="1"/>
  <c r="C92" i="12"/>
  <c r="B5" i="12" s="1"/>
  <c r="B92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I81" i="12"/>
  <c r="AH81" i="12"/>
  <c r="BJ80" i="12"/>
  <c r="BH80" i="12"/>
  <c r="AG80" i="12"/>
  <c r="AA80" i="12"/>
  <c r="Z80" i="12"/>
  <c r="Y80" i="12"/>
  <c r="X80" i="12"/>
  <c r="BE20" i="12" s="1"/>
  <c r="U80" i="12"/>
  <c r="BC20" i="12" s="1"/>
  <c r="T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BD79" i="12"/>
  <c r="BB79" i="12"/>
  <c r="AI79" i="12"/>
  <c r="AH79" i="12"/>
  <c r="BD78" i="12"/>
  <c r="AI78" i="12"/>
  <c r="AH78" i="12"/>
  <c r="AI77" i="12"/>
  <c r="AH77" i="12"/>
  <c r="BR76" i="12"/>
  <c r="BB76" i="12"/>
  <c r="AZ76" i="12"/>
  <c r="AG76" i="12"/>
  <c r="BG18" i="12"/>
  <c r="AA76" i="12"/>
  <c r="Z76" i="12"/>
  <c r="BF18" i="12" s="1"/>
  <c r="Y76" i="12"/>
  <c r="X76" i="12"/>
  <c r="U76" i="12"/>
  <c r="BC18" i="12" s="1"/>
  <c r="T76" i="12"/>
  <c r="BB18" i="12" s="1"/>
  <c r="R76" i="12"/>
  <c r="AZ18" i="12" s="1"/>
  <c r="Q76" i="12"/>
  <c r="P76" i="12"/>
  <c r="AX18" i="12" s="1"/>
  <c r="O76" i="12"/>
  <c r="AW18" i="12" s="1"/>
  <c r="N76" i="12"/>
  <c r="M76" i="12"/>
  <c r="AU18" i="12" s="1"/>
  <c r="L76" i="12"/>
  <c r="K76" i="12"/>
  <c r="AT18" i="12" s="1"/>
  <c r="J76" i="12"/>
  <c r="I76" i="12"/>
  <c r="H76" i="12"/>
  <c r="G76" i="12"/>
  <c r="F76" i="12"/>
  <c r="AQ18" i="12" s="1"/>
  <c r="E76" i="12"/>
  <c r="AP18" i="12" s="1"/>
  <c r="D76" i="12"/>
  <c r="AO18" i="12" s="1"/>
  <c r="C76" i="12"/>
  <c r="B76" i="12"/>
  <c r="AZ75" i="12"/>
  <c r="AI75" i="12"/>
  <c r="AH75" i="12"/>
  <c r="AG75" i="12"/>
  <c r="AI74" i="12"/>
  <c r="AH74" i="12"/>
  <c r="BW73" i="12"/>
  <c r="BW80" i="12" s="1"/>
  <c r="BV73" i="12"/>
  <c r="BV80" i="12" s="1"/>
  <c r="BU73" i="12"/>
  <c r="BU80" i="12" s="1"/>
  <c r="BT73" i="12"/>
  <c r="BT80" i="12" s="1"/>
  <c r="BS73" i="12"/>
  <c r="BS80" i="12" s="1"/>
  <c r="BR73" i="12"/>
  <c r="BR80" i="12" s="1"/>
  <c r="BQ73" i="12"/>
  <c r="BQ80" i="12" s="1"/>
  <c r="BP73" i="12"/>
  <c r="BP80" i="12" s="1"/>
  <c r="BO73" i="12"/>
  <c r="BO80" i="12" s="1"/>
  <c r="BN73" i="12"/>
  <c r="BN80" i="12" s="1"/>
  <c r="BM73" i="12"/>
  <c r="BM80" i="12" s="1"/>
  <c r="BL73" i="12"/>
  <c r="BL80" i="12" s="1"/>
  <c r="BK73" i="12"/>
  <c r="BK80" i="12" s="1"/>
  <c r="BJ73" i="12"/>
  <c r="BI73" i="12"/>
  <c r="BI80" i="12" s="1"/>
  <c r="BH73" i="12"/>
  <c r="BG73" i="12"/>
  <c r="BG80" i="12" s="1"/>
  <c r="BF73" i="12"/>
  <c r="BF80" i="12" s="1"/>
  <c r="BE73" i="12"/>
  <c r="BE80" i="12" s="1"/>
  <c r="BD73" i="12"/>
  <c r="BD80" i="12" s="1"/>
  <c r="BC73" i="12"/>
  <c r="BC80" i="12" s="1"/>
  <c r="BB73" i="12"/>
  <c r="BB80" i="12" s="1"/>
  <c r="BA73" i="12"/>
  <c r="BA80" i="12" s="1"/>
  <c r="AZ73" i="12"/>
  <c r="AZ80" i="12" s="1"/>
  <c r="AI73" i="12"/>
  <c r="AH73" i="12"/>
  <c r="BW72" i="12"/>
  <c r="BW79" i="12" s="1"/>
  <c r="BV72" i="12"/>
  <c r="BV79" i="12" s="1"/>
  <c r="BU72" i="12"/>
  <c r="BU79" i="12" s="1"/>
  <c r="BT72" i="12"/>
  <c r="BT79" i="12" s="1"/>
  <c r="BS72" i="12"/>
  <c r="BS79" i="12" s="1"/>
  <c r="BR72" i="12"/>
  <c r="BR79" i="12" s="1"/>
  <c r="BQ72" i="12"/>
  <c r="BQ79" i="12" s="1"/>
  <c r="BP72" i="12"/>
  <c r="BP79" i="12" s="1"/>
  <c r="BO72" i="12"/>
  <c r="BO79" i="12" s="1"/>
  <c r="BN72" i="12"/>
  <c r="BN79" i="12" s="1"/>
  <c r="BM72" i="12"/>
  <c r="BM79" i="12" s="1"/>
  <c r="BL72" i="12"/>
  <c r="BL79" i="12" s="1"/>
  <c r="BK72" i="12"/>
  <c r="BK79" i="12" s="1"/>
  <c r="BJ72" i="12"/>
  <c r="BJ79" i="12" s="1"/>
  <c r="BI72" i="12"/>
  <c r="BI79" i="12" s="1"/>
  <c r="BH72" i="12"/>
  <c r="BH79" i="12" s="1"/>
  <c r="BG72" i="12"/>
  <c r="BG79" i="12" s="1"/>
  <c r="BF72" i="12"/>
  <c r="BF79" i="12" s="1"/>
  <c r="BE72" i="12"/>
  <c r="BE79" i="12" s="1"/>
  <c r="BD72" i="12"/>
  <c r="BC72" i="12"/>
  <c r="BC79" i="12" s="1"/>
  <c r="BB72" i="12"/>
  <c r="BA72" i="12"/>
  <c r="BA79" i="12" s="1"/>
  <c r="AZ72" i="12"/>
  <c r="AZ79" i="12" s="1"/>
  <c r="AI72" i="12"/>
  <c r="AH72" i="12"/>
  <c r="BW71" i="12"/>
  <c r="BW78" i="12" s="1"/>
  <c r="BV71" i="12"/>
  <c r="BV78" i="12" s="1"/>
  <c r="BU71" i="12"/>
  <c r="BU78" i="12" s="1"/>
  <c r="BT71" i="12"/>
  <c r="BT78" i="12" s="1"/>
  <c r="BS71" i="12"/>
  <c r="BS78" i="12" s="1"/>
  <c r="BR71" i="12"/>
  <c r="BR78" i="12" s="1"/>
  <c r="BQ71" i="12"/>
  <c r="BQ78" i="12" s="1"/>
  <c r="BP71" i="12"/>
  <c r="BP78" i="12" s="1"/>
  <c r="BO71" i="12"/>
  <c r="BO78" i="12" s="1"/>
  <c r="BN71" i="12"/>
  <c r="BN78" i="12" s="1"/>
  <c r="BM71" i="12"/>
  <c r="BM78" i="12" s="1"/>
  <c r="BL71" i="12"/>
  <c r="BL78" i="12" s="1"/>
  <c r="BK71" i="12"/>
  <c r="BK78" i="12" s="1"/>
  <c r="BJ71" i="12"/>
  <c r="BJ78" i="12" s="1"/>
  <c r="BI71" i="12"/>
  <c r="BI78" i="12" s="1"/>
  <c r="BH71" i="12"/>
  <c r="BH78" i="12" s="1"/>
  <c r="BG71" i="12"/>
  <c r="BG78" i="12" s="1"/>
  <c r="BF71" i="12"/>
  <c r="BF78" i="12" s="1"/>
  <c r="BE71" i="12"/>
  <c r="BE78" i="12" s="1"/>
  <c r="BD71" i="12"/>
  <c r="BC71" i="12"/>
  <c r="BC78" i="12" s="1"/>
  <c r="BB71" i="12"/>
  <c r="BB78" i="12" s="1"/>
  <c r="BA71" i="12"/>
  <c r="BA78" i="12" s="1"/>
  <c r="AZ71" i="12"/>
  <c r="AZ78" i="12" s="1"/>
  <c r="AI71" i="12"/>
  <c r="AH71" i="12"/>
  <c r="BW70" i="12"/>
  <c r="BW77" i="12" s="1"/>
  <c r="BV70" i="12"/>
  <c r="BV77" i="12" s="1"/>
  <c r="BU70" i="12"/>
  <c r="BU77" i="12" s="1"/>
  <c r="BT70" i="12"/>
  <c r="BT77" i="12" s="1"/>
  <c r="BS70" i="12"/>
  <c r="BS77" i="12" s="1"/>
  <c r="BR70" i="12"/>
  <c r="BR77" i="12" s="1"/>
  <c r="BQ70" i="12"/>
  <c r="BQ77" i="12" s="1"/>
  <c r="BP70" i="12"/>
  <c r="BP77" i="12" s="1"/>
  <c r="BO70" i="12"/>
  <c r="BO77" i="12" s="1"/>
  <c r="BN70" i="12"/>
  <c r="BN77" i="12" s="1"/>
  <c r="BM70" i="12"/>
  <c r="BM77" i="12" s="1"/>
  <c r="BL70" i="12"/>
  <c r="BL77" i="12" s="1"/>
  <c r="BK70" i="12"/>
  <c r="BK77" i="12" s="1"/>
  <c r="BJ70" i="12"/>
  <c r="BJ77" i="12" s="1"/>
  <c r="BI70" i="12"/>
  <c r="BI77" i="12" s="1"/>
  <c r="BH70" i="12"/>
  <c r="BH77" i="12" s="1"/>
  <c r="BG70" i="12"/>
  <c r="BG77" i="12" s="1"/>
  <c r="BF70" i="12"/>
  <c r="BF77" i="12" s="1"/>
  <c r="BE70" i="12"/>
  <c r="BE77" i="12" s="1"/>
  <c r="BD70" i="12"/>
  <c r="BD77" i="12" s="1"/>
  <c r="BC70" i="12"/>
  <c r="BC77" i="12" s="1"/>
  <c r="BB70" i="12"/>
  <c r="BB77" i="12" s="1"/>
  <c r="BA70" i="12"/>
  <c r="BA77" i="12" s="1"/>
  <c r="AZ70" i="12"/>
  <c r="AZ77" i="12" s="1"/>
  <c r="AI70" i="12"/>
  <c r="AH70" i="12"/>
  <c r="BW69" i="12"/>
  <c r="BW76" i="12" s="1"/>
  <c r="BV69" i="12"/>
  <c r="BV76" i="12" s="1"/>
  <c r="BU69" i="12"/>
  <c r="BU76" i="12" s="1"/>
  <c r="BT69" i="12"/>
  <c r="BT76" i="12" s="1"/>
  <c r="BS69" i="12"/>
  <c r="BS76" i="12" s="1"/>
  <c r="BR69" i="12"/>
  <c r="BQ69" i="12"/>
  <c r="BQ76" i="12" s="1"/>
  <c r="BP69" i="12"/>
  <c r="BP76" i="12" s="1"/>
  <c r="BO69" i="12"/>
  <c r="BO76" i="12" s="1"/>
  <c r="BN69" i="12"/>
  <c r="BN76" i="12" s="1"/>
  <c r="BM69" i="12"/>
  <c r="BM76" i="12" s="1"/>
  <c r="BL69" i="12"/>
  <c r="BL76" i="12" s="1"/>
  <c r="BK69" i="12"/>
  <c r="BK76" i="12" s="1"/>
  <c r="BJ69" i="12"/>
  <c r="BJ76" i="12" s="1"/>
  <c r="BI69" i="12"/>
  <c r="BI76" i="12" s="1"/>
  <c r="BH69" i="12"/>
  <c r="BH76" i="12" s="1"/>
  <c r="BG69" i="12"/>
  <c r="BG76" i="12" s="1"/>
  <c r="BF69" i="12"/>
  <c r="BF76" i="12" s="1"/>
  <c r="BE69" i="12"/>
  <c r="BE76" i="12" s="1"/>
  <c r="BD69" i="12"/>
  <c r="BD76" i="12" s="1"/>
  <c r="BC69" i="12"/>
  <c r="BC76" i="12" s="1"/>
  <c r="BB69" i="12"/>
  <c r="BA69" i="12"/>
  <c r="BA76" i="12" s="1"/>
  <c r="AZ69" i="12"/>
  <c r="AI69" i="12"/>
  <c r="AH69" i="12"/>
  <c r="BW68" i="12"/>
  <c r="BW75" i="12" s="1"/>
  <c r="BV68" i="12"/>
  <c r="BV75" i="12" s="1"/>
  <c r="BU68" i="12"/>
  <c r="BU75" i="12" s="1"/>
  <c r="BT68" i="12"/>
  <c r="BT75" i="12" s="1"/>
  <c r="BS68" i="12"/>
  <c r="BS75" i="12" s="1"/>
  <c r="BR68" i="12"/>
  <c r="BR75" i="12" s="1"/>
  <c r="BQ68" i="12"/>
  <c r="BQ75" i="12" s="1"/>
  <c r="BP68" i="12"/>
  <c r="BP75" i="12" s="1"/>
  <c r="BO68" i="12"/>
  <c r="BO75" i="12" s="1"/>
  <c r="BN68" i="12"/>
  <c r="BN75" i="12" s="1"/>
  <c r="BM68" i="12"/>
  <c r="BM75" i="12" s="1"/>
  <c r="BL68" i="12"/>
  <c r="BL75" i="12" s="1"/>
  <c r="BK68" i="12"/>
  <c r="BK75" i="12" s="1"/>
  <c r="BJ68" i="12"/>
  <c r="BJ75" i="12" s="1"/>
  <c r="BI68" i="12"/>
  <c r="BI75" i="12" s="1"/>
  <c r="BH68" i="12"/>
  <c r="BH75" i="12" s="1"/>
  <c r="BG68" i="12"/>
  <c r="BG75" i="12" s="1"/>
  <c r="BF68" i="12"/>
  <c r="BF75" i="12" s="1"/>
  <c r="BE68" i="12"/>
  <c r="BE75" i="12" s="1"/>
  <c r="BD68" i="12"/>
  <c r="BD75" i="12" s="1"/>
  <c r="BC68" i="12"/>
  <c r="BC75" i="12" s="1"/>
  <c r="BB68" i="12"/>
  <c r="BB75" i="12" s="1"/>
  <c r="BA68" i="12"/>
  <c r="BA75" i="12" s="1"/>
  <c r="AZ68" i="12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BI17" i="12"/>
  <c r="AA62" i="12"/>
  <c r="Z62" i="12"/>
  <c r="Y62" i="12"/>
  <c r="X62" i="12"/>
  <c r="BE17" i="12" s="1"/>
  <c r="U62" i="12"/>
  <c r="T62" i="12"/>
  <c r="BB17" i="12" s="1"/>
  <c r="R62" i="12"/>
  <c r="Q62" i="12"/>
  <c r="AY17" i="12" s="1"/>
  <c r="P62" i="12"/>
  <c r="AX17" i="12" s="1"/>
  <c r="O62" i="12"/>
  <c r="AW17" i="12" s="1"/>
  <c r="N62" i="12"/>
  <c r="M62" i="12"/>
  <c r="AU17" i="12" s="1"/>
  <c r="L62" i="12"/>
  <c r="K62" i="12"/>
  <c r="AT17" i="12" s="1"/>
  <c r="J62" i="12"/>
  <c r="I62" i="12"/>
  <c r="AS17" i="12" s="1"/>
  <c r="H62" i="12"/>
  <c r="G62" i="12"/>
  <c r="AR17" i="12" s="1"/>
  <c r="F62" i="12"/>
  <c r="AQ17" i="12" s="1"/>
  <c r="E62" i="12"/>
  <c r="D62" i="12"/>
  <c r="AO17" i="12" s="1"/>
  <c r="C62" i="12"/>
  <c r="B62" i="12"/>
  <c r="AI61" i="12"/>
  <c r="AH61" i="12"/>
  <c r="AI60" i="12"/>
  <c r="AH60" i="12"/>
  <c r="AI59" i="12"/>
  <c r="AH59" i="12"/>
  <c r="AG58" i="12"/>
  <c r="AA58" i="12"/>
  <c r="Z58" i="12"/>
  <c r="BF16" i="12" s="1"/>
  <c r="Y58" i="12"/>
  <c r="X58" i="12"/>
  <c r="V7" i="12"/>
  <c r="U58" i="12"/>
  <c r="BC16" i="12" s="1"/>
  <c r="T58" i="12"/>
  <c r="S7" i="12"/>
  <c r="R58" i="12"/>
  <c r="AZ16" i="12" s="1"/>
  <c r="Q58" i="12"/>
  <c r="P58" i="12"/>
  <c r="O58" i="12"/>
  <c r="N58" i="12"/>
  <c r="M58" i="12"/>
  <c r="L58" i="12"/>
  <c r="K58" i="12"/>
  <c r="J58" i="12"/>
  <c r="I58" i="12"/>
  <c r="H58" i="12"/>
  <c r="E58" i="12"/>
  <c r="D58" i="12"/>
  <c r="C58" i="12"/>
  <c r="B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BJ23" i="12"/>
  <c r="BI23" i="12"/>
  <c r="BD23" i="12"/>
  <c r="AI23" i="12"/>
  <c r="AH23" i="12"/>
  <c r="AI22" i="12"/>
  <c r="AH22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I21" i="12"/>
  <c r="AH21" i="12"/>
  <c r="BJ20" i="12"/>
  <c r="BI20" i="12"/>
  <c r="BH20" i="12"/>
  <c r="BG20" i="12"/>
  <c r="BF20" i="12"/>
  <c r="BD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I20" i="12"/>
  <c r="AH20" i="12"/>
  <c r="BJ19" i="12"/>
  <c r="BI19" i="12"/>
  <c r="BH19" i="12"/>
  <c r="BG19" i="12"/>
  <c r="BD19" i="12"/>
  <c r="BA19" i="12"/>
  <c r="AS19" i="12"/>
  <c r="AR19" i="12"/>
  <c r="AQ19" i="12"/>
  <c r="AP19" i="12"/>
  <c r="AM19" i="12"/>
  <c r="AI19" i="12"/>
  <c r="AH19" i="12"/>
  <c r="BJ18" i="12"/>
  <c r="BI18" i="12"/>
  <c r="BH18" i="12"/>
  <c r="BE18" i="12"/>
  <c r="BD18" i="12"/>
  <c r="BA18" i="12"/>
  <c r="AY18" i="12"/>
  <c r="AV18" i="12"/>
  <c r="AS18" i="12"/>
  <c r="AR18" i="12"/>
  <c r="AN18" i="12"/>
  <c r="AI18" i="12"/>
  <c r="AH18" i="12"/>
  <c r="BJ17" i="12"/>
  <c r="BH17" i="12"/>
  <c r="BG17" i="12"/>
  <c r="BF17" i="12"/>
  <c r="BD17" i="12"/>
  <c r="BC17" i="12"/>
  <c r="BA17" i="12"/>
  <c r="AZ17" i="12"/>
  <c r="AV17" i="12"/>
  <c r="AP17" i="12"/>
  <c r="AN17" i="12"/>
  <c r="AM17" i="12"/>
  <c r="AI17" i="12"/>
  <c r="AH17" i="12"/>
  <c r="BJ16" i="12"/>
  <c r="BH16" i="12"/>
  <c r="BG16" i="12"/>
  <c r="BE16" i="12"/>
  <c r="BD16" i="12"/>
  <c r="BB16" i="12"/>
  <c r="BA16" i="12"/>
  <c r="AT16" i="12"/>
  <c r="AO16" i="12"/>
  <c r="AM16" i="12"/>
  <c r="AI16" i="12"/>
  <c r="AH16" i="12"/>
  <c r="AI15" i="12"/>
  <c r="AH15" i="12"/>
  <c r="AI14" i="12"/>
  <c r="AH14" i="12"/>
  <c r="AI13" i="12"/>
  <c r="AH13" i="12"/>
  <c r="AL12" i="12"/>
  <c r="AI12" i="12"/>
  <c r="AH12" i="12"/>
  <c r="AI11" i="12"/>
  <c r="AH11" i="12"/>
  <c r="AF7" i="12"/>
  <c r="AF5" i="12"/>
  <c r="AE5" i="12"/>
  <c r="AD5" i="12"/>
  <c r="AC5" i="12"/>
  <c r="AB5" i="12"/>
  <c r="AA5" i="12"/>
  <c r="Z5" i="12"/>
  <c r="V5" i="12"/>
  <c r="U5" i="12"/>
  <c r="R5" i="12"/>
  <c r="N5" i="12"/>
  <c r="H5" i="12"/>
  <c r="F5" i="12"/>
  <c r="D5" i="12"/>
  <c r="C5" i="12"/>
  <c r="AG4" i="12"/>
  <c r="K4" i="12"/>
  <c r="E4" i="12"/>
  <c r="H4" i="12" s="1"/>
  <c r="B4" i="12"/>
  <c r="D258" i="12" s="1"/>
  <c r="AG3" i="12"/>
  <c r="AA118" i="11"/>
  <c r="AA105" i="11"/>
  <c r="AA104" i="11"/>
  <c r="AA103" i="11"/>
  <c r="AA102" i="11"/>
  <c r="AA101" i="11"/>
  <c r="AA107" i="11" s="1"/>
  <c r="AA92" i="11"/>
  <c r="AA80" i="11"/>
  <c r="AA76" i="11"/>
  <c r="AA62" i="11"/>
  <c r="AA58" i="11"/>
  <c r="AA97" i="11" s="1"/>
  <c r="AA99" i="11" s="1"/>
  <c r="Z58" i="11"/>
  <c r="Z62" i="11"/>
  <c r="Z76" i="11"/>
  <c r="Z80" i="11"/>
  <c r="Z92" i="11"/>
  <c r="Z101" i="11"/>
  <c r="Z102" i="11"/>
  <c r="Z103" i="11"/>
  <c r="Z104" i="11"/>
  <c r="Z105" i="11"/>
  <c r="Z118" i="11"/>
  <c r="Y58" i="11"/>
  <c r="Y62" i="11"/>
  <c r="Y76" i="11"/>
  <c r="Y80" i="11"/>
  <c r="Y92" i="11"/>
  <c r="Y101" i="11"/>
  <c r="Y102" i="11"/>
  <c r="Y103" i="11"/>
  <c r="Y104" i="11"/>
  <c r="Y105" i="11"/>
  <c r="Y118" i="11"/>
  <c r="X58" i="11"/>
  <c r="X62" i="11"/>
  <c r="X76" i="11"/>
  <c r="X80" i="11"/>
  <c r="X92" i="11"/>
  <c r="X101" i="11"/>
  <c r="X102" i="11"/>
  <c r="X103" i="11"/>
  <c r="X104" i="11"/>
  <c r="X105" i="11"/>
  <c r="X118" i="11"/>
  <c r="W57" i="11"/>
  <c r="V118" i="11"/>
  <c r="V105" i="11"/>
  <c r="V104" i="11"/>
  <c r="V103" i="11"/>
  <c r="V102" i="11"/>
  <c r="V101" i="11"/>
  <c r="V92" i="11"/>
  <c r="V80" i="11"/>
  <c r="V76" i="11"/>
  <c r="V62" i="11"/>
  <c r="V58" i="11"/>
  <c r="V57" i="11"/>
  <c r="X246" i="16" l="1"/>
  <c r="W252" i="16"/>
  <c r="X246" i="15"/>
  <c r="W118" i="15"/>
  <c r="W252" i="15"/>
  <c r="O246" i="13"/>
  <c r="N252" i="13"/>
  <c r="N118" i="13"/>
  <c r="BH22" i="12"/>
  <c r="BH24" i="12" s="1"/>
  <c r="AA107" i="12"/>
  <c r="AA108" i="12" s="1"/>
  <c r="AA97" i="12"/>
  <c r="AA99" i="12" s="1"/>
  <c r="Z107" i="12"/>
  <c r="BF23" i="12" s="1"/>
  <c r="BF19" i="12"/>
  <c r="Y5" i="12"/>
  <c r="BF22" i="12"/>
  <c r="BF24" i="12" s="1"/>
  <c r="Y97" i="12"/>
  <c r="Y99" i="12" s="1"/>
  <c r="Y107" i="12"/>
  <c r="X108" i="12"/>
  <c r="W5" i="12"/>
  <c r="AI80" i="12"/>
  <c r="BE22" i="12"/>
  <c r="BE24" i="12" s="1"/>
  <c r="X97" i="12"/>
  <c r="X99" i="12" s="1"/>
  <c r="X100" i="12" s="1"/>
  <c r="X7" i="12" s="1"/>
  <c r="T5" i="12"/>
  <c r="BC22" i="12"/>
  <c r="U97" i="12"/>
  <c r="U99" i="12" s="1"/>
  <c r="T107" i="12"/>
  <c r="BB23" i="12" s="1"/>
  <c r="BB19" i="12"/>
  <c r="AH80" i="12"/>
  <c r="BB20" i="12"/>
  <c r="BA22" i="12"/>
  <c r="Q5" i="12"/>
  <c r="R107" i="12"/>
  <c r="AZ23" i="12" s="1"/>
  <c r="Q107" i="12"/>
  <c r="AY23" i="12" s="1"/>
  <c r="P5" i="12"/>
  <c r="AH103" i="12"/>
  <c r="O5" i="12"/>
  <c r="P107" i="12"/>
  <c r="AX23" i="12" s="1"/>
  <c r="P97" i="12"/>
  <c r="P99" i="12" s="1"/>
  <c r="AX16" i="12"/>
  <c r="AX22" i="12" s="1"/>
  <c r="O107" i="12"/>
  <c r="AW23" i="12" s="1"/>
  <c r="AI102" i="12"/>
  <c r="N107" i="12"/>
  <c r="AV23" i="12" s="1"/>
  <c r="AV19" i="12"/>
  <c r="M5" i="12"/>
  <c r="N97" i="12"/>
  <c r="N99" i="12" s="1"/>
  <c r="N100" i="12" s="1"/>
  <c r="N7" i="12" s="1"/>
  <c r="AV16" i="12"/>
  <c r="AU19" i="12"/>
  <c r="M97" i="12"/>
  <c r="M99" i="12" s="1"/>
  <c r="AU16" i="12"/>
  <c r="L107" i="12"/>
  <c r="AI101" i="12"/>
  <c r="K107" i="12"/>
  <c r="K108" i="12" s="1"/>
  <c r="AT19" i="12"/>
  <c r="K97" i="12"/>
  <c r="K99" i="12" s="1"/>
  <c r="J107" i="12"/>
  <c r="J108" i="12"/>
  <c r="I107" i="12"/>
  <c r="AS23" i="12" s="1"/>
  <c r="H107" i="12"/>
  <c r="H108" i="12" s="1"/>
  <c r="H97" i="12"/>
  <c r="H99" i="12" s="1"/>
  <c r="H100" i="12" s="1"/>
  <c r="H7" i="12" s="1"/>
  <c r="F97" i="12"/>
  <c r="F99" i="12" s="1"/>
  <c r="F100" i="12"/>
  <c r="F7" i="12" s="1"/>
  <c r="F108" i="12"/>
  <c r="E5" i="12"/>
  <c r="E97" i="12"/>
  <c r="E99" i="12" s="1"/>
  <c r="AP16" i="12"/>
  <c r="AP22" i="12" s="1"/>
  <c r="D107" i="12"/>
  <c r="AO23" i="12" s="1"/>
  <c r="C108" i="12"/>
  <c r="AN19" i="12"/>
  <c r="AN23" i="12"/>
  <c r="C97" i="12"/>
  <c r="C99" i="12" s="1"/>
  <c r="C100" i="12" s="1"/>
  <c r="C7" i="12" s="1"/>
  <c r="AN16" i="12"/>
  <c r="AN22" i="12" s="1"/>
  <c r="AL13" i="12"/>
  <c r="AZ22" i="12"/>
  <c r="AZ24" i="12" s="1"/>
  <c r="AM18" i="12"/>
  <c r="AI76" i="12"/>
  <c r="AH76" i="12"/>
  <c r="BG22" i="12"/>
  <c r="BG24" i="12" s="1"/>
  <c r="BJ22" i="12"/>
  <c r="BJ24" i="12" s="1"/>
  <c r="G97" i="12"/>
  <c r="G99" i="12" s="1"/>
  <c r="AR16" i="12"/>
  <c r="AR22" i="12" s="1"/>
  <c r="AR24" i="12" s="1"/>
  <c r="O97" i="12"/>
  <c r="O99" i="12" s="1"/>
  <c r="O100" i="12" s="1"/>
  <c r="O7" i="12" s="1"/>
  <c r="AW16" i="12"/>
  <c r="AW22" i="12" s="1"/>
  <c r="AW24" i="12" s="1"/>
  <c r="W7" i="12"/>
  <c r="BI16" i="12"/>
  <c r="BI22" i="12" s="1"/>
  <c r="BI24" i="12" s="1"/>
  <c r="AE7" i="12"/>
  <c r="AO22" i="12"/>
  <c r="AO24" i="12" s="1"/>
  <c r="BB22" i="12"/>
  <c r="BB24" i="12" s="1"/>
  <c r="AI62" i="12"/>
  <c r="BA23" i="12"/>
  <c r="AS16" i="12"/>
  <c r="AS22" i="12" s="1"/>
  <c r="AS24" i="12" s="1"/>
  <c r="I97" i="12"/>
  <c r="I99" i="12" s="1"/>
  <c r="I100" i="12" s="1"/>
  <c r="I7" i="12" s="1"/>
  <c r="AY16" i="12"/>
  <c r="AY22" i="12" s="1"/>
  <c r="AY24" i="12" s="1"/>
  <c r="Q97" i="12"/>
  <c r="Q99" i="12" s="1"/>
  <c r="Q100" i="12" s="1"/>
  <c r="Q7" i="12" s="1"/>
  <c r="AG97" i="12"/>
  <c r="AG2" i="12"/>
  <c r="AG6" i="12" s="1"/>
  <c r="AM22" i="12"/>
  <c r="AT22" i="12"/>
  <c r="BD22" i="12"/>
  <c r="BD24" i="12" s="1"/>
  <c r="B97" i="12"/>
  <c r="J97" i="12"/>
  <c r="J99" i="12" s="1"/>
  <c r="R97" i="12"/>
  <c r="R99" i="12" s="1"/>
  <c r="R100" i="12" s="1"/>
  <c r="R7" i="12" s="1"/>
  <c r="Z97" i="12"/>
  <c r="Z99" i="12" s="1"/>
  <c r="Z100" i="12" s="1"/>
  <c r="Z7" i="12" s="1"/>
  <c r="BG84" i="12" a="1"/>
  <c r="G108" i="12"/>
  <c r="O108" i="12"/>
  <c r="E107" i="12"/>
  <c r="AP23" i="12" s="1"/>
  <c r="M107" i="12"/>
  <c r="AU23" i="12" s="1"/>
  <c r="U107" i="12"/>
  <c r="BC23" i="12" s="1"/>
  <c r="BC24" i="12" s="1"/>
  <c r="AC7" i="12"/>
  <c r="AH58" i="12"/>
  <c r="AH62" i="12"/>
  <c r="I108" i="12"/>
  <c r="Q108" i="12"/>
  <c r="Y108" i="12"/>
  <c r="AG99" i="12"/>
  <c r="AI58" i="12"/>
  <c r="AI92" i="12"/>
  <c r="AH92" i="12"/>
  <c r="D252" i="12"/>
  <c r="D118" i="12"/>
  <c r="AQ16" i="12"/>
  <c r="AQ22" i="12" s="1"/>
  <c r="AQ24" i="12" s="1"/>
  <c r="D97" i="12"/>
  <c r="D99" i="12" s="1"/>
  <c r="D100" i="12" s="1"/>
  <c r="D7" i="12" s="1"/>
  <c r="L97" i="12"/>
  <c r="L99" i="12" s="1"/>
  <c r="L100" i="12" s="1"/>
  <c r="L7" i="12" s="1"/>
  <c r="T97" i="12"/>
  <c r="T99" i="12" s="1"/>
  <c r="T100" i="12" s="1"/>
  <c r="T7" i="12" s="1"/>
  <c r="AB7" i="12"/>
  <c r="AH102" i="12"/>
  <c r="E246" i="12"/>
  <c r="AT23" i="12"/>
  <c r="D108" i="12"/>
  <c r="L108" i="12"/>
  <c r="T108" i="12"/>
  <c r="B107" i="12"/>
  <c r="B108" i="12" s="1"/>
  <c r="AH101" i="12"/>
  <c r="AI105" i="12"/>
  <c r="AI103" i="12"/>
  <c r="AI104" i="12"/>
  <c r="AH104" i="12"/>
  <c r="AH105" i="12"/>
  <c r="AA100" i="11"/>
  <c r="AA108" i="11"/>
  <c r="Z107" i="11"/>
  <c r="Z97" i="11"/>
  <c r="Z99" i="11" s="1"/>
  <c r="Z100" i="11" s="1"/>
  <c r="Z108" i="11"/>
  <c r="Y107" i="11"/>
  <c r="Y108" i="11" s="1"/>
  <c r="Y97" i="11"/>
  <c r="Y99" i="11" s="1"/>
  <c r="X107" i="11"/>
  <c r="X108" i="11" s="1"/>
  <c r="X97" i="11"/>
  <c r="X99" i="11" s="1"/>
  <c r="V107" i="11"/>
  <c r="V108" i="11" s="1"/>
  <c r="V97" i="11"/>
  <c r="V99" i="11" s="1"/>
  <c r="V100" i="11" s="1"/>
  <c r="T118" i="11"/>
  <c r="T105" i="11"/>
  <c r="T104" i="11"/>
  <c r="T103" i="11"/>
  <c r="T102" i="11"/>
  <c r="T101" i="11"/>
  <c r="T92" i="11"/>
  <c r="T80" i="11"/>
  <c r="T76" i="11"/>
  <c r="T62" i="11"/>
  <c r="T58" i="11"/>
  <c r="T57" i="11"/>
  <c r="Y246" i="16" l="1"/>
  <c r="X252" i="16"/>
  <c r="Y246" i="15"/>
  <c r="X252" i="15"/>
  <c r="X118" i="15"/>
  <c r="P246" i="13"/>
  <c r="O252" i="13"/>
  <c r="O118" i="13"/>
  <c r="AA100" i="12"/>
  <c r="AA7" i="12" s="1"/>
  <c r="Z108" i="12"/>
  <c r="Y100" i="12"/>
  <c r="Y7" i="12" s="1"/>
  <c r="BA24" i="12"/>
  <c r="R108" i="12"/>
  <c r="AX24" i="12"/>
  <c r="P100" i="12"/>
  <c r="P7" i="12" s="1"/>
  <c r="P108" i="12"/>
  <c r="AV22" i="12"/>
  <c r="AV24" i="12" s="1"/>
  <c r="N108" i="12"/>
  <c r="AU22" i="12"/>
  <c r="AU24" i="12" s="1"/>
  <c r="J100" i="12"/>
  <c r="J7" i="12" s="1"/>
  <c r="K100" i="12"/>
  <c r="K7" i="12" s="1"/>
  <c r="AP24" i="12"/>
  <c r="AN24" i="12"/>
  <c r="U100" i="12"/>
  <c r="U7" i="12" s="1"/>
  <c r="M100" i="12"/>
  <c r="M7" i="12" s="1"/>
  <c r="AI107" i="12"/>
  <c r="AM23" i="12"/>
  <c r="AH107" i="12"/>
  <c r="E100" i="12"/>
  <c r="E7" i="12" s="1"/>
  <c r="M108" i="12"/>
  <c r="U108" i="12"/>
  <c r="E108" i="12"/>
  <c r="B99" i="12"/>
  <c r="AI97" i="12"/>
  <c r="AH97" i="12"/>
  <c r="C256" i="12"/>
  <c r="G100" i="12"/>
  <c r="G7" i="12" s="1"/>
  <c r="B256" i="12"/>
  <c r="F246" i="12"/>
  <c r="E252" i="12"/>
  <c r="E118" i="12"/>
  <c r="AT24" i="12"/>
  <c r="BJ107" i="12"/>
  <c r="BH106" i="12"/>
  <c r="BL104" i="12"/>
  <c r="BJ103" i="12"/>
  <c r="BH102" i="12"/>
  <c r="BL100" i="12"/>
  <c r="BJ99" i="12"/>
  <c r="BH98" i="12"/>
  <c r="BL96" i="12"/>
  <c r="BJ95" i="12"/>
  <c r="BH94" i="12"/>
  <c r="BL92" i="12"/>
  <c r="BJ91" i="12"/>
  <c r="BH90" i="12"/>
  <c r="BL88" i="12"/>
  <c r="BJ87" i="12"/>
  <c r="BH86" i="12"/>
  <c r="BL84" i="12"/>
  <c r="BI107" i="12"/>
  <c r="BG106" i="12"/>
  <c r="BK104" i="12"/>
  <c r="BI103" i="12"/>
  <c r="BG102" i="12"/>
  <c r="BK100" i="12"/>
  <c r="BI99" i="12"/>
  <c r="BG98" i="12"/>
  <c r="BK96" i="12"/>
  <c r="BI95" i="12"/>
  <c r="BG94" i="12"/>
  <c r="BK92" i="12"/>
  <c r="BI91" i="12"/>
  <c r="BG90" i="12"/>
  <c r="BK88" i="12"/>
  <c r="BI87" i="12"/>
  <c r="BG86" i="12"/>
  <c r="BK84" i="12"/>
  <c r="BH107" i="12"/>
  <c r="BL105" i="12"/>
  <c r="BJ104" i="12"/>
  <c r="BH103" i="12"/>
  <c r="BL101" i="12"/>
  <c r="BJ100" i="12"/>
  <c r="BH99" i="12"/>
  <c r="BL97" i="12"/>
  <c r="BJ96" i="12"/>
  <c r="BH95" i="12"/>
  <c r="BL93" i="12"/>
  <c r="BJ92" i="12"/>
  <c r="BH91" i="12"/>
  <c r="BL89" i="12"/>
  <c r="BJ88" i="12"/>
  <c r="BH87" i="12"/>
  <c r="BL85" i="12"/>
  <c r="BJ84" i="12"/>
  <c r="BG107" i="12"/>
  <c r="BK105" i="12"/>
  <c r="BI104" i="12"/>
  <c r="BG103" i="12"/>
  <c r="BK101" i="12"/>
  <c r="BI100" i="12"/>
  <c r="BG99" i="12"/>
  <c r="BK97" i="12"/>
  <c r="BI96" i="12"/>
  <c r="BG95" i="12"/>
  <c r="BK93" i="12"/>
  <c r="BI92" i="12"/>
  <c r="BG91" i="12"/>
  <c r="BK89" i="12"/>
  <c r="BI88" i="12"/>
  <c r="BG87" i="12"/>
  <c r="BK85" i="12"/>
  <c r="BI84" i="12"/>
  <c r="BL107" i="12"/>
  <c r="BJ106" i="12"/>
  <c r="BH105" i="12"/>
  <c r="BL103" i="12"/>
  <c r="BJ102" i="12"/>
  <c r="BH101" i="12"/>
  <c r="BL99" i="12"/>
  <c r="BJ98" i="12"/>
  <c r="BH97" i="12"/>
  <c r="BL95" i="12"/>
  <c r="BJ94" i="12"/>
  <c r="BH93" i="12"/>
  <c r="BL91" i="12"/>
  <c r="BJ90" i="12"/>
  <c r="BH89" i="12"/>
  <c r="BL87" i="12"/>
  <c r="BJ86" i="12"/>
  <c r="BH85" i="12"/>
  <c r="BG105" i="12"/>
  <c r="BI101" i="12"/>
  <c r="BJ97" i="12"/>
  <c r="BI94" i="12"/>
  <c r="BK90" i="12"/>
  <c r="BL86" i="12"/>
  <c r="BH104" i="12"/>
  <c r="BG101" i="12"/>
  <c r="BI97" i="12"/>
  <c r="BJ93" i="12"/>
  <c r="BI90" i="12"/>
  <c r="BK86" i="12"/>
  <c r="BK107" i="12"/>
  <c r="BG104" i="12"/>
  <c r="BH100" i="12"/>
  <c r="BG97" i="12"/>
  <c r="BI93" i="12"/>
  <c r="BJ89" i="12"/>
  <c r="BI86" i="12"/>
  <c r="BI106" i="12"/>
  <c r="BK102" i="12"/>
  <c r="BL98" i="12"/>
  <c r="BK95" i="12"/>
  <c r="BG92" i="12"/>
  <c r="BH88" i="12"/>
  <c r="BG85" i="12"/>
  <c r="BL106" i="12"/>
  <c r="BK103" i="12"/>
  <c r="BG100" i="12"/>
  <c r="BH96" i="12"/>
  <c r="BG93" i="12"/>
  <c r="BI89" i="12"/>
  <c r="BJ85" i="12"/>
  <c r="BK106" i="12"/>
  <c r="BL102" i="12"/>
  <c r="BK99" i="12"/>
  <c r="BG96" i="12"/>
  <c r="BH92" i="12"/>
  <c r="BG89" i="12"/>
  <c r="BI85" i="12"/>
  <c r="BJ105" i="12"/>
  <c r="BI102" i="12"/>
  <c r="BK98" i="12"/>
  <c r="BL94" i="12"/>
  <c r="BK91" i="12"/>
  <c r="BG88" i="12"/>
  <c r="BH84" i="12"/>
  <c r="BI105" i="12"/>
  <c r="BJ101" i="12"/>
  <c r="BI98" i="12"/>
  <c r="BK94" i="12"/>
  <c r="BL90" i="12"/>
  <c r="BK87" i="12"/>
  <c r="BG84" i="12"/>
  <c r="AM24" i="12"/>
  <c r="AT8" i="12"/>
  <c r="Y100" i="11"/>
  <c r="X100" i="11"/>
  <c r="T107" i="11"/>
  <c r="T108" i="11" s="1"/>
  <c r="T97" i="11"/>
  <c r="T99" i="11" s="1"/>
  <c r="Y252" i="16" l="1"/>
  <c r="Z246" i="16"/>
  <c r="Y252" i="15"/>
  <c r="Z246" i="15"/>
  <c r="Q246" i="13"/>
  <c r="P252" i="13"/>
  <c r="AH108" i="12"/>
  <c r="AT9" i="12"/>
  <c r="AH99" i="12"/>
  <c r="B100" i="12"/>
  <c r="AI99" i="12"/>
  <c r="G246" i="12"/>
  <c r="F252" i="12"/>
  <c r="F118" i="12"/>
  <c r="K6" i="12"/>
  <c r="AI108" i="12"/>
  <c r="T100" i="11"/>
  <c r="S58" i="11"/>
  <c r="S62" i="11"/>
  <c r="S76" i="11"/>
  <c r="S80" i="11"/>
  <c r="S92" i="11"/>
  <c r="S101" i="11"/>
  <c r="S102" i="11"/>
  <c r="S103" i="11"/>
  <c r="S104" i="11"/>
  <c r="S105" i="11"/>
  <c r="S118" i="11"/>
  <c r="Z252" i="16" l="1"/>
  <c r="AA246" i="16"/>
  <c r="Z252" i="15"/>
  <c r="AA246" i="15"/>
  <c r="Q252" i="13"/>
  <c r="Q118" i="13"/>
  <c r="R246" i="13"/>
  <c r="H246" i="12"/>
  <c r="G252" i="12"/>
  <c r="G118" i="12"/>
  <c r="AI100" i="12"/>
  <c r="AH100" i="12"/>
  <c r="B7" i="12"/>
  <c r="A7" i="12" s="1"/>
  <c r="S107" i="11"/>
  <c r="S97" i="11"/>
  <c r="S99" i="11" s="1"/>
  <c r="S100" i="11" s="1"/>
  <c r="S108" i="11"/>
  <c r="R57" i="11"/>
  <c r="R58" i="11"/>
  <c r="R62" i="11"/>
  <c r="Q57" i="11"/>
  <c r="Q58" i="11"/>
  <c r="Q62" i="11"/>
  <c r="P57" i="11"/>
  <c r="AA252" i="16" l="1"/>
  <c r="AB246" i="16"/>
  <c r="AA252" i="15"/>
  <c r="AA118" i="15"/>
  <c r="AB246" i="15"/>
  <c r="R252" i="13"/>
  <c r="R118" i="13"/>
  <c r="S246" i="13"/>
  <c r="I246" i="12"/>
  <c r="H252" i="12"/>
  <c r="H118" i="12"/>
  <c r="AB252" i="16" l="1"/>
  <c r="AB118" i="16"/>
  <c r="AC246" i="16"/>
  <c r="AB252" i="15"/>
  <c r="AB118" i="15"/>
  <c r="AC246" i="15"/>
  <c r="S252" i="13"/>
  <c r="S118" i="13"/>
  <c r="T246" i="13"/>
  <c r="I252" i="12"/>
  <c r="I118" i="12"/>
  <c r="J246" i="12"/>
  <c r="AC118" i="16" l="1"/>
  <c r="AD246" i="16"/>
  <c r="AC252" i="16"/>
  <c r="AD246" i="15"/>
  <c r="AC252" i="15"/>
  <c r="T252" i="13"/>
  <c r="T118" i="13"/>
  <c r="U246" i="13"/>
  <c r="J252" i="12"/>
  <c r="J118" i="12"/>
  <c r="K246" i="12"/>
  <c r="AE246" i="16" l="1"/>
  <c r="AD252" i="16"/>
  <c r="AD118" i="16"/>
  <c r="AE246" i="15"/>
  <c r="AD252" i="15"/>
  <c r="U118" i="13"/>
  <c r="V246" i="13"/>
  <c r="U252" i="13"/>
  <c r="K252" i="12"/>
  <c r="K118" i="12"/>
  <c r="L246" i="12"/>
  <c r="AF246" i="16" l="1"/>
  <c r="AE252" i="16"/>
  <c r="AE118" i="16"/>
  <c r="AF246" i="15"/>
  <c r="AE118" i="15"/>
  <c r="AE252" i="15"/>
  <c r="W246" i="13"/>
  <c r="V252" i="13"/>
  <c r="V118" i="13"/>
  <c r="L252" i="12"/>
  <c r="L118" i="12"/>
  <c r="M246" i="12"/>
  <c r="AF252" i="16" l="1"/>
  <c r="AF118" i="16"/>
  <c r="B246" i="16"/>
  <c r="AF252" i="15"/>
  <c r="B246" i="15"/>
  <c r="AF118" i="15"/>
  <c r="X246" i="13"/>
  <c r="W252" i="13"/>
  <c r="W118" i="13"/>
  <c r="N246" i="12"/>
  <c r="M252" i="12"/>
  <c r="M118" i="12"/>
  <c r="B252" i="16" l="1"/>
  <c r="B252" i="15"/>
  <c r="Y246" i="13"/>
  <c r="X252" i="13"/>
  <c r="X118" i="13"/>
  <c r="O246" i="12"/>
  <c r="N252" i="12"/>
  <c r="N118" i="12"/>
  <c r="AI118" i="16" l="1"/>
  <c r="AH118" i="16"/>
  <c r="AI118" i="15"/>
  <c r="AH118" i="15"/>
  <c r="Y252" i="13"/>
  <c r="Z246" i="13"/>
  <c r="P246" i="12"/>
  <c r="O252" i="12"/>
  <c r="O118" i="12"/>
  <c r="Z252" i="13" l="1"/>
  <c r="AA246" i="13"/>
  <c r="Q246" i="12"/>
  <c r="P252" i="12"/>
  <c r="AA252" i="13" l="1"/>
  <c r="AA118" i="13"/>
  <c r="AB246" i="13"/>
  <c r="Q252" i="12"/>
  <c r="R246" i="12"/>
  <c r="Q118" i="12"/>
  <c r="AB252" i="13" l="1"/>
  <c r="AB118" i="13"/>
  <c r="AC246" i="13"/>
  <c r="R252" i="12"/>
  <c r="R118" i="12"/>
  <c r="S246" i="12"/>
  <c r="AC118" i="13" l="1"/>
  <c r="AD246" i="13"/>
  <c r="AC252" i="13"/>
  <c r="S252" i="12"/>
  <c r="T246" i="12"/>
  <c r="AE246" i="13" l="1"/>
  <c r="AD252" i="13"/>
  <c r="AD118" i="13"/>
  <c r="T252" i="12"/>
  <c r="T118" i="12"/>
  <c r="U246" i="12"/>
  <c r="AF246" i="13" l="1"/>
  <c r="AE252" i="13"/>
  <c r="AE118" i="13"/>
  <c r="U118" i="12"/>
  <c r="V246" i="12"/>
  <c r="U252" i="12"/>
  <c r="AF252" i="13" l="1"/>
  <c r="AF118" i="13"/>
  <c r="B246" i="13"/>
  <c r="W246" i="12"/>
  <c r="V252" i="12"/>
  <c r="B252" i="13" l="1"/>
  <c r="X246" i="12"/>
  <c r="W252" i="12"/>
  <c r="AI118" i="13" l="1"/>
  <c r="AH118" i="13"/>
  <c r="Y246" i="12"/>
  <c r="X118" i="12"/>
  <c r="X252" i="12"/>
  <c r="Y252" i="12" l="1"/>
  <c r="Z246" i="12"/>
  <c r="Z252" i="12" l="1"/>
  <c r="AA246" i="12"/>
  <c r="AA252" i="12" l="1"/>
  <c r="AA118" i="12"/>
  <c r="AB246" i="12"/>
  <c r="AB252" i="12" l="1"/>
  <c r="AC246" i="12"/>
  <c r="AD246" i="12" l="1"/>
  <c r="AC252" i="12"/>
  <c r="AE246" i="12" l="1"/>
  <c r="AD252" i="12"/>
  <c r="AF246" i="12" l="1"/>
  <c r="AE252" i="12"/>
  <c r="B246" i="12" l="1"/>
  <c r="AF252" i="12"/>
  <c r="B252" i="12" l="1"/>
  <c r="B118" i="12"/>
  <c r="AI118" i="12" l="1"/>
  <c r="AH118" i="12"/>
  <c r="O82" i="11" l="1"/>
  <c r="O57" i="11"/>
  <c r="N57" i="11"/>
  <c r="M121" i="11"/>
  <c r="M57" i="11"/>
  <c r="M58" i="11"/>
  <c r="M62" i="11"/>
  <c r="M76" i="11"/>
  <c r="M80" i="11"/>
  <c r="L57" i="11"/>
  <c r="K57" i="11"/>
  <c r="J57" i="11"/>
  <c r="I57" i="11"/>
  <c r="H57" i="11"/>
  <c r="G57" i="11"/>
  <c r="F57" i="11"/>
  <c r="AH125" i="11" l="1"/>
  <c r="AI125" i="11"/>
  <c r="AH124" i="11"/>
  <c r="AI124" i="11"/>
  <c r="D58" i="11"/>
  <c r="D62" i="11"/>
  <c r="D76" i="11"/>
  <c r="D80" i="11"/>
  <c r="D92" i="11"/>
  <c r="AO19" i="11" s="1"/>
  <c r="D101" i="11"/>
  <c r="D102" i="11"/>
  <c r="D103" i="11"/>
  <c r="D104" i="11"/>
  <c r="D105" i="11"/>
  <c r="D118" i="11"/>
  <c r="C58" i="11"/>
  <c r="C62" i="11"/>
  <c r="C76" i="11"/>
  <c r="C80" i="11"/>
  <c r="C92" i="11"/>
  <c r="C108" i="11" s="1"/>
  <c r="C101" i="11"/>
  <c r="C102" i="11"/>
  <c r="C103" i="11"/>
  <c r="C104" i="11"/>
  <c r="C105" i="11"/>
  <c r="C118" i="11"/>
  <c r="B118" i="11"/>
  <c r="B105" i="11"/>
  <c r="B104" i="11"/>
  <c r="B103" i="11"/>
  <c r="B102" i="11"/>
  <c r="B101" i="11"/>
  <c r="B92" i="11"/>
  <c r="B108" i="11" s="1"/>
  <c r="B80" i="11"/>
  <c r="B76" i="11"/>
  <c r="B62" i="11"/>
  <c r="B58" i="11"/>
  <c r="AG252" i="11"/>
  <c r="C252" i="11"/>
  <c r="L251" i="11"/>
  <c r="M251" i="11" s="1"/>
  <c r="N251" i="11" s="1"/>
  <c r="O251" i="11" s="1"/>
  <c r="P251" i="11" s="1"/>
  <c r="Q251" i="11" s="1"/>
  <c r="R251" i="11" s="1"/>
  <c r="S251" i="11" s="1"/>
  <c r="T251" i="11" s="1"/>
  <c r="U251" i="11" s="1"/>
  <c r="V251" i="11" s="1"/>
  <c r="W251" i="11" s="1"/>
  <c r="X251" i="11" s="1"/>
  <c r="Y251" i="11" s="1"/>
  <c r="Z251" i="11" s="1"/>
  <c r="AA251" i="11" s="1"/>
  <c r="AB251" i="11" s="1"/>
  <c r="AC251" i="11" s="1"/>
  <c r="AD251" i="11" s="1"/>
  <c r="AE251" i="11" s="1"/>
  <c r="AF251" i="11" s="1"/>
  <c r="B251" i="11" s="1"/>
  <c r="D251" i="11"/>
  <c r="E251" i="11" s="1"/>
  <c r="F251" i="11" s="1"/>
  <c r="G251" i="11" s="1"/>
  <c r="H251" i="11" s="1"/>
  <c r="I251" i="11" s="1"/>
  <c r="J251" i="11" s="1"/>
  <c r="K251" i="11" s="1"/>
  <c r="R250" i="11"/>
  <c r="S250" i="11" s="1"/>
  <c r="T250" i="11" s="1"/>
  <c r="U250" i="11" s="1"/>
  <c r="V250" i="11" s="1"/>
  <c r="W250" i="11" s="1"/>
  <c r="X250" i="11" s="1"/>
  <c r="Y250" i="11" s="1"/>
  <c r="Z250" i="11" s="1"/>
  <c r="AA250" i="11" s="1"/>
  <c r="AB250" i="11" s="1"/>
  <c r="AC250" i="11" s="1"/>
  <c r="AD250" i="11" s="1"/>
  <c r="AE250" i="11" s="1"/>
  <c r="AF250" i="11" s="1"/>
  <c r="B250" i="11" s="1"/>
  <c r="J250" i="11"/>
  <c r="K250" i="11" s="1"/>
  <c r="L250" i="11" s="1"/>
  <c r="M250" i="11" s="1"/>
  <c r="N250" i="11" s="1"/>
  <c r="O250" i="11" s="1"/>
  <c r="P250" i="11" s="1"/>
  <c r="Q250" i="11" s="1"/>
  <c r="D250" i="11"/>
  <c r="E250" i="11" s="1"/>
  <c r="F250" i="11" s="1"/>
  <c r="G250" i="11" s="1"/>
  <c r="H250" i="11" s="1"/>
  <c r="I250" i="11" s="1"/>
  <c r="P249" i="11"/>
  <c r="Q249" i="11" s="1"/>
  <c r="R249" i="11" s="1"/>
  <c r="S249" i="11" s="1"/>
  <c r="T249" i="11" s="1"/>
  <c r="U249" i="11" s="1"/>
  <c r="V249" i="11" s="1"/>
  <c r="W249" i="11" s="1"/>
  <c r="X249" i="11" s="1"/>
  <c r="Y249" i="11" s="1"/>
  <c r="Z249" i="11" s="1"/>
  <c r="AA249" i="11" s="1"/>
  <c r="AB249" i="11" s="1"/>
  <c r="AC249" i="11" s="1"/>
  <c r="AD249" i="11" s="1"/>
  <c r="AE249" i="11" s="1"/>
  <c r="AF249" i="11" s="1"/>
  <c r="B249" i="11" s="1"/>
  <c r="H249" i="11"/>
  <c r="I249" i="11" s="1"/>
  <c r="J249" i="11" s="1"/>
  <c r="K249" i="11" s="1"/>
  <c r="L249" i="11" s="1"/>
  <c r="M249" i="11" s="1"/>
  <c r="N249" i="11" s="1"/>
  <c r="O249" i="11" s="1"/>
  <c r="E249" i="11"/>
  <c r="F249" i="11" s="1"/>
  <c r="G249" i="11" s="1"/>
  <c r="D249" i="11"/>
  <c r="N248" i="11"/>
  <c r="O248" i="11" s="1"/>
  <c r="P248" i="11" s="1"/>
  <c r="Q248" i="11" s="1"/>
  <c r="R248" i="11" s="1"/>
  <c r="S248" i="11" s="1"/>
  <c r="T248" i="11" s="1"/>
  <c r="U248" i="11" s="1"/>
  <c r="V248" i="11" s="1"/>
  <c r="W248" i="11" s="1"/>
  <c r="X248" i="11" s="1"/>
  <c r="Y248" i="11" s="1"/>
  <c r="Z248" i="11" s="1"/>
  <c r="AA248" i="11" s="1"/>
  <c r="AB248" i="11" s="1"/>
  <c r="AC248" i="11" s="1"/>
  <c r="AD248" i="11" s="1"/>
  <c r="AE248" i="11" s="1"/>
  <c r="AF248" i="11" s="1"/>
  <c r="B248" i="11" s="1"/>
  <c r="D248" i="11"/>
  <c r="E248" i="11" s="1"/>
  <c r="F248" i="11" s="1"/>
  <c r="G248" i="11" s="1"/>
  <c r="H248" i="11" s="1"/>
  <c r="I248" i="11" s="1"/>
  <c r="J248" i="11" s="1"/>
  <c r="K248" i="11" s="1"/>
  <c r="L248" i="11" s="1"/>
  <c r="M248" i="11" s="1"/>
  <c r="N247" i="11"/>
  <c r="O247" i="11" s="1"/>
  <c r="P247" i="11" s="1"/>
  <c r="Q247" i="11" s="1"/>
  <c r="R247" i="11" s="1"/>
  <c r="S247" i="11" s="1"/>
  <c r="T247" i="11" s="1"/>
  <c r="U247" i="11" s="1"/>
  <c r="V247" i="11" s="1"/>
  <c r="W247" i="11" s="1"/>
  <c r="X247" i="11" s="1"/>
  <c r="Y247" i="11" s="1"/>
  <c r="Z247" i="11" s="1"/>
  <c r="AA247" i="11" s="1"/>
  <c r="AB247" i="11" s="1"/>
  <c r="AC247" i="11" s="1"/>
  <c r="AD247" i="11" s="1"/>
  <c r="AE247" i="11" s="1"/>
  <c r="AF247" i="11" s="1"/>
  <c r="B247" i="11" s="1"/>
  <c r="D247" i="11"/>
  <c r="E247" i="11" s="1"/>
  <c r="F247" i="11" s="1"/>
  <c r="G247" i="11" s="1"/>
  <c r="H247" i="11" s="1"/>
  <c r="I247" i="11" s="1"/>
  <c r="J247" i="11" s="1"/>
  <c r="K247" i="11" s="1"/>
  <c r="L247" i="11" s="1"/>
  <c r="M247" i="11" s="1"/>
  <c r="D246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I130" i="11"/>
  <c r="AH130" i="11"/>
  <c r="AI129" i="11"/>
  <c r="AH129" i="11"/>
  <c r="AI128" i="11"/>
  <c r="AH128" i="11"/>
  <c r="AI127" i="11"/>
  <c r="AH127" i="11"/>
  <c r="AI126" i="11"/>
  <c r="AH126" i="11"/>
  <c r="AI123" i="11"/>
  <c r="AH123" i="11"/>
  <c r="AI122" i="11"/>
  <c r="AH122" i="11"/>
  <c r="AI121" i="11"/>
  <c r="AH121" i="11"/>
  <c r="AI120" i="11"/>
  <c r="AH120" i="11"/>
  <c r="AI119" i="11"/>
  <c r="AH119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I110" i="11"/>
  <c r="AH110" i="11"/>
  <c r="AI109" i="11"/>
  <c r="AH109" i="11"/>
  <c r="AI106" i="11"/>
  <c r="AH106" i="11"/>
  <c r="AF105" i="11"/>
  <c r="AE105" i="11"/>
  <c r="AD105" i="11"/>
  <c r="AC105" i="11"/>
  <c r="AB105" i="11"/>
  <c r="W105" i="11"/>
  <c r="U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AF104" i="11"/>
  <c r="AE104" i="11"/>
  <c r="AD104" i="11"/>
  <c r="AC104" i="11"/>
  <c r="AB104" i="11"/>
  <c r="W104" i="11"/>
  <c r="U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AF103" i="11"/>
  <c r="AE103" i="11"/>
  <c r="AD103" i="11"/>
  <c r="AC103" i="11"/>
  <c r="AB103" i="11"/>
  <c r="W103" i="11"/>
  <c r="U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F102" i="11"/>
  <c r="AE102" i="11"/>
  <c r="AD102" i="11"/>
  <c r="AC102" i="11"/>
  <c r="AB102" i="11"/>
  <c r="W102" i="11"/>
  <c r="U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AF101" i="11"/>
  <c r="AE101" i="11"/>
  <c r="AD101" i="11"/>
  <c r="AC101" i="11"/>
  <c r="AB101" i="11"/>
  <c r="BE23" i="11"/>
  <c r="W101" i="11"/>
  <c r="U101" i="11"/>
  <c r="R101" i="11"/>
  <c r="Q101" i="11"/>
  <c r="P101" i="11"/>
  <c r="P107" i="11" s="1"/>
  <c r="P108" i="11" s="1"/>
  <c r="O101" i="11"/>
  <c r="N101" i="11"/>
  <c r="M101" i="11"/>
  <c r="L101" i="11"/>
  <c r="K101" i="11"/>
  <c r="J101" i="11"/>
  <c r="I101" i="11"/>
  <c r="H101" i="11"/>
  <c r="G101" i="11"/>
  <c r="F101" i="11"/>
  <c r="E101" i="11"/>
  <c r="AG99" i="11"/>
  <c r="AI98" i="11"/>
  <c r="AH98" i="11"/>
  <c r="AI96" i="11"/>
  <c r="AH96" i="11"/>
  <c r="AG96" i="11"/>
  <c r="AI95" i="11"/>
  <c r="AH95" i="11"/>
  <c r="AI94" i="11"/>
  <c r="AH94" i="11"/>
  <c r="AI93" i="11"/>
  <c r="AH93" i="11"/>
  <c r="AG92" i="11"/>
  <c r="AF92" i="11"/>
  <c r="AE92" i="11"/>
  <c r="BI19" i="11" s="1"/>
  <c r="AD92" i="11"/>
  <c r="BH19" i="11" s="1"/>
  <c r="AC92" i="11"/>
  <c r="AB5" i="11" s="1"/>
  <c r="AB92" i="11"/>
  <c r="BG19" i="11" s="1"/>
  <c r="BE19" i="11"/>
  <c r="W92" i="11"/>
  <c r="U92" i="11"/>
  <c r="R92" i="11"/>
  <c r="AZ19" i="11" s="1"/>
  <c r="Q92" i="11"/>
  <c r="AY19" i="11" s="1"/>
  <c r="P92" i="11"/>
  <c r="O5" i="11" s="1"/>
  <c r="O92" i="11"/>
  <c r="N5" i="11" s="1"/>
  <c r="N92" i="11"/>
  <c r="M92" i="11"/>
  <c r="L92" i="11"/>
  <c r="K5" i="11" s="1"/>
  <c r="K92" i="11"/>
  <c r="J5" i="11" s="1"/>
  <c r="J92" i="11"/>
  <c r="I5" i="11" s="1"/>
  <c r="I92" i="11"/>
  <c r="AS19" i="11" s="1"/>
  <c r="H92" i="11"/>
  <c r="G92" i="11"/>
  <c r="AR19" i="11" s="1"/>
  <c r="F92" i="11"/>
  <c r="AQ19" i="11" s="1"/>
  <c r="E92" i="11"/>
  <c r="AP19" i="11" s="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I81" i="11"/>
  <c r="AH81" i="11"/>
  <c r="BT80" i="11"/>
  <c r="BE80" i="11"/>
  <c r="BD80" i="11"/>
  <c r="AG80" i="11"/>
  <c r="AF80" i="11"/>
  <c r="AE80" i="11"/>
  <c r="BI20" i="11" s="1"/>
  <c r="BH20" i="11"/>
  <c r="AC80" i="11"/>
  <c r="AB80" i="11"/>
  <c r="W80" i="11"/>
  <c r="U80" i="11"/>
  <c r="BC20" i="11" s="1"/>
  <c r="BA20" i="11"/>
  <c r="R80" i="11"/>
  <c r="Q80" i="11"/>
  <c r="P80" i="11"/>
  <c r="AX20" i="11" s="1"/>
  <c r="O80" i="11"/>
  <c r="AW20" i="11" s="1"/>
  <c r="N80" i="11"/>
  <c r="AU20" i="11"/>
  <c r="L80" i="11"/>
  <c r="K80" i="11"/>
  <c r="AT20" i="11" s="1"/>
  <c r="J80" i="11"/>
  <c r="I80" i="11"/>
  <c r="AS20" i="11" s="1"/>
  <c r="H80" i="11"/>
  <c r="G80" i="11"/>
  <c r="AR20" i="11" s="1"/>
  <c r="F80" i="11"/>
  <c r="E80" i="11"/>
  <c r="AN20" i="11"/>
  <c r="BV79" i="11"/>
  <c r="BU79" i="11"/>
  <c r="AI79" i="11"/>
  <c r="AH79" i="11"/>
  <c r="BU78" i="11"/>
  <c r="BO78" i="11"/>
  <c r="BH78" i="11"/>
  <c r="AI78" i="11"/>
  <c r="AH78" i="11"/>
  <c r="BJ77" i="11"/>
  <c r="AI77" i="11"/>
  <c r="AH77" i="11"/>
  <c r="BT76" i="11"/>
  <c r="BO76" i="11"/>
  <c r="BD76" i="11"/>
  <c r="BC76" i="11"/>
  <c r="AF76" i="11"/>
  <c r="AE76" i="11"/>
  <c r="BI18" i="11" s="1"/>
  <c r="AD76" i="11"/>
  <c r="BH18" i="11" s="1"/>
  <c r="AC76" i="11"/>
  <c r="AB76" i="11"/>
  <c r="BG18" i="11" s="1"/>
  <c r="BE18" i="11"/>
  <c r="W76" i="11"/>
  <c r="U76" i="11"/>
  <c r="BC18" i="11" s="1"/>
  <c r="R76" i="11"/>
  <c r="Q76" i="11"/>
  <c r="P76" i="11"/>
  <c r="AX18" i="11" s="1"/>
  <c r="O76" i="11"/>
  <c r="AW18" i="11" s="1"/>
  <c r="N76" i="11"/>
  <c r="L76" i="11"/>
  <c r="K76" i="11"/>
  <c r="AT18" i="11" s="1"/>
  <c r="J76" i="11"/>
  <c r="I76" i="11"/>
  <c r="H76" i="11"/>
  <c r="G76" i="11"/>
  <c r="AR18" i="11" s="1"/>
  <c r="F76" i="11"/>
  <c r="AQ18" i="11" s="1"/>
  <c r="E76" i="11"/>
  <c r="AP18" i="11" s="1"/>
  <c r="AO18" i="11"/>
  <c r="BR75" i="11"/>
  <c r="BH75" i="11"/>
  <c r="AI75" i="11"/>
  <c r="AH75" i="11"/>
  <c r="AG75" i="11"/>
  <c r="AG76" i="11" s="1"/>
  <c r="AG3" i="11" s="1"/>
  <c r="AG6" i="11" s="1"/>
  <c r="AI74" i="11"/>
  <c r="AH74" i="11"/>
  <c r="BW73" i="11"/>
  <c r="BW80" i="11" s="1"/>
  <c r="BV73" i="11"/>
  <c r="BV80" i="11" s="1"/>
  <c r="BU73" i="11"/>
  <c r="BU80" i="11" s="1"/>
  <c r="BT73" i="11"/>
  <c r="BS73" i="11"/>
  <c r="BS80" i="11" s="1"/>
  <c r="BR73" i="11"/>
  <c r="BR80" i="11" s="1"/>
  <c r="BQ73" i="11"/>
  <c r="BQ80" i="11" s="1"/>
  <c r="BP73" i="11"/>
  <c r="BP80" i="11" s="1"/>
  <c r="BO73" i="11"/>
  <c r="BO80" i="11" s="1"/>
  <c r="BN73" i="11"/>
  <c r="BN80" i="11" s="1"/>
  <c r="BM73" i="11"/>
  <c r="BM80" i="11" s="1"/>
  <c r="BL73" i="11"/>
  <c r="BL80" i="11" s="1"/>
  <c r="BK73" i="11"/>
  <c r="BK80" i="11" s="1"/>
  <c r="BJ73" i="11"/>
  <c r="BJ80" i="11" s="1"/>
  <c r="BI73" i="11"/>
  <c r="BI80" i="11" s="1"/>
  <c r="BH73" i="11"/>
  <c r="BH80" i="11" s="1"/>
  <c r="BG73" i="11"/>
  <c r="BG80" i="11" s="1"/>
  <c r="BF73" i="11"/>
  <c r="BF80" i="11" s="1"/>
  <c r="BE73" i="11"/>
  <c r="BD73" i="11"/>
  <c r="BC73" i="11"/>
  <c r="BC80" i="11" s="1"/>
  <c r="BB73" i="11"/>
  <c r="BB80" i="11" s="1"/>
  <c r="BA73" i="11"/>
  <c r="BA80" i="11" s="1"/>
  <c r="AZ73" i="11"/>
  <c r="AZ80" i="11" s="1"/>
  <c r="AI73" i="11"/>
  <c r="AH73" i="11"/>
  <c r="BW72" i="11"/>
  <c r="BW79" i="11" s="1"/>
  <c r="BV72" i="11"/>
  <c r="BU72" i="11"/>
  <c r="BT72" i="11"/>
  <c r="BT79" i="11" s="1"/>
  <c r="BS72" i="11"/>
  <c r="BS79" i="11" s="1"/>
  <c r="BR72" i="11"/>
  <c r="BR79" i="11" s="1"/>
  <c r="BQ72" i="11"/>
  <c r="BQ79" i="11" s="1"/>
  <c r="BP72" i="11"/>
  <c r="BP79" i="11" s="1"/>
  <c r="BO72" i="11"/>
  <c r="BO79" i="11" s="1"/>
  <c r="BN72" i="11"/>
  <c r="BN79" i="11" s="1"/>
  <c r="BM72" i="11"/>
  <c r="BM79" i="11" s="1"/>
  <c r="BL72" i="11"/>
  <c r="BL79" i="11" s="1"/>
  <c r="BK72" i="11"/>
  <c r="BK79" i="11" s="1"/>
  <c r="BJ72" i="11"/>
  <c r="BJ79" i="11" s="1"/>
  <c r="BI72" i="11"/>
  <c r="BI79" i="11" s="1"/>
  <c r="BH72" i="11"/>
  <c r="BH79" i="11" s="1"/>
  <c r="BG72" i="11"/>
  <c r="BG79" i="11" s="1"/>
  <c r="BF72" i="11"/>
  <c r="BF79" i="11" s="1"/>
  <c r="BE72" i="11"/>
  <c r="BE79" i="11" s="1"/>
  <c r="BD72" i="11"/>
  <c r="BD79" i="11" s="1"/>
  <c r="BC72" i="11"/>
  <c r="BC79" i="11" s="1"/>
  <c r="BB72" i="11"/>
  <c r="BB79" i="11" s="1"/>
  <c r="BA72" i="11"/>
  <c r="BA79" i="11" s="1"/>
  <c r="AZ72" i="11"/>
  <c r="AZ79" i="11" s="1"/>
  <c r="AI72" i="11"/>
  <c r="AH72" i="11"/>
  <c r="BW71" i="11"/>
  <c r="BW78" i="11" s="1"/>
  <c r="BV71" i="11"/>
  <c r="BV78" i="11" s="1"/>
  <c r="BU71" i="11"/>
  <c r="BT71" i="11"/>
  <c r="BT78" i="11" s="1"/>
  <c r="BS71" i="11"/>
  <c r="BS78" i="11" s="1"/>
  <c r="BR71" i="11"/>
  <c r="BR78" i="11" s="1"/>
  <c r="BQ71" i="11"/>
  <c r="BQ78" i="11" s="1"/>
  <c r="BP71" i="11"/>
  <c r="BP78" i="11" s="1"/>
  <c r="BO71" i="11"/>
  <c r="BN71" i="11"/>
  <c r="BN78" i="11" s="1"/>
  <c r="BM71" i="11"/>
  <c r="BM78" i="11" s="1"/>
  <c r="BL71" i="11"/>
  <c r="BL78" i="11" s="1"/>
  <c r="BK71" i="11"/>
  <c r="BK78" i="11" s="1"/>
  <c r="BJ71" i="11"/>
  <c r="BJ78" i="11" s="1"/>
  <c r="BI71" i="11"/>
  <c r="BI78" i="11" s="1"/>
  <c r="BH71" i="11"/>
  <c r="BG71" i="11"/>
  <c r="BG78" i="11" s="1"/>
  <c r="BF71" i="11"/>
  <c r="BF78" i="11" s="1"/>
  <c r="BE71" i="11"/>
  <c r="BE78" i="11" s="1"/>
  <c r="BD71" i="11"/>
  <c r="BD78" i="11" s="1"/>
  <c r="BC71" i="11"/>
  <c r="BC78" i="11" s="1"/>
  <c r="BB71" i="11"/>
  <c r="BB78" i="11" s="1"/>
  <c r="BA71" i="11"/>
  <c r="BA78" i="11" s="1"/>
  <c r="AZ71" i="11"/>
  <c r="AZ78" i="11" s="1"/>
  <c r="AI71" i="11"/>
  <c r="AH71" i="11"/>
  <c r="BW70" i="11"/>
  <c r="BW77" i="11" s="1"/>
  <c r="BV70" i="11"/>
  <c r="BV77" i="11" s="1"/>
  <c r="BU70" i="11"/>
  <c r="BU77" i="11" s="1"/>
  <c r="BT70" i="11"/>
  <c r="BT77" i="11" s="1"/>
  <c r="BS70" i="11"/>
  <c r="BS77" i="11" s="1"/>
  <c r="BR70" i="11"/>
  <c r="BR77" i="11" s="1"/>
  <c r="BQ70" i="11"/>
  <c r="BQ77" i="11" s="1"/>
  <c r="BP70" i="11"/>
  <c r="BP77" i="11" s="1"/>
  <c r="BO70" i="11"/>
  <c r="BO77" i="11" s="1"/>
  <c r="BN70" i="11"/>
  <c r="BN77" i="11" s="1"/>
  <c r="BM70" i="11"/>
  <c r="BM77" i="11" s="1"/>
  <c r="BL70" i="11"/>
  <c r="BL77" i="11" s="1"/>
  <c r="BK70" i="11"/>
  <c r="BK77" i="11" s="1"/>
  <c r="BJ70" i="11"/>
  <c r="BI70" i="11"/>
  <c r="BI77" i="11" s="1"/>
  <c r="BH70" i="11"/>
  <c r="BH77" i="11" s="1"/>
  <c r="BG70" i="11"/>
  <c r="BG77" i="11" s="1"/>
  <c r="BF70" i="11"/>
  <c r="BF77" i="11" s="1"/>
  <c r="BE70" i="11"/>
  <c r="BE77" i="11" s="1"/>
  <c r="BD70" i="11"/>
  <c r="BD77" i="11" s="1"/>
  <c r="BC70" i="11"/>
  <c r="BC77" i="11" s="1"/>
  <c r="BB70" i="11"/>
  <c r="BB77" i="11" s="1"/>
  <c r="BA70" i="11"/>
  <c r="BA77" i="11" s="1"/>
  <c r="AZ70" i="11"/>
  <c r="AZ77" i="11" s="1"/>
  <c r="AI70" i="11"/>
  <c r="AH70" i="11"/>
  <c r="BW69" i="11"/>
  <c r="BW76" i="11" s="1"/>
  <c r="BV69" i="11"/>
  <c r="BV76" i="11" s="1"/>
  <c r="BU69" i="11"/>
  <c r="BU76" i="11" s="1"/>
  <c r="BT69" i="11"/>
  <c r="BS69" i="11"/>
  <c r="BS76" i="11" s="1"/>
  <c r="BR69" i="11"/>
  <c r="BR76" i="11" s="1"/>
  <c r="BQ69" i="11"/>
  <c r="BQ76" i="11" s="1"/>
  <c r="BP69" i="11"/>
  <c r="BP76" i="11" s="1"/>
  <c r="BO69" i="11"/>
  <c r="BN69" i="11"/>
  <c r="BN76" i="11" s="1"/>
  <c r="BM69" i="11"/>
  <c r="BM76" i="11" s="1"/>
  <c r="BL69" i="11"/>
  <c r="BL76" i="11" s="1"/>
  <c r="BK69" i="11"/>
  <c r="BK76" i="11" s="1"/>
  <c r="BJ69" i="11"/>
  <c r="BJ76" i="11" s="1"/>
  <c r="BI69" i="11"/>
  <c r="BI76" i="11" s="1"/>
  <c r="BH69" i="11"/>
  <c r="BH76" i="11" s="1"/>
  <c r="BG69" i="11"/>
  <c r="BG76" i="11" s="1"/>
  <c r="BF69" i="11"/>
  <c r="BF76" i="11" s="1"/>
  <c r="BE69" i="11"/>
  <c r="BE76" i="11" s="1"/>
  <c r="BD69" i="11"/>
  <c r="BC69" i="11"/>
  <c r="BB69" i="11"/>
  <c r="BB76" i="11" s="1"/>
  <c r="BA69" i="11"/>
  <c r="BA76" i="11" s="1"/>
  <c r="AZ69" i="11"/>
  <c r="AZ76" i="11" s="1"/>
  <c r="AI69" i="11"/>
  <c r="AH69" i="11"/>
  <c r="BW68" i="11"/>
  <c r="BW75" i="11" s="1"/>
  <c r="BV68" i="11"/>
  <c r="BV75" i="11" s="1"/>
  <c r="BU68" i="11"/>
  <c r="BU75" i="11" s="1"/>
  <c r="BT68" i="11"/>
  <c r="BT75" i="11" s="1"/>
  <c r="BS68" i="11"/>
  <c r="BS75" i="11" s="1"/>
  <c r="BR68" i="11"/>
  <c r="BQ68" i="11"/>
  <c r="BQ75" i="11" s="1"/>
  <c r="BP68" i="11"/>
  <c r="BP75" i="11" s="1"/>
  <c r="BO68" i="11"/>
  <c r="BO75" i="11" s="1"/>
  <c r="BN68" i="11"/>
  <c r="BN75" i="11" s="1"/>
  <c r="BM68" i="11"/>
  <c r="BM75" i="11" s="1"/>
  <c r="BL68" i="11"/>
  <c r="BL75" i="11" s="1"/>
  <c r="BK68" i="11"/>
  <c r="BK75" i="11" s="1"/>
  <c r="BJ68" i="11"/>
  <c r="BJ75" i="11" s="1"/>
  <c r="BI68" i="11"/>
  <c r="BI75" i="11" s="1"/>
  <c r="BH68" i="11"/>
  <c r="BG68" i="11"/>
  <c r="BG75" i="11" s="1"/>
  <c r="BF68" i="11"/>
  <c r="BF75" i="11" s="1"/>
  <c r="BE68" i="11"/>
  <c r="BE75" i="11" s="1"/>
  <c r="BD68" i="11"/>
  <c r="BD75" i="11" s="1"/>
  <c r="BC68" i="11"/>
  <c r="BC75" i="11" s="1"/>
  <c r="BB68" i="11"/>
  <c r="BB75" i="11" s="1"/>
  <c r="BA68" i="11"/>
  <c r="BA75" i="11" s="1"/>
  <c r="AZ68" i="11"/>
  <c r="AZ75" i="11" s="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AF62" i="11"/>
  <c r="AE62" i="11"/>
  <c r="BI17" i="11" s="1"/>
  <c r="AD62" i="11"/>
  <c r="BH17" i="11" s="1"/>
  <c r="AC62" i="11"/>
  <c r="AB62" i="11"/>
  <c r="BG17" i="11" s="1"/>
  <c r="BF17" i="11"/>
  <c r="W62" i="11"/>
  <c r="U62" i="11"/>
  <c r="BA17" i="11"/>
  <c r="AY17" i="11"/>
  <c r="P62" i="11"/>
  <c r="AX17" i="11" s="1"/>
  <c r="O62" i="11"/>
  <c r="AW17" i="11" s="1"/>
  <c r="N62" i="11"/>
  <c r="L62" i="11"/>
  <c r="K62" i="11"/>
  <c r="J62" i="11"/>
  <c r="I62" i="11"/>
  <c r="AS17" i="11" s="1"/>
  <c r="H62" i="11"/>
  <c r="G62" i="11"/>
  <c r="AR17" i="11" s="1"/>
  <c r="F62" i="11"/>
  <c r="AQ17" i="11" s="1"/>
  <c r="E62" i="11"/>
  <c r="AI61" i="11"/>
  <c r="AH61" i="11"/>
  <c r="AI60" i="11"/>
  <c r="AH60" i="11"/>
  <c r="AI59" i="11"/>
  <c r="AH59" i="11"/>
  <c r="AG58" i="11"/>
  <c r="AG97" i="11" s="1"/>
  <c r="AF58" i="11"/>
  <c r="AE58" i="11"/>
  <c r="BI16" i="11" s="1"/>
  <c r="AD58" i="11"/>
  <c r="BH16" i="11" s="1"/>
  <c r="AC58" i="11"/>
  <c r="AB58" i="11"/>
  <c r="AA7" i="11"/>
  <c r="Y7" i="11"/>
  <c r="W58" i="11"/>
  <c r="U58" i="11"/>
  <c r="AY16" i="11"/>
  <c r="P58" i="11"/>
  <c r="AX16" i="11" s="1"/>
  <c r="O58" i="11"/>
  <c r="AW16" i="11" s="1"/>
  <c r="N58" i="11"/>
  <c r="AU16" i="11"/>
  <c r="L58" i="11"/>
  <c r="K58" i="11"/>
  <c r="J58" i="11"/>
  <c r="I58" i="11"/>
  <c r="H58" i="11"/>
  <c r="G58" i="11"/>
  <c r="F58" i="11"/>
  <c r="E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BD23" i="11"/>
  <c r="BA23" i="11"/>
  <c r="AN23" i="11"/>
  <c r="AI23" i="11"/>
  <c r="AH23" i="11"/>
  <c r="AI22" i="11"/>
  <c r="AH22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I21" i="11"/>
  <c r="AH21" i="11"/>
  <c r="BJ20" i="11"/>
  <c r="BG20" i="11"/>
  <c r="BF20" i="11"/>
  <c r="BE20" i="11"/>
  <c r="BD20" i="11"/>
  <c r="BB20" i="11"/>
  <c r="AY20" i="11"/>
  <c r="AV20" i="11"/>
  <c r="AQ20" i="11"/>
  <c r="AP20" i="11"/>
  <c r="AO20" i="11"/>
  <c r="AM20" i="11"/>
  <c r="AI20" i="11"/>
  <c r="AH20" i="11"/>
  <c r="BJ19" i="11"/>
  <c r="BF19" i="11"/>
  <c r="BD19" i="11"/>
  <c r="BB19" i="11"/>
  <c r="BA19" i="11"/>
  <c r="AV19" i="11"/>
  <c r="AI19" i="11"/>
  <c r="AH19" i="11"/>
  <c r="BJ18" i="11"/>
  <c r="BF18" i="11"/>
  <c r="BD18" i="11"/>
  <c r="BB18" i="11"/>
  <c r="BA18" i="11"/>
  <c r="AZ18" i="11"/>
  <c r="AY18" i="11"/>
  <c r="AV18" i="11"/>
  <c r="AU18" i="11"/>
  <c r="AS18" i="11"/>
  <c r="AN18" i="11"/>
  <c r="AI18" i="11"/>
  <c r="AH18" i="11"/>
  <c r="BJ17" i="11"/>
  <c r="BE17" i="11"/>
  <c r="BD17" i="11"/>
  <c r="BC17" i="11"/>
  <c r="BB17" i="11"/>
  <c r="AZ17" i="11"/>
  <c r="AV17" i="11"/>
  <c r="AU17" i="11"/>
  <c r="AT17" i="11"/>
  <c r="AP17" i="11"/>
  <c r="AO17" i="11"/>
  <c r="AN17" i="11"/>
  <c r="AI17" i="11"/>
  <c r="AH17" i="11"/>
  <c r="BJ16" i="11"/>
  <c r="BF16" i="11"/>
  <c r="BE16" i="11"/>
  <c r="BD16" i="11"/>
  <c r="AV16" i="11"/>
  <c r="AT16" i="11"/>
  <c r="AQ16" i="11"/>
  <c r="AN16" i="11"/>
  <c r="AI16" i="11"/>
  <c r="AH16" i="11"/>
  <c r="AI15" i="11"/>
  <c r="AH15" i="11"/>
  <c r="AI14" i="11"/>
  <c r="AH14" i="11"/>
  <c r="AI13" i="11"/>
  <c r="AH13" i="11"/>
  <c r="AL12" i="11"/>
  <c r="AI12" i="11"/>
  <c r="AH12" i="11"/>
  <c r="AI11" i="11"/>
  <c r="AH11" i="11"/>
  <c r="AE5" i="11"/>
  <c r="AC5" i="11"/>
  <c r="AA5" i="11"/>
  <c r="Z5" i="11"/>
  <c r="Y5" i="11"/>
  <c r="X5" i="11"/>
  <c r="W5" i="11"/>
  <c r="V5" i="11"/>
  <c r="U5" i="11"/>
  <c r="T5" i="11"/>
  <c r="S5" i="11"/>
  <c r="R5" i="11"/>
  <c r="M5" i="11"/>
  <c r="L5" i="11"/>
  <c r="H5" i="11"/>
  <c r="F5" i="11"/>
  <c r="D5" i="11"/>
  <c r="AG4" i="11"/>
  <c r="K4" i="11"/>
  <c r="E4" i="11"/>
  <c r="H4" i="11" s="1"/>
  <c r="B4" i="11"/>
  <c r="D258" i="11" s="1"/>
  <c r="AG2" i="11"/>
  <c r="AF58" i="10"/>
  <c r="AF62" i="10"/>
  <c r="AF76" i="10"/>
  <c r="AF80" i="10"/>
  <c r="AF92" i="10"/>
  <c r="AF97" i="10" s="1"/>
  <c r="AF99" i="10" s="1"/>
  <c r="AF100" i="10" s="1"/>
  <c r="AF101" i="10"/>
  <c r="AF102" i="10"/>
  <c r="AF103" i="10"/>
  <c r="AF104" i="10"/>
  <c r="AF105" i="10"/>
  <c r="AF118" i="10"/>
  <c r="AE58" i="10"/>
  <c r="AE62" i="10"/>
  <c r="AE76" i="10"/>
  <c r="AE80" i="10"/>
  <c r="AE92" i="10"/>
  <c r="AE101" i="10"/>
  <c r="AE102" i="10"/>
  <c r="AE103" i="10"/>
  <c r="AE104" i="10"/>
  <c r="AE105" i="10"/>
  <c r="AE118" i="10"/>
  <c r="AD58" i="10"/>
  <c r="AD62" i="10"/>
  <c r="AD76" i="10"/>
  <c r="AD80" i="10"/>
  <c r="AD92" i="10"/>
  <c r="AD108" i="10" s="1"/>
  <c r="AD101" i="10"/>
  <c r="AD102" i="10"/>
  <c r="AD103" i="10"/>
  <c r="AD104" i="10"/>
  <c r="AD105" i="10"/>
  <c r="AD118" i="10"/>
  <c r="AC58" i="10"/>
  <c r="AC62" i="10"/>
  <c r="AC76" i="10"/>
  <c r="AC80" i="10"/>
  <c r="AC92" i="10"/>
  <c r="AC101" i="10"/>
  <c r="AC102" i="10"/>
  <c r="AC103" i="10"/>
  <c r="AC104" i="10"/>
  <c r="AC105" i="10"/>
  <c r="AC118" i="10"/>
  <c r="AA118" i="10"/>
  <c r="AA107" i="10"/>
  <c r="AA105" i="10"/>
  <c r="AA104" i="10"/>
  <c r="AA103" i="10"/>
  <c r="AA102" i="10"/>
  <c r="AA101" i="10"/>
  <c r="AA97" i="10"/>
  <c r="AA99" i="10" s="1"/>
  <c r="AA100" i="10" s="1"/>
  <c r="AA92" i="10"/>
  <c r="AA108" i="10" s="1"/>
  <c r="AA80" i="10"/>
  <c r="AA76" i="10"/>
  <c r="AA62" i="10"/>
  <c r="AA58" i="10"/>
  <c r="Z58" i="10"/>
  <c r="Z62" i="10"/>
  <c r="Z76" i="10"/>
  <c r="Z80" i="10"/>
  <c r="Z92" i="10"/>
  <c r="Z101" i="10"/>
  <c r="Z102" i="10"/>
  <c r="Z103" i="10"/>
  <c r="Z104" i="10"/>
  <c r="Z105" i="10"/>
  <c r="Z118" i="10"/>
  <c r="Y58" i="10"/>
  <c r="Y62" i="10"/>
  <c r="Y76" i="10"/>
  <c r="Y80" i="10"/>
  <c r="Y92" i="10"/>
  <c r="Y101" i="10"/>
  <c r="Y102" i="10"/>
  <c r="Y103" i="10"/>
  <c r="Y104" i="10"/>
  <c r="Y105" i="10"/>
  <c r="Y118" i="10"/>
  <c r="AF107" i="11" l="1"/>
  <c r="BJ23" i="11" s="1"/>
  <c r="BJ22" i="11"/>
  <c r="AD5" i="11"/>
  <c r="BI22" i="11"/>
  <c r="AD107" i="11"/>
  <c r="BH23" i="11" s="1"/>
  <c r="BH22" i="11"/>
  <c r="AB97" i="11"/>
  <c r="AB99" i="11" s="1"/>
  <c r="BG16" i="11"/>
  <c r="BG22" i="11" s="1"/>
  <c r="BF22" i="11"/>
  <c r="BD22" i="11"/>
  <c r="BD24" i="11" s="1"/>
  <c r="Q5" i="11"/>
  <c r="R97" i="11"/>
  <c r="R99" i="11" s="1"/>
  <c r="AZ20" i="11"/>
  <c r="AZ16" i="11"/>
  <c r="P5" i="11"/>
  <c r="Q107" i="11"/>
  <c r="AY23" i="11" s="1"/>
  <c r="AY22" i="11"/>
  <c r="AX19" i="11"/>
  <c r="Q97" i="11"/>
  <c r="Q99" i="11" s="1"/>
  <c r="Q100" i="11" s="1"/>
  <c r="Q7" i="11" s="1"/>
  <c r="AX22" i="11"/>
  <c r="N107" i="11"/>
  <c r="AV23" i="11" s="1"/>
  <c r="AV22" i="11"/>
  <c r="L97" i="11"/>
  <c r="L99" i="11" s="1"/>
  <c r="K107" i="11"/>
  <c r="AT23" i="11" s="1"/>
  <c r="K97" i="11"/>
  <c r="K99" i="11" s="1"/>
  <c r="K100" i="11" s="1"/>
  <c r="K7" i="11" s="1"/>
  <c r="AT19" i="11"/>
  <c r="AT22" i="11"/>
  <c r="AT24" i="11" s="1"/>
  <c r="J97" i="11"/>
  <c r="J99" i="11" s="1"/>
  <c r="I107" i="11"/>
  <c r="AS23" i="11" s="1"/>
  <c r="AI103" i="11"/>
  <c r="H107" i="11"/>
  <c r="H108" i="11" s="1"/>
  <c r="AI104" i="11"/>
  <c r="F107" i="11"/>
  <c r="AQ23" i="11" s="1"/>
  <c r="E5" i="11"/>
  <c r="AH76" i="11"/>
  <c r="E97" i="11"/>
  <c r="E99" i="11" s="1"/>
  <c r="AI102" i="11"/>
  <c r="AP16" i="11"/>
  <c r="AI58" i="11"/>
  <c r="AI62" i="11"/>
  <c r="D97" i="11"/>
  <c r="D99" i="11" s="1"/>
  <c r="D100" i="11" s="1"/>
  <c r="C5" i="11"/>
  <c r="D108" i="11"/>
  <c r="AI80" i="11"/>
  <c r="AN19" i="11"/>
  <c r="B5" i="11"/>
  <c r="AH62" i="11"/>
  <c r="C97" i="11"/>
  <c r="C99" i="11" s="1"/>
  <c r="C100" i="11" s="1"/>
  <c r="C7" i="11" s="1"/>
  <c r="AN22" i="11"/>
  <c r="AN24" i="11" s="1"/>
  <c r="AH105" i="11"/>
  <c r="AF5" i="11"/>
  <c r="B97" i="11"/>
  <c r="B99" i="11" s="1"/>
  <c r="B100" i="11" s="1"/>
  <c r="BJ24" i="11"/>
  <c r="AP22" i="11"/>
  <c r="T7" i="11"/>
  <c r="AL13" i="11"/>
  <c r="AO16" i="11"/>
  <c r="AO22" i="11" s="1"/>
  <c r="AO24" i="11" s="1"/>
  <c r="AM18" i="11"/>
  <c r="U97" i="11"/>
  <c r="U99" i="11" s="1"/>
  <c r="BC16" i="11"/>
  <c r="AC97" i="11"/>
  <c r="AC99" i="11" s="1"/>
  <c r="AW19" i="11"/>
  <c r="M97" i="11"/>
  <c r="M99" i="11" s="1"/>
  <c r="BB16" i="11"/>
  <c r="BB22" i="11" s="1"/>
  <c r="AQ22" i="11"/>
  <c r="G97" i="11"/>
  <c r="G99" i="11" s="1"/>
  <c r="O97" i="11"/>
  <c r="O99" i="11" s="1"/>
  <c r="W97" i="11"/>
  <c r="W99" i="11" s="1"/>
  <c r="G5" i="11"/>
  <c r="AR16" i="11"/>
  <c r="AR22" i="11" s="1"/>
  <c r="AM17" i="11"/>
  <c r="AI92" i="11"/>
  <c r="AM19" i="11"/>
  <c r="AH92" i="11"/>
  <c r="AI101" i="11"/>
  <c r="BE22" i="11"/>
  <c r="BE24" i="11" s="1"/>
  <c r="AX23" i="11"/>
  <c r="AS16" i="11"/>
  <c r="AS22" i="11" s="1"/>
  <c r="AS24" i="11" s="1"/>
  <c r="I97" i="11"/>
  <c r="I99" i="11" s="1"/>
  <c r="I100" i="11" s="1"/>
  <c r="I7" i="11" s="1"/>
  <c r="AI76" i="11"/>
  <c r="AH80" i="11"/>
  <c r="AM16" i="11"/>
  <c r="AH58" i="11"/>
  <c r="AE97" i="11"/>
  <c r="AE99" i="11" s="1"/>
  <c r="AW22" i="11"/>
  <c r="BA16" i="11"/>
  <c r="BA22" i="11" s="1"/>
  <c r="BA24" i="11" s="1"/>
  <c r="S7" i="11"/>
  <c r="AU19" i="11"/>
  <c r="AU22" i="11" s="1"/>
  <c r="BC19" i="11"/>
  <c r="H97" i="11"/>
  <c r="H99" i="11" s="1"/>
  <c r="H100" i="11" s="1"/>
  <c r="H7" i="11" s="1"/>
  <c r="P97" i="11"/>
  <c r="P99" i="11" s="1"/>
  <c r="P100" i="11" s="1"/>
  <c r="P7" i="11" s="1"/>
  <c r="X7" i="11"/>
  <c r="AF97" i="11"/>
  <c r="AF99" i="11" s="1"/>
  <c r="AF100" i="11" s="1"/>
  <c r="AF7" i="11" s="1"/>
  <c r="BG84" i="11" a="1"/>
  <c r="F108" i="11"/>
  <c r="N108" i="11"/>
  <c r="AD108" i="11"/>
  <c r="G107" i="11"/>
  <c r="AR23" i="11" s="1"/>
  <c r="O107" i="11"/>
  <c r="AW23" i="11" s="1"/>
  <c r="W107" i="11"/>
  <c r="W108" i="11" s="1"/>
  <c r="AE107" i="11"/>
  <c r="BI23" i="11" s="1"/>
  <c r="BI24" i="11" s="1"/>
  <c r="AH102" i="11"/>
  <c r="I108" i="11"/>
  <c r="Q108" i="11"/>
  <c r="AH101" i="11"/>
  <c r="J107" i="11"/>
  <c r="J100" i="11" s="1"/>
  <c r="J7" i="11" s="1"/>
  <c r="R107" i="11"/>
  <c r="AZ23" i="11" s="1"/>
  <c r="BF23" i="11"/>
  <c r="BF24" i="11" s="1"/>
  <c r="AH103" i="11"/>
  <c r="AO23" i="11"/>
  <c r="L107" i="11"/>
  <c r="L100" i="11" s="1"/>
  <c r="L7" i="11" s="1"/>
  <c r="BB23" i="11"/>
  <c r="AB107" i="11"/>
  <c r="BG23" i="11" s="1"/>
  <c r="AH104" i="11"/>
  <c r="AI105" i="11"/>
  <c r="D252" i="11"/>
  <c r="E246" i="11"/>
  <c r="F97" i="11"/>
  <c r="F99" i="11" s="1"/>
  <c r="N97" i="11"/>
  <c r="N99" i="11" s="1"/>
  <c r="N100" i="11" s="1"/>
  <c r="N7" i="11" s="1"/>
  <c r="V7" i="11"/>
  <c r="AD97" i="11"/>
  <c r="AD99" i="11" s="1"/>
  <c r="AD100" i="11" s="1"/>
  <c r="AD7" i="11" s="1"/>
  <c r="E107" i="11"/>
  <c r="AP23" i="11" s="1"/>
  <c r="M107" i="11"/>
  <c r="AU23" i="11" s="1"/>
  <c r="U107" i="11"/>
  <c r="BC23" i="11" s="1"/>
  <c r="AC107" i="11"/>
  <c r="AC108" i="11" s="1"/>
  <c r="AF108" i="10"/>
  <c r="AE97" i="10"/>
  <c r="AE99" i="10" s="1"/>
  <c r="AE100" i="10" s="1"/>
  <c r="AE108" i="10"/>
  <c r="AD97" i="10"/>
  <c r="AD99" i="10" s="1"/>
  <c r="AD100" i="10" s="1"/>
  <c r="AC97" i="10"/>
  <c r="AC99" i="10" s="1"/>
  <c r="AC100" i="10" s="1"/>
  <c r="AC108" i="10"/>
  <c r="Z107" i="10"/>
  <c r="Z108" i="10" s="1"/>
  <c r="Z97" i="10"/>
  <c r="Z99" i="10" s="1"/>
  <c r="Z100" i="10" s="1"/>
  <c r="Y97" i="10"/>
  <c r="Y99" i="10" s="1"/>
  <c r="Y107" i="10"/>
  <c r="Y108" i="10" s="1"/>
  <c r="AF108" i="11" l="1"/>
  <c r="BH24" i="11"/>
  <c r="AZ22" i="11"/>
  <c r="AZ24" i="11" s="1"/>
  <c r="AY24" i="11"/>
  <c r="AX24" i="11"/>
  <c r="AV24" i="11"/>
  <c r="M108" i="11"/>
  <c r="L108" i="11"/>
  <c r="K108" i="11"/>
  <c r="F100" i="11"/>
  <c r="F7" i="11" s="1"/>
  <c r="AQ24" i="11"/>
  <c r="E108" i="11"/>
  <c r="U108" i="11"/>
  <c r="BJ107" i="11"/>
  <c r="BH106" i="11"/>
  <c r="BL104" i="11"/>
  <c r="BJ103" i="11"/>
  <c r="BH102" i="11"/>
  <c r="BL100" i="11"/>
  <c r="BJ99" i="11"/>
  <c r="BH98" i="11"/>
  <c r="BL96" i="11"/>
  <c r="BJ95" i="11"/>
  <c r="BH94" i="11"/>
  <c r="BL92" i="11"/>
  <c r="BJ91" i="11"/>
  <c r="BH90" i="11"/>
  <c r="BL88" i="11"/>
  <c r="BJ87" i="11"/>
  <c r="BH86" i="11"/>
  <c r="BL84" i="11"/>
  <c r="BL107" i="11"/>
  <c r="BJ106" i="11"/>
  <c r="BH105" i="11"/>
  <c r="BL103" i="11"/>
  <c r="BJ102" i="11"/>
  <c r="BH101" i="11"/>
  <c r="BL99" i="11"/>
  <c r="BJ98" i="11"/>
  <c r="BH97" i="11"/>
  <c r="BL95" i="11"/>
  <c r="BJ94" i="11"/>
  <c r="BH93" i="11"/>
  <c r="BL91" i="11"/>
  <c r="BJ90" i="11"/>
  <c r="BH89" i="11"/>
  <c r="BL87" i="11"/>
  <c r="BJ86" i="11"/>
  <c r="BH85" i="11"/>
  <c r="BG106" i="11"/>
  <c r="BI104" i="11"/>
  <c r="BK102" i="11"/>
  <c r="BK100" i="11"/>
  <c r="BG99" i="11"/>
  <c r="BI97" i="11"/>
  <c r="BI95" i="11"/>
  <c r="BK93" i="11"/>
  <c r="BG92" i="11"/>
  <c r="BG90" i="11"/>
  <c r="BI88" i="11"/>
  <c r="BK86" i="11"/>
  <c r="BK84" i="11"/>
  <c r="BK107" i="11"/>
  <c r="BL105" i="11"/>
  <c r="BH104" i="11"/>
  <c r="BI102" i="11"/>
  <c r="BJ100" i="11"/>
  <c r="BL98" i="11"/>
  <c r="BG97" i="11"/>
  <c r="BH95" i="11"/>
  <c r="BJ93" i="11"/>
  <c r="BK91" i="11"/>
  <c r="BL89" i="11"/>
  <c r="BH88" i="11"/>
  <c r="BI86" i="11"/>
  <c r="BJ84" i="11"/>
  <c r="BH107" i="11"/>
  <c r="BJ105" i="11"/>
  <c r="BK103" i="11"/>
  <c r="BL101" i="11"/>
  <c r="BH100" i="11"/>
  <c r="BI98" i="11"/>
  <c r="BJ96" i="11"/>
  <c r="BL94" i="11"/>
  <c r="BG93" i="11"/>
  <c r="BH91" i="11"/>
  <c r="BJ89" i="11"/>
  <c r="BK87" i="11"/>
  <c r="BL85" i="11"/>
  <c r="BH84" i="11"/>
  <c r="BK106" i="11"/>
  <c r="BK104" i="11"/>
  <c r="BG103" i="11"/>
  <c r="BI101" i="11"/>
  <c r="BI99" i="11"/>
  <c r="BK97" i="11"/>
  <c r="BG96" i="11"/>
  <c r="BG94" i="11"/>
  <c r="BI92" i="11"/>
  <c r="BK90" i="11"/>
  <c r="BK88" i="11"/>
  <c r="BG87" i="11"/>
  <c r="BI85" i="11"/>
  <c r="BG105" i="11"/>
  <c r="BJ101" i="11"/>
  <c r="BL97" i="11"/>
  <c r="BI94" i="11"/>
  <c r="BL90" i="11"/>
  <c r="BH87" i="11"/>
  <c r="BJ104" i="11"/>
  <c r="BG101" i="11"/>
  <c r="BJ97" i="11"/>
  <c r="BL93" i="11"/>
  <c r="BI90" i="11"/>
  <c r="BL86" i="11"/>
  <c r="BI107" i="11"/>
  <c r="BG104" i="11"/>
  <c r="BI100" i="11"/>
  <c r="BK96" i="11"/>
  <c r="BI93" i="11"/>
  <c r="BK89" i="11"/>
  <c r="BG86" i="11"/>
  <c r="BG107" i="11"/>
  <c r="BI103" i="11"/>
  <c r="BG100" i="11"/>
  <c r="BI96" i="11"/>
  <c r="BK92" i="11"/>
  <c r="BI89" i="11"/>
  <c r="BK85" i="11"/>
  <c r="BI106" i="11"/>
  <c r="BL102" i="11"/>
  <c r="BH99" i="11"/>
  <c r="BK95" i="11"/>
  <c r="BH92" i="11"/>
  <c r="BJ88" i="11"/>
  <c r="BG85" i="11"/>
  <c r="BL106" i="11"/>
  <c r="BH103" i="11"/>
  <c r="BK99" i="11"/>
  <c r="BH96" i="11"/>
  <c r="BJ92" i="11"/>
  <c r="BG89" i="11"/>
  <c r="BJ85" i="11"/>
  <c r="BK105" i="11"/>
  <c r="BG102" i="11"/>
  <c r="BK98" i="11"/>
  <c r="BG95" i="11"/>
  <c r="BI91" i="11"/>
  <c r="BG88" i="11"/>
  <c r="BI84" i="11"/>
  <c r="BI105" i="11"/>
  <c r="BK101" i="11"/>
  <c r="BG98" i="11"/>
  <c r="BK94" i="11"/>
  <c r="BG91" i="11"/>
  <c r="BI87" i="11"/>
  <c r="BG84" i="11"/>
  <c r="AE100" i="11"/>
  <c r="AE7" i="11" s="1"/>
  <c r="R108" i="11"/>
  <c r="W100" i="11"/>
  <c r="W7" i="11" s="1"/>
  <c r="AP24" i="11"/>
  <c r="J108" i="11"/>
  <c r="O100" i="11"/>
  <c r="O7" i="11" s="1"/>
  <c r="O108" i="11"/>
  <c r="AB100" i="11"/>
  <c r="AB7" i="11" s="1"/>
  <c r="C256" i="11"/>
  <c r="B256" i="11"/>
  <c r="G100" i="11"/>
  <c r="G7" i="11" s="1"/>
  <c r="G108" i="11"/>
  <c r="Z7" i="11"/>
  <c r="AC100" i="11"/>
  <c r="AC7" i="11" s="1"/>
  <c r="AU24" i="11"/>
  <c r="BC22" i="11"/>
  <c r="BC24" i="11" s="1"/>
  <c r="AI107" i="11"/>
  <c r="AM23" i="11"/>
  <c r="AH107" i="11"/>
  <c r="R100" i="11"/>
  <c r="R7" i="11" s="1"/>
  <c r="BB24" i="11"/>
  <c r="AB108" i="11"/>
  <c r="F246" i="11"/>
  <c r="E252" i="11"/>
  <c r="E118" i="11"/>
  <c r="BG24" i="11"/>
  <c r="AM22" i="11"/>
  <c r="M100" i="11"/>
  <c r="M7" i="11" s="1"/>
  <c r="U100" i="11"/>
  <c r="U7" i="11" s="1"/>
  <c r="E100" i="11"/>
  <c r="E7" i="11" s="1"/>
  <c r="D7" i="11"/>
  <c r="AW24" i="11"/>
  <c r="AH97" i="11"/>
  <c r="AI97" i="11"/>
  <c r="AR24" i="11"/>
  <c r="AE108" i="11"/>
  <c r="Y100" i="10"/>
  <c r="AH108" i="11" l="1"/>
  <c r="AI108" i="11"/>
  <c r="K6" i="11"/>
  <c r="AM24" i="11"/>
  <c r="AT9" i="11" s="1"/>
  <c r="AT8" i="11"/>
  <c r="AH99" i="11"/>
  <c r="AI99" i="11"/>
  <c r="G246" i="11"/>
  <c r="F252" i="11"/>
  <c r="F118" i="11"/>
  <c r="AI100" i="11" l="1"/>
  <c r="AH100" i="11"/>
  <c r="B7" i="11"/>
  <c r="A7" i="11" s="1"/>
  <c r="H246" i="11"/>
  <c r="G252" i="11"/>
  <c r="G118" i="11"/>
  <c r="I246" i="11" l="1"/>
  <c r="H252" i="11"/>
  <c r="H118" i="11"/>
  <c r="I252" i="11" l="1"/>
  <c r="I118" i="11"/>
  <c r="J246" i="11"/>
  <c r="J252" i="11" l="1"/>
  <c r="J118" i="11"/>
  <c r="K246" i="11"/>
  <c r="K252" i="11" l="1"/>
  <c r="K118" i="11"/>
  <c r="L246" i="11"/>
  <c r="L252" i="11" l="1"/>
  <c r="L118" i="11"/>
  <c r="M246" i="11"/>
  <c r="N246" i="11" l="1"/>
  <c r="M118" i="11"/>
  <c r="M252" i="11"/>
  <c r="O246" i="11" l="1"/>
  <c r="N252" i="11"/>
  <c r="N118" i="11"/>
  <c r="P246" i="11" l="1"/>
  <c r="O118" i="11"/>
  <c r="O252" i="11"/>
  <c r="Q246" i="11" l="1"/>
  <c r="P252" i="11"/>
  <c r="Q252" i="11" l="1"/>
  <c r="Q118" i="11"/>
  <c r="R246" i="11"/>
  <c r="R252" i="11" l="1"/>
  <c r="R118" i="11"/>
  <c r="S246" i="11"/>
  <c r="S252" i="11" l="1"/>
  <c r="T246" i="11"/>
  <c r="T252" i="11" l="1"/>
  <c r="U246" i="11"/>
  <c r="U118" i="11" l="1"/>
  <c r="V246" i="11"/>
  <c r="U252" i="11"/>
  <c r="W246" i="11" l="1"/>
  <c r="V252" i="11"/>
  <c r="X246" i="11" l="1"/>
  <c r="W118" i="11"/>
  <c r="W252" i="11"/>
  <c r="Y246" i="11" l="1"/>
  <c r="X252" i="11"/>
  <c r="Y252" i="11" l="1"/>
  <c r="Z246" i="11"/>
  <c r="Z252" i="11" l="1"/>
  <c r="AA246" i="11"/>
  <c r="AA252" i="11" l="1"/>
  <c r="AB246" i="11"/>
  <c r="AB252" i="11" l="1"/>
  <c r="AB118" i="11"/>
  <c r="AC246" i="11"/>
  <c r="AC118" i="11" l="1"/>
  <c r="AD246" i="11"/>
  <c r="AC252" i="11"/>
  <c r="AE246" i="11" l="1"/>
  <c r="AD252" i="11"/>
  <c r="AD118" i="11"/>
  <c r="AF246" i="11" l="1"/>
  <c r="AE118" i="11"/>
  <c r="AE252" i="11"/>
  <c r="AF252" i="11" l="1"/>
  <c r="B246" i="11"/>
  <c r="AF118" i="11"/>
  <c r="B252" i="11" l="1"/>
  <c r="AI118" i="11" l="1"/>
  <c r="AH118" i="11"/>
  <c r="W58" i="10" l="1"/>
  <c r="X58" i="10"/>
  <c r="W62" i="10"/>
  <c r="X62" i="10"/>
  <c r="W76" i="10"/>
  <c r="X76" i="10"/>
  <c r="W80" i="10"/>
  <c r="W97" i="10" s="1"/>
  <c r="W99" i="10" s="1"/>
  <c r="X80" i="10"/>
  <c r="W92" i="10"/>
  <c r="X92" i="10"/>
  <c r="W101" i="10"/>
  <c r="W107" i="10" s="1"/>
  <c r="X101" i="10"/>
  <c r="W102" i="10"/>
  <c r="X102" i="10"/>
  <c r="W103" i="10"/>
  <c r="X103" i="10"/>
  <c r="W104" i="10"/>
  <c r="X104" i="10"/>
  <c r="W105" i="10"/>
  <c r="X105" i="10"/>
  <c r="W118" i="10"/>
  <c r="X118" i="10"/>
  <c r="W100" i="10" l="1"/>
  <c r="X107" i="10"/>
  <c r="X108" i="10" s="1"/>
  <c r="X97" i="10"/>
  <c r="X99" i="10" s="1"/>
  <c r="W108" i="10"/>
  <c r="V58" i="10"/>
  <c r="V62" i="10"/>
  <c r="V76" i="10"/>
  <c r="V80" i="10"/>
  <c r="V92" i="10"/>
  <c r="V101" i="10"/>
  <c r="V102" i="10"/>
  <c r="V103" i="10"/>
  <c r="V104" i="10"/>
  <c r="V105" i="10"/>
  <c r="V118" i="10"/>
  <c r="U58" i="10"/>
  <c r="U62" i="10"/>
  <c r="U76" i="10"/>
  <c r="U80" i="10"/>
  <c r="U92" i="10"/>
  <c r="U101" i="10"/>
  <c r="U102" i="10"/>
  <c r="U103" i="10"/>
  <c r="U104" i="10"/>
  <c r="U105" i="10"/>
  <c r="U118" i="10"/>
  <c r="X100" i="10" l="1"/>
  <c r="V107" i="10"/>
  <c r="V108" i="10" s="1"/>
  <c r="V97" i="10"/>
  <c r="V99" i="10" s="1"/>
  <c r="U107" i="10"/>
  <c r="U108" i="10" s="1"/>
  <c r="U97" i="10"/>
  <c r="U99" i="10" s="1"/>
  <c r="V100" i="10" l="1"/>
  <c r="U100" i="10"/>
  <c r="T58" i="10"/>
  <c r="T62" i="10"/>
  <c r="T76" i="10"/>
  <c r="T80" i="10"/>
  <c r="T92" i="10"/>
  <c r="T101" i="10"/>
  <c r="T102" i="10"/>
  <c r="T103" i="10"/>
  <c r="T104" i="10"/>
  <c r="T105" i="10"/>
  <c r="T118" i="10"/>
  <c r="T107" i="10" l="1"/>
  <c r="T108" i="10" s="1"/>
  <c r="T97" i="10"/>
  <c r="T99" i="10" s="1"/>
  <c r="T100" i="10" l="1"/>
  <c r="S58" i="10" l="1"/>
  <c r="S62" i="10"/>
  <c r="S76" i="10"/>
  <c r="S80" i="10"/>
  <c r="S92" i="10"/>
  <c r="S101" i="10"/>
  <c r="S102" i="10"/>
  <c r="S103" i="10"/>
  <c r="S104" i="10"/>
  <c r="S105" i="10"/>
  <c r="S118" i="10"/>
  <c r="S107" i="10" l="1"/>
  <c r="S108" i="10" s="1"/>
  <c r="S97" i="10"/>
  <c r="S99" i="10" s="1"/>
  <c r="S100" i="10" l="1"/>
  <c r="Q58" i="10"/>
  <c r="O58" i="10"/>
  <c r="P58" i="10"/>
  <c r="L121" i="10" l="1"/>
  <c r="K121" i="10"/>
  <c r="K57" i="10"/>
  <c r="L57" i="10"/>
  <c r="K58" i="10"/>
  <c r="L58" i="10"/>
  <c r="K62" i="10"/>
  <c r="L62" i="10"/>
  <c r="K76" i="10"/>
  <c r="L76" i="10"/>
  <c r="J121" i="10"/>
  <c r="J57" i="10"/>
  <c r="I121" i="10"/>
  <c r="I57" i="10"/>
  <c r="H121" i="10"/>
  <c r="H57" i="10"/>
  <c r="G121" i="10"/>
  <c r="G57" i="10"/>
  <c r="F121" i="10"/>
  <c r="AH121" i="10" s="1"/>
  <c r="F57" i="10"/>
  <c r="AH125" i="10"/>
  <c r="AI125" i="10"/>
  <c r="AH124" i="10"/>
  <c r="AI124" i="10"/>
  <c r="E121" i="10"/>
  <c r="E57" i="10"/>
  <c r="D58" i="10"/>
  <c r="D62" i="10"/>
  <c r="D76" i="10"/>
  <c r="D80" i="10"/>
  <c r="D92" i="10"/>
  <c r="D108" i="10" s="1"/>
  <c r="D101" i="10"/>
  <c r="D102" i="10"/>
  <c r="D103" i="10"/>
  <c r="D104" i="10"/>
  <c r="D105" i="10"/>
  <c r="D118" i="10"/>
  <c r="C58" i="10"/>
  <c r="C62" i="10"/>
  <c r="C76" i="10"/>
  <c r="C80" i="10"/>
  <c r="C92" i="10"/>
  <c r="AN19" i="10" s="1"/>
  <c r="C101" i="10"/>
  <c r="C102" i="10"/>
  <c r="C103" i="10"/>
  <c r="C104" i="10"/>
  <c r="C105" i="10"/>
  <c r="C118" i="10"/>
  <c r="B118" i="10"/>
  <c r="B105" i="10"/>
  <c r="B104" i="10"/>
  <c r="B103" i="10"/>
  <c r="B102" i="10"/>
  <c r="B101" i="10"/>
  <c r="B92" i="10"/>
  <c r="B108" i="10" s="1"/>
  <c r="B80" i="10"/>
  <c r="B76" i="10"/>
  <c r="B62" i="10"/>
  <c r="B58" i="10"/>
  <c r="AG252" i="10"/>
  <c r="C252" i="10"/>
  <c r="L251" i="10"/>
  <c r="M251" i="10" s="1"/>
  <c r="N251" i="10" s="1"/>
  <c r="O251" i="10" s="1"/>
  <c r="P251" i="10" s="1"/>
  <c r="Q251" i="10" s="1"/>
  <c r="R251" i="10" s="1"/>
  <c r="S251" i="10" s="1"/>
  <c r="T251" i="10" s="1"/>
  <c r="U251" i="10" s="1"/>
  <c r="V251" i="10" s="1"/>
  <c r="W251" i="10" s="1"/>
  <c r="X251" i="10" s="1"/>
  <c r="Y251" i="10" s="1"/>
  <c r="Z251" i="10" s="1"/>
  <c r="AA251" i="10" s="1"/>
  <c r="AB251" i="10" s="1"/>
  <c r="AC251" i="10" s="1"/>
  <c r="AD251" i="10" s="1"/>
  <c r="AE251" i="10" s="1"/>
  <c r="AF251" i="10" s="1"/>
  <c r="B251" i="10" s="1"/>
  <c r="F251" i="10"/>
  <c r="G251" i="10" s="1"/>
  <c r="H251" i="10" s="1"/>
  <c r="I251" i="10" s="1"/>
  <c r="J251" i="10" s="1"/>
  <c r="K251" i="10" s="1"/>
  <c r="E251" i="10"/>
  <c r="D251" i="10"/>
  <c r="D250" i="10"/>
  <c r="E250" i="10" s="1"/>
  <c r="F250" i="10" s="1"/>
  <c r="G250" i="10" s="1"/>
  <c r="H250" i="10" s="1"/>
  <c r="I250" i="10" s="1"/>
  <c r="J250" i="10" s="1"/>
  <c r="K250" i="10" s="1"/>
  <c r="L250" i="10" s="1"/>
  <c r="M250" i="10" s="1"/>
  <c r="N250" i="10" s="1"/>
  <c r="O250" i="10" s="1"/>
  <c r="P250" i="10" s="1"/>
  <c r="Q250" i="10" s="1"/>
  <c r="R250" i="10" s="1"/>
  <c r="S250" i="10" s="1"/>
  <c r="T250" i="10" s="1"/>
  <c r="U250" i="10" s="1"/>
  <c r="V250" i="10" s="1"/>
  <c r="W250" i="10" s="1"/>
  <c r="X250" i="10" s="1"/>
  <c r="Y250" i="10" s="1"/>
  <c r="Z250" i="10" s="1"/>
  <c r="AA250" i="10" s="1"/>
  <c r="AB250" i="10" s="1"/>
  <c r="AC250" i="10" s="1"/>
  <c r="AD250" i="10" s="1"/>
  <c r="AE250" i="10" s="1"/>
  <c r="AF250" i="10" s="1"/>
  <c r="B250" i="10" s="1"/>
  <c r="E249" i="10"/>
  <c r="F249" i="10" s="1"/>
  <c r="G249" i="10" s="1"/>
  <c r="H249" i="10" s="1"/>
  <c r="I249" i="10" s="1"/>
  <c r="J249" i="10" s="1"/>
  <c r="K249" i="10" s="1"/>
  <c r="L249" i="10" s="1"/>
  <c r="M249" i="10" s="1"/>
  <c r="N249" i="10" s="1"/>
  <c r="O249" i="10" s="1"/>
  <c r="P249" i="10" s="1"/>
  <c r="Q249" i="10" s="1"/>
  <c r="R249" i="10" s="1"/>
  <c r="S249" i="10" s="1"/>
  <c r="T249" i="10" s="1"/>
  <c r="U249" i="10" s="1"/>
  <c r="V249" i="10" s="1"/>
  <c r="W249" i="10" s="1"/>
  <c r="X249" i="10" s="1"/>
  <c r="Y249" i="10" s="1"/>
  <c r="Z249" i="10" s="1"/>
  <c r="AA249" i="10" s="1"/>
  <c r="AB249" i="10" s="1"/>
  <c r="AC249" i="10" s="1"/>
  <c r="AD249" i="10" s="1"/>
  <c r="AE249" i="10" s="1"/>
  <c r="AF249" i="10" s="1"/>
  <c r="B249" i="10" s="1"/>
  <c r="D249" i="10"/>
  <c r="D248" i="10"/>
  <c r="E248" i="10" s="1"/>
  <c r="F248" i="10" s="1"/>
  <c r="G248" i="10" s="1"/>
  <c r="H248" i="10" s="1"/>
  <c r="I248" i="10" s="1"/>
  <c r="J248" i="10" s="1"/>
  <c r="K248" i="10" s="1"/>
  <c r="L248" i="10" s="1"/>
  <c r="M248" i="10" s="1"/>
  <c r="N248" i="10" s="1"/>
  <c r="O248" i="10" s="1"/>
  <c r="P248" i="10" s="1"/>
  <c r="Q248" i="10" s="1"/>
  <c r="R248" i="10" s="1"/>
  <c r="S248" i="10" s="1"/>
  <c r="T248" i="10" s="1"/>
  <c r="U248" i="10" s="1"/>
  <c r="V248" i="10" s="1"/>
  <c r="W248" i="10" s="1"/>
  <c r="X248" i="10" s="1"/>
  <c r="Y248" i="10" s="1"/>
  <c r="Z248" i="10" s="1"/>
  <c r="AA248" i="10" s="1"/>
  <c r="AB248" i="10" s="1"/>
  <c r="AC248" i="10" s="1"/>
  <c r="AD248" i="10" s="1"/>
  <c r="AE248" i="10" s="1"/>
  <c r="AF248" i="10" s="1"/>
  <c r="B248" i="10" s="1"/>
  <c r="F247" i="10"/>
  <c r="G247" i="10" s="1"/>
  <c r="H247" i="10" s="1"/>
  <c r="I247" i="10" s="1"/>
  <c r="J247" i="10" s="1"/>
  <c r="K247" i="10" s="1"/>
  <c r="L247" i="10" s="1"/>
  <c r="M247" i="10" s="1"/>
  <c r="N247" i="10" s="1"/>
  <c r="O247" i="10" s="1"/>
  <c r="P247" i="10" s="1"/>
  <c r="Q247" i="10" s="1"/>
  <c r="R247" i="10" s="1"/>
  <c r="S247" i="10" s="1"/>
  <c r="T247" i="10" s="1"/>
  <c r="U247" i="10" s="1"/>
  <c r="V247" i="10" s="1"/>
  <c r="W247" i="10" s="1"/>
  <c r="X247" i="10" s="1"/>
  <c r="Y247" i="10" s="1"/>
  <c r="Z247" i="10" s="1"/>
  <c r="AA247" i="10" s="1"/>
  <c r="AB247" i="10" s="1"/>
  <c r="AC247" i="10" s="1"/>
  <c r="AD247" i="10" s="1"/>
  <c r="AE247" i="10" s="1"/>
  <c r="AF247" i="10" s="1"/>
  <c r="B247" i="10" s="1"/>
  <c r="E247" i="10"/>
  <c r="D247" i="10"/>
  <c r="D246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I130" i="10"/>
  <c r="AH130" i="10"/>
  <c r="AI129" i="10"/>
  <c r="AH129" i="10"/>
  <c r="AI128" i="10"/>
  <c r="AH128" i="10"/>
  <c r="AI127" i="10"/>
  <c r="AH127" i="10"/>
  <c r="AI126" i="10"/>
  <c r="AH126" i="10"/>
  <c r="AI123" i="10"/>
  <c r="AH123" i="10"/>
  <c r="AI122" i="10"/>
  <c r="AH122" i="10"/>
  <c r="AI121" i="10"/>
  <c r="AI120" i="10"/>
  <c r="AH120" i="10"/>
  <c r="AI119" i="10"/>
  <c r="AH119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I110" i="10"/>
  <c r="AH110" i="10"/>
  <c r="AI109" i="10"/>
  <c r="AH109" i="10"/>
  <c r="AI106" i="10"/>
  <c r="AH106" i="10"/>
  <c r="AB105" i="10"/>
  <c r="R105" i="10"/>
  <c r="Q105" i="10"/>
  <c r="P105" i="10"/>
  <c r="O105" i="10"/>
  <c r="N105" i="10"/>
  <c r="M105" i="10"/>
  <c r="L105" i="10"/>
  <c r="K105" i="10"/>
  <c r="J105" i="10"/>
  <c r="I105" i="10"/>
  <c r="I107" i="10" s="1"/>
  <c r="H105" i="10"/>
  <c r="G105" i="10"/>
  <c r="F105" i="10"/>
  <c r="E105" i="10"/>
  <c r="AB104" i="10"/>
  <c r="R104" i="10"/>
  <c r="Q104" i="10"/>
  <c r="P104" i="10"/>
  <c r="O104" i="10"/>
  <c r="N104" i="10"/>
  <c r="M104" i="10"/>
  <c r="L104" i="10"/>
  <c r="K104" i="10"/>
  <c r="J104" i="10"/>
  <c r="J107" i="10" s="1"/>
  <c r="I104" i="10"/>
  <c r="H104" i="10"/>
  <c r="G104" i="10"/>
  <c r="F104" i="10"/>
  <c r="E104" i="10"/>
  <c r="AB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AB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AB101" i="10"/>
  <c r="BF23" i="10"/>
  <c r="BC23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AO23" i="10"/>
  <c r="AI98" i="10"/>
  <c r="AH98" i="10"/>
  <c r="AG97" i="10"/>
  <c r="AI96" i="10"/>
  <c r="AH96" i="10"/>
  <c r="AG96" i="10"/>
  <c r="AI95" i="10"/>
  <c r="AH95" i="10"/>
  <c r="AI94" i="10"/>
  <c r="AH94" i="10"/>
  <c r="AI93" i="10"/>
  <c r="AH93" i="10"/>
  <c r="AG92" i="10"/>
  <c r="AB92" i="10"/>
  <c r="R92" i="10"/>
  <c r="AZ19" i="10" s="1"/>
  <c r="Q92" i="10"/>
  <c r="AY19" i="10" s="1"/>
  <c r="P92" i="10"/>
  <c r="O5" i="10" s="1"/>
  <c r="O92" i="10"/>
  <c r="N5" i="10" s="1"/>
  <c r="N92" i="10"/>
  <c r="AV19" i="10" s="1"/>
  <c r="M92" i="10"/>
  <c r="AU19" i="10" s="1"/>
  <c r="L92" i="10"/>
  <c r="K5" i="10" s="1"/>
  <c r="K92" i="10"/>
  <c r="AT19" i="10" s="1"/>
  <c r="J92" i="10"/>
  <c r="I92" i="10"/>
  <c r="H92" i="10"/>
  <c r="G5" i="10" s="1"/>
  <c r="G92" i="10"/>
  <c r="AR19" i="10" s="1"/>
  <c r="F92" i="10"/>
  <c r="AQ19" i="10" s="1"/>
  <c r="E92" i="10"/>
  <c r="D5" i="10" s="1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I81" i="10"/>
  <c r="AH81" i="10"/>
  <c r="AZ80" i="10"/>
  <c r="AG80" i="10"/>
  <c r="AB80" i="10"/>
  <c r="BC20" i="10"/>
  <c r="BA20" i="10"/>
  <c r="R80" i="10"/>
  <c r="Q80" i="10"/>
  <c r="P80" i="10"/>
  <c r="O80" i="10"/>
  <c r="N80" i="10"/>
  <c r="M80" i="10"/>
  <c r="AU20" i="10" s="1"/>
  <c r="L80" i="10"/>
  <c r="K80" i="10"/>
  <c r="J80" i="10"/>
  <c r="I80" i="10"/>
  <c r="H80" i="10"/>
  <c r="G80" i="10"/>
  <c r="F80" i="10"/>
  <c r="E80" i="10"/>
  <c r="AO20" i="10"/>
  <c r="BB79" i="10"/>
  <c r="BA79" i="10"/>
  <c r="AI79" i="10"/>
  <c r="AH79" i="10"/>
  <c r="BU78" i="10"/>
  <c r="AI78" i="10"/>
  <c r="AH78" i="10"/>
  <c r="BE77" i="10"/>
  <c r="AI77" i="10"/>
  <c r="AH77" i="10"/>
  <c r="BW76" i="10"/>
  <c r="BF76" i="10"/>
  <c r="BB76" i="10"/>
  <c r="AF7" i="10"/>
  <c r="BI18" i="10"/>
  <c r="BH18" i="10"/>
  <c r="AB76" i="10"/>
  <c r="BF18" i="10"/>
  <c r="R76" i="10"/>
  <c r="AZ18" i="10" s="1"/>
  <c r="Q76" i="10"/>
  <c r="P76" i="10"/>
  <c r="AX18" i="10" s="1"/>
  <c r="O76" i="10"/>
  <c r="AW18" i="10" s="1"/>
  <c r="N76" i="10"/>
  <c r="AV18" i="10" s="1"/>
  <c r="M76" i="10"/>
  <c r="AU18" i="10" s="1"/>
  <c r="J76" i="10"/>
  <c r="I76" i="10"/>
  <c r="H76" i="10"/>
  <c r="G76" i="10"/>
  <c r="AR18" i="10" s="1"/>
  <c r="F76" i="10"/>
  <c r="AQ18" i="10" s="1"/>
  <c r="E76" i="10"/>
  <c r="BN75" i="10"/>
  <c r="BI75" i="10"/>
  <c r="AI75" i="10"/>
  <c r="AH75" i="10"/>
  <c r="AG75" i="10"/>
  <c r="AG76" i="10" s="1"/>
  <c r="AG3" i="10" s="1"/>
  <c r="AI74" i="10"/>
  <c r="AH74" i="10"/>
  <c r="BW73" i="10"/>
  <c r="BW80" i="10" s="1"/>
  <c r="BV73" i="10"/>
  <c r="BV80" i="10" s="1"/>
  <c r="BU73" i="10"/>
  <c r="BU80" i="10" s="1"/>
  <c r="BT73" i="10"/>
  <c r="BT80" i="10" s="1"/>
  <c r="BS73" i="10"/>
  <c r="BS80" i="10" s="1"/>
  <c r="BR73" i="10"/>
  <c r="BR80" i="10" s="1"/>
  <c r="BQ73" i="10"/>
  <c r="BQ80" i="10" s="1"/>
  <c r="BP73" i="10"/>
  <c r="BP80" i="10" s="1"/>
  <c r="BO73" i="10"/>
  <c r="BO80" i="10" s="1"/>
  <c r="BN73" i="10"/>
  <c r="BN80" i="10" s="1"/>
  <c r="BM73" i="10"/>
  <c r="BM80" i="10" s="1"/>
  <c r="BL73" i="10"/>
  <c r="BL80" i="10" s="1"/>
  <c r="BK73" i="10"/>
  <c r="BK80" i="10" s="1"/>
  <c r="BJ73" i="10"/>
  <c r="BJ80" i="10" s="1"/>
  <c r="BI73" i="10"/>
  <c r="BI80" i="10" s="1"/>
  <c r="BH73" i="10"/>
  <c r="BH80" i="10" s="1"/>
  <c r="BG73" i="10"/>
  <c r="BG80" i="10" s="1"/>
  <c r="BF73" i="10"/>
  <c r="BF80" i="10" s="1"/>
  <c r="BE73" i="10"/>
  <c r="BE80" i="10" s="1"/>
  <c r="BD73" i="10"/>
  <c r="BD80" i="10" s="1"/>
  <c r="BC73" i="10"/>
  <c r="BC80" i="10" s="1"/>
  <c r="BB73" i="10"/>
  <c r="BB80" i="10" s="1"/>
  <c r="BA73" i="10"/>
  <c r="BA80" i="10" s="1"/>
  <c r="AZ73" i="10"/>
  <c r="AI73" i="10"/>
  <c r="AH73" i="10"/>
  <c r="BW72" i="10"/>
  <c r="BW79" i="10" s="1"/>
  <c r="BV72" i="10"/>
  <c r="BV79" i="10" s="1"/>
  <c r="BU72" i="10"/>
  <c r="BU79" i="10" s="1"/>
  <c r="BT72" i="10"/>
  <c r="BT79" i="10" s="1"/>
  <c r="BS72" i="10"/>
  <c r="BS79" i="10" s="1"/>
  <c r="BR72" i="10"/>
  <c r="BR79" i="10" s="1"/>
  <c r="BQ72" i="10"/>
  <c r="BQ79" i="10" s="1"/>
  <c r="BP72" i="10"/>
  <c r="BP79" i="10" s="1"/>
  <c r="BO72" i="10"/>
  <c r="BO79" i="10" s="1"/>
  <c r="BN72" i="10"/>
  <c r="BN79" i="10" s="1"/>
  <c r="BM72" i="10"/>
  <c r="BM79" i="10" s="1"/>
  <c r="BL72" i="10"/>
  <c r="BL79" i="10" s="1"/>
  <c r="BK72" i="10"/>
  <c r="BK79" i="10" s="1"/>
  <c r="BJ72" i="10"/>
  <c r="BJ79" i="10" s="1"/>
  <c r="BI72" i="10"/>
  <c r="BI79" i="10" s="1"/>
  <c r="BH72" i="10"/>
  <c r="BH79" i="10" s="1"/>
  <c r="BG72" i="10"/>
  <c r="BG79" i="10" s="1"/>
  <c r="BF72" i="10"/>
  <c r="BF79" i="10" s="1"/>
  <c r="BE72" i="10"/>
  <c r="BE79" i="10" s="1"/>
  <c r="BD72" i="10"/>
  <c r="BD79" i="10" s="1"/>
  <c r="BC72" i="10"/>
  <c r="BC79" i="10" s="1"/>
  <c r="BB72" i="10"/>
  <c r="BA72" i="10"/>
  <c r="AZ72" i="10"/>
  <c r="AZ79" i="10" s="1"/>
  <c r="AI72" i="10"/>
  <c r="AH72" i="10"/>
  <c r="BW71" i="10"/>
  <c r="BW78" i="10" s="1"/>
  <c r="BV71" i="10"/>
  <c r="BV78" i="10" s="1"/>
  <c r="BU71" i="10"/>
  <c r="BT71" i="10"/>
  <c r="BT78" i="10" s="1"/>
  <c r="BS71" i="10"/>
  <c r="BS78" i="10" s="1"/>
  <c r="BR71" i="10"/>
  <c r="BR78" i="10" s="1"/>
  <c r="BQ71" i="10"/>
  <c r="BQ78" i="10" s="1"/>
  <c r="BP71" i="10"/>
  <c r="BP78" i="10" s="1"/>
  <c r="BO71" i="10"/>
  <c r="BO78" i="10" s="1"/>
  <c r="BN71" i="10"/>
  <c r="BN78" i="10" s="1"/>
  <c r="BM71" i="10"/>
  <c r="BM78" i="10" s="1"/>
  <c r="BL71" i="10"/>
  <c r="BL78" i="10" s="1"/>
  <c r="BK71" i="10"/>
  <c r="BK78" i="10" s="1"/>
  <c r="BJ71" i="10"/>
  <c r="BJ78" i="10" s="1"/>
  <c r="BI71" i="10"/>
  <c r="BI78" i="10" s="1"/>
  <c r="BH71" i="10"/>
  <c r="BH78" i="10" s="1"/>
  <c r="BG71" i="10"/>
  <c r="BG78" i="10" s="1"/>
  <c r="BF71" i="10"/>
  <c r="BF78" i="10" s="1"/>
  <c r="BE71" i="10"/>
  <c r="BE78" i="10" s="1"/>
  <c r="BD71" i="10"/>
  <c r="BD78" i="10" s="1"/>
  <c r="BC71" i="10"/>
  <c r="BC78" i="10" s="1"/>
  <c r="BB71" i="10"/>
  <c r="BB78" i="10" s="1"/>
  <c r="BA71" i="10"/>
  <c r="BA78" i="10" s="1"/>
  <c r="AZ71" i="10"/>
  <c r="AZ78" i="10" s="1"/>
  <c r="AI71" i="10"/>
  <c r="AH71" i="10"/>
  <c r="BW70" i="10"/>
  <c r="BW77" i="10" s="1"/>
  <c r="BV70" i="10"/>
  <c r="BV77" i="10" s="1"/>
  <c r="BU70" i="10"/>
  <c r="BU77" i="10" s="1"/>
  <c r="BT70" i="10"/>
  <c r="BT77" i="10" s="1"/>
  <c r="BS70" i="10"/>
  <c r="BS77" i="10" s="1"/>
  <c r="BR70" i="10"/>
  <c r="BR77" i="10" s="1"/>
  <c r="BQ70" i="10"/>
  <c r="BQ77" i="10" s="1"/>
  <c r="BP70" i="10"/>
  <c r="BP77" i="10" s="1"/>
  <c r="BO70" i="10"/>
  <c r="BO77" i="10" s="1"/>
  <c r="BN70" i="10"/>
  <c r="BN77" i="10" s="1"/>
  <c r="BM70" i="10"/>
  <c r="BM77" i="10" s="1"/>
  <c r="BL70" i="10"/>
  <c r="BL77" i="10" s="1"/>
  <c r="BK70" i="10"/>
  <c r="BK77" i="10" s="1"/>
  <c r="BJ70" i="10"/>
  <c r="BJ77" i="10" s="1"/>
  <c r="BI70" i="10"/>
  <c r="BI77" i="10" s="1"/>
  <c r="BH70" i="10"/>
  <c r="BH77" i="10" s="1"/>
  <c r="BG70" i="10"/>
  <c r="BG77" i="10" s="1"/>
  <c r="BF70" i="10"/>
  <c r="BF77" i="10" s="1"/>
  <c r="BE70" i="10"/>
  <c r="BD70" i="10"/>
  <c r="BD77" i="10" s="1"/>
  <c r="BC70" i="10"/>
  <c r="BC77" i="10" s="1"/>
  <c r="BB70" i="10"/>
  <c r="BB77" i="10" s="1"/>
  <c r="BA70" i="10"/>
  <c r="BA77" i="10" s="1"/>
  <c r="AZ70" i="10"/>
  <c r="AZ77" i="10" s="1"/>
  <c r="AI70" i="10"/>
  <c r="AH70" i="10"/>
  <c r="BW69" i="10"/>
  <c r="BV69" i="10"/>
  <c r="BV76" i="10" s="1"/>
  <c r="BU69" i="10"/>
  <c r="BU76" i="10" s="1"/>
  <c r="BT69" i="10"/>
  <c r="BT76" i="10" s="1"/>
  <c r="BS69" i="10"/>
  <c r="BS76" i="10" s="1"/>
  <c r="BR69" i="10"/>
  <c r="BR76" i="10" s="1"/>
  <c r="BQ69" i="10"/>
  <c r="BQ76" i="10" s="1"/>
  <c r="BP69" i="10"/>
  <c r="BP76" i="10" s="1"/>
  <c r="BO69" i="10"/>
  <c r="BO76" i="10" s="1"/>
  <c r="BN69" i="10"/>
  <c r="BN76" i="10" s="1"/>
  <c r="BM69" i="10"/>
  <c r="BM76" i="10" s="1"/>
  <c r="BL69" i="10"/>
  <c r="BL76" i="10" s="1"/>
  <c r="BK69" i="10"/>
  <c r="BK76" i="10" s="1"/>
  <c r="BJ69" i="10"/>
  <c r="BJ76" i="10" s="1"/>
  <c r="BI69" i="10"/>
  <c r="BI76" i="10" s="1"/>
  <c r="BH69" i="10"/>
  <c r="BH76" i="10" s="1"/>
  <c r="BG69" i="10"/>
  <c r="BG76" i="10" s="1"/>
  <c r="BF69" i="10"/>
  <c r="BE69" i="10"/>
  <c r="BE76" i="10" s="1"/>
  <c r="BD69" i="10"/>
  <c r="BD76" i="10" s="1"/>
  <c r="BC69" i="10"/>
  <c r="BC76" i="10" s="1"/>
  <c r="BB69" i="10"/>
  <c r="BA69" i="10"/>
  <c r="BA76" i="10" s="1"/>
  <c r="AZ69" i="10"/>
  <c r="AZ76" i="10" s="1"/>
  <c r="AI69" i="10"/>
  <c r="AH69" i="10"/>
  <c r="BW68" i="10"/>
  <c r="BW75" i="10" s="1"/>
  <c r="BV68" i="10"/>
  <c r="BV75" i="10" s="1"/>
  <c r="BU68" i="10"/>
  <c r="BU75" i="10" s="1"/>
  <c r="BT68" i="10"/>
  <c r="BT75" i="10" s="1"/>
  <c r="BS68" i="10"/>
  <c r="BS75" i="10" s="1"/>
  <c r="BR68" i="10"/>
  <c r="BR75" i="10" s="1"/>
  <c r="BQ68" i="10"/>
  <c r="BQ75" i="10" s="1"/>
  <c r="BP68" i="10"/>
  <c r="BP75" i="10" s="1"/>
  <c r="BO68" i="10"/>
  <c r="BO75" i="10" s="1"/>
  <c r="BN68" i="10"/>
  <c r="BM68" i="10"/>
  <c r="BM75" i="10" s="1"/>
  <c r="BL68" i="10"/>
  <c r="BL75" i="10" s="1"/>
  <c r="BK68" i="10"/>
  <c r="BK75" i="10" s="1"/>
  <c r="BJ68" i="10"/>
  <c r="BJ75" i="10" s="1"/>
  <c r="BI68" i="10"/>
  <c r="BH68" i="10"/>
  <c r="BH75" i="10" s="1"/>
  <c r="BG68" i="10"/>
  <c r="BG75" i="10" s="1"/>
  <c r="BF68" i="10"/>
  <c r="BF75" i="10" s="1"/>
  <c r="BE68" i="10"/>
  <c r="BE75" i="10" s="1"/>
  <c r="BD68" i="10"/>
  <c r="BD75" i="10" s="1"/>
  <c r="BC68" i="10"/>
  <c r="BC75" i="10" s="1"/>
  <c r="BB68" i="10"/>
  <c r="BB75" i="10" s="1"/>
  <c r="BA68" i="10"/>
  <c r="BA75" i="10" s="1"/>
  <c r="AZ68" i="10"/>
  <c r="AZ75" i="10" s="1"/>
  <c r="AI68" i="10"/>
  <c r="AH68" i="10"/>
  <c r="AI67" i="10"/>
  <c r="AH67" i="10"/>
  <c r="AI65" i="10"/>
  <c r="AH65" i="10"/>
  <c r="AI64" i="10"/>
  <c r="AH64" i="10"/>
  <c r="AI63" i="10"/>
  <c r="AH63" i="10"/>
  <c r="AG62" i="10"/>
  <c r="BJ17" i="10"/>
  <c r="BI17" i="10"/>
  <c r="AB62" i="10"/>
  <c r="BG17" i="10" s="1"/>
  <c r="BC17" i="10"/>
  <c r="BB17" i="10"/>
  <c r="BA17" i="10"/>
  <c r="R62" i="10"/>
  <c r="AZ17" i="10" s="1"/>
  <c r="Q62" i="10"/>
  <c r="P62" i="10"/>
  <c r="O62" i="10"/>
  <c r="N62" i="10"/>
  <c r="M62" i="10"/>
  <c r="AU17" i="10" s="1"/>
  <c r="AT17" i="10"/>
  <c r="J62" i="10"/>
  <c r="I62" i="10"/>
  <c r="H62" i="10"/>
  <c r="G62" i="10"/>
  <c r="F62" i="10"/>
  <c r="AQ17" i="10" s="1"/>
  <c r="E62" i="10"/>
  <c r="AP17" i="10" s="1"/>
  <c r="AI61" i="10"/>
  <c r="AH61" i="10"/>
  <c r="AI60" i="10"/>
  <c r="AH60" i="10"/>
  <c r="AI59" i="10"/>
  <c r="AH59" i="10"/>
  <c r="AG58" i="10"/>
  <c r="AB58" i="10"/>
  <c r="BG16" i="10" s="1"/>
  <c r="AA7" i="10"/>
  <c r="Y7" i="10"/>
  <c r="S7" i="10"/>
  <c r="R58" i="10"/>
  <c r="AW16" i="10"/>
  <c r="N58" i="10"/>
  <c r="M58" i="10"/>
  <c r="J58" i="10"/>
  <c r="I58" i="10"/>
  <c r="H58" i="10"/>
  <c r="G58" i="10"/>
  <c r="AR16" i="10" s="1"/>
  <c r="F58" i="10"/>
  <c r="E58" i="10"/>
  <c r="AP16" i="10" s="1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BJ23" i="10"/>
  <c r="BB23" i="10"/>
  <c r="BA23" i="10"/>
  <c r="AN23" i="10"/>
  <c r="AM23" i="10"/>
  <c r="AI23" i="10"/>
  <c r="AH23" i="10"/>
  <c r="AI22" i="10"/>
  <c r="AH22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I21" i="10"/>
  <c r="AH21" i="10"/>
  <c r="BJ20" i="10"/>
  <c r="BI20" i="10"/>
  <c r="BH20" i="10"/>
  <c r="BG20" i="10"/>
  <c r="BF20" i="10"/>
  <c r="BE20" i="10"/>
  <c r="BD20" i="10"/>
  <c r="BB20" i="10"/>
  <c r="AZ20" i="10"/>
  <c r="AY20" i="10"/>
  <c r="AX20" i="10"/>
  <c r="AW20" i="10"/>
  <c r="AV20" i="10"/>
  <c r="AT20" i="10"/>
  <c r="AS20" i="10"/>
  <c r="AR20" i="10"/>
  <c r="AQ20" i="10"/>
  <c r="AP20" i="10"/>
  <c r="AM20" i="10"/>
  <c r="AI20" i="10"/>
  <c r="AH20" i="10"/>
  <c r="BJ19" i="10"/>
  <c r="BI19" i="10"/>
  <c r="BH19" i="10"/>
  <c r="BG19" i="10"/>
  <c r="BF19" i="10"/>
  <c r="BE19" i="10"/>
  <c r="BD19" i="10"/>
  <c r="BC19" i="10"/>
  <c r="BB19" i="10"/>
  <c r="BA19" i="10"/>
  <c r="AS19" i="10"/>
  <c r="AO19" i="10"/>
  <c r="AM19" i="10"/>
  <c r="AI19" i="10"/>
  <c r="AH19" i="10"/>
  <c r="BJ18" i="10"/>
  <c r="BG18" i="10"/>
  <c r="BE18" i="10"/>
  <c r="BD18" i="10"/>
  <c r="BC18" i="10"/>
  <c r="BB18" i="10"/>
  <c r="BA18" i="10"/>
  <c r="AY18" i="10"/>
  <c r="AS18" i="10"/>
  <c r="AO18" i="10"/>
  <c r="AN18" i="10"/>
  <c r="AI18" i="10"/>
  <c r="AH18" i="10"/>
  <c r="BH17" i="10"/>
  <c r="BF17" i="10"/>
  <c r="BE17" i="10"/>
  <c r="BD17" i="10"/>
  <c r="AY17" i="10"/>
  <c r="AX17" i="10"/>
  <c r="AW17" i="10"/>
  <c r="AV17" i="10"/>
  <c r="AS17" i="10"/>
  <c r="AR17" i="10"/>
  <c r="AN17" i="10"/>
  <c r="AM17" i="10"/>
  <c r="AI17" i="10"/>
  <c r="AH17" i="10"/>
  <c r="BJ16" i="10"/>
  <c r="BI16" i="10"/>
  <c r="BH16" i="10"/>
  <c r="BF16" i="10"/>
  <c r="BE16" i="10"/>
  <c r="BB16" i="10"/>
  <c r="BA16" i="10"/>
  <c r="AZ16" i="10"/>
  <c r="AY16" i="10"/>
  <c r="AX16" i="10"/>
  <c r="AS16" i="10"/>
  <c r="AM16" i="10"/>
  <c r="AI16" i="10"/>
  <c r="AH16" i="10"/>
  <c r="AI15" i="10"/>
  <c r="AH15" i="10"/>
  <c r="AI14" i="10"/>
  <c r="AH14" i="10"/>
  <c r="AI13" i="10"/>
  <c r="AH13" i="10"/>
  <c r="AL12" i="10"/>
  <c r="AI12" i="10"/>
  <c r="AH12" i="10"/>
  <c r="AI11" i="10"/>
  <c r="AH11" i="10"/>
  <c r="X7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P5" i="10"/>
  <c r="L5" i="10"/>
  <c r="H5" i="10"/>
  <c r="C5" i="10"/>
  <c r="B5" i="10"/>
  <c r="AG4" i="10"/>
  <c r="AG6" i="10" s="1"/>
  <c r="K4" i="10"/>
  <c r="E4" i="10"/>
  <c r="H4" i="10" s="1"/>
  <c r="B4" i="10"/>
  <c r="D258" i="10" s="1"/>
  <c r="AG2" i="10"/>
  <c r="AF58" i="9"/>
  <c r="AF62" i="9"/>
  <c r="AF76" i="9"/>
  <c r="AF80" i="9"/>
  <c r="AF92" i="9"/>
  <c r="AF108" i="9" s="1"/>
  <c r="AF101" i="9"/>
  <c r="AF102" i="9"/>
  <c r="AF103" i="9"/>
  <c r="AF104" i="9"/>
  <c r="AF105" i="9"/>
  <c r="AF118" i="9"/>
  <c r="AE58" i="9"/>
  <c r="AE62" i="9"/>
  <c r="AE76" i="9"/>
  <c r="AE80" i="9"/>
  <c r="AE92" i="9"/>
  <c r="AE97" i="9" s="1"/>
  <c r="AE99" i="9" s="1"/>
  <c r="AE100" i="9" s="1"/>
  <c r="AE101" i="9"/>
  <c r="AE102" i="9"/>
  <c r="AE103" i="9"/>
  <c r="AE104" i="9"/>
  <c r="AE105" i="9"/>
  <c r="AE118" i="9"/>
  <c r="AD58" i="9"/>
  <c r="AD62" i="9"/>
  <c r="AD76" i="9"/>
  <c r="AD80" i="9"/>
  <c r="AD92" i="9"/>
  <c r="AD101" i="9"/>
  <c r="AD102" i="9"/>
  <c r="AD103" i="9"/>
  <c r="AD104" i="9"/>
  <c r="AD105" i="9"/>
  <c r="AD118" i="9"/>
  <c r="AC58" i="9"/>
  <c r="AC62" i="9"/>
  <c r="AC76" i="9"/>
  <c r="AC80" i="9"/>
  <c r="AC92" i="9"/>
  <c r="AC101" i="9"/>
  <c r="AC102" i="9"/>
  <c r="AC103" i="9"/>
  <c r="AC104" i="9"/>
  <c r="AC105" i="9"/>
  <c r="AC107" i="9"/>
  <c r="AC118" i="9"/>
  <c r="AB121" i="9"/>
  <c r="AA118" i="9"/>
  <c r="AA105" i="9"/>
  <c r="AA104" i="9"/>
  <c r="AA103" i="9"/>
  <c r="AA102" i="9"/>
  <c r="AA101" i="9"/>
  <c r="AA107" i="9" s="1"/>
  <c r="AA92" i="9"/>
  <c r="AA80" i="9"/>
  <c r="AA76" i="9"/>
  <c r="AA62" i="9"/>
  <c r="AA58" i="9"/>
  <c r="BJ22" i="10" l="1"/>
  <c r="BJ24" i="10" s="1"/>
  <c r="AB107" i="10"/>
  <c r="BG23" i="10" s="1"/>
  <c r="BG22" i="10"/>
  <c r="BF22" i="10"/>
  <c r="BF24" i="10" s="1"/>
  <c r="BE22" i="10"/>
  <c r="BB22" i="10"/>
  <c r="BB24" i="10" s="1"/>
  <c r="Q5" i="10"/>
  <c r="R107" i="10"/>
  <c r="R108" i="10" s="1"/>
  <c r="AW19" i="10"/>
  <c r="AX19" i="10"/>
  <c r="AX22" i="10" s="1"/>
  <c r="P107" i="10"/>
  <c r="AX23" i="10" s="1"/>
  <c r="Q107" i="10"/>
  <c r="AY23" i="10" s="1"/>
  <c r="Q97" i="10"/>
  <c r="Q99" i="10" s="1"/>
  <c r="AY22" i="10"/>
  <c r="AY24" i="10" s="1"/>
  <c r="AW22" i="10"/>
  <c r="P97" i="10"/>
  <c r="P99" i="10" s="1"/>
  <c r="P100" i="10" s="1"/>
  <c r="P7" i="10" s="1"/>
  <c r="M5" i="10"/>
  <c r="M107" i="10"/>
  <c r="AU23" i="10" s="1"/>
  <c r="J5" i="10"/>
  <c r="K107" i="10"/>
  <c r="AT23" i="10" s="1"/>
  <c r="K108" i="10"/>
  <c r="AH102" i="10"/>
  <c r="L107" i="10"/>
  <c r="AT18" i="10"/>
  <c r="K97" i="10"/>
  <c r="K99" i="10" s="1"/>
  <c r="K100" i="10" s="1"/>
  <c r="K7" i="10" s="1"/>
  <c r="AH66" i="10"/>
  <c r="AI66" i="10"/>
  <c r="J108" i="10"/>
  <c r="I5" i="10"/>
  <c r="I108" i="10"/>
  <c r="AS23" i="10"/>
  <c r="I97" i="10"/>
  <c r="I99" i="10" s="1"/>
  <c r="I100" i="10" s="1"/>
  <c r="I7" i="10" s="1"/>
  <c r="F5" i="10"/>
  <c r="AR22" i="10"/>
  <c r="E5" i="10"/>
  <c r="F97" i="10"/>
  <c r="F99" i="10" s="1"/>
  <c r="AH76" i="10"/>
  <c r="AQ16" i="10"/>
  <c r="AQ22" i="10" s="1"/>
  <c r="E107" i="10"/>
  <c r="AP23" i="10" s="1"/>
  <c r="AP19" i="10"/>
  <c r="AP18" i="10"/>
  <c r="AI76" i="10"/>
  <c r="AI62" i="10"/>
  <c r="D97" i="10"/>
  <c r="D99" i="10" s="1"/>
  <c r="D100" i="10" s="1"/>
  <c r="C108" i="10"/>
  <c r="C97" i="10"/>
  <c r="C99" i="10" s="1"/>
  <c r="C100" i="10" s="1"/>
  <c r="AI92" i="10"/>
  <c r="B97" i="10"/>
  <c r="B99" i="10" s="1"/>
  <c r="B100" i="10" s="1"/>
  <c r="AP22" i="10"/>
  <c r="AP24" i="10" s="1"/>
  <c r="T7" i="10"/>
  <c r="M97" i="10"/>
  <c r="M99" i="10" s="1"/>
  <c r="M100" i="10" s="1"/>
  <c r="M7" i="10" s="1"/>
  <c r="AU16" i="10"/>
  <c r="AU22" i="10" s="1"/>
  <c r="AU24" i="10" s="1"/>
  <c r="AS22" i="10"/>
  <c r="N97" i="10"/>
  <c r="N99" i="10" s="1"/>
  <c r="AV16" i="10"/>
  <c r="AV22" i="10" s="1"/>
  <c r="BD16" i="10"/>
  <c r="BD22" i="10" s="1"/>
  <c r="H107" i="10"/>
  <c r="H108" i="10" s="1"/>
  <c r="AH101" i="10"/>
  <c r="BE23" i="10"/>
  <c r="BE24" i="10" s="1"/>
  <c r="Q108" i="10"/>
  <c r="C7" i="10"/>
  <c r="AN16" i="10"/>
  <c r="AN22" i="10" s="1"/>
  <c r="AN24" i="10" s="1"/>
  <c r="D7" i="10"/>
  <c r="AO16" i="10"/>
  <c r="E97" i="10"/>
  <c r="E99" i="10" s="1"/>
  <c r="E100" i="10" s="1"/>
  <c r="E7" i="10" s="1"/>
  <c r="AI80" i="10"/>
  <c r="AN20" i="10"/>
  <c r="AT16" i="10"/>
  <c r="AT22" i="10" s="1"/>
  <c r="AT24" i="10" s="1"/>
  <c r="G97" i="10"/>
  <c r="G99" i="10" s="1"/>
  <c r="BG84" i="10" a="1"/>
  <c r="L97" i="10"/>
  <c r="L99" i="10" s="1"/>
  <c r="L100" i="10" s="1"/>
  <c r="L7" i="10" s="1"/>
  <c r="AC7" i="10"/>
  <c r="AO17" i="10"/>
  <c r="BH22" i="10"/>
  <c r="BH24" i="10" s="1"/>
  <c r="AM18" i="10"/>
  <c r="AM22" i="10" s="1"/>
  <c r="H97" i="10"/>
  <c r="H99" i="10" s="1"/>
  <c r="O97" i="10"/>
  <c r="O99" i="10" s="1"/>
  <c r="AH103" i="10"/>
  <c r="BI22" i="10"/>
  <c r="AH62" i="10"/>
  <c r="BA22" i="10"/>
  <c r="BA24" i="10" s="1"/>
  <c r="AB97" i="10"/>
  <c r="AB99" i="10" s="1"/>
  <c r="AB100" i="10" s="1"/>
  <c r="AB7" i="10" s="1"/>
  <c r="D252" i="10"/>
  <c r="E246" i="10"/>
  <c r="U7" i="10"/>
  <c r="BC16" i="10"/>
  <c r="BC22" i="10" s="1"/>
  <c r="BC24" i="10" s="1"/>
  <c r="AZ22" i="10"/>
  <c r="AI58" i="10"/>
  <c r="F107" i="10"/>
  <c r="AQ23" i="10" s="1"/>
  <c r="N107" i="10"/>
  <c r="AV23" i="10" s="1"/>
  <c r="BD23" i="10"/>
  <c r="BH23" i="10"/>
  <c r="AH92" i="10"/>
  <c r="AG99" i="10"/>
  <c r="G107" i="10"/>
  <c r="AR23" i="10" s="1"/>
  <c r="O107" i="10"/>
  <c r="AW23" i="10" s="1"/>
  <c r="AW24" i="10" s="1"/>
  <c r="W7" i="10"/>
  <c r="BI23" i="10"/>
  <c r="L108" i="10"/>
  <c r="AB108" i="10"/>
  <c r="AI105" i="10"/>
  <c r="AL13" i="10"/>
  <c r="E108" i="10"/>
  <c r="M108" i="10"/>
  <c r="AI101" i="10"/>
  <c r="AI104" i="10"/>
  <c r="J97" i="10"/>
  <c r="J99" i="10" s="1"/>
  <c r="J100" i="10" s="1"/>
  <c r="J7" i="10" s="1"/>
  <c r="R97" i="10"/>
  <c r="R99" i="10" s="1"/>
  <c r="R100" i="10" s="1"/>
  <c r="R7" i="10" s="1"/>
  <c r="Z7" i="10"/>
  <c r="AH58" i="10"/>
  <c r="AH80" i="10"/>
  <c r="AI102" i="10"/>
  <c r="AI103" i="10"/>
  <c r="AH104" i="10"/>
  <c r="AH105" i="10"/>
  <c r="AF97" i="9"/>
  <c r="AF99" i="9" s="1"/>
  <c r="AF100" i="9" s="1"/>
  <c r="AE108" i="9"/>
  <c r="AD108" i="9"/>
  <c r="AD97" i="9"/>
  <c r="AD99" i="9" s="1"/>
  <c r="AC97" i="9"/>
  <c r="AC99" i="9" s="1"/>
  <c r="AC100" i="9" s="1"/>
  <c r="AC108" i="9"/>
  <c r="AA97" i="9"/>
  <c r="AA99" i="9" s="1"/>
  <c r="AA100" i="9" s="1"/>
  <c r="AA108" i="9"/>
  <c r="BI24" i="10" l="1"/>
  <c r="BG24" i="10"/>
  <c r="BD24" i="10"/>
  <c r="AZ23" i="10"/>
  <c r="AZ24" i="10" s="1"/>
  <c r="P108" i="10"/>
  <c r="Q100" i="10"/>
  <c r="Q7" i="10" s="1"/>
  <c r="AX24" i="10"/>
  <c r="AS24" i="10"/>
  <c r="AR24" i="10"/>
  <c r="AQ24" i="10"/>
  <c r="V7" i="10"/>
  <c r="BJ107" i="10"/>
  <c r="BH106" i="10"/>
  <c r="BL104" i="10"/>
  <c r="BJ103" i="10"/>
  <c r="BH102" i="10"/>
  <c r="BL100" i="10"/>
  <c r="BJ99" i="10"/>
  <c r="BH98" i="10"/>
  <c r="BL96" i="10"/>
  <c r="BJ95" i="10"/>
  <c r="BH94" i="10"/>
  <c r="BL92" i="10"/>
  <c r="BJ91" i="10"/>
  <c r="BH90" i="10"/>
  <c r="BL88" i="10"/>
  <c r="BJ87" i="10"/>
  <c r="BH86" i="10"/>
  <c r="BL84" i="10"/>
  <c r="BH107" i="10"/>
  <c r="BL105" i="10"/>
  <c r="BJ104" i="10"/>
  <c r="BH103" i="10"/>
  <c r="BL101" i="10"/>
  <c r="BJ100" i="10"/>
  <c r="BH99" i="10"/>
  <c r="BL97" i="10"/>
  <c r="BJ96" i="10"/>
  <c r="BH95" i="10"/>
  <c r="BL93" i="10"/>
  <c r="BJ92" i="10"/>
  <c r="BH91" i="10"/>
  <c r="BL89" i="10"/>
  <c r="BJ88" i="10"/>
  <c r="BH87" i="10"/>
  <c r="BL85" i="10"/>
  <c r="BJ84" i="10"/>
  <c r="BG107" i="10"/>
  <c r="BK105" i="10"/>
  <c r="BI104" i="10"/>
  <c r="BG103" i="10"/>
  <c r="BK101" i="10"/>
  <c r="BI100" i="10"/>
  <c r="BG99" i="10"/>
  <c r="BK97" i="10"/>
  <c r="BI96" i="10"/>
  <c r="BG95" i="10"/>
  <c r="BK93" i="10"/>
  <c r="BI92" i="10"/>
  <c r="BG91" i="10"/>
  <c r="BK89" i="10"/>
  <c r="BI88" i="10"/>
  <c r="BG87" i="10"/>
  <c r="BK85" i="10"/>
  <c r="BI84" i="10"/>
  <c r="BL106" i="10"/>
  <c r="BJ105" i="10"/>
  <c r="BH104" i="10"/>
  <c r="BL102" i="10"/>
  <c r="BJ101" i="10"/>
  <c r="BH100" i="10"/>
  <c r="BL98" i="10"/>
  <c r="BJ97" i="10"/>
  <c r="BH96" i="10"/>
  <c r="BL94" i="10"/>
  <c r="BJ93" i="10"/>
  <c r="BH92" i="10"/>
  <c r="BL90" i="10"/>
  <c r="BJ89" i="10"/>
  <c r="BH88" i="10"/>
  <c r="BL86" i="10"/>
  <c r="BJ85" i="10"/>
  <c r="BH84" i="10"/>
  <c r="BI106" i="10"/>
  <c r="BK103" i="10"/>
  <c r="BG101" i="10"/>
  <c r="BI98" i="10"/>
  <c r="BK95" i="10"/>
  <c r="BG93" i="10"/>
  <c r="BI90" i="10"/>
  <c r="BK87" i="10"/>
  <c r="BG85" i="10"/>
  <c r="BG106" i="10"/>
  <c r="BI103" i="10"/>
  <c r="BK100" i="10"/>
  <c r="BG98" i="10"/>
  <c r="BI95" i="10"/>
  <c r="BK92" i="10"/>
  <c r="BG90" i="10"/>
  <c r="BI87" i="10"/>
  <c r="BK84" i="10"/>
  <c r="BI105" i="10"/>
  <c r="BK102" i="10"/>
  <c r="BG100" i="10"/>
  <c r="BI97" i="10"/>
  <c r="BK94" i="10"/>
  <c r="BG92" i="10"/>
  <c r="BI89" i="10"/>
  <c r="BK86" i="10"/>
  <c r="BG84" i="10"/>
  <c r="BK107" i="10"/>
  <c r="BG105" i="10"/>
  <c r="BI102" i="10"/>
  <c r="BK99" i="10"/>
  <c r="BG97" i="10"/>
  <c r="BI94" i="10"/>
  <c r="BK91" i="10"/>
  <c r="BG89" i="10"/>
  <c r="BI86" i="10"/>
  <c r="BI107" i="10"/>
  <c r="BK104" i="10"/>
  <c r="BG102" i="10"/>
  <c r="BI99" i="10"/>
  <c r="BK96" i="10"/>
  <c r="BG94" i="10"/>
  <c r="BI91" i="10"/>
  <c r="BK88" i="10"/>
  <c r="BG86" i="10"/>
  <c r="BG104" i="10"/>
  <c r="BH97" i="10"/>
  <c r="BJ90" i="10"/>
  <c r="BL99" i="10"/>
  <c r="BL103" i="10"/>
  <c r="BG96" i="10"/>
  <c r="BH89" i="10"/>
  <c r="BJ102" i="10"/>
  <c r="BL95" i="10"/>
  <c r="BG88" i="10"/>
  <c r="BH93" i="10"/>
  <c r="BL91" i="10"/>
  <c r="BH105" i="10"/>
  <c r="BJ98" i="10"/>
  <c r="BK90" i="10"/>
  <c r="BI101" i="10"/>
  <c r="BJ94" i="10"/>
  <c r="BL87" i="10"/>
  <c r="BK106" i="10"/>
  <c r="BI85" i="10"/>
  <c r="BJ106" i="10"/>
  <c r="BH85" i="10"/>
  <c r="BL107" i="10"/>
  <c r="BH101" i="10"/>
  <c r="BI93" i="10"/>
  <c r="BJ86" i="10"/>
  <c r="BK98" i="10"/>
  <c r="AV24" i="10"/>
  <c r="AI97" i="10"/>
  <c r="AH97" i="10"/>
  <c r="F246" i="10"/>
  <c r="E252" i="10"/>
  <c r="E118" i="10"/>
  <c r="N108" i="10"/>
  <c r="F108" i="10"/>
  <c r="O108" i="10"/>
  <c r="AI107" i="10"/>
  <c r="AD7" i="10"/>
  <c r="G108" i="10"/>
  <c r="O100" i="10"/>
  <c r="O7" i="10" s="1"/>
  <c r="AE7" i="10"/>
  <c r="AH107" i="10"/>
  <c r="N100" i="10"/>
  <c r="N7" i="10" s="1"/>
  <c r="H100" i="10"/>
  <c r="H7" i="10" s="1"/>
  <c r="C256" i="10"/>
  <c r="G100" i="10"/>
  <c r="G7" i="10" s="1"/>
  <c r="B256" i="10"/>
  <c r="AO22" i="10"/>
  <c r="AO24" i="10" s="1"/>
  <c r="F100" i="10"/>
  <c r="F7" i="10" s="1"/>
  <c r="AM24" i="10"/>
  <c r="AD100" i="9"/>
  <c r="Y58" i="9"/>
  <c r="Y62" i="9"/>
  <c r="U57" i="9"/>
  <c r="AI108" i="10" l="1"/>
  <c r="K6" i="10"/>
  <c r="AH108" i="10"/>
  <c r="G246" i="10"/>
  <c r="F118" i="10"/>
  <c r="F252" i="10"/>
  <c r="AH99" i="10"/>
  <c r="AI99" i="10"/>
  <c r="AT9" i="10"/>
  <c r="AT8" i="10"/>
  <c r="B7" i="10" l="1"/>
  <c r="A7" i="10" s="1"/>
  <c r="AI100" i="10"/>
  <c r="AH100" i="10"/>
  <c r="H246" i="10"/>
  <c r="G252" i="10"/>
  <c r="G118" i="10"/>
  <c r="AI121" i="9"/>
  <c r="J121" i="9"/>
  <c r="H121" i="9"/>
  <c r="G121" i="9"/>
  <c r="F121" i="9"/>
  <c r="E121" i="9"/>
  <c r="D121" i="9"/>
  <c r="AH121" i="9" s="1"/>
  <c r="D57" i="9"/>
  <c r="C58" i="9"/>
  <c r="AN16" i="9" s="1"/>
  <c r="D58" i="9"/>
  <c r="AO16" i="9" s="1"/>
  <c r="C62" i="9"/>
  <c r="AN17" i="9" s="1"/>
  <c r="D62" i="9"/>
  <c r="AO17" i="9" s="1"/>
  <c r="C76" i="9"/>
  <c r="D76" i="9"/>
  <c r="AO18" i="9" s="1"/>
  <c r="C80" i="9"/>
  <c r="D80" i="9"/>
  <c r="AH125" i="9"/>
  <c r="AI125" i="9"/>
  <c r="AH124" i="9"/>
  <c r="AI124" i="9"/>
  <c r="B121" i="9"/>
  <c r="B80" i="9"/>
  <c r="B76" i="9"/>
  <c r="B62" i="9"/>
  <c r="AM17" i="9" s="1"/>
  <c r="B58" i="9"/>
  <c r="AM16" i="9" s="1"/>
  <c r="B57" i="9"/>
  <c r="AG252" i="9"/>
  <c r="C252" i="9"/>
  <c r="D251" i="9"/>
  <c r="E251" i="9" s="1"/>
  <c r="F251" i="9" s="1"/>
  <c r="G251" i="9" s="1"/>
  <c r="H251" i="9" s="1"/>
  <c r="I251" i="9" s="1"/>
  <c r="J251" i="9" s="1"/>
  <c r="K251" i="9" s="1"/>
  <c r="L251" i="9" s="1"/>
  <c r="M251" i="9" s="1"/>
  <c r="N251" i="9" s="1"/>
  <c r="O251" i="9" s="1"/>
  <c r="P251" i="9" s="1"/>
  <c r="Q251" i="9" s="1"/>
  <c r="R251" i="9" s="1"/>
  <c r="S251" i="9" s="1"/>
  <c r="T251" i="9" s="1"/>
  <c r="U251" i="9" s="1"/>
  <c r="V251" i="9" s="1"/>
  <c r="W251" i="9" s="1"/>
  <c r="X251" i="9" s="1"/>
  <c r="Y251" i="9" s="1"/>
  <c r="Z251" i="9" s="1"/>
  <c r="AA251" i="9" s="1"/>
  <c r="AB251" i="9" s="1"/>
  <c r="AC251" i="9" s="1"/>
  <c r="AD251" i="9" s="1"/>
  <c r="AE251" i="9" s="1"/>
  <c r="AF251" i="9" s="1"/>
  <c r="B251" i="9" s="1"/>
  <c r="G250" i="9"/>
  <c r="H250" i="9" s="1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50" i="9" s="1"/>
  <c r="T250" i="9" s="1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AE250" i="9" s="1"/>
  <c r="AF250" i="9" s="1"/>
  <c r="B250" i="9" s="1"/>
  <c r="D250" i="9"/>
  <c r="E250" i="9" s="1"/>
  <c r="F250" i="9" s="1"/>
  <c r="I249" i="9"/>
  <c r="J249" i="9" s="1"/>
  <c r="K249" i="9" s="1"/>
  <c r="L249" i="9" s="1"/>
  <c r="M249" i="9" s="1"/>
  <c r="N249" i="9" s="1"/>
  <c r="O249" i="9" s="1"/>
  <c r="P249" i="9" s="1"/>
  <c r="Q249" i="9" s="1"/>
  <c r="R249" i="9" s="1"/>
  <c r="S249" i="9" s="1"/>
  <c r="T249" i="9" s="1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E249" i="9" s="1"/>
  <c r="AF249" i="9" s="1"/>
  <c r="B249" i="9" s="1"/>
  <c r="E249" i="9"/>
  <c r="F249" i="9" s="1"/>
  <c r="G249" i="9" s="1"/>
  <c r="H249" i="9" s="1"/>
  <c r="D249" i="9"/>
  <c r="E248" i="9"/>
  <c r="F248" i="9" s="1"/>
  <c r="G248" i="9" s="1"/>
  <c r="H248" i="9" s="1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S248" i="9" s="1"/>
  <c r="T248" i="9" s="1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AE248" i="9" s="1"/>
  <c r="AF248" i="9" s="1"/>
  <c r="B248" i="9" s="1"/>
  <c r="D248" i="9"/>
  <c r="I247" i="9"/>
  <c r="J247" i="9" s="1"/>
  <c r="K247" i="9" s="1"/>
  <c r="L247" i="9" s="1"/>
  <c r="M247" i="9" s="1"/>
  <c r="N247" i="9" s="1"/>
  <c r="O247" i="9" s="1"/>
  <c r="P247" i="9" s="1"/>
  <c r="Q247" i="9" s="1"/>
  <c r="R247" i="9" s="1"/>
  <c r="S247" i="9" s="1"/>
  <c r="T247" i="9" s="1"/>
  <c r="U247" i="9" s="1"/>
  <c r="V247" i="9" s="1"/>
  <c r="W247" i="9" s="1"/>
  <c r="X247" i="9" s="1"/>
  <c r="Y247" i="9" s="1"/>
  <c r="Z247" i="9" s="1"/>
  <c r="AA247" i="9" s="1"/>
  <c r="AB247" i="9" s="1"/>
  <c r="AC247" i="9" s="1"/>
  <c r="AD247" i="9" s="1"/>
  <c r="AE247" i="9" s="1"/>
  <c r="AF247" i="9" s="1"/>
  <c r="B247" i="9" s="1"/>
  <c r="D247" i="9"/>
  <c r="E247" i="9" s="1"/>
  <c r="F247" i="9" s="1"/>
  <c r="G247" i="9" s="1"/>
  <c r="H247" i="9" s="1"/>
  <c r="D246" i="9"/>
  <c r="AG244" i="9"/>
  <c r="AF244" i="9"/>
  <c r="AE244" i="9"/>
  <c r="AD244" i="9"/>
  <c r="AC244" i="9"/>
  <c r="AB244" i="9"/>
  <c r="AA244" i="9"/>
  <c r="Z244" i="9"/>
  <c r="Z118" i="9" s="1"/>
  <c r="Y244" i="9"/>
  <c r="Y118" i="9" s="1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I130" i="9"/>
  <c r="AH130" i="9"/>
  <c r="AI129" i="9"/>
  <c r="AH129" i="9"/>
  <c r="AI128" i="9"/>
  <c r="AH128" i="9"/>
  <c r="AI127" i="9"/>
  <c r="AH127" i="9"/>
  <c r="AI126" i="9"/>
  <c r="AH126" i="9"/>
  <c r="AI123" i="9"/>
  <c r="AH123" i="9"/>
  <c r="AI122" i="9"/>
  <c r="AH122" i="9"/>
  <c r="AI120" i="9"/>
  <c r="AH120" i="9"/>
  <c r="AI119" i="9"/>
  <c r="AH119" i="9"/>
  <c r="C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I106" i="9"/>
  <c r="AH106" i="9"/>
  <c r="AB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B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B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B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B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I98" i="9"/>
  <c r="AH98" i="9"/>
  <c r="AI96" i="9"/>
  <c r="AH96" i="9"/>
  <c r="AG96" i="9"/>
  <c r="AI95" i="9"/>
  <c r="AH95" i="9"/>
  <c r="AI94" i="9"/>
  <c r="AH94" i="9"/>
  <c r="AI93" i="9"/>
  <c r="AH93" i="9"/>
  <c r="AG92" i="9"/>
  <c r="BH19" i="9"/>
  <c r="AB92" i="9"/>
  <c r="Z92" i="9"/>
  <c r="Y5" i="9" s="1"/>
  <c r="Y92" i="9"/>
  <c r="X5" i="9" s="1"/>
  <c r="X92" i="9"/>
  <c r="W92" i="9"/>
  <c r="V92" i="9"/>
  <c r="U5" i="9" s="1"/>
  <c r="U92" i="9"/>
  <c r="T92" i="9"/>
  <c r="S5" i="9" s="1"/>
  <c r="S92" i="9"/>
  <c r="BA19" i="9" s="1"/>
  <c r="R92" i="9"/>
  <c r="Q5" i="9" s="1"/>
  <c r="Q92" i="9"/>
  <c r="AY19" i="9" s="1"/>
  <c r="P92" i="9"/>
  <c r="AX19" i="9" s="1"/>
  <c r="O92" i="9"/>
  <c r="N92" i="9"/>
  <c r="AV19" i="9" s="1"/>
  <c r="M92" i="9"/>
  <c r="AU19" i="9" s="1"/>
  <c r="L92" i="9"/>
  <c r="K5" i="9" s="1"/>
  <c r="K92" i="9"/>
  <c r="AT19" i="9" s="1"/>
  <c r="J92" i="9"/>
  <c r="I5" i="9" s="1"/>
  <c r="I92" i="9"/>
  <c r="H5" i="9" s="1"/>
  <c r="H92" i="9"/>
  <c r="G92" i="9"/>
  <c r="F92" i="9"/>
  <c r="AQ19" i="9" s="1"/>
  <c r="E92" i="9"/>
  <c r="D92" i="9"/>
  <c r="AO19" i="9" s="1"/>
  <c r="C92" i="9"/>
  <c r="AN19" i="9" s="1"/>
  <c r="B92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I81" i="9"/>
  <c r="AH81" i="9"/>
  <c r="AG80" i="9"/>
  <c r="BH20" i="9"/>
  <c r="AB80" i="9"/>
  <c r="BG20" i="9" s="1"/>
  <c r="Z80" i="9"/>
  <c r="Y80" i="9"/>
  <c r="X80" i="9"/>
  <c r="BE20" i="9" s="1"/>
  <c r="W80" i="9"/>
  <c r="V80" i="9"/>
  <c r="BD20" i="9" s="1"/>
  <c r="U80" i="9"/>
  <c r="BC20" i="9" s="1"/>
  <c r="T80" i="9"/>
  <c r="S80" i="9"/>
  <c r="BA20" i="9" s="1"/>
  <c r="R80" i="9"/>
  <c r="AZ20" i="9" s="1"/>
  <c r="Q80" i="9"/>
  <c r="P80" i="9"/>
  <c r="AX20" i="9" s="1"/>
  <c r="O80" i="9"/>
  <c r="AW20" i="9" s="1"/>
  <c r="N80" i="9"/>
  <c r="AV20" i="9" s="1"/>
  <c r="M80" i="9"/>
  <c r="AU20" i="9" s="1"/>
  <c r="L80" i="9"/>
  <c r="K80" i="9"/>
  <c r="AT20" i="9" s="1"/>
  <c r="J80" i="9"/>
  <c r="I80" i="9"/>
  <c r="H80" i="9"/>
  <c r="G80" i="9"/>
  <c r="F80" i="9"/>
  <c r="AQ20" i="9" s="1"/>
  <c r="E80" i="9"/>
  <c r="AP20" i="9" s="1"/>
  <c r="BT79" i="9"/>
  <c r="AI79" i="9"/>
  <c r="AH79" i="9"/>
  <c r="BS78" i="9"/>
  <c r="AI78" i="9"/>
  <c r="AH78" i="9"/>
  <c r="BN77" i="9"/>
  <c r="BE77" i="9"/>
  <c r="AI77" i="9"/>
  <c r="AH77" i="9"/>
  <c r="BW76" i="9"/>
  <c r="BP76" i="9"/>
  <c r="BJ18" i="9"/>
  <c r="BH18" i="9"/>
  <c r="AB76" i="9"/>
  <c r="BG18" i="9" s="1"/>
  <c r="Z76" i="9"/>
  <c r="BF18" i="9" s="1"/>
  <c r="Y76" i="9"/>
  <c r="X76" i="9"/>
  <c r="BE18" i="9" s="1"/>
  <c r="W76" i="9"/>
  <c r="V76" i="9"/>
  <c r="U76" i="9"/>
  <c r="BC18" i="9" s="1"/>
  <c r="T76" i="9"/>
  <c r="BB18" i="9" s="1"/>
  <c r="S76" i="9"/>
  <c r="R76" i="9"/>
  <c r="Q76" i="9"/>
  <c r="P76" i="9"/>
  <c r="AX18" i="9" s="1"/>
  <c r="O76" i="9"/>
  <c r="N76" i="9"/>
  <c r="AV18" i="9" s="1"/>
  <c r="M76" i="9"/>
  <c r="AU18" i="9" s="1"/>
  <c r="L76" i="9"/>
  <c r="K76" i="9"/>
  <c r="AT18" i="9" s="1"/>
  <c r="J76" i="9"/>
  <c r="I76" i="9"/>
  <c r="H76" i="9"/>
  <c r="G76" i="9"/>
  <c r="AR18" i="9" s="1"/>
  <c r="F76" i="9"/>
  <c r="AQ18" i="9" s="1"/>
  <c r="E76" i="9"/>
  <c r="BI75" i="9"/>
  <c r="BA75" i="9"/>
  <c r="AI75" i="9"/>
  <c r="AH75" i="9"/>
  <c r="AG75" i="9"/>
  <c r="AG76" i="9" s="1"/>
  <c r="AI74" i="9"/>
  <c r="AH74" i="9"/>
  <c r="BW73" i="9"/>
  <c r="BW80" i="9" s="1"/>
  <c r="BV73" i="9"/>
  <c r="BV80" i="9" s="1"/>
  <c r="BU73" i="9"/>
  <c r="BU80" i="9" s="1"/>
  <c r="BT73" i="9"/>
  <c r="BT80" i="9" s="1"/>
  <c r="BS73" i="9"/>
  <c r="BS80" i="9" s="1"/>
  <c r="BR73" i="9"/>
  <c r="BR80" i="9" s="1"/>
  <c r="BQ73" i="9"/>
  <c r="BQ80" i="9" s="1"/>
  <c r="BP73" i="9"/>
  <c r="BP80" i="9" s="1"/>
  <c r="BO73" i="9"/>
  <c r="BO80" i="9" s="1"/>
  <c r="BN73" i="9"/>
  <c r="BN80" i="9" s="1"/>
  <c r="BM73" i="9"/>
  <c r="BM80" i="9" s="1"/>
  <c r="BL73" i="9"/>
  <c r="BL80" i="9" s="1"/>
  <c r="BK73" i="9"/>
  <c r="BK80" i="9" s="1"/>
  <c r="BJ73" i="9"/>
  <c r="BJ80" i="9" s="1"/>
  <c r="BI73" i="9"/>
  <c r="BI80" i="9" s="1"/>
  <c r="BH73" i="9"/>
  <c r="BH80" i="9" s="1"/>
  <c r="BG73" i="9"/>
  <c r="BG80" i="9" s="1"/>
  <c r="BF73" i="9"/>
  <c r="BF80" i="9" s="1"/>
  <c r="BE73" i="9"/>
  <c r="BE80" i="9" s="1"/>
  <c r="BD73" i="9"/>
  <c r="BD80" i="9" s="1"/>
  <c r="BC73" i="9"/>
  <c r="BC80" i="9" s="1"/>
  <c r="BB73" i="9"/>
  <c r="BB80" i="9" s="1"/>
  <c r="BA73" i="9"/>
  <c r="BA80" i="9" s="1"/>
  <c r="AZ73" i="9"/>
  <c r="AZ80" i="9" s="1"/>
  <c r="AI73" i="9"/>
  <c r="AH73" i="9"/>
  <c r="BW72" i="9"/>
  <c r="BW79" i="9" s="1"/>
  <c r="BV72" i="9"/>
  <c r="BV79" i="9" s="1"/>
  <c r="BU72" i="9"/>
  <c r="BU79" i="9" s="1"/>
  <c r="BT72" i="9"/>
  <c r="BS72" i="9"/>
  <c r="BS79" i="9" s="1"/>
  <c r="BR72" i="9"/>
  <c r="BR79" i="9" s="1"/>
  <c r="BQ72" i="9"/>
  <c r="BQ79" i="9" s="1"/>
  <c r="BP72" i="9"/>
  <c r="BP79" i="9" s="1"/>
  <c r="BO72" i="9"/>
  <c r="BO79" i="9" s="1"/>
  <c r="BN72" i="9"/>
  <c r="BN79" i="9" s="1"/>
  <c r="BM72" i="9"/>
  <c r="BM79" i="9" s="1"/>
  <c r="BL72" i="9"/>
  <c r="BL79" i="9" s="1"/>
  <c r="BK72" i="9"/>
  <c r="BK79" i="9" s="1"/>
  <c r="BJ72" i="9"/>
  <c r="BJ79" i="9" s="1"/>
  <c r="BI72" i="9"/>
  <c r="BI79" i="9" s="1"/>
  <c r="BH72" i="9"/>
  <c r="BH79" i="9" s="1"/>
  <c r="BG72" i="9"/>
  <c r="BG79" i="9" s="1"/>
  <c r="BF72" i="9"/>
  <c r="BF79" i="9" s="1"/>
  <c r="BE72" i="9"/>
  <c r="BE79" i="9" s="1"/>
  <c r="BD72" i="9"/>
  <c r="BD79" i="9" s="1"/>
  <c r="BC72" i="9"/>
  <c r="BC79" i="9" s="1"/>
  <c r="BB72" i="9"/>
  <c r="BB79" i="9" s="1"/>
  <c r="BA72" i="9"/>
  <c r="BA79" i="9" s="1"/>
  <c r="AZ72" i="9"/>
  <c r="AZ79" i="9" s="1"/>
  <c r="AI72" i="9"/>
  <c r="AH72" i="9"/>
  <c r="BW71" i="9"/>
  <c r="BW78" i="9" s="1"/>
  <c r="BV71" i="9"/>
  <c r="BV78" i="9" s="1"/>
  <c r="BU71" i="9"/>
  <c r="BU78" i="9" s="1"/>
  <c r="BT71" i="9"/>
  <c r="BT78" i="9" s="1"/>
  <c r="BS71" i="9"/>
  <c r="BR71" i="9"/>
  <c r="BR78" i="9" s="1"/>
  <c r="BQ71" i="9"/>
  <c r="BQ78" i="9" s="1"/>
  <c r="BP71" i="9"/>
  <c r="BP78" i="9" s="1"/>
  <c r="BO71" i="9"/>
  <c r="BO78" i="9" s="1"/>
  <c r="BN71" i="9"/>
  <c r="BN78" i="9" s="1"/>
  <c r="BM71" i="9"/>
  <c r="BM78" i="9" s="1"/>
  <c r="BL71" i="9"/>
  <c r="BL78" i="9" s="1"/>
  <c r="BK71" i="9"/>
  <c r="BK78" i="9" s="1"/>
  <c r="BJ71" i="9"/>
  <c r="BJ78" i="9" s="1"/>
  <c r="BI71" i="9"/>
  <c r="BI78" i="9" s="1"/>
  <c r="BH71" i="9"/>
  <c r="BH78" i="9" s="1"/>
  <c r="BG71" i="9"/>
  <c r="BG78" i="9" s="1"/>
  <c r="BF71" i="9"/>
  <c r="BF78" i="9" s="1"/>
  <c r="BE71" i="9"/>
  <c r="BE78" i="9" s="1"/>
  <c r="BD71" i="9"/>
  <c r="BD78" i="9" s="1"/>
  <c r="BC71" i="9"/>
  <c r="BC78" i="9" s="1"/>
  <c r="BB71" i="9"/>
  <c r="BB78" i="9" s="1"/>
  <c r="BA71" i="9"/>
  <c r="BA78" i="9" s="1"/>
  <c r="AZ71" i="9"/>
  <c r="AZ78" i="9" s="1"/>
  <c r="AI71" i="9"/>
  <c r="AH71" i="9"/>
  <c r="BW70" i="9"/>
  <c r="BW77" i="9" s="1"/>
  <c r="BV70" i="9"/>
  <c r="BV77" i="9" s="1"/>
  <c r="BU70" i="9"/>
  <c r="BU77" i="9" s="1"/>
  <c r="BT70" i="9"/>
  <c r="BT77" i="9" s="1"/>
  <c r="BS70" i="9"/>
  <c r="BS77" i="9" s="1"/>
  <c r="BR70" i="9"/>
  <c r="BR77" i="9" s="1"/>
  <c r="BQ70" i="9"/>
  <c r="BQ77" i="9" s="1"/>
  <c r="BP70" i="9"/>
  <c r="BP77" i="9" s="1"/>
  <c r="BO70" i="9"/>
  <c r="BO77" i="9" s="1"/>
  <c r="BN70" i="9"/>
  <c r="BM70" i="9"/>
  <c r="BM77" i="9" s="1"/>
  <c r="BL70" i="9"/>
  <c r="BL77" i="9" s="1"/>
  <c r="BK70" i="9"/>
  <c r="BK77" i="9" s="1"/>
  <c r="BJ70" i="9"/>
  <c r="BJ77" i="9" s="1"/>
  <c r="BI70" i="9"/>
  <c r="BI77" i="9" s="1"/>
  <c r="BH70" i="9"/>
  <c r="BH77" i="9" s="1"/>
  <c r="BG70" i="9"/>
  <c r="BG77" i="9" s="1"/>
  <c r="BF70" i="9"/>
  <c r="BF77" i="9" s="1"/>
  <c r="BE70" i="9"/>
  <c r="BD70" i="9"/>
  <c r="BD77" i="9" s="1"/>
  <c r="BC70" i="9"/>
  <c r="BC77" i="9" s="1"/>
  <c r="BB70" i="9"/>
  <c r="BB77" i="9" s="1"/>
  <c r="BA70" i="9"/>
  <c r="BA77" i="9" s="1"/>
  <c r="AZ70" i="9"/>
  <c r="AZ77" i="9" s="1"/>
  <c r="AI70" i="9"/>
  <c r="AH70" i="9"/>
  <c r="BW69" i="9"/>
  <c r="BV69" i="9"/>
  <c r="BV76" i="9" s="1"/>
  <c r="BU69" i="9"/>
  <c r="BU76" i="9" s="1"/>
  <c r="BT69" i="9"/>
  <c r="BT76" i="9" s="1"/>
  <c r="BS69" i="9"/>
  <c r="BS76" i="9" s="1"/>
  <c r="BR69" i="9"/>
  <c r="BR76" i="9" s="1"/>
  <c r="BQ69" i="9"/>
  <c r="BQ76" i="9" s="1"/>
  <c r="BP69" i="9"/>
  <c r="BO69" i="9"/>
  <c r="BO76" i="9" s="1"/>
  <c r="BN69" i="9"/>
  <c r="BN76" i="9" s="1"/>
  <c r="BM69" i="9"/>
  <c r="BM76" i="9" s="1"/>
  <c r="BL69" i="9"/>
  <c r="BL76" i="9" s="1"/>
  <c r="BK69" i="9"/>
  <c r="BK76" i="9" s="1"/>
  <c r="BJ69" i="9"/>
  <c r="BJ76" i="9" s="1"/>
  <c r="BI69" i="9"/>
  <c r="BI76" i="9" s="1"/>
  <c r="BH69" i="9"/>
  <c r="BH76" i="9" s="1"/>
  <c r="BG69" i="9"/>
  <c r="BG76" i="9" s="1"/>
  <c r="BF69" i="9"/>
  <c r="BF76" i="9" s="1"/>
  <c r="BE69" i="9"/>
  <c r="BE76" i="9" s="1"/>
  <c r="BD69" i="9"/>
  <c r="BD76" i="9" s="1"/>
  <c r="BC69" i="9"/>
  <c r="BC76" i="9" s="1"/>
  <c r="BB69" i="9"/>
  <c r="BB76" i="9" s="1"/>
  <c r="BA69" i="9"/>
  <c r="BA76" i="9" s="1"/>
  <c r="AZ69" i="9"/>
  <c r="AZ76" i="9" s="1"/>
  <c r="AI69" i="9"/>
  <c r="AH69" i="9"/>
  <c r="BW68" i="9"/>
  <c r="BW75" i="9" s="1"/>
  <c r="BV68" i="9"/>
  <c r="BV75" i="9" s="1"/>
  <c r="BU68" i="9"/>
  <c r="BU75" i="9" s="1"/>
  <c r="BT68" i="9"/>
  <c r="BT75" i="9" s="1"/>
  <c r="BS68" i="9"/>
  <c r="BS75" i="9" s="1"/>
  <c r="BR68" i="9"/>
  <c r="BR75" i="9" s="1"/>
  <c r="BQ68" i="9"/>
  <c r="BQ75" i="9" s="1"/>
  <c r="BP68" i="9"/>
  <c r="BP75" i="9" s="1"/>
  <c r="BO68" i="9"/>
  <c r="BO75" i="9" s="1"/>
  <c r="BN68" i="9"/>
  <c r="BN75" i="9" s="1"/>
  <c r="BM68" i="9"/>
  <c r="BM75" i="9" s="1"/>
  <c r="BL68" i="9"/>
  <c r="BL75" i="9" s="1"/>
  <c r="BK68" i="9"/>
  <c r="BK75" i="9" s="1"/>
  <c r="BJ68" i="9"/>
  <c r="BJ75" i="9" s="1"/>
  <c r="BI68" i="9"/>
  <c r="BH68" i="9"/>
  <c r="BH75" i="9" s="1"/>
  <c r="BG68" i="9"/>
  <c r="BG75" i="9" s="1"/>
  <c r="BF68" i="9"/>
  <c r="BF75" i="9" s="1"/>
  <c r="BE68" i="9"/>
  <c r="BE75" i="9" s="1"/>
  <c r="BD68" i="9"/>
  <c r="BD75" i="9" s="1"/>
  <c r="BC68" i="9"/>
  <c r="BC75" i="9" s="1"/>
  <c r="BB68" i="9"/>
  <c r="BB75" i="9" s="1"/>
  <c r="BA68" i="9"/>
  <c r="AZ68" i="9"/>
  <c r="AZ75" i="9" s="1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BJ17" i="9"/>
  <c r="BI17" i="9"/>
  <c r="BH17" i="9"/>
  <c r="AB62" i="9"/>
  <c r="Z62" i="9"/>
  <c r="BF17" i="9" s="1"/>
  <c r="X62" i="9"/>
  <c r="BE17" i="9" s="1"/>
  <c r="W62" i="9"/>
  <c r="V62" i="9"/>
  <c r="BD17" i="9" s="1"/>
  <c r="U62" i="9"/>
  <c r="BC17" i="9" s="1"/>
  <c r="T62" i="9"/>
  <c r="BB17" i="9" s="1"/>
  <c r="S62" i="9"/>
  <c r="R62" i="9"/>
  <c r="AZ17" i="9" s="1"/>
  <c r="Q62" i="9"/>
  <c r="AY17" i="9" s="1"/>
  <c r="P62" i="9"/>
  <c r="AX17" i="9" s="1"/>
  <c r="O62" i="9"/>
  <c r="AW17" i="9" s="1"/>
  <c r="N62" i="9"/>
  <c r="AV17" i="9" s="1"/>
  <c r="M62" i="9"/>
  <c r="AU17" i="9" s="1"/>
  <c r="L62" i="9"/>
  <c r="K62" i="9"/>
  <c r="AT17" i="9" s="1"/>
  <c r="J62" i="9"/>
  <c r="I62" i="9"/>
  <c r="H62" i="9"/>
  <c r="G62" i="9"/>
  <c r="AR17" i="9" s="1"/>
  <c r="F62" i="9"/>
  <c r="AQ17" i="9" s="1"/>
  <c r="E62" i="9"/>
  <c r="AP17" i="9" s="1"/>
  <c r="AI61" i="9"/>
  <c r="AH61" i="9"/>
  <c r="AI60" i="9"/>
  <c r="AH60" i="9"/>
  <c r="AI59" i="9"/>
  <c r="AH59" i="9"/>
  <c r="AG58" i="9"/>
  <c r="AG2" i="9" s="1"/>
  <c r="BJ16" i="9"/>
  <c r="AB58" i="9"/>
  <c r="Z58" i="9"/>
  <c r="BF16" i="9" s="1"/>
  <c r="X58" i="9"/>
  <c r="BE16" i="9" s="1"/>
  <c r="W58" i="9"/>
  <c r="V58" i="9"/>
  <c r="U58" i="9"/>
  <c r="T58" i="9"/>
  <c r="S58" i="9"/>
  <c r="BA16" i="9" s="1"/>
  <c r="R58" i="9"/>
  <c r="Q58" i="9"/>
  <c r="AY16" i="9" s="1"/>
  <c r="P58" i="9"/>
  <c r="AX16" i="9" s="1"/>
  <c r="O58" i="9"/>
  <c r="AW16" i="9" s="1"/>
  <c r="N58" i="9"/>
  <c r="M58" i="9"/>
  <c r="L58" i="9"/>
  <c r="K58" i="9"/>
  <c r="AT16" i="9" s="1"/>
  <c r="J58" i="9"/>
  <c r="I58" i="9"/>
  <c r="AS16" i="9" s="1"/>
  <c r="H58" i="9"/>
  <c r="G58" i="9"/>
  <c r="AR16" i="9" s="1"/>
  <c r="F58" i="9"/>
  <c r="E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I21" i="9"/>
  <c r="AH21" i="9"/>
  <c r="BJ20" i="9"/>
  <c r="BI20" i="9"/>
  <c r="BF20" i="9"/>
  <c r="BB20" i="9"/>
  <c r="AY20" i="9"/>
  <c r="AS20" i="9"/>
  <c r="AR20" i="9"/>
  <c r="AO20" i="9"/>
  <c r="AM20" i="9"/>
  <c r="AI20" i="9"/>
  <c r="AH20" i="9"/>
  <c r="BJ19" i="9"/>
  <c r="BE19" i="9"/>
  <c r="AI19" i="9"/>
  <c r="AH19" i="9"/>
  <c r="BI18" i="9"/>
  <c r="BD18" i="9"/>
  <c r="BA18" i="9"/>
  <c r="AY18" i="9"/>
  <c r="AW18" i="9"/>
  <c r="AS18" i="9"/>
  <c r="AP18" i="9"/>
  <c r="AN18" i="9"/>
  <c r="AI18" i="9"/>
  <c r="AH18" i="9"/>
  <c r="BG17" i="9"/>
  <c r="BA17" i="9"/>
  <c r="AS17" i="9"/>
  <c r="AI17" i="9"/>
  <c r="AH17" i="9"/>
  <c r="BI16" i="9"/>
  <c r="BH16" i="9"/>
  <c r="BG16" i="9"/>
  <c r="AZ16" i="9"/>
  <c r="AI16" i="9"/>
  <c r="AH16" i="9"/>
  <c r="AI15" i="9"/>
  <c r="AH15" i="9"/>
  <c r="AI14" i="9"/>
  <c r="AH14" i="9"/>
  <c r="AI13" i="9"/>
  <c r="AH13" i="9"/>
  <c r="AL12" i="9"/>
  <c r="AI12" i="9"/>
  <c r="AH12" i="9"/>
  <c r="AI11" i="9"/>
  <c r="AH11" i="9"/>
  <c r="AE5" i="9"/>
  <c r="Z5" i="9"/>
  <c r="W5" i="9"/>
  <c r="O5" i="9"/>
  <c r="G5" i="9"/>
  <c r="E5" i="9"/>
  <c r="B5" i="9"/>
  <c r="AG4" i="9"/>
  <c r="K4" i="9"/>
  <c r="E4" i="9"/>
  <c r="H4" i="9" s="1"/>
  <c r="B4" i="9"/>
  <c r="AF121" i="8"/>
  <c r="AF57" i="8"/>
  <c r="AF58" i="8"/>
  <c r="AF62" i="8"/>
  <c r="AF76" i="8"/>
  <c r="AF80" i="8"/>
  <c r="AE121" i="8"/>
  <c r="AE57" i="8"/>
  <c r="AE58" i="8"/>
  <c r="AE62" i="8"/>
  <c r="AE76" i="8"/>
  <c r="AE80" i="8"/>
  <c r="AD121" i="8"/>
  <c r="AD57" i="8"/>
  <c r="AC121" i="8"/>
  <c r="AC57" i="8"/>
  <c r="AB121" i="8"/>
  <c r="AB57" i="8"/>
  <c r="I246" i="10" l="1"/>
  <c r="H252" i="10"/>
  <c r="H118" i="10"/>
  <c r="Y97" i="9"/>
  <c r="Y99" i="9" s="1"/>
  <c r="V107" i="9"/>
  <c r="BD23" i="9" s="1"/>
  <c r="BD19" i="9"/>
  <c r="F107" i="9"/>
  <c r="AQ23" i="9" s="1"/>
  <c r="AB97" i="9"/>
  <c r="AB99" i="9" s="1"/>
  <c r="BF19" i="9"/>
  <c r="BF22" i="9" s="1"/>
  <c r="Y107" i="9"/>
  <c r="Y100" i="9" s="1"/>
  <c r="Y7" i="9" s="1"/>
  <c r="C5" i="9"/>
  <c r="AA5" i="9"/>
  <c r="BG19" i="9"/>
  <c r="BG22" i="9" s="1"/>
  <c r="AC5" i="9"/>
  <c r="BE22" i="9"/>
  <c r="C107" i="9"/>
  <c r="AN23" i="9" s="1"/>
  <c r="Z107" i="9"/>
  <c r="BF23" i="9" s="1"/>
  <c r="BH23" i="9"/>
  <c r="R107" i="9"/>
  <c r="AZ23" i="9" s="1"/>
  <c r="B107" i="9"/>
  <c r="AM23" i="9" s="1"/>
  <c r="AB107" i="9"/>
  <c r="BG23" i="9" s="1"/>
  <c r="T97" i="9"/>
  <c r="T99" i="9" s="1"/>
  <c r="BB19" i="9"/>
  <c r="T107" i="9"/>
  <c r="BB23" i="9" s="1"/>
  <c r="BB16" i="9"/>
  <c r="S107" i="9"/>
  <c r="BA23" i="9" s="1"/>
  <c r="R5" i="9"/>
  <c r="S108" i="9"/>
  <c r="P5" i="9"/>
  <c r="Q97" i="9"/>
  <c r="Q99" i="9" s="1"/>
  <c r="Q107" i="9"/>
  <c r="Q108" i="9" s="1"/>
  <c r="AZ19" i="9"/>
  <c r="AX22" i="9"/>
  <c r="M5" i="9"/>
  <c r="N107" i="9"/>
  <c r="AV23" i="9" s="1"/>
  <c r="L107" i="9"/>
  <c r="L97" i="9"/>
  <c r="L99" i="9" s="1"/>
  <c r="L100" i="9" s="1"/>
  <c r="L7" i="9" s="1"/>
  <c r="J5" i="9"/>
  <c r="K107" i="9"/>
  <c r="AT23" i="9" s="1"/>
  <c r="AS19" i="9"/>
  <c r="AS22" i="9" s="1"/>
  <c r="J107" i="9"/>
  <c r="J108" i="9" s="1"/>
  <c r="I107" i="9"/>
  <c r="I108" i="9" s="1"/>
  <c r="I97" i="9"/>
  <c r="I99" i="9" s="1"/>
  <c r="AI92" i="9"/>
  <c r="AH103" i="9"/>
  <c r="C108" i="9"/>
  <c r="AO22" i="9"/>
  <c r="D97" i="9"/>
  <c r="D99" i="9" s="1"/>
  <c r="D107" i="9"/>
  <c r="AO23" i="9" s="1"/>
  <c r="AH105" i="9"/>
  <c r="BG84" i="9" a="1"/>
  <c r="BJ107" i="9" s="1"/>
  <c r="AM19" i="9"/>
  <c r="AF5" i="9"/>
  <c r="AB5" i="9"/>
  <c r="AM18" i="9"/>
  <c r="AI76" i="9"/>
  <c r="E97" i="9"/>
  <c r="E99" i="9" s="1"/>
  <c r="AP16" i="9"/>
  <c r="B97" i="9"/>
  <c r="AI104" i="9"/>
  <c r="N97" i="9"/>
  <c r="N99" i="9" s="1"/>
  <c r="N100" i="9" s="1"/>
  <c r="N7" i="9" s="1"/>
  <c r="AV16" i="9"/>
  <c r="AV22" i="9" s="1"/>
  <c r="AV24" i="9" s="1"/>
  <c r="AD7" i="9"/>
  <c r="P97" i="9"/>
  <c r="P99" i="9" s="1"/>
  <c r="P100" i="9" s="1"/>
  <c r="P7" i="9" s="1"/>
  <c r="O97" i="9"/>
  <c r="O99" i="9" s="1"/>
  <c r="AP19" i="9"/>
  <c r="D5" i="9"/>
  <c r="T5" i="9"/>
  <c r="X97" i="9"/>
  <c r="X99" i="9" s="1"/>
  <c r="AG3" i="9"/>
  <c r="AG6" i="9" s="1"/>
  <c r="AG97" i="9"/>
  <c r="AI80" i="9"/>
  <c r="AY22" i="9"/>
  <c r="AR19" i="9"/>
  <c r="AR22" i="9" s="1"/>
  <c r="F5" i="9"/>
  <c r="AH101" i="9"/>
  <c r="BH22" i="9"/>
  <c r="D258" i="9"/>
  <c r="AL13" i="9"/>
  <c r="M97" i="9"/>
  <c r="M99" i="9" s="1"/>
  <c r="AU16" i="9"/>
  <c r="AU22" i="9" s="1"/>
  <c r="U97" i="9"/>
  <c r="U99" i="9" s="1"/>
  <c r="BC16" i="9"/>
  <c r="BJ22" i="9"/>
  <c r="F97" i="9"/>
  <c r="F99" i="9" s="1"/>
  <c r="F100" i="9" s="1"/>
  <c r="F7" i="9" s="1"/>
  <c r="AQ16" i="9"/>
  <c r="AQ22" i="9" s="1"/>
  <c r="AQ24" i="9" s="1"/>
  <c r="V97" i="9"/>
  <c r="V99" i="9" s="1"/>
  <c r="V100" i="9" s="1"/>
  <c r="V7" i="9" s="1"/>
  <c r="BD16" i="9"/>
  <c r="BD22" i="9" s="1"/>
  <c r="BD24" i="9" s="1"/>
  <c r="BA22" i="9"/>
  <c r="BA24" i="9" s="1"/>
  <c r="G97" i="9"/>
  <c r="G99" i="9" s="1"/>
  <c r="W97" i="9"/>
  <c r="W99" i="9" s="1"/>
  <c r="L5" i="9"/>
  <c r="H97" i="9"/>
  <c r="H99" i="9" s="1"/>
  <c r="AI62" i="9"/>
  <c r="BC19" i="9"/>
  <c r="AI58" i="9"/>
  <c r="J97" i="9"/>
  <c r="J99" i="9" s="1"/>
  <c r="Z97" i="9"/>
  <c r="Z99" i="9" s="1"/>
  <c r="B108" i="9"/>
  <c r="AI102" i="9"/>
  <c r="AZ18" i="9"/>
  <c r="AZ22" i="9" s="1"/>
  <c r="AZ24" i="9" s="1"/>
  <c r="R97" i="9"/>
  <c r="R99" i="9" s="1"/>
  <c r="R100" i="9" s="1"/>
  <c r="R7" i="9" s="1"/>
  <c r="AT22" i="9"/>
  <c r="AT24" i="9" s="1"/>
  <c r="AH76" i="9"/>
  <c r="F108" i="9"/>
  <c r="V108" i="9"/>
  <c r="AI101" i="9"/>
  <c r="AH102" i="9"/>
  <c r="AW19" i="9"/>
  <c r="AW22" i="9" s="1"/>
  <c r="AI103" i="9"/>
  <c r="AH104" i="9"/>
  <c r="AI105" i="9"/>
  <c r="AN20" i="9"/>
  <c r="AN22" i="9" s="1"/>
  <c r="AN24" i="9" s="1"/>
  <c r="AH80" i="9"/>
  <c r="E107" i="9"/>
  <c r="M107" i="9"/>
  <c r="AU23" i="9" s="1"/>
  <c r="U107" i="9"/>
  <c r="BC23" i="9" s="1"/>
  <c r="AC7" i="9"/>
  <c r="AH58" i="9"/>
  <c r="AH62" i="9"/>
  <c r="AH92" i="9"/>
  <c r="AG99" i="9"/>
  <c r="N5" i="9"/>
  <c r="V5" i="9"/>
  <c r="AD5" i="9"/>
  <c r="C97" i="9"/>
  <c r="C99" i="9" s="1"/>
  <c r="C100" i="9" s="1"/>
  <c r="C7" i="9" s="1"/>
  <c r="K97" i="9"/>
  <c r="K99" i="9" s="1"/>
  <c r="K100" i="9" s="1"/>
  <c r="K7" i="9" s="1"/>
  <c r="S97" i="9"/>
  <c r="S99" i="9" s="1"/>
  <c r="S100" i="9" s="1"/>
  <c r="S7" i="9" s="1"/>
  <c r="G107" i="9"/>
  <c r="AR23" i="9" s="1"/>
  <c r="O107" i="9"/>
  <c r="AW23" i="9" s="1"/>
  <c r="W107" i="9"/>
  <c r="W108" i="9" s="1"/>
  <c r="BI23" i="9"/>
  <c r="BI19" i="9"/>
  <c r="BI22" i="9" s="1"/>
  <c r="L108" i="9"/>
  <c r="T108" i="9"/>
  <c r="AB108" i="9"/>
  <c r="H107" i="9"/>
  <c r="H108" i="9" s="1"/>
  <c r="P107" i="9"/>
  <c r="X107" i="9"/>
  <c r="D252" i="9"/>
  <c r="D118" i="9"/>
  <c r="E246" i="9"/>
  <c r="I252" i="10" l="1"/>
  <c r="I118" i="10"/>
  <c r="J246" i="10"/>
  <c r="Z100" i="9"/>
  <c r="Z7" i="9" s="1"/>
  <c r="BG24" i="9"/>
  <c r="Y108" i="9"/>
  <c r="W100" i="9"/>
  <c r="W7" i="9" s="1"/>
  <c r="AY23" i="9"/>
  <c r="AA7" i="9"/>
  <c r="J100" i="9"/>
  <c r="J7" i="9" s="1"/>
  <c r="BF24" i="9"/>
  <c r="M100" i="9"/>
  <c r="M7" i="9" s="1"/>
  <c r="AS23" i="9"/>
  <c r="AS24" i="9" s="1"/>
  <c r="BH24" i="9"/>
  <c r="R108" i="9"/>
  <c r="BB22" i="9"/>
  <c r="BB24" i="9" s="1"/>
  <c r="Z108" i="9"/>
  <c r="AB100" i="9"/>
  <c r="AB7" i="9" s="1"/>
  <c r="U100" i="9"/>
  <c r="U7" i="9" s="1"/>
  <c r="BC22" i="9"/>
  <c r="BC24" i="9" s="1"/>
  <c r="T100" i="9"/>
  <c r="T7" i="9" s="1"/>
  <c r="Q100" i="9"/>
  <c r="Q7" i="9" s="1"/>
  <c r="AW24" i="9"/>
  <c r="N108" i="9"/>
  <c r="AU24" i="9"/>
  <c r="M108" i="9"/>
  <c r="K108" i="9"/>
  <c r="I100" i="9"/>
  <c r="I7" i="9" s="1"/>
  <c r="AR24" i="9"/>
  <c r="D100" i="9"/>
  <c r="D7" i="9" s="1"/>
  <c r="AO24" i="9"/>
  <c r="D108" i="9"/>
  <c r="AM22" i="9"/>
  <c r="BJ94" i="9"/>
  <c r="BI89" i="9"/>
  <c r="BL103" i="9"/>
  <c r="BK100" i="9"/>
  <c r="BH100" i="9"/>
  <c r="BK91" i="9"/>
  <c r="BL105" i="9"/>
  <c r="BJ106" i="9"/>
  <c r="BH103" i="9"/>
  <c r="BI92" i="9"/>
  <c r="BJ87" i="9"/>
  <c r="BK86" i="9"/>
  <c r="BL86" i="9"/>
  <c r="BJ96" i="9"/>
  <c r="BI91" i="9"/>
  <c r="BG85" i="9"/>
  <c r="BI86" i="9"/>
  <c r="BH88" i="9"/>
  <c r="BG102" i="9"/>
  <c r="BJ85" i="9"/>
  <c r="BI105" i="9"/>
  <c r="BK93" i="9"/>
  <c r="BL88" i="9"/>
  <c r="BG90" i="9"/>
  <c r="BG89" i="9"/>
  <c r="BJ100" i="9"/>
  <c r="BL94" i="9"/>
  <c r="BG103" i="9"/>
  <c r="BH98" i="9"/>
  <c r="BI106" i="9"/>
  <c r="BK102" i="9"/>
  <c r="BH97" i="9"/>
  <c r="BI104" i="9"/>
  <c r="BJ99" i="9"/>
  <c r="BH90" i="9"/>
  <c r="BL91" i="9"/>
  <c r="BJ102" i="9"/>
  <c r="BJ97" i="9"/>
  <c r="BJ93" i="9"/>
  <c r="BL87" i="9"/>
  <c r="BG105" i="9"/>
  <c r="BK98" i="9"/>
  <c r="BJ90" i="9"/>
  <c r="BK107" i="9"/>
  <c r="BH99" i="9"/>
  <c r="BL90" i="9"/>
  <c r="BI84" i="9"/>
  <c r="BG95" i="9"/>
  <c r="BK105" i="9"/>
  <c r="BK92" i="9"/>
  <c r="BI103" i="9"/>
  <c r="BL100" i="9"/>
  <c r="BJ89" i="9"/>
  <c r="BL93" i="9"/>
  <c r="BH89" i="9"/>
  <c r="BL95" i="9"/>
  <c r="BL89" i="9"/>
  <c r="BL106" i="9"/>
  <c r="BG101" i="9"/>
  <c r="BJ92" i="9"/>
  <c r="BH84" i="9"/>
  <c r="BI101" i="9"/>
  <c r="BH93" i="9"/>
  <c r="BK85" i="9"/>
  <c r="BI96" i="9"/>
  <c r="BG107" i="9"/>
  <c r="BG94" i="9"/>
  <c r="BK104" i="9"/>
  <c r="BJ91" i="9"/>
  <c r="BH102" i="9"/>
  <c r="BI85" i="9"/>
  <c r="BK106" i="9"/>
  <c r="BL97" i="9"/>
  <c r="BG92" i="9"/>
  <c r="BL85" i="9"/>
  <c r="BL102" i="9"/>
  <c r="BK94" i="9"/>
  <c r="BJ86" i="9"/>
  <c r="BK103" i="9"/>
  <c r="BH95" i="9"/>
  <c r="BG87" i="9"/>
  <c r="BK97" i="9"/>
  <c r="BK84" i="9"/>
  <c r="BI95" i="9"/>
  <c r="BG106" i="9"/>
  <c r="BL92" i="9"/>
  <c r="BJ103" i="9"/>
  <c r="BJ104" i="9"/>
  <c r="BL99" i="9"/>
  <c r="BI98" i="9"/>
  <c r="BG100" i="9"/>
  <c r="BI94" i="9"/>
  <c r="BG88" i="9"/>
  <c r="BH105" i="9"/>
  <c r="BG97" i="9"/>
  <c r="BJ88" i="9"/>
  <c r="BJ105" i="9"/>
  <c r="BI97" i="9"/>
  <c r="BI88" i="9"/>
  <c r="BG99" i="9"/>
  <c r="BG86" i="9"/>
  <c r="BK96" i="9"/>
  <c r="BI107" i="9"/>
  <c r="BH94" i="9"/>
  <c r="BL104" i="9"/>
  <c r="BG96" i="9"/>
  <c r="BG104" i="9"/>
  <c r="BL101" i="9"/>
  <c r="BH91" i="9"/>
  <c r="BH85" i="9"/>
  <c r="BI102" i="9"/>
  <c r="BH96" i="9"/>
  <c r="BI90" i="9"/>
  <c r="BH107" i="9"/>
  <c r="BL98" i="9"/>
  <c r="BK90" i="9"/>
  <c r="BL107" i="9"/>
  <c r="BK99" i="9"/>
  <c r="BK89" i="9"/>
  <c r="BI100" i="9"/>
  <c r="BI87" i="9"/>
  <c r="BG98" i="9"/>
  <c r="BL84" i="9"/>
  <c r="BJ95" i="9"/>
  <c r="BH106" i="9"/>
  <c r="BK87" i="9"/>
  <c r="BK95" i="9"/>
  <c r="BI93" i="9"/>
  <c r="BH87" i="9"/>
  <c r="BH104" i="9"/>
  <c r="BJ98" i="9"/>
  <c r="BH92" i="9"/>
  <c r="BG84" i="9"/>
  <c r="BH101" i="9"/>
  <c r="BG93" i="9"/>
  <c r="BJ84" i="9"/>
  <c r="BJ101" i="9"/>
  <c r="BG91" i="9"/>
  <c r="BK101" i="9"/>
  <c r="BK88" i="9"/>
  <c r="BI99" i="9"/>
  <c r="BH86" i="9"/>
  <c r="BL96" i="9"/>
  <c r="AP23" i="9"/>
  <c r="AH107" i="9"/>
  <c r="O108" i="9"/>
  <c r="X100" i="9"/>
  <c r="X7" i="9" s="1"/>
  <c r="AE7" i="9"/>
  <c r="BI24" i="9"/>
  <c r="F246" i="9"/>
  <c r="E252" i="9"/>
  <c r="E118" i="9"/>
  <c r="H100" i="9"/>
  <c r="H7" i="9" s="1"/>
  <c r="AY24" i="9"/>
  <c r="O100" i="9"/>
  <c r="O7" i="9" s="1"/>
  <c r="AM24" i="9"/>
  <c r="U108" i="9"/>
  <c r="B99" i="9"/>
  <c r="AI97" i="9"/>
  <c r="AH97" i="9"/>
  <c r="BJ23" i="9"/>
  <c r="BJ24" i="9" s="1"/>
  <c r="X108" i="9"/>
  <c r="BE23" i="9"/>
  <c r="BE24" i="9" s="1"/>
  <c r="G108" i="9"/>
  <c r="AX23" i="9"/>
  <c r="AX24" i="9" s="1"/>
  <c r="P108" i="9"/>
  <c r="AI107" i="9"/>
  <c r="C256" i="9"/>
  <c r="G100" i="9"/>
  <c r="G7" i="9" s="1"/>
  <c r="B256" i="9"/>
  <c r="AF7" i="9"/>
  <c r="E108" i="9"/>
  <c r="AP22" i="9"/>
  <c r="E100" i="9"/>
  <c r="E7" i="9" s="1"/>
  <c r="J252" i="10" l="1"/>
  <c r="J118" i="10"/>
  <c r="K246" i="10"/>
  <c r="AT8" i="9"/>
  <c r="AI108" i="9"/>
  <c r="K6" i="9"/>
  <c r="AH108" i="9"/>
  <c r="F118" i="9"/>
  <c r="F252" i="9"/>
  <c r="G246" i="9"/>
  <c r="AP24" i="9"/>
  <c r="AT9" i="9" s="1"/>
  <c r="AH99" i="9"/>
  <c r="B100" i="9"/>
  <c r="AI99" i="9"/>
  <c r="K252" i="10" l="1"/>
  <c r="K118" i="10"/>
  <c r="L246" i="10"/>
  <c r="AH100" i="9"/>
  <c r="B7" i="9"/>
  <c r="A7" i="9" s="1"/>
  <c r="AI100" i="9"/>
  <c r="H246" i="9"/>
  <c r="G252" i="9"/>
  <c r="G118" i="9"/>
  <c r="L252" i="10" l="1"/>
  <c r="L118" i="10"/>
  <c r="M246" i="10"/>
  <c r="I246" i="9"/>
  <c r="H252" i="9"/>
  <c r="H118" i="9"/>
  <c r="N246" i="10" l="1"/>
  <c r="M252" i="10"/>
  <c r="M118" i="10"/>
  <c r="I252" i="9"/>
  <c r="I118" i="9"/>
  <c r="J246" i="9"/>
  <c r="O246" i="10" l="1"/>
  <c r="N252" i="10"/>
  <c r="N118" i="10"/>
  <c r="J118" i="9"/>
  <c r="J252" i="9"/>
  <c r="K246" i="9"/>
  <c r="P246" i="10" l="1"/>
  <c r="O252" i="10"/>
  <c r="O118" i="10"/>
  <c r="K252" i="9"/>
  <c r="K118" i="9"/>
  <c r="L246" i="9"/>
  <c r="Q246" i="10" l="1"/>
  <c r="P252" i="10"/>
  <c r="L252" i="9"/>
  <c r="L118" i="9"/>
  <c r="M246" i="9"/>
  <c r="Q252" i="10" l="1"/>
  <c r="Q118" i="10"/>
  <c r="R246" i="10"/>
  <c r="N246" i="9"/>
  <c r="M252" i="9"/>
  <c r="M118" i="9"/>
  <c r="R252" i="10" l="1"/>
  <c r="R118" i="10"/>
  <c r="S246" i="10"/>
  <c r="O246" i="9"/>
  <c r="N252" i="9"/>
  <c r="N118" i="9"/>
  <c r="S252" i="10" l="1"/>
  <c r="T246" i="10"/>
  <c r="P246" i="9"/>
  <c r="O252" i="9"/>
  <c r="O118" i="9"/>
  <c r="T252" i="10" l="1"/>
  <c r="U246" i="10"/>
  <c r="Q246" i="9"/>
  <c r="P252" i="9"/>
  <c r="V246" i="10" l="1"/>
  <c r="U252" i="10"/>
  <c r="Q252" i="9"/>
  <c r="Q118" i="9"/>
  <c r="R246" i="9"/>
  <c r="W246" i="10" l="1"/>
  <c r="V252" i="10"/>
  <c r="R118" i="9"/>
  <c r="S246" i="9"/>
  <c r="R252" i="9"/>
  <c r="X246" i="10" l="1"/>
  <c r="W252" i="10"/>
  <c r="S252" i="9"/>
  <c r="T246" i="9"/>
  <c r="S118" i="9"/>
  <c r="Y246" i="10" l="1"/>
  <c r="X252" i="10"/>
  <c r="T252" i="9"/>
  <c r="T118" i="9"/>
  <c r="U246" i="9"/>
  <c r="Y252" i="10" l="1"/>
  <c r="Z246" i="10"/>
  <c r="U118" i="9"/>
  <c r="V246" i="9"/>
  <c r="U252" i="9"/>
  <c r="Z252" i="10" l="1"/>
  <c r="AA246" i="10"/>
  <c r="V252" i="9"/>
  <c r="V118" i="9"/>
  <c r="W246" i="9"/>
  <c r="AA252" i="10" l="1"/>
  <c r="AB246" i="10"/>
  <c r="X246" i="9"/>
  <c r="W252" i="9"/>
  <c r="W118" i="9"/>
  <c r="AB252" i="10" l="1"/>
  <c r="AB118" i="10"/>
  <c r="AC246" i="10"/>
  <c r="Y246" i="9"/>
  <c r="X252" i="9"/>
  <c r="X118" i="9"/>
  <c r="AD246" i="10" l="1"/>
  <c r="AC252" i="10"/>
  <c r="Y252" i="9"/>
  <c r="Z246" i="9"/>
  <c r="AE246" i="10" l="1"/>
  <c r="AD252" i="10"/>
  <c r="Z252" i="9"/>
  <c r="AA246" i="9"/>
  <c r="T58" i="8"/>
  <c r="T62" i="8"/>
  <c r="T76" i="8"/>
  <c r="R57" i="8"/>
  <c r="AF246" i="10" l="1"/>
  <c r="AE252" i="10"/>
  <c r="AA252" i="9"/>
  <c r="AB246" i="9"/>
  <c r="Q57" i="8"/>
  <c r="Q58" i="8"/>
  <c r="Q62" i="8"/>
  <c r="Q76" i="8"/>
  <c r="Q80" i="8"/>
  <c r="Q92" i="8"/>
  <c r="Q101" i="8"/>
  <c r="Q102" i="8"/>
  <c r="Q103" i="8"/>
  <c r="Q104" i="8"/>
  <c r="Q105" i="8"/>
  <c r="P57" i="8"/>
  <c r="AF252" i="10" l="1"/>
  <c r="B246" i="10"/>
  <c r="AB252" i="9"/>
  <c r="AB118" i="9"/>
  <c r="AC246" i="9"/>
  <c r="Q97" i="8"/>
  <c r="Q99" i="8" s="1"/>
  <c r="Q108" i="8"/>
  <c r="B252" i="10" l="1"/>
  <c r="AD246" i="9"/>
  <c r="AC252" i="9"/>
  <c r="Q100" i="8"/>
  <c r="AI118" i="10" l="1"/>
  <c r="AH118" i="10"/>
  <c r="AD252" i="9"/>
  <c r="AE246" i="9"/>
  <c r="L57" i="8"/>
  <c r="K123" i="8"/>
  <c r="K57" i="8"/>
  <c r="J121" i="8"/>
  <c r="J57" i="8"/>
  <c r="I121" i="8"/>
  <c r="I57" i="8"/>
  <c r="AF246" i="9" l="1"/>
  <c r="AE252" i="9"/>
  <c r="H121" i="8"/>
  <c r="H57" i="8"/>
  <c r="G121" i="8"/>
  <c r="G57" i="8"/>
  <c r="F121" i="8"/>
  <c r="F57" i="8"/>
  <c r="AH125" i="8"/>
  <c r="AI125" i="8"/>
  <c r="AH124" i="8"/>
  <c r="AI124" i="8"/>
  <c r="E121" i="8"/>
  <c r="E57" i="8"/>
  <c r="D58" i="8"/>
  <c r="D62" i="8"/>
  <c r="D76" i="8"/>
  <c r="D80" i="8"/>
  <c r="AO20" i="8" s="1"/>
  <c r="D92" i="8"/>
  <c r="C5" i="8" s="1"/>
  <c r="D101" i="8"/>
  <c r="D102" i="8"/>
  <c r="D103" i="8"/>
  <c r="D104" i="8"/>
  <c r="D105" i="8"/>
  <c r="D107" i="8" s="1"/>
  <c r="C58" i="8"/>
  <c r="AN16" i="8" s="1"/>
  <c r="C62" i="8"/>
  <c r="C76" i="8"/>
  <c r="C80" i="8"/>
  <c r="C92" i="8"/>
  <c r="B5" i="8" s="1"/>
  <c r="C101" i="8"/>
  <c r="C102" i="8"/>
  <c r="C103" i="8"/>
  <c r="C104" i="8"/>
  <c r="C105" i="8"/>
  <c r="C118" i="8"/>
  <c r="B105" i="8"/>
  <c r="B104" i="8"/>
  <c r="B103" i="8"/>
  <c r="B102" i="8"/>
  <c r="B101" i="8"/>
  <c r="B92" i="8"/>
  <c r="B80" i="8"/>
  <c r="B76" i="8"/>
  <c r="B62" i="8"/>
  <c r="B58" i="8"/>
  <c r="AG252" i="8"/>
  <c r="C252" i="8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B251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B250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B249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B248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B247" i="8" s="1"/>
  <c r="D246" i="8"/>
  <c r="D118" i="8" s="1"/>
  <c r="AG244" i="8"/>
  <c r="AF244" i="8"/>
  <c r="AE244" i="8"/>
  <c r="AD244" i="8"/>
  <c r="AC244" i="8"/>
  <c r="AB244" i="8"/>
  <c r="AA244" i="8"/>
  <c r="Z244" i="8"/>
  <c r="Z118" i="8" s="1"/>
  <c r="Y244" i="8"/>
  <c r="Y118" i="8" s="1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I130" i="8"/>
  <c r="AH130" i="8"/>
  <c r="AI129" i="8"/>
  <c r="AH129" i="8"/>
  <c r="AI128" i="8"/>
  <c r="AH128" i="8"/>
  <c r="AI127" i="8"/>
  <c r="AH127" i="8"/>
  <c r="AI126" i="8"/>
  <c r="AH126" i="8"/>
  <c r="AI123" i="8"/>
  <c r="AH123" i="8"/>
  <c r="AI122" i="8"/>
  <c r="AH122" i="8"/>
  <c r="AH121" i="8"/>
  <c r="AI120" i="8"/>
  <c r="AH120" i="8"/>
  <c r="AI119" i="8"/>
  <c r="AH119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AI106" i="8"/>
  <c r="AH106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AI98" i="8"/>
  <c r="AH98" i="8"/>
  <c r="AI96" i="8"/>
  <c r="AH96" i="8"/>
  <c r="AG96" i="8"/>
  <c r="AI95" i="8"/>
  <c r="AH95" i="8"/>
  <c r="AI94" i="8"/>
  <c r="AH94" i="8"/>
  <c r="AI93" i="8"/>
  <c r="AH93" i="8"/>
  <c r="AG92" i="8"/>
  <c r="AF92" i="8"/>
  <c r="AE5" i="8" s="1"/>
  <c r="AE92" i="8"/>
  <c r="BI19" i="8" s="1"/>
  <c r="AD92" i="8"/>
  <c r="BH19" i="8" s="1"/>
  <c r="AC92" i="8"/>
  <c r="AB5" i="8" s="1"/>
  <c r="AB92" i="8"/>
  <c r="BG19" i="8" s="1"/>
  <c r="AA92" i="8"/>
  <c r="Z5" i="8" s="1"/>
  <c r="Z92" i="8"/>
  <c r="BF19" i="8" s="1"/>
  <c r="Y92" i="8"/>
  <c r="X5" i="8" s="1"/>
  <c r="X92" i="8"/>
  <c r="W5" i="8" s="1"/>
  <c r="W92" i="8"/>
  <c r="V92" i="8"/>
  <c r="U5" i="8" s="1"/>
  <c r="U92" i="8"/>
  <c r="T5" i="8" s="1"/>
  <c r="T92" i="8"/>
  <c r="BB19" i="8" s="1"/>
  <c r="S92" i="8"/>
  <c r="R5" i="8" s="1"/>
  <c r="R92" i="8"/>
  <c r="AZ19" i="8" s="1"/>
  <c r="P92" i="8"/>
  <c r="AX19" i="8" s="1"/>
  <c r="O92" i="8"/>
  <c r="AW19" i="8" s="1"/>
  <c r="N92" i="8"/>
  <c r="AV19" i="8" s="1"/>
  <c r="M92" i="8"/>
  <c r="AU19" i="8" s="1"/>
  <c r="L92" i="8"/>
  <c r="K5" i="8" s="1"/>
  <c r="K92" i="8"/>
  <c r="AT19" i="8" s="1"/>
  <c r="J92" i="8"/>
  <c r="I5" i="8" s="1"/>
  <c r="I92" i="8"/>
  <c r="AS19" i="8" s="1"/>
  <c r="H92" i="8"/>
  <c r="G5" i="8" s="1"/>
  <c r="G92" i="8"/>
  <c r="F92" i="8"/>
  <c r="E92" i="8"/>
  <c r="AP19" i="8" s="1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AG80" i="8"/>
  <c r="AD80" i="8"/>
  <c r="AC80" i="8"/>
  <c r="AB80" i="8"/>
  <c r="BG20" i="8" s="1"/>
  <c r="AA80" i="8"/>
  <c r="Z80" i="8"/>
  <c r="Y80" i="8"/>
  <c r="X80" i="8"/>
  <c r="W80" i="8"/>
  <c r="V80" i="8"/>
  <c r="BD20" i="8" s="1"/>
  <c r="U80" i="8"/>
  <c r="BC20" i="8" s="1"/>
  <c r="T80" i="8"/>
  <c r="S80" i="8"/>
  <c r="BA20" i="8" s="1"/>
  <c r="R80" i="8"/>
  <c r="AZ20" i="8" s="1"/>
  <c r="P80" i="8"/>
  <c r="AX20" i="8" s="1"/>
  <c r="O80" i="8"/>
  <c r="N80" i="8"/>
  <c r="M80" i="8"/>
  <c r="AU20" i="8" s="1"/>
  <c r="L80" i="8"/>
  <c r="K80" i="8"/>
  <c r="AT20" i="8" s="1"/>
  <c r="J80" i="8"/>
  <c r="I80" i="8"/>
  <c r="H80" i="8"/>
  <c r="G80" i="8"/>
  <c r="AR20" i="8" s="1"/>
  <c r="F80" i="8"/>
  <c r="AQ20" i="8" s="1"/>
  <c r="E80" i="8"/>
  <c r="AP20" i="8" s="1"/>
  <c r="BQ79" i="8"/>
  <c r="AI79" i="8"/>
  <c r="AH79" i="8"/>
  <c r="AI78" i="8"/>
  <c r="AH78" i="8"/>
  <c r="BV77" i="8"/>
  <c r="BU77" i="8"/>
  <c r="BF77" i="8"/>
  <c r="AI77" i="8"/>
  <c r="AH77" i="8"/>
  <c r="BJ18" i="8"/>
  <c r="BI18" i="8"/>
  <c r="AD76" i="8"/>
  <c r="BH18" i="8" s="1"/>
  <c r="AC76" i="8"/>
  <c r="AB76" i="8"/>
  <c r="BG18" i="8" s="1"/>
  <c r="AA76" i="8"/>
  <c r="Z76" i="8"/>
  <c r="Y76" i="8"/>
  <c r="X76" i="8"/>
  <c r="BE18" i="8" s="1"/>
  <c r="W76" i="8"/>
  <c r="V76" i="8"/>
  <c r="BD18" i="8" s="1"/>
  <c r="U76" i="8"/>
  <c r="BC18" i="8" s="1"/>
  <c r="S76" i="8"/>
  <c r="BA18" i="8" s="1"/>
  <c r="R76" i="8"/>
  <c r="P76" i="8"/>
  <c r="AX18" i="8" s="1"/>
  <c r="O76" i="8"/>
  <c r="AW18" i="8" s="1"/>
  <c r="N76" i="8"/>
  <c r="AV18" i="8" s="1"/>
  <c r="M76" i="8"/>
  <c r="AU18" i="8" s="1"/>
  <c r="L76" i="8"/>
  <c r="K76" i="8"/>
  <c r="AT18" i="8" s="1"/>
  <c r="J76" i="8"/>
  <c r="I76" i="8"/>
  <c r="AS18" i="8" s="1"/>
  <c r="H76" i="8"/>
  <c r="G76" i="8"/>
  <c r="AR18" i="8" s="1"/>
  <c r="F76" i="8"/>
  <c r="AQ18" i="8" s="1"/>
  <c r="E76" i="8"/>
  <c r="AP18" i="8" s="1"/>
  <c r="AI75" i="8"/>
  <c r="AH75" i="8"/>
  <c r="AG75" i="8"/>
  <c r="AG76" i="8" s="1"/>
  <c r="AI74" i="8"/>
  <c r="AH74" i="8"/>
  <c r="BW73" i="8"/>
  <c r="BW80" i="8" s="1"/>
  <c r="BV73" i="8"/>
  <c r="BV80" i="8" s="1"/>
  <c r="BU73" i="8"/>
  <c r="BU80" i="8" s="1"/>
  <c r="BT73" i="8"/>
  <c r="BT80" i="8" s="1"/>
  <c r="BS73" i="8"/>
  <c r="BS80" i="8" s="1"/>
  <c r="BR73" i="8"/>
  <c r="BR80" i="8" s="1"/>
  <c r="BQ73" i="8"/>
  <c r="BQ80" i="8" s="1"/>
  <c r="BP73" i="8"/>
  <c r="BP80" i="8" s="1"/>
  <c r="BO73" i="8"/>
  <c r="BO80" i="8" s="1"/>
  <c r="BN73" i="8"/>
  <c r="BN80" i="8" s="1"/>
  <c r="BM73" i="8"/>
  <c r="BM80" i="8" s="1"/>
  <c r="BL73" i="8"/>
  <c r="BL80" i="8" s="1"/>
  <c r="BK73" i="8"/>
  <c r="BK80" i="8" s="1"/>
  <c r="BJ73" i="8"/>
  <c r="BJ80" i="8" s="1"/>
  <c r="BI73" i="8"/>
  <c r="BI80" i="8" s="1"/>
  <c r="BH73" i="8"/>
  <c r="BH80" i="8" s="1"/>
  <c r="BG73" i="8"/>
  <c r="BG80" i="8" s="1"/>
  <c r="BF73" i="8"/>
  <c r="BF80" i="8" s="1"/>
  <c r="BE73" i="8"/>
  <c r="BE80" i="8" s="1"/>
  <c r="BD73" i="8"/>
  <c r="BD80" i="8" s="1"/>
  <c r="BC73" i="8"/>
  <c r="BC80" i="8" s="1"/>
  <c r="BB73" i="8"/>
  <c r="BB80" i="8" s="1"/>
  <c r="BA73" i="8"/>
  <c r="BA80" i="8" s="1"/>
  <c r="AZ73" i="8"/>
  <c r="AZ80" i="8" s="1"/>
  <c r="AI73" i="8"/>
  <c r="AH73" i="8"/>
  <c r="BW72" i="8"/>
  <c r="BW79" i="8" s="1"/>
  <c r="BV72" i="8"/>
  <c r="BV79" i="8" s="1"/>
  <c r="BU72" i="8"/>
  <c r="BU79" i="8" s="1"/>
  <c r="BT72" i="8"/>
  <c r="BT79" i="8" s="1"/>
  <c r="BS72" i="8"/>
  <c r="BS79" i="8" s="1"/>
  <c r="BR72" i="8"/>
  <c r="BR79" i="8" s="1"/>
  <c r="BQ72" i="8"/>
  <c r="BP72" i="8"/>
  <c r="BP79" i="8" s="1"/>
  <c r="BO72" i="8"/>
  <c r="BO79" i="8" s="1"/>
  <c r="BN72" i="8"/>
  <c r="BN79" i="8" s="1"/>
  <c r="BM72" i="8"/>
  <c r="BM79" i="8" s="1"/>
  <c r="BL72" i="8"/>
  <c r="BL79" i="8" s="1"/>
  <c r="BK72" i="8"/>
  <c r="BK79" i="8" s="1"/>
  <c r="BJ72" i="8"/>
  <c r="BJ79" i="8" s="1"/>
  <c r="BI72" i="8"/>
  <c r="BI79" i="8" s="1"/>
  <c r="BH72" i="8"/>
  <c r="BH79" i="8" s="1"/>
  <c r="BG72" i="8"/>
  <c r="BG79" i="8" s="1"/>
  <c r="BF72" i="8"/>
  <c r="BF79" i="8" s="1"/>
  <c r="BE72" i="8"/>
  <c r="BE79" i="8" s="1"/>
  <c r="BD72" i="8"/>
  <c r="BD79" i="8" s="1"/>
  <c r="BC72" i="8"/>
  <c r="BC79" i="8" s="1"/>
  <c r="BB72" i="8"/>
  <c r="BB79" i="8" s="1"/>
  <c r="BA72" i="8"/>
  <c r="BA79" i="8" s="1"/>
  <c r="AZ72" i="8"/>
  <c r="AZ79" i="8" s="1"/>
  <c r="AI72" i="8"/>
  <c r="AH72" i="8"/>
  <c r="BW71" i="8"/>
  <c r="BW78" i="8" s="1"/>
  <c r="BV71" i="8"/>
  <c r="BV78" i="8" s="1"/>
  <c r="BU71" i="8"/>
  <c r="BU78" i="8" s="1"/>
  <c r="BT71" i="8"/>
  <c r="BT78" i="8" s="1"/>
  <c r="BS71" i="8"/>
  <c r="BS78" i="8" s="1"/>
  <c r="BR71" i="8"/>
  <c r="BR78" i="8" s="1"/>
  <c r="BQ71" i="8"/>
  <c r="BQ78" i="8" s="1"/>
  <c r="BP71" i="8"/>
  <c r="BP78" i="8" s="1"/>
  <c r="BO71" i="8"/>
  <c r="BO78" i="8" s="1"/>
  <c r="BN71" i="8"/>
  <c r="BN78" i="8" s="1"/>
  <c r="BM71" i="8"/>
  <c r="BM78" i="8" s="1"/>
  <c r="BL71" i="8"/>
  <c r="BL78" i="8" s="1"/>
  <c r="BK71" i="8"/>
  <c r="BK78" i="8" s="1"/>
  <c r="BJ71" i="8"/>
  <c r="BJ78" i="8" s="1"/>
  <c r="BI71" i="8"/>
  <c r="BI78" i="8" s="1"/>
  <c r="BH71" i="8"/>
  <c r="BH78" i="8" s="1"/>
  <c r="BG71" i="8"/>
  <c r="BG78" i="8" s="1"/>
  <c r="BF71" i="8"/>
  <c r="BF78" i="8" s="1"/>
  <c r="BE71" i="8"/>
  <c r="BE78" i="8" s="1"/>
  <c r="BD71" i="8"/>
  <c r="BD78" i="8" s="1"/>
  <c r="BC71" i="8"/>
  <c r="BC78" i="8" s="1"/>
  <c r="BB71" i="8"/>
  <c r="BB78" i="8" s="1"/>
  <c r="BA71" i="8"/>
  <c r="BA78" i="8" s="1"/>
  <c r="AZ71" i="8"/>
  <c r="AZ78" i="8" s="1"/>
  <c r="AI71" i="8"/>
  <c r="AH71" i="8"/>
  <c r="BW70" i="8"/>
  <c r="BW77" i="8" s="1"/>
  <c r="BV70" i="8"/>
  <c r="BU70" i="8"/>
  <c r="BT70" i="8"/>
  <c r="BT77" i="8" s="1"/>
  <c r="BS70" i="8"/>
  <c r="BS77" i="8" s="1"/>
  <c r="BR70" i="8"/>
  <c r="BR77" i="8" s="1"/>
  <c r="BQ70" i="8"/>
  <c r="BQ77" i="8" s="1"/>
  <c r="BP70" i="8"/>
  <c r="BP77" i="8" s="1"/>
  <c r="BO70" i="8"/>
  <c r="BO77" i="8" s="1"/>
  <c r="BN70" i="8"/>
  <c r="BN77" i="8" s="1"/>
  <c r="BM70" i="8"/>
  <c r="BM77" i="8" s="1"/>
  <c r="BL70" i="8"/>
  <c r="BL77" i="8" s="1"/>
  <c r="BK70" i="8"/>
  <c r="BK77" i="8" s="1"/>
  <c r="BJ70" i="8"/>
  <c r="BJ77" i="8" s="1"/>
  <c r="BI70" i="8"/>
  <c r="BI77" i="8" s="1"/>
  <c r="BH70" i="8"/>
  <c r="BH77" i="8" s="1"/>
  <c r="BG70" i="8"/>
  <c r="BG77" i="8" s="1"/>
  <c r="BF70" i="8"/>
  <c r="BE70" i="8"/>
  <c r="BE77" i="8" s="1"/>
  <c r="BD70" i="8"/>
  <c r="BD77" i="8" s="1"/>
  <c r="BC70" i="8"/>
  <c r="BC77" i="8" s="1"/>
  <c r="BB70" i="8"/>
  <c r="BB77" i="8" s="1"/>
  <c r="BA70" i="8"/>
  <c r="BA77" i="8" s="1"/>
  <c r="AZ70" i="8"/>
  <c r="AZ77" i="8" s="1"/>
  <c r="AI70" i="8"/>
  <c r="AH70" i="8"/>
  <c r="BW69" i="8"/>
  <c r="BW76" i="8" s="1"/>
  <c r="BV69" i="8"/>
  <c r="BV76" i="8" s="1"/>
  <c r="BU69" i="8"/>
  <c r="BU76" i="8" s="1"/>
  <c r="BT69" i="8"/>
  <c r="BT76" i="8" s="1"/>
  <c r="BS69" i="8"/>
  <c r="BS76" i="8" s="1"/>
  <c r="BR69" i="8"/>
  <c r="BR76" i="8" s="1"/>
  <c r="BQ69" i="8"/>
  <c r="BQ76" i="8" s="1"/>
  <c r="BP69" i="8"/>
  <c r="BP76" i="8" s="1"/>
  <c r="BO69" i="8"/>
  <c r="BO76" i="8" s="1"/>
  <c r="BN69" i="8"/>
  <c r="BN76" i="8" s="1"/>
  <c r="BM69" i="8"/>
  <c r="BM76" i="8" s="1"/>
  <c r="BL69" i="8"/>
  <c r="BL76" i="8" s="1"/>
  <c r="BK69" i="8"/>
  <c r="BK76" i="8" s="1"/>
  <c r="BJ69" i="8"/>
  <c r="BJ76" i="8" s="1"/>
  <c r="BI69" i="8"/>
  <c r="BI76" i="8" s="1"/>
  <c r="BH69" i="8"/>
  <c r="BH76" i="8" s="1"/>
  <c r="BG69" i="8"/>
  <c r="BG76" i="8" s="1"/>
  <c r="BF69" i="8"/>
  <c r="BF76" i="8" s="1"/>
  <c r="BE69" i="8"/>
  <c r="BE76" i="8" s="1"/>
  <c r="BD69" i="8"/>
  <c r="BD76" i="8" s="1"/>
  <c r="BC69" i="8"/>
  <c r="BC76" i="8" s="1"/>
  <c r="BB69" i="8"/>
  <c r="BB76" i="8" s="1"/>
  <c r="BA69" i="8"/>
  <c r="BA76" i="8" s="1"/>
  <c r="AZ69" i="8"/>
  <c r="AZ76" i="8" s="1"/>
  <c r="AI69" i="8"/>
  <c r="AH69" i="8"/>
  <c r="BW68" i="8"/>
  <c r="BW75" i="8" s="1"/>
  <c r="BV68" i="8"/>
  <c r="BV75" i="8" s="1"/>
  <c r="BU68" i="8"/>
  <c r="BU75" i="8" s="1"/>
  <c r="BT68" i="8"/>
  <c r="BT75" i="8" s="1"/>
  <c r="BS68" i="8"/>
  <c r="BS75" i="8" s="1"/>
  <c r="BR68" i="8"/>
  <c r="BR75" i="8" s="1"/>
  <c r="BQ68" i="8"/>
  <c r="BQ75" i="8" s="1"/>
  <c r="BP68" i="8"/>
  <c r="BP75" i="8" s="1"/>
  <c r="BO68" i="8"/>
  <c r="BO75" i="8" s="1"/>
  <c r="BN68" i="8"/>
  <c r="BN75" i="8" s="1"/>
  <c r="BM68" i="8"/>
  <c r="BM75" i="8" s="1"/>
  <c r="BL68" i="8"/>
  <c r="BL75" i="8" s="1"/>
  <c r="BK68" i="8"/>
  <c r="BK75" i="8" s="1"/>
  <c r="BJ68" i="8"/>
  <c r="BJ75" i="8" s="1"/>
  <c r="BI68" i="8"/>
  <c r="BI75" i="8" s="1"/>
  <c r="BH68" i="8"/>
  <c r="BH75" i="8" s="1"/>
  <c r="BG68" i="8"/>
  <c r="BG75" i="8" s="1"/>
  <c r="BF68" i="8"/>
  <c r="BF75" i="8" s="1"/>
  <c r="BE68" i="8"/>
  <c r="BE75" i="8" s="1"/>
  <c r="BD68" i="8"/>
  <c r="BD75" i="8" s="1"/>
  <c r="BC68" i="8"/>
  <c r="BC75" i="8" s="1"/>
  <c r="BB68" i="8"/>
  <c r="BB75" i="8" s="1"/>
  <c r="BA68" i="8"/>
  <c r="BA75" i="8" s="1"/>
  <c r="AZ68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BJ17" i="8"/>
  <c r="AD62" i="8"/>
  <c r="BH17" i="8" s="1"/>
  <c r="AC62" i="8"/>
  <c r="AB62" i="8"/>
  <c r="BG17" i="8" s="1"/>
  <c r="AA62" i="8"/>
  <c r="Z62" i="8"/>
  <c r="BF17" i="8" s="1"/>
  <c r="Y62" i="8"/>
  <c r="X62" i="8"/>
  <c r="W62" i="8"/>
  <c r="V62" i="8"/>
  <c r="BD17" i="8" s="1"/>
  <c r="U62" i="8"/>
  <c r="BC17" i="8" s="1"/>
  <c r="BB17" i="8"/>
  <c r="S62" i="8"/>
  <c r="R62" i="8"/>
  <c r="AZ17" i="8" s="1"/>
  <c r="P62" i="8"/>
  <c r="O62" i="8"/>
  <c r="AW17" i="8" s="1"/>
  <c r="N62" i="8"/>
  <c r="AV17" i="8" s="1"/>
  <c r="M62" i="8"/>
  <c r="AU17" i="8" s="1"/>
  <c r="L62" i="8"/>
  <c r="K62" i="8"/>
  <c r="AT17" i="8" s="1"/>
  <c r="J62" i="8"/>
  <c r="I62" i="8"/>
  <c r="AS17" i="8" s="1"/>
  <c r="H62" i="8"/>
  <c r="G62" i="8"/>
  <c r="AR17" i="8" s="1"/>
  <c r="F62" i="8"/>
  <c r="AQ17" i="8" s="1"/>
  <c r="E62" i="8"/>
  <c r="AP17" i="8" s="1"/>
  <c r="AI61" i="8"/>
  <c r="AH61" i="8"/>
  <c r="AI60" i="8"/>
  <c r="AH60" i="8"/>
  <c r="AI59" i="8"/>
  <c r="AH59" i="8"/>
  <c r="AG58" i="8"/>
  <c r="BJ16" i="8"/>
  <c r="AD58" i="8"/>
  <c r="BH16" i="8" s="1"/>
  <c r="AC58" i="8"/>
  <c r="AB58" i="8"/>
  <c r="AA58" i="8"/>
  <c r="Z58" i="8"/>
  <c r="Y58" i="8"/>
  <c r="X58" i="8"/>
  <c r="W58" i="8"/>
  <c r="V58" i="8"/>
  <c r="U58" i="8"/>
  <c r="S58" i="8"/>
  <c r="BA16" i="8" s="1"/>
  <c r="R58" i="8"/>
  <c r="Q7" i="8"/>
  <c r="P58" i="8"/>
  <c r="O58" i="8"/>
  <c r="N58" i="8"/>
  <c r="M58" i="8"/>
  <c r="L58" i="8"/>
  <c r="K58" i="8"/>
  <c r="AT16" i="8" s="1"/>
  <c r="J58" i="8"/>
  <c r="I58" i="8"/>
  <c r="AS16" i="8" s="1"/>
  <c r="H58" i="8"/>
  <c r="G58" i="8"/>
  <c r="AR16" i="8" s="1"/>
  <c r="F58" i="8"/>
  <c r="E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I21" i="8"/>
  <c r="AH21" i="8"/>
  <c r="BJ20" i="8"/>
  <c r="BI20" i="8"/>
  <c r="BH20" i="8"/>
  <c r="BF20" i="8"/>
  <c r="BE20" i="8"/>
  <c r="BB20" i="8"/>
  <c r="AY20" i="8"/>
  <c r="AW20" i="8"/>
  <c r="AV20" i="8"/>
  <c r="AS20" i="8"/>
  <c r="AM20" i="8"/>
  <c r="AI20" i="8"/>
  <c r="AH20" i="8"/>
  <c r="AY19" i="8"/>
  <c r="AQ19" i="8"/>
  <c r="AM19" i="8"/>
  <c r="AI19" i="8"/>
  <c r="AH19" i="8"/>
  <c r="BF18" i="8"/>
  <c r="BB18" i="8"/>
  <c r="AZ18" i="8"/>
  <c r="AY18" i="8"/>
  <c r="AO18" i="8"/>
  <c r="AN18" i="8"/>
  <c r="AM18" i="8"/>
  <c r="AI18" i="8"/>
  <c r="AH18" i="8"/>
  <c r="BI17" i="8"/>
  <c r="BE17" i="8"/>
  <c r="BA17" i="8"/>
  <c r="AY17" i="8"/>
  <c r="AX17" i="8"/>
  <c r="AO17" i="8"/>
  <c r="AN17" i="8"/>
  <c r="AM17" i="8"/>
  <c r="AI17" i="8"/>
  <c r="AH17" i="8"/>
  <c r="BI16" i="8"/>
  <c r="AZ16" i="8"/>
  <c r="AY16" i="8"/>
  <c r="AX16" i="8"/>
  <c r="AW16" i="8"/>
  <c r="AI16" i="8"/>
  <c r="AH16" i="8"/>
  <c r="AI15" i="8"/>
  <c r="AH15" i="8"/>
  <c r="AI14" i="8"/>
  <c r="AH14" i="8"/>
  <c r="AI13" i="8"/>
  <c r="AH13" i="8"/>
  <c r="AL12" i="8"/>
  <c r="AI12" i="8"/>
  <c r="AH12" i="8"/>
  <c r="AI11" i="8"/>
  <c r="AH11" i="8"/>
  <c r="AF5" i="8"/>
  <c r="V5" i="8"/>
  <c r="P5" i="8"/>
  <c r="E5" i="8"/>
  <c r="AG4" i="8"/>
  <c r="K4" i="8"/>
  <c r="E4" i="8"/>
  <c r="H4" i="8" s="1"/>
  <c r="B4" i="8"/>
  <c r="D258" i="8" s="1"/>
  <c r="AG2" i="8"/>
  <c r="AF58" i="7"/>
  <c r="AF62" i="7"/>
  <c r="AF76" i="7"/>
  <c r="AF80" i="7"/>
  <c r="AF92" i="7"/>
  <c r="AF101" i="7"/>
  <c r="AF102" i="7"/>
  <c r="AF103" i="7"/>
  <c r="AF104" i="7"/>
  <c r="AF105" i="7"/>
  <c r="AF107" i="7" s="1"/>
  <c r="AF118" i="7"/>
  <c r="AE58" i="7"/>
  <c r="AE62" i="7"/>
  <c r="AE76" i="7"/>
  <c r="AE80" i="7"/>
  <c r="AE92" i="7"/>
  <c r="AE101" i="7"/>
  <c r="AE102" i="7"/>
  <c r="AE103" i="7"/>
  <c r="AE104" i="7"/>
  <c r="AE105" i="7"/>
  <c r="AE118" i="7"/>
  <c r="AD58" i="7"/>
  <c r="AD62" i="7"/>
  <c r="AD76" i="7"/>
  <c r="AD80" i="7"/>
  <c r="AD92" i="7"/>
  <c r="AD101" i="7"/>
  <c r="AD102" i="7"/>
  <c r="AD103" i="7"/>
  <c r="AD104" i="7"/>
  <c r="AD105" i="7"/>
  <c r="AD118" i="7"/>
  <c r="AC58" i="7"/>
  <c r="AC62" i="7"/>
  <c r="AC76" i="7"/>
  <c r="AC80" i="7"/>
  <c r="AC92" i="7"/>
  <c r="AC101" i="7"/>
  <c r="AC102" i="7"/>
  <c r="AC103" i="7"/>
  <c r="AC104" i="7"/>
  <c r="AC105" i="7"/>
  <c r="AC118" i="7"/>
  <c r="AF252" i="9" l="1"/>
  <c r="B246" i="9"/>
  <c r="BJ19" i="8"/>
  <c r="BJ22" i="8" s="1"/>
  <c r="AD5" i="8"/>
  <c r="AC5" i="8"/>
  <c r="AA5" i="8"/>
  <c r="C107" i="8"/>
  <c r="AN23" i="8" s="1"/>
  <c r="AD97" i="8"/>
  <c r="AD99" i="8" s="1"/>
  <c r="W107" i="8"/>
  <c r="W108" i="8" s="1"/>
  <c r="AE107" i="8"/>
  <c r="BI23" i="8" s="1"/>
  <c r="AE108" i="8"/>
  <c r="O5" i="8"/>
  <c r="BI22" i="8"/>
  <c r="AB97" i="8"/>
  <c r="AB99" i="8" s="1"/>
  <c r="BG16" i="8"/>
  <c r="BG22" i="8" s="1"/>
  <c r="AA107" i="8"/>
  <c r="Y5" i="8"/>
  <c r="Z107" i="8"/>
  <c r="BF23" i="8" s="1"/>
  <c r="Z97" i="8"/>
  <c r="Z99" i="8" s="1"/>
  <c r="Y107" i="8"/>
  <c r="Y108" i="8" s="1"/>
  <c r="Y97" i="8"/>
  <c r="Y99" i="8" s="1"/>
  <c r="BE19" i="8"/>
  <c r="X97" i="8"/>
  <c r="X99" i="8" s="1"/>
  <c r="BE16" i="8"/>
  <c r="BD19" i="8"/>
  <c r="W97" i="8"/>
  <c r="W99" i="8" s="1"/>
  <c r="W100" i="8" s="1"/>
  <c r="W7" i="8" s="1"/>
  <c r="V97" i="8"/>
  <c r="V99" i="8" s="1"/>
  <c r="BC19" i="8"/>
  <c r="T97" i="8"/>
  <c r="T99" i="8" s="1"/>
  <c r="S5" i="8"/>
  <c r="BA19" i="8"/>
  <c r="BA22" i="8" s="1"/>
  <c r="S107" i="8"/>
  <c r="BA23" i="8" s="1"/>
  <c r="Q5" i="8"/>
  <c r="R107" i="8"/>
  <c r="AZ23" i="8" s="1"/>
  <c r="R97" i="8"/>
  <c r="R99" i="8" s="1"/>
  <c r="AZ22" i="8"/>
  <c r="AY22" i="8"/>
  <c r="P97" i="8"/>
  <c r="P99" i="8" s="1"/>
  <c r="AX22" i="8"/>
  <c r="O107" i="8"/>
  <c r="AW23" i="8" s="1"/>
  <c r="N5" i="8"/>
  <c r="AW22" i="8"/>
  <c r="AW24" i="8" s="1"/>
  <c r="M5" i="8"/>
  <c r="N97" i="8"/>
  <c r="N99" i="8" s="1"/>
  <c r="L5" i="8"/>
  <c r="AI103" i="8"/>
  <c r="L97" i="8"/>
  <c r="L99" i="8" s="1"/>
  <c r="K107" i="8"/>
  <c r="AT23" i="8" s="1"/>
  <c r="J5" i="8"/>
  <c r="AT22" i="8"/>
  <c r="AT24" i="8" s="1"/>
  <c r="J107" i="8"/>
  <c r="J108" i="8" s="1"/>
  <c r="J97" i="8"/>
  <c r="J99" i="8" s="1"/>
  <c r="J100" i="8" s="1"/>
  <c r="J7" i="8" s="1"/>
  <c r="I107" i="8"/>
  <c r="I108" i="8"/>
  <c r="AS23" i="8"/>
  <c r="H5" i="8"/>
  <c r="AS22" i="8"/>
  <c r="AS24" i="8" s="1"/>
  <c r="I97" i="8"/>
  <c r="I99" i="8" s="1"/>
  <c r="I100" i="8" s="1"/>
  <c r="I7" i="8" s="1"/>
  <c r="AI121" i="8"/>
  <c r="H97" i="8"/>
  <c r="H99" i="8" s="1"/>
  <c r="G107" i="8"/>
  <c r="AR23" i="8" s="1"/>
  <c r="F5" i="8"/>
  <c r="AR19" i="8"/>
  <c r="AR22" i="8" s="1"/>
  <c r="AR24" i="8" s="1"/>
  <c r="G97" i="8"/>
  <c r="G99" i="8" s="1"/>
  <c r="G100" i="8" s="1"/>
  <c r="G7" i="8" s="1"/>
  <c r="AI102" i="8"/>
  <c r="AI80" i="8"/>
  <c r="F97" i="8"/>
  <c r="F99" i="8" s="1"/>
  <c r="AQ16" i="8"/>
  <c r="AQ22" i="8" s="1"/>
  <c r="D5" i="8"/>
  <c r="AI76" i="8"/>
  <c r="AI62" i="8"/>
  <c r="AO19" i="8"/>
  <c r="D108" i="8"/>
  <c r="D97" i="8"/>
  <c r="D99" i="8" s="1"/>
  <c r="D100" i="8" s="1"/>
  <c r="AN19" i="8"/>
  <c r="C108" i="8"/>
  <c r="AH76" i="8"/>
  <c r="C97" i="8"/>
  <c r="C99" i="8" s="1"/>
  <c r="C100" i="8" s="1"/>
  <c r="AH102" i="8"/>
  <c r="B107" i="8"/>
  <c r="B108" i="8" s="1"/>
  <c r="B97" i="8"/>
  <c r="B99" i="8" s="1"/>
  <c r="B100" i="8" s="1"/>
  <c r="AI92" i="8"/>
  <c r="BG84" i="8" a="1"/>
  <c r="BJ103" i="8" s="1"/>
  <c r="AH101" i="8"/>
  <c r="AY23" i="8"/>
  <c r="AY24" i="8" s="1"/>
  <c r="AM23" i="8"/>
  <c r="BH22" i="8"/>
  <c r="AG3" i="8"/>
  <c r="AG6" i="8" s="1"/>
  <c r="AG97" i="8"/>
  <c r="O97" i="8"/>
  <c r="O99" i="8" s="1"/>
  <c r="O100" i="8" s="1"/>
  <c r="O7" i="8" s="1"/>
  <c r="E107" i="8"/>
  <c r="AP23" i="8" s="1"/>
  <c r="M107" i="8"/>
  <c r="AU23" i="8" s="1"/>
  <c r="U107" i="8"/>
  <c r="BC23" i="8" s="1"/>
  <c r="AC107" i="8"/>
  <c r="AC108" i="8" s="1"/>
  <c r="E97" i="8"/>
  <c r="E99" i="8" s="1"/>
  <c r="AC97" i="8"/>
  <c r="AC99" i="8" s="1"/>
  <c r="AO23" i="8"/>
  <c r="BB16" i="8"/>
  <c r="BB22" i="8" s="1"/>
  <c r="AZ75" i="8"/>
  <c r="F107" i="8"/>
  <c r="AQ23" i="8" s="1"/>
  <c r="N107" i="8"/>
  <c r="AV23" i="8" s="1"/>
  <c r="V107" i="8"/>
  <c r="BD23" i="8" s="1"/>
  <c r="AD107" i="8"/>
  <c r="BH23" i="8" s="1"/>
  <c r="U97" i="8"/>
  <c r="U99" i="8" s="1"/>
  <c r="AM16" i="8"/>
  <c r="AM22" i="8" s="1"/>
  <c r="BC16" i="8"/>
  <c r="BC22" i="8" s="1"/>
  <c r="AH92" i="8"/>
  <c r="AG99" i="8"/>
  <c r="N108" i="8"/>
  <c r="AE97" i="8"/>
  <c r="AE99" i="8" s="1"/>
  <c r="M97" i="8"/>
  <c r="M99" i="8" s="1"/>
  <c r="M100" i="8" s="1"/>
  <c r="M7" i="8" s="1"/>
  <c r="AF97" i="8"/>
  <c r="AF99" i="8" s="1"/>
  <c r="L107" i="8"/>
  <c r="L108" i="8" s="1"/>
  <c r="T107" i="8"/>
  <c r="BB23" i="8" s="1"/>
  <c r="AB107" i="8"/>
  <c r="BG23" i="8" s="1"/>
  <c r="AU16" i="8"/>
  <c r="AU22" i="8" s="1"/>
  <c r="AU24" i="8" s="1"/>
  <c r="AL13" i="8"/>
  <c r="AV16" i="8"/>
  <c r="AV22" i="8" s="1"/>
  <c r="BD16" i="8"/>
  <c r="AN20" i="8"/>
  <c r="AH80" i="8"/>
  <c r="S108" i="8"/>
  <c r="AA108" i="8"/>
  <c r="H107" i="8"/>
  <c r="H108" i="8" s="1"/>
  <c r="P107" i="8"/>
  <c r="X107" i="8"/>
  <c r="AF107" i="8"/>
  <c r="D252" i="8"/>
  <c r="E246" i="8"/>
  <c r="AH58" i="8"/>
  <c r="AH62" i="8"/>
  <c r="AI105" i="8"/>
  <c r="AO16" i="8"/>
  <c r="AO22" i="8" s="1"/>
  <c r="AP16" i="8"/>
  <c r="AP22" i="8" s="1"/>
  <c r="BF16" i="8"/>
  <c r="BF22" i="8" s="1"/>
  <c r="C7" i="8"/>
  <c r="K97" i="8"/>
  <c r="K99" i="8" s="1"/>
  <c r="K100" i="8" s="1"/>
  <c r="K7" i="8" s="1"/>
  <c r="S97" i="8"/>
  <c r="S99" i="8" s="1"/>
  <c r="S100" i="8" s="1"/>
  <c r="S7" i="8" s="1"/>
  <c r="AA97" i="8"/>
  <c r="AA99" i="8" s="1"/>
  <c r="AA100" i="8" s="1"/>
  <c r="AA7" i="8" s="1"/>
  <c r="AI58" i="8"/>
  <c r="M108" i="8"/>
  <c r="U108" i="8"/>
  <c r="AI101" i="8"/>
  <c r="AI104" i="8"/>
  <c r="AH103" i="8"/>
  <c r="AH104" i="8"/>
  <c r="AH105" i="8"/>
  <c r="AF97" i="7"/>
  <c r="AF99" i="7" s="1"/>
  <c r="AF100" i="7" s="1"/>
  <c r="AF108" i="7"/>
  <c r="AE97" i="7"/>
  <c r="AE99" i="7" s="1"/>
  <c r="AE107" i="7"/>
  <c r="AE108" i="7" s="1"/>
  <c r="AD107" i="7"/>
  <c r="AD97" i="7"/>
  <c r="AD99" i="7" s="1"/>
  <c r="AD108" i="7"/>
  <c r="AC107" i="7"/>
  <c r="AC97" i="7"/>
  <c r="AC99" i="7" s="1"/>
  <c r="AC100" i="7" s="1"/>
  <c r="AC108" i="7"/>
  <c r="B252" i="9" l="1"/>
  <c r="B118" i="9"/>
  <c r="AE100" i="8"/>
  <c r="AE7" i="8" s="1"/>
  <c r="BI24" i="8"/>
  <c r="AN22" i="8"/>
  <c r="AN24" i="8" s="1"/>
  <c r="AO24" i="8"/>
  <c r="AQ24" i="8"/>
  <c r="R108" i="8"/>
  <c r="R100" i="8"/>
  <c r="R7" i="8" s="1"/>
  <c r="N100" i="8"/>
  <c r="N7" i="8" s="1"/>
  <c r="BE22" i="8"/>
  <c r="AT8" i="8" s="1"/>
  <c r="BC24" i="8"/>
  <c r="U100" i="8"/>
  <c r="U7" i="8" s="1"/>
  <c r="AC100" i="8"/>
  <c r="AC7" i="8" s="1"/>
  <c r="X100" i="8"/>
  <c r="X7" i="8" s="1"/>
  <c r="BG24" i="8"/>
  <c r="BF24" i="8"/>
  <c r="Z100" i="8"/>
  <c r="Z7" i="8" s="1"/>
  <c r="Z108" i="8"/>
  <c r="Y100" i="8"/>
  <c r="Y7" i="8" s="1"/>
  <c r="BD22" i="8"/>
  <c r="BD24" i="8" s="1"/>
  <c r="V100" i="8"/>
  <c r="V7" i="8" s="1"/>
  <c r="V108" i="8"/>
  <c r="BA24" i="8"/>
  <c r="AZ24" i="8"/>
  <c r="P100" i="8"/>
  <c r="P7" i="8" s="1"/>
  <c r="O108" i="8"/>
  <c r="K108" i="8"/>
  <c r="G108" i="8"/>
  <c r="F100" i="8"/>
  <c r="F7" i="8" s="1"/>
  <c r="F108" i="8"/>
  <c r="BK97" i="8"/>
  <c r="BJ100" i="8"/>
  <c r="BJ90" i="8"/>
  <c r="BH100" i="8"/>
  <c r="BL84" i="8"/>
  <c r="BH90" i="8"/>
  <c r="BI89" i="8"/>
  <c r="BG100" i="8"/>
  <c r="BL103" i="8"/>
  <c r="BK101" i="8"/>
  <c r="BG101" i="8"/>
  <c r="BG103" i="8"/>
  <c r="BH101" i="8"/>
  <c r="BL105" i="8"/>
  <c r="BJ93" i="8"/>
  <c r="BG86" i="8"/>
  <c r="BG92" i="8"/>
  <c r="BL94" i="8"/>
  <c r="BI107" i="8"/>
  <c r="BK102" i="8"/>
  <c r="BI102" i="8"/>
  <c r="BG105" i="8"/>
  <c r="BH104" i="8"/>
  <c r="BJ84" i="8"/>
  <c r="BI87" i="8"/>
  <c r="BH94" i="8"/>
  <c r="BJ106" i="8"/>
  <c r="BL91" i="8"/>
  <c r="BJ94" i="8"/>
  <c r="BJ105" i="8"/>
  <c r="BJ88" i="8"/>
  <c r="BK92" i="8"/>
  <c r="BJ95" i="8"/>
  <c r="BH89" i="8"/>
  <c r="BK95" i="8"/>
  <c r="BH105" i="8"/>
  <c r="BG87" i="8"/>
  <c r="BL89" i="8"/>
  <c r="BK96" i="8"/>
  <c r="BL100" i="8"/>
  <c r="BL99" i="8"/>
  <c r="BJ86" i="8"/>
  <c r="BH84" i="8"/>
  <c r="BG91" i="8"/>
  <c r="BH95" i="8"/>
  <c r="BG98" i="8"/>
  <c r="BL104" i="8"/>
  <c r="BK103" i="8"/>
  <c r="BH97" i="8"/>
  <c r="BJ89" i="8"/>
  <c r="BI92" i="8"/>
  <c r="BH99" i="8"/>
  <c r="BI103" i="8"/>
  <c r="BH106" i="8"/>
  <c r="BK94" i="8"/>
  <c r="BK106" i="8"/>
  <c r="BK107" i="8"/>
  <c r="BK98" i="8"/>
  <c r="BG104" i="8"/>
  <c r="BJ98" i="8"/>
  <c r="BJ85" i="8"/>
  <c r="BH96" i="8"/>
  <c r="BL106" i="8"/>
  <c r="BK93" i="8"/>
  <c r="BI104" i="8"/>
  <c r="BH91" i="8"/>
  <c r="BL101" i="8"/>
  <c r="BK88" i="8"/>
  <c r="BI99" i="8"/>
  <c r="BH86" i="8"/>
  <c r="BL96" i="8"/>
  <c r="BJ107" i="8"/>
  <c r="BH85" i="8"/>
  <c r="BG88" i="8"/>
  <c r="BL87" i="8"/>
  <c r="BG84" i="8"/>
  <c r="BJ102" i="8"/>
  <c r="BL107" i="8"/>
  <c r="BK87" i="8"/>
  <c r="BL86" i="8"/>
  <c r="BJ97" i="8"/>
  <c r="BI84" i="8"/>
  <c r="BG95" i="8"/>
  <c r="BK105" i="8"/>
  <c r="BJ92" i="8"/>
  <c r="BH103" i="8"/>
  <c r="BG90" i="8"/>
  <c r="BK100" i="8"/>
  <c r="BJ87" i="8"/>
  <c r="BH98" i="8"/>
  <c r="BG89" i="8"/>
  <c r="BI85" i="8"/>
  <c r="BI86" i="8"/>
  <c r="BK91" i="8"/>
  <c r="BI106" i="8"/>
  <c r="BK86" i="8"/>
  <c r="BK90" i="8"/>
  <c r="BH88" i="8"/>
  <c r="BL98" i="8"/>
  <c r="BK85" i="8"/>
  <c r="BI96" i="8"/>
  <c r="BG107" i="8"/>
  <c r="BL93" i="8"/>
  <c r="BJ104" i="8"/>
  <c r="BI91" i="8"/>
  <c r="BG102" i="8"/>
  <c r="BL88" i="8"/>
  <c r="BJ99" i="8"/>
  <c r="BL95" i="8"/>
  <c r="BG93" i="8"/>
  <c r="BH93" i="8"/>
  <c r="BI105" i="8"/>
  <c r="BI90" i="8"/>
  <c r="BI94" i="8"/>
  <c r="BI98" i="8"/>
  <c r="BL90" i="8"/>
  <c r="BJ101" i="8"/>
  <c r="BI88" i="8"/>
  <c r="BG99" i="8"/>
  <c r="BL85" i="8"/>
  <c r="BJ96" i="8"/>
  <c r="BH107" i="8"/>
  <c r="BG94" i="8"/>
  <c r="BK104" i="8"/>
  <c r="BJ91" i="8"/>
  <c r="BH102" i="8"/>
  <c r="BK99" i="8"/>
  <c r="BG96" i="8"/>
  <c r="BG97" i="8"/>
  <c r="BG85" i="8"/>
  <c r="BI93" i="8"/>
  <c r="BI97" i="8"/>
  <c r="BI101" i="8"/>
  <c r="BH92" i="8"/>
  <c r="BL102" i="8"/>
  <c r="BK89" i="8"/>
  <c r="BI100" i="8"/>
  <c r="BH87" i="8"/>
  <c r="BL97" i="8"/>
  <c r="BK84" i="8"/>
  <c r="BI95" i="8"/>
  <c r="BG106" i="8"/>
  <c r="BL92" i="8"/>
  <c r="AB108" i="8"/>
  <c r="T100" i="8"/>
  <c r="T7" i="8" s="1"/>
  <c r="AH107" i="8"/>
  <c r="AI107" i="8"/>
  <c r="T108" i="8"/>
  <c r="AF108" i="8"/>
  <c r="BJ23" i="8"/>
  <c r="BJ24" i="8" s="1"/>
  <c r="E100" i="8"/>
  <c r="E7" i="8" s="1"/>
  <c r="B256" i="8"/>
  <c r="L100" i="8"/>
  <c r="L7" i="8" s="1"/>
  <c r="AP24" i="8"/>
  <c r="BE23" i="8"/>
  <c r="BE24" i="8" s="1"/>
  <c r="X108" i="8"/>
  <c r="AF100" i="8"/>
  <c r="AF7" i="8" s="1"/>
  <c r="H100" i="8"/>
  <c r="H7" i="8" s="1"/>
  <c r="AB100" i="8"/>
  <c r="AB7" i="8" s="1"/>
  <c r="BH24" i="8"/>
  <c r="D7" i="8"/>
  <c r="F246" i="8"/>
  <c r="E118" i="8"/>
  <c r="E252" i="8"/>
  <c r="E108" i="8"/>
  <c r="AH97" i="8"/>
  <c r="AX23" i="8"/>
  <c r="AX24" i="8" s="1"/>
  <c r="P108" i="8"/>
  <c r="AV24" i="8"/>
  <c r="C256" i="8"/>
  <c r="AI97" i="8"/>
  <c r="BB24" i="8"/>
  <c r="AH99" i="8"/>
  <c r="AI99" i="8"/>
  <c r="AD108" i="8"/>
  <c r="AM24" i="8"/>
  <c r="AD100" i="8"/>
  <c r="AD7" i="8" s="1"/>
  <c r="AE100" i="7"/>
  <c r="AD100" i="7"/>
  <c r="AB57" i="7"/>
  <c r="AB58" i="7"/>
  <c r="AB62" i="7"/>
  <c r="AB76" i="7"/>
  <c r="AB80" i="7"/>
  <c r="AB92" i="7"/>
  <c r="AB101" i="7"/>
  <c r="AB102" i="7"/>
  <c r="AB103" i="7"/>
  <c r="AB104" i="7"/>
  <c r="AB105" i="7"/>
  <c r="AB118" i="7"/>
  <c r="AA57" i="7"/>
  <c r="Z57" i="7"/>
  <c r="Y57" i="7"/>
  <c r="X57" i="7"/>
  <c r="W57" i="7"/>
  <c r="V57" i="7"/>
  <c r="U57" i="7"/>
  <c r="U58" i="7"/>
  <c r="U62" i="7"/>
  <c r="U76" i="7"/>
  <c r="U80" i="7"/>
  <c r="U92" i="7"/>
  <c r="U101" i="7"/>
  <c r="U102" i="7"/>
  <c r="U103" i="7"/>
  <c r="U104" i="7"/>
  <c r="U105" i="7"/>
  <c r="U118" i="7"/>
  <c r="T57" i="7"/>
  <c r="S57" i="7"/>
  <c r="R121" i="7"/>
  <c r="R57" i="7"/>
  <c r="R58" i="7"/>
  <c r="R62" i="7"/>
  <c r="R76" i="7"/>
  <c r="R80" i="7"/>
  <c r="Q57" i="7"/>
  <c r="P121" i="7"/>
  <c r="P57" i="7"/>
  <c r="N58" i="7"/>
  <c r="O58" i="7"/>
  <c r="P58" i="7"/>
  <c r="N62" i="7"/>
  <c r="O62" i="7"/>
  <c r="P62" i="7"/>
  <c r="N76" i="7"/>
  <c r="O76" i="7"/>
  <c r="P76" i="7"/>
  <c r="N80" i="7"/>
  <c r="O80" i="7"/>
  <c r="P80" i="7"/>
  <c r="AI118" i="9" l="1"/>
  <c r="AH118" i="9"/>
  <c r="AI108" i="8"/>
  <c r="AH108" i="8"/>
  <c r="AT9" i="8"/>
  <c r="G246" i="8"/>
  <c r="F118" i="8"/>
  <c r="F252" i="8"/>
  <c r="AI100" i="8"/>
  <c r="AH100" i="8"/>
  <c r="B7" i="8"/>
  <c r="A7" i="8" s="1"/>
  <c r="K6" i="8"/>
  <c r="AB108" i="7"/>
  <c r="AB107" i="7"/>
  <c r="AB97" i="7"/>
  <c r="AB99" i="7" s="1"/>
  <c r="U108" i="7"/>
  <c r="U97" i="7"/>
  <c r="U99" i="7" s="1"/>
  <c r="L58" i="7"/>
  <c r="K58" i="7"/>
  <c r="K62" i="7"/>
  <c r="K76" i="7"/>
  <c r="AT18" i="7" s="1"/>
  <c r="E62" i="7"/>
  <c r="AH125" i="7"/>
  <c r="AI125" i="7"/>
  <c r="AH124" i="7"/>
  <c r="AI124" i="7"/>
  <c r="AI51" i="7"/>
  <c r="AG252" i="7"/>
  <c r="C252" i="7"/>
  <c r="D251" i="7"/>
  <c r="D118" i="7" s="1"/>
  <c r="D250" i="7"/>
  <c r="E250" i="7" s="1"/>
  <c r="F250" i="7" s="1"/>
  <c r="G250" i="7" s="1"/>
  <c r="H250" i="7" s="1"/>
  <c r="I250" i="7" s="1"/>
  <c r="J250" i="7" s="1"/>
  <c r="K250" i="7" s="1"/>
  <c r="L250" i="7" s="1"/>
  <c r="M250" i="7" s="1"/>
  <c r="N250" i="7" s="1"/>
  <c r="O250" i="7" s="1"/>
  <c r="P250" i="7" s="1"/>
  <c r="Q250" i="7" s="1"/>
  <c r="R250" i="7" s="1"/>
  <c r="S250" i="7" s="1"/>
  <c r="T250" i="7" s="1"/>
  <c r="U250" i="7" s="1"/>
  <c r="V250" i="7" s="1"/>
  <c r="W250" i="7" s="1"/>
  <c r="X250" i="7" s="1"/>
  <c r="Y250" i="7" s="1"/>
  <c r="Z250" i="7" s="1"/>
  <c r="AA250" i="7" s="1"/>
  <c r="AB250" i="7" s="1"/>
  <c r="AC250" i="7" s="1"/>
  <c r="AD250" i="7" s="1"/>
  <c r="AE250" i="7" s="1"/>
  <c r="AF250" i="7" s="1"/>
  <c r="B250" i="7" s="1"/>
  <c r="D249" i="7"/>
  <c r="E249" i="7" s="1"/>
  <c r="F249" i="7" s="1"/>
  <c r="G249" i="7" s="1"/>
  <c r="H249" i="7" s="1"/>
  <c r="I249" i="7" s="1"/>
  <c r="J249" i="7" s="1"/>
  <c r="K249" i="7" s="1"/>
  <c r="L249" i="7" s="1"/>
  <c r="M249" i="7" s="1"/>
  <c r="N249" i="7" s="1"/>
  <c r="O249" i="7" s="1"/>
  <c r="P249" i="7" s="1"/>
  <c r="Q249" i="7" s="1"/>
  <c r="R249" i="7" s="1"/>
  <c r="S249" i="7" s="1"/>
  <c r="T249" i="7" s="1"/>
  <c r="U249" i="7" s="1"/>
  <c r="V249" i="7" s="1"/>
  <c r="W249" i="7" s="1"/>
  <c r="X249" i="7" s="1"/>
  <c r="Y249" i="7" s="1"/>
  <c r="Z249" i="7" s="1"/>
  <c r="AA249" i="7" s="1"/>
  <c r="AB249" i="7" s="1"/>
  <c r="AC249" i="7" s="1"/>
  <c r="AD249" i="7" s="1"/>
  <c r="AE249" i="7" s="1"/>
  <c r="AF249" i="7" s="1"/>
  <c r="B249" i="7" s="1"/>
  <c r="F248" i="7"/>
  <c r="G248" i="7" s="1"/>
  <c r="H248" i="7" s="1"/>
  <c r="I248" i="7" s="1"/>
  <c r="J248" i="7" s="1"/>
  <c r="K248" i="7" s="1"/>
  <c r="L248" i="7" s="1"/>
  <c r="M248" i="7" s="1"/>
  <c r="N248" i="7" s="1"/>
  <c r="O248" i="7" s="1"/>
  <c r="P248" i="7" s="1"/>
  <c r="Q248" i="7" s="1"/>
  <c r="R248" i="7" s="1"/>
  <c r="S248" i="7" s="1"/>
  <c r="T248" i="7" s="1"/>
  <c r="U248" i="7" s="1"/>
  <c r="V248" i="7" s="1"/>
  <c r="W248" i="7" s="1"/>
  <c r="X248" i="7" s="1"/>
  <c r="Y248" i="7" s="1"/>
  <c r="Z248" i="7" s="1"/>
  <c r="AA248" i="7" s="1"/>
  <c r="AB248" i="7" s="1"/>
  <c r="AC248" i="7" s="1"/>
  <c r="AD248" i="7" s="1"/>
  <c r="AE248" i="7" s="1"/>
  <c r="AF248" i="7" s="1"/>
  <c r="B248" i="7" s="1"/>
  <c r="E248" i="7"/>
  <c r="D248" i="7"/>
  <c r="D247" i="7"/>
  <c r="D246" i="7"/>
  <c r="E246" i="7" s="1"/>
  <c r="F246" i="7" s="1"/>
  <c r="G246" i="7" s="1"/>
  <c r="AG244" i="7"/>
  <c r="AF244" i="7"/>
  <c r="AE244" i="7"/>
  <c r="AD244" i="7"/>
  <c r="AC244" i="7"/>
  <c r="AB244" i="7"/>
  <c r="AA244" i="7"/>
  <c r="Z244" i="7"/>
  <c r="Z118" i="7" s="1"/>
  <c r="Y244" i="7"/>
  <c r="Y118" i="7" s="1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I130" i="7"/>
  <c r="AH130" i="7"/>
  <c r="AI129" i="7"/>
  <c r="AH129" i="7"/>
  <c r="AI128" i="7"/>
  <c r="AH128" i="7"/>
  <c r="AI127" i="7"/>
  <c r="AH127" i="7"/>
  <c r="AI126" i="7"/>
  <c r="AH126" i="7"/>
  <c r="AI123" i="7"/>
  <c r="AH123" i="7"/>
  <c r="AI122" i="7"/>
  <c r="AH122" i="7"/>
  <c r="AI121" i="7"/>
  <c r="AH121" i="7"/>
  <c r="AI120" i="7"/>
  <c r="AH120" i="7"/>
  <c r="AI119" i="7"/>
  <c r="AH119" i="7"/>
  <c r="C118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I111" i="7"/>
  <c r="AH111" i="7"/>
  <c r="AI110" i="7"/>
  <c r="AH110" i="7"/>
  <c r="AI109" i="7"/>
  <c r="AH109" i="7"/>
  <c r="AI106" i="7"/>
  <c r="AH106" i="7"/>
  <c r="AA105" i="7"/>
  <c r="Z105" i="7"/>
  <c r="Y105" i="7"/>
  <c r="X105" i="7"/>
  <c r="W105" i="7"/>
  <c r="V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A104" i="7"/>
  <c r="Z104" i="7"/>
  <c r="Y104" i="7"/>
  <c r="X104" i="7"/>
  <c r="W104" i="7"/>
  <c r="V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A103" i="7"/>
  <c r="Z103" i="7"/>
  <c r="Y103" i="7"/>
  <c r="X103" i="7"/>
  <c r="W103" i="7"/>
  <c r="V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A102" i="7"/>
  <c r="Z102" i="7"/>
  <c r="Y102" i="7"/>
  <c r="X102" i="7"/>
  <c r="W102" i="7"/>
  <c r="V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BH23" i="7"/>
  <c r="AA101" i="7"/>
  <c r="Z101" i="7"/>
  <c r="Y101" i="7"/>
  <c r="X101" i="7"/>
  <c r="W101" i="7"/>
  <c r="V101" i="7"/>
  <c r="T101" i="7"/>
  <c r="S101" i="7"/>
  <c r="R101" i="7"/>
  <c r="Q101" i="7"/>
  <c r="P101" i="7"/>
  <c r="O101" i="7"/>
  <c r="N101" i="7"/>
  <c r="N107" i="7" s="1"/>
  <c r="AV23" i="7" s="1"/>
  <c r="M101" i="7"/>
  <c r="L101" i="7"/>
  <c r="K101" i="7"/>
  <c r="J101" i="7"/>
  <c r="I101" i="7"/>
  <c r="H101" i="7"/>
  <c r="G101" i="7"/>
  <c r="F101" i="7"/>
  <c r="E101" i="7"/>
  <c r="D101" i="7"/>
  <c r="C101" i="7"/>
  <c r="B101" i="7"/>
  <c r="AI98" i="7"/>
  <c r="AH98" i="7"/>
  <c r="AI96" i="7"/>
  <c r="AH96" i="7"/>
  <c r="AG96" i="7"/>
  <c r="AI95" i="7"/>
  <c r="AH95" i="7"/>
  <c r="AI94" i="7"/>
  <c r="AH94" i="7"/>
  <c r="AI93" i="7"/>
  <c r="AH93" i="7"/>
  <c r="AG92" i="7"/>
  <c r="AA92" i="7"/>
  <c r="Z92" i="7"/>
  <c r="BF19" i="7" s="1"/>
  <c r="Y92" i="7"/>
  <c r="X5" i="7" s="1"/>
  <c r="X92" i="7"/>
  <c r="BE19" i="7" s="1"/>
  <c r="W92" i="7"/>
  <c r="V5" i="7" s="1"/>
  <c r="V92" i="7"/>
  <c r="BD19" i="7" s="1"/>
  <c r="T92" i="7"/>
  <c r="S5" i="7" s="1"/>
  <c r="S92" i="7"/>
  <c r="R5" i="7" s="1"/>
  <c r="R92" i="7"/>
  <c r="AZ19" i="7" s="1"/>
  <c r="Q92" i="7"/>
  <c r="P5" i="7" s="1"/>
  <c r="P92" i="7"/>
  <c r="O5" i="7" s="1"/>
  <c r="O92" i="7"/>
  <c r="AW19" i="7" s="1"/>
  <c r="N92" i="7"/>
  <c r="AV19" i="7" s="1"/>
  <c r="M92" i="7"/>
  <c r="AU19" i="7" s="1"/>
  <c r="L92" i="7"/>
  <c r="K5" i="7" s="1"/>
  <c r="K92" i="7"/>
  <c r="K97" i="7" s="1"/>
  <c r="K99" i="7" s="1"/>
  <c r="J92" i="7"/>
  <c r="I5" i="7" s="1"/>
  <c r="I92" i="7"/>
  <c r="AS19" i="7" s="1"/>
  <c r="H92" i="7"/>
  <c r="G92" i="7"/>
  <c r="F5" i="7" s="1"/>
  <c r="F92" i="7"/>
  <c r="E5" i="7" s="1"/>
  <c r="E92" i="7"/>
  <c r="D92" i="7"/>
  <c r="C5" i="7" s="1"/>
  <c r="C92" i="7"/>
  <c r="B5" i="7" s="1"/>
  <c r="B92" i="7"/>
  <c r="AF5" i="7" s="1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I81" i="7"/>
  <c r="AH81" i="7"/>
  <c r="BW80" i="7"/>
  <c r="AG80" i="7"/>
  <c r="BG20" i="7"/>
  <c r="AA80" i="7"/>
  <c r="Z80" i="7"/>
  <c r="Y80" i="7"/>
  <c r="X80" i="7"/>
  <c r="W80" i="7"/>
  <c r="V80" i="7"/>
  <c r="BD20" i="7" s="1"/>
  <c r="T80" i="7"/>
  <c r="BB20" i="7" s="1"/>
  <c r="S80" i="7"/>
  <c r="BA20" i="7" s="1"/>
  <c r="Q80" i="7"/>
  <c r="AY20" i="7" s="1"/>
  <c r="M80" i="7"/>
  <c r="L80" i="7"/>
  <c r="K80" i="7"/>
  <c r="J80" i="7"/>
  <c r="I80" i="7"/>
  <c r="AS20" i="7" s="1"/>
  <c r="H80" i="7"/>
  <c r="G80" i="7"/>
  <c r="F80" i="7"/>
  <c r="E80" i="7"/>
  <c r="D80" i="7"/>
  <c r="C80" i="7"/>
  <c r="AN20" i="7" s="1"/>
  <c r="B80" i="7"/>
  <c r="AM20" i="7" s="1"/>
  <c r="BQ79" i="7"/>
  <c r="AI79" i="7"/>
  <c r="AH79" i="7"/>
  <c r="AI78" i="7"/>
  <c r="AH78" i="7"/>
  <c r="BE77" i="7"/>
  <c r="AI77" i="7"/>
  <c r="AH77" i="7"/>
  <c r="AG76" i="7"/>
  <c r="BJ18" i="7"/>
  <c r="AA76" i="7"/>
  <c r="Z76" i="7"/>
  <c r="BF18" i="7" s="1"/>
  <c r="Y76" i="7"/>
  <c r="X76" i="7"/>
  <c r="BE18" i="7" s="1"/>
  <c r="W76" i="7"/>
  <c r="V76" i="7"/>
  <c r="BD18" i="7" s="1"/>
  <c r="T76" i="7"/>
  <c r="S76" i="7"/>
  <c r="BA18" i="7" s="1"/>
  <c r="AZ18" i="7"/>
  <c r="Q76" i="7"/>
  <c r="AY18" i="7" s="1"/>
  <c r="AX18" i="7"/>
  <c r="M76" i="7"/>
  <c r="L76" i="7"/>
  <c r="J76" i="7"/>
  <c r="I76" i="7"/>
  <c r="H76" i="7"/>
  <c r="G76" i="7"/>
  <c r="AR18" i="7" s="1"/>
  <c r="F76" i="7"/>
  <c r="AQ18" i="7" s="1"/>
  <c r="E76" i="7"/>
  <c r="D76" i="7"/>
  <c r="AO18" i="7" s="1"/>
  <c r="C76" i="7"/>
  <c r="AN18" i="7" s="1"/>
  <c r="B76" i="7"/>
  <c r="AI75" i="7"/>
  <c r="AH75" i="7"/>
  <c r="AG75" i="7"/>
  <c r="AI74" i="7"/>
  <c r="AH74" i="7"/>
  <c r="BW73" i="7"/>
  <c r="BV73" i="7"/>
  <c r="BV80" i="7" s="1"/>
  <c r="BU73" i="7"/>
  <c r="BU80" i="7" s="1"/>
  <c r="BT73" i="7"/>
  <c r="BT80" i="7" s="1"/>
  <c r="BS73" i="7"/>
  <c r="BS80" i="7" s="1"/>
  <c r="BR73" i="7"/>
  <c r="BR80" i="7" s="1"/>
  <c r="BQ73" i="7"/>
  <c r="BQ80" i="7" s="1"/>
  <c r="BP73" i="7"/>
  <c r="BP80" i="7" s="1"/>
  <c r="BO73" i="7"/>
  <c r="BO80" i="7" s="1"/>
  <c r="BN73" i="7"/>
  <c r="BN80" i="7" s="1"/>
  <c r="BM73" i="7"/>
  <c r="BM80" i="7" s="1"/>
  <c r="BL73" i="7"/>
  <c r="BL80" i="7" s="1"/>
  <c r="BK73" i="7"/>
  <c r="BK80" i="7" s="1"/>
  <c r="BJ73" i="7"/>
  <c r="BJ80" i="7" s="1"/>
  <c r="BI73" i="7"/>
  <c r="BI80" i="7" s="1"/>
  <c r="BH73" i="7"/>
  <c r="BH80" i="7" s="1"/>
  <c r="BG73" i="7"/>
  <c r="BG80" i="7" s="1"/>
  <c r="BF73" i="7"/>
  <c r="BF80" i="7" s="1"/>
  <c r="BE73" i="7"/>
  <c r="BE80" i="7" s="1"/>
  <c r="BD73" i="7"/>
  <c r="BD80" i="7" s="1"/>
  <c r="BC73" i="7"/>
  <c r="BC80" i="7" s="1"/>
  <c r="BB73" i="7"/>
  <c r="BB80" i="7" s="1"/>
  <c r="BA73" i="7"/>
  <c r="BA80" i="7" s="1"/>
  <c r="AZ73" i="7"/>
  <c r="AZ80" i="7" s="1"/>
  <c r="AI73" i="7"/>
  <c r="AH73" i="7"/>
  <c r="BW72" i="7"/>
  <c r="BW79" i="7" s="1"/>
  <c r="BV72" i="7"/>
  <c r="BV79" i="7" s="1"/>
  <c r="BU72" i="7"/>
  <c r="BU79" i="7" s="1"/>
  <c r="BT72" i="7"/>
  <c r="BT79" i="7" s="1"/>
  <c r="BS72" i="7"/>
  <c r="BS79" i="7" s="1"/>
  <c r="BR72" i="7"/>
  <c r="BR79" i="7" s="1"/>
  <c r="BQ72" i="7"/>
  <c r="BP72" i="7"/>
  <c r="BP79" i="7" s="1"/>
  <c r="BO72" i="7"/>
  <c r="BO79" i="7" s="1"/>
  <c r="BN72" i="7"/>
  <c r="BN79" i="7" s="1"/>
  <c r="BM72" i="7"/>
  <c r="BM79" i="7" s="1"/>
  <c r="BL72" i="7"/>
  <c r="BL79" i="7" s="1"/>
  <c r="BK72" i="7"/>
  <c r="BK79" i="7" s="1"/>
  <c r="BJ72" i="7"/>
  <c r="BJ79" i="7" s="1"/>
  <c r="BI72" i="7"/>
  <c r="BI79" i="7" s="1"/>
  <c r="BH72" i="7"/>
  <c r="BH79" i="7" s="1"/>
  <c r="BG72" i="7"/>
  <c r="BG79" i="7" s="1"/>
  <c r="BF72" i="7"/>
  <c r="BF79" i="7" s="1"/>
  <c r="BE72" i="7"/>
  <c r="BE79" i="7" s="1"/>
  <c r="BD72" i="7"/>
  <c r="BD79" i="7" s="1"/>
  <c r="BC72" i="7"/>
  <c r="BC79" i="7" s="1"/>
  <c r="BB72" i="7"/>
  <c r="BB79" i="7" s="1"/>
  <c r="BA72" i="7"/>
  <c r="BA79" i="7" s="1"/>
  <c r="AZ72" i="7"/>
  <c r="AZ79" i="7" s="1"/>
  <c r="AI72" i="7"/>
  <c r="AH72" i="7"/>
  <c r="BW71" i="7"/>
  <c r="BW78" i="7" s="1"/>
  <c r="BV71" i="7"/>
  <c r="BV78" i="7" s="1"/>
  <c r="BU71" i="7"/>
  <c r="BU78" i="7" s="1"/>
  <c r="BT71" i="7"/>
  <c r="BT78" i="7" s="1"/>
  <c r="BS71" i="7"/>
  <c r="BS78" i="7" s="1"/>
  <c r="BR71" i="7"/>
  <c r="BR78" i="7" s="1"/>
  <c r="BQ71" i="7"/>
  <c r="BQ78" i="7" s="1"/>
  <c r="BP71" i="7"/>
  <c r="BP78" i="7" s="1"/>
  <c r="BO71" i="7"/>
  <c r="BO78" i="7" s="1"/>
  <c r="BN71" i="7"/>
  <c r="BN78" i="7" s="1"/>
  <c r="BM71" i="7"/>
  <c r="BM78" i="7" s="1"/>
  <c r="BL71" i="7"/>
  <c r="BL78" i="7" s="1"/>
  <c r="BK71" i="7"/>
  <c r="BK78" i="7" s="1"/>
  <c r="BJ71" i="7"/>
  <c r="BJ78" i="7" s="1"/>
  <c r="BI71" i="7"/>
  <c r="BI78" i="7" s="1"/>
  <c r="BH71" i="7"/>
  <c r="BH78" i="7" s="1"/>
  <c r="BG71" i="7"/>
  <c r="BG78" i="7" s="1"/>
  <c r="BF71" i="7"/>
  <c r="BF78" i="7" s="1"/>
  <c r="BE71" i="7"/>
  <c r="BE78" i="7" s="1"/>
  <c r="BD71" i="7"/>
  <c r="BD78" i="7" s="1"/>
  <c r="BC71" i="7"/>
  <c r="BC78" i="7" s="1"/>
  <c r="BB71" i="7"/>
  <c r="BB78" i="7" s="1"/>
  <c r="BA71" i="7"/>
  <c r="BA78" i="7" s="1"/>
  <c r="AZ71" i="7"/>
  <c r="AZ78" i="7" s="1"/>
  <c r="AI71" i="7"/>
  <c r="AH71" i="7"/>
  <c r="BW70" i="7"/>
  <c r="BW77" i="7" s="1"/>
  <c r="BV70" i="7"/>
  <c r="BV77" i="7" s="1"/>
  <c r="BU70" i="7"/>
  <c r="BU77" i="7" s="1"/>
  <c r="BT70" i="7"/>
  <c r="BT77" i="7" s="1"/>
  <c r="BS70" i="7"/>
  <c r="BS77" i="7" s="1"/>
  <c r="BR70" i="7"/>
  <c r="BR77" i="7" s="1"/>
  <c r="BQ70" i="7"/>
  <c r="BQ77" i="7" s="1"/>
  <c r="BP70" i="7"/>
  <c r="BP77" i="7" s="1"/>
  <c r="BO70" i="7"/>
  <c r="BO77" i="7" s="1"/>
  <c r="BN70" i="7"/>
  <c r="BN77" i="7" s="1"/>
  <c r="BM70" i="7"/>
  <c r="BM77" i="7" s="1"/>
  <c r="BL70" i="7"/>
  <c r="BL77" i="7" s="1"/>
  <c r="BK70" i="7"/>
  <c r="BK77" i="7" s="1"/>
  <c r="BJ70" i="7"/>
  <c r="BJ77" i="7" s="1"/>
  <c r="BI70" i="7"/>
  <c r="BI77" i="7" s="1"/>
  <c r="BH70" i="7"/>
  <c r="BH77" i="7" s="1"/>
  <c r="BG70" i="7"/>
  <c r="BG77" i="7" s="1"/>
  <c r="BF70" i="7"/>
  <c r="BF77" i="7" s="1"/>
  <c r="BE70" i="7"/>
  <c r="BD70" i="7"/>
  <c r="BD77" i="7" s="1"/>
  <c r="BC70" i="7"/>
  <c r="BC77" i="7" s="1"/>
  <c r="BB70" i="7"/>
  <c r="BB77" i="7" s="1"/>
  <c r="BA70" i="7"/>
  <c r="AZ70" i="7"/>
  <c r="AZ77" i="7" s="1"/>
  <c r="AI70" i="7"/>
  <c r="AH70" i="7"/>
  <c r="BW69" i="7"/>
  <c r="BW76" i="7" s="1"/>
  <c r="BV69" i="7"/>
  <c r="BV76" i="7" s="1"/>
  <c r="BU69" i="7"/>
  <c r="BU76" i="7" s="1"/>
  <c r="BT69" i="7"/>
  <c r="BT76" i="7" s="1"/>
  <c r="BS69" i="7"/>
  <c r="BS76" i="7" s="1"/>
  <c r="BR69" i="7"/>
  <c r="BR76" i="7" s="1"/>
  <c r="BQ69" i="7"/>
  <c r="BQ76" i="7" s="1"/>
  <c r="BP69" i="7"/>
  <c r="BP76" i="7" s="1"/>
  <c r="BO69" i="7"/>
  <c r="BO76" i="7" s="1"/>
  <c r="BN69" i="7"/>
  <c r="BN76" i="7" s="1"/>
  <c r="BM69" i="7"/>
  <c r="BM76" i="7" s="1"/>
  <c r="BL69" i="7"/>
  <c r="BL76" i="7" s="1"/>
  <c r="BK69" i="7"/>
  <c r="BK76" i="7" s="1"/>
  <c r="BJ69" i="7"/>
  <c r="BJ76" i="7" s="1"/>
  <c r="BI69" i="7"/>
  <c r="BI76" i="7" s="1"/>
  <c r="BH69" i="7"/>
  <c r="BH76" i="7" s="1"/>
  <c r="BG69" i="7"/>
  <c r="BG76" i="7" s="1"/>
  <c r="BF69" i="7"/>
  <c r="BF76" i="7" s="1"/>
  <c r="BE69" i="7"/>
  <c r="BE76" i="7" s="1"/>
  <c r="BD69" i="7"/>
  <c r="BD76" i="7" s="1"/>
  <c r="BC69" i="7"/>
  <c r="BC76" i="7" s="1"/>
  <c r="BB69" i="7"/>
  <c r="BB76" i="7" s="1"/>
  <c r="BA69" i="7"/>
  <c r="BA76" i="7" s="1"/>
  <c r="AZ69" i="7"/>
  <c r="AZ76" i="7" s="1"/>
  <c r="AI69" i="7"/>
  <c r="AH69" i="7"/>
  <c r="BW68" i="7"/>
  <c r="BW75" i="7" s="1"/>
  <c r="BV68" i="7"/>
  <c r="BV75" i="7" s="1"/>
  <c r="BU68" i="7"/>
  <c r="BU75" i="7" s="1"/>
  <c r="BT68" i="7"/>
  <c r="BT75" i="7" s="1"/>
  <c r="BS68" i="7"/>
  <c r="BS75" i="7" s="1"/>
  <c r="BR68" i="7"/>
  <c r="BR75" i="7" s="1"/>
  <c r="BQ68" i="7"/>
  <c r="BQ75" i="7" s="1"/>
  <c r="BP68" i="7"/>
  <c r="BP75" i="7" s="1"/>
  <c r="BO68" i="7"/>
  <c r="BO75" i="7" s="1"/>
  <c r="BN68" i="7"/>
  <c r="BN75" i="7" s="1"/>
  <c r="BM68" i="7"/>
  <c r="BM75" i="7" s="1"/>
  <c r="BL68" i="7"/>
  <c r="BL75" i="7" s="1"/>
  <c r="BK68" i="7"/>
  <c r="BK75" i="7" s="1"/>
  <c r="BJ68" i="7"/>
  <c r="BJ75" i="7" s="1"/>
  <c r="BI68" i="7"/>
  <c r="BI75" i="7" s="1"/>
  <c r="BH68" i="7"/>
  <c r="BH75" i="7" s="1"/>
  <c r="BG68" i="7"/>
  <c r="BG75" i="7" s="1"/>
  <c r="BF68" i="7"/>
  <c r="BF75" i="7" s="1"/>
  <c r="BE68" i="7"/>
  <c r="BE75" i="7" s="1"/>
  <c r="BD68" i="7"/>
  <c r="BD75" i="7" s="1"/>
  <c r="BC68" i="7"/>
  <c r="BC75" i="7" s="1"/>
  <c r="BB68" i="7"/>
  <c r="BB75" i="7" s="1"/>
  <c r="BA68" i="7"/>
  <c r="BA75" i="7" s="1"/>
  <c r="AZ68" i="7"/>
  <c r="AZ75" i="7" s="1"/>
  <c r="AI68" i="7"/>
  <c r="AH68" i="7"/>
  <c r="AI67" i="7"/>
  <c r="AH67" i="7"/>
  <c r="AI66" i="7"/>
  <c r="AH66" i="7"/>
  <c r="AI65" i="7"/>
  <c r="AH65" i="7"/>
  <c r="AI64" i="7"/>
  <c r="AH64" i="7"/>
  <c r="AI63" i="7"/>
  <c r="AH63" i="7"/>
  <c r="AG62" i="7"/>
  <c r="AA62" i="7"/>
  <c r="Z62" i="7"/>
  <c r="BF17" i="7" s="1"/>
  <c r="Y62" i="7"/>
  <c r="X62" i="7"/>
  <c r="BE17" i="7" s="1"/>
  <c r="W62" i="7"/>
  <c r="V62" i="7"/>
  <c r="BC17" i="7"/>
  <c r="T62" i="7"/>
  <c r="S62" i="7"/>
  <c r="Q62" i="7"/>
  <c r="AY17" i="7" s="1"/>
  <c r="AW17" i="7"/>
  <c r="M62" i="7"/>
  <c r="AU17" i="7" s="1"/>
  <c r="L62" i="7"/>
  <c r="J62" i="7"/>
  <c r="I62" i="7"/>
  <c r="AS17" i="7" s="1"/>
  <c r="H62" i="7"/>
  <c r="G62" i="7"/>
  <c r="F62" i="7"/>
  <c r="AQ17" i="7" s="1"/>
  <c r="D62" i="7"/>
  <c r="AO17" i="7" s="1"/>
  <c r="C62" i="7"/>
  <c r="B62" i="7"/>
  <c r="AI61" i="7"/>
  <c r="AH61" i="7"/>
  <c r="AI60" i="7"/>
  <c r="AH60" i="7"/>
  <c r="AI59" i="7"/>
  <c r="AH59" i="7"/>
  <c r="AG58" i="7"/>
  <c r="BH16" i="7"/>
  <c r="AC7" i="7"/>
  <c r="AA58" i="7"/>
  <c r="Z58" i="7"/>
  <c r="Y58" i="7"/>
  <c r="X58" i="7"/>
  <c r="W58" i="7"/>
  <c r="V58" i="7"/>
  <c r="T58" i="7"/>
  <c r="BB16" i="7" s="1"/>
  <c r="S58" i="7"/>
  <c r="Q58" i="7"/>
  <c r="AW16" i="7"/>
  <c r="M58" i="7"/>
  <c r="J58" i="7"/>
  <c r="I58" i="7"/>
  <c r="H58" i="7"/>
  <c r="G58" i="7"/>
  <c r="AR16" i="7" s="1"/>
  <c r="F58" i="7"/>
  <c r="AQ16" i="7" s="1"/>
  <c r="E58" i="7"/>
  <c r="D58" i="7"/>
  <c r="C58" i="7"/>
  <c r="B58" i="7"/>
  <c r="AM16" i="7" s="1"/>
  <c r="AI57" i="7"/>
  <c r="AH57" i="7"/>
  <c r="AI56" i="7"/>
  <c r="AH56" i="7"/>
  <c r="AI55" i="7"/>
  <c r="AH55" i="7"/>
  <c r="AI54" i="7"/>
  <c r="AH54" i="7"/>
  <c r="AI53" i="7"/>
  <c r="AH53" i="7"/>
  <c r="AI52" i="7"/>
  <c r="AH52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BC23" i="7"/>
  <c r="AI23" i="7"/>
  <c r="AH23" i="7"/>
  <c r="AI22" i="7"/>
  <c r="AH22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I21" i="7"/>
  <c r="AH21" i="7"/>
  <c r="BJ20" i="7"/>
  <c r="BI20" i="7"/>
  <c r="BH20" i="7"/>
  <c r="BF20" i="7"/>
  <c r="BE20" i="7"/>
  <c r="BC20" i="7"/>
  <c r="AZ20" i="7"/>
  <c r="AX20" i="7"/>
  <c r="AW20" i="7"/>
  <c r="AV20" i="7"/>
  <c r="AU20" i="7"/>
  <c r="AT20" i="7"/>
  <c r="AR20" i="7"/>
  <c r="AQ20" i="7"/>
  <c r="AP20" i="7"/>
  <c r="AO20" i="7"/>
  <c r="AI20" i="7"/>
  <c r="AH20" i="7"/>
  <c r="BJ19" i="7"/>
  <c r="BI19" i="7"/>
  <c r="BH19" i="7"/>
  <c r="BG19" i="7"/>
  <c r="BC19" i="7"/>
  <c r="AQ19" i="7"/>
  <c r="AM19" i="7"/>
  <c r="AI19" i="7"/>
  <c r="AH19" i="7"/>
  <c r="BI18" i="7"/>
  <c r="BH18" i="7"/>
  <c r="BG18" i="7"/>
  <c r="BC18" i="7"/>
  <c r="BB18" i="7"/>
  <c r="AW18" i="7"/>
  <c r="AV18" i="7"/>
  <c r="AU18" i="7"/>
  <c r="AS18" i="7"/>
  <c r="AP18" i="7"/>
  <c r="AI18" i="7"/>
  <c r="AH18" i="7"/>
  <c r="BJ17" i="7"/>
  <c r="BI17" i="7"/>
  <c r="BH17" i="7"/>
  <c r="BG17" i="7"/>
  <c r="BD17" i="7"/>
  <c r="BB17" i="7"/>
  <c r="BA17" i="7"/>
  <c r="AZ17" i="7"/>
  <c r="AX17" i="7"/>
  <c r="AV17" i="7"/>
  <c r="AT17" i="7"/>
  <c r="AR17" i="7"/>
  <c r="AP17" i="7"/>
  <c r="AN17" i="7"/>
  <c r="AI17" i="7"/>
  <c r="AH17" i="7"/>
  <c r="BJ16" i="7"/>
  <c r="BF16" i="7"/>
  <c r="BE16" i="7"/>
  <c r="AZ16" i="7"/>
  <c r="AY16" i="7"/>
  <c r="AX16" i="7"/>
  <c r="AV16" i="7"/>
  <c r="AN16" i="7"/>
  <c r="AI16" i="7"/>
  <c r="AH16" i="7"/>
  <c r="AI15" i="7"/>
  <c r="AH15" i="7"/>
  <c r="AI14" i="7"/>
  <c r="AH14" i="7"/>
  <c r="AI13" i="7"/>
  <c r="AH13" i="7"/>
  <c r="AL12" i="7"/>
  <c r="AI12" i="7"/>
  <c r="AH12" i="7"/>
  <c r="AI11" i="7"/>
  <c r="AH11" i="7"/>
  <c r="AG6" i="7"/>
  <c r="AE5" i="7"/>
  <c r="AD5" i="7"/>
  <c r="AC5" i="7"/>
  <c r="AB5" i="7"/>
  <c r="AA5" i="7"/>
  <c r="T5" i="7"/>
  <c r="L5" i="7"/>
  <c r="G5" i="7"/>
  <c r="AG4" i="7"/>
  <c r="K4" i="7"/>
  <c r="E4" i="7"/>
  <c r="H4" i="7" s="1"/>
  <c r="B4" i="7"/>
  <c r="D258" i="7" s="1"/>
  <c r="AG3" i="7"/>
  <c r="AG2" i="7"/>
  <c r="AC58" i="6"/>
  <c r="AA57" i="6"/>
  <c r="Z57" i="6"/>
  <c r="Y57" i="6"/>
  <c r="X57" i="6"/>
  <c r="W57" i="6"/>
  <c r="V57" i="6"/>
  <c r="T57" i="6"/>
  <c r="U57" i="6"/>
  <c r="T58" i="6"/>
  <c r="U58" i="6"/>
  <c r="T62" i="6"/>
  <c r="U62" i="6"/>
  <c r="T76" i="6"/>
  <c r="U76" i="6"/>
  <c r="T80" i="6"/>
  <c r="U80" i="6"/>
  <c r="T92" i="6"/>
  <c r="U92" i="6"/>
  <c r="T101" i="6"/>
  <c r="U101" i="6"/>
  <c r="T102" i="6"/>
  <c r="U102" i="6"/>
  <c r="T103" i="6"/>
  <c r="U103" i="6"/>
  <c r="T104" i="6"/>
  <c r="U104" i="6"/>
  <c r="T105" i="6"/>
  <c r="U105" i="6"/>
  <c r="T118" i="6"/>
  <c r="U118" i="6"/>
  <c r="H246" i="8" l="1"/>
  <c r="G118" i="8"/>
  <c r="G252" i="8"/>
  <c r="BH22" i="7"/>
  <c r="BH24" i="7" s="1"/>
  <c r="AB100" i="7"/>
  <c r="AA97" i="7"/>
  <c r="AA99" i="7" s="1"/>
  <c r="Y5" i="7"/>
  <c r="Z107" i="7"/>
  <c r="BF23" i="7" s="1"/>
  <c r="Y107" i="7"/>
  <c r="W5" i="7"/>
  <c r="W97" i="7"/>
  <c r="W99" i="7" s="1"/>
  <c r="V107" i="7"/>
  <c r="BD23" i="7" s="1"/>
  <c r="U5" i="7"/>
  <c r="U100" i="7"/>
  <c r="U7" i="7" s="1"/>
  <c r="BB19" i="7"/>
  <c r="BB22" i="7" s="1"/>
  <c r="S97" i="7"/>
  <c r="S99" i="7" s="1"/>
  <c r="R107" i="7"/>
  <c r="AZ23" i="7" s="1"/>
  <c r="Q5" i="7"/>
  <c r="AY19" i="7"/>
  <c r="M5" i="7"/>
  <c r="Y108" i="7"/>
  <c r="BA19" i="7"/>
  <c r="T97" i="7"/>
  <c r="T99" i="7" s="1"/>
  <c r="BJ22" i="7"/>
  <c r="H107" i="7"/>
  <c r="H108" i="7" s="1"/>
  <c r="X107" i="7"/>
  <c r="J107" i="7"/>
  <c r="AZ22" i="7"/>
  <c r="AZ24" i="7" s="1"/>
  <c r="V97" i="7"/>
  <c r="V99" i="7" s="1"/>
  <c r="V100" i="7" s="1"/>
  <c r="V7" i="7" s="1"/>
  <c r="AV22" i="7"/>
  <c r="AV24" i="7" s="1"/>
  <c r="I107" i="7"/>
  <c r="Q107" i="7"/>
  <c r="Q108" i="7" s="1"/>
  <c r="AY22" i="7"/>
  <c r="I97" i="7"/>
  <c r="I99" i="7" s="1"/>
  <c r="I100" i="7" s="1"/>
  <c r="I7" i="7" s="1"/>
  <c r="BF22" i="7"/>
  <c r="BF24" i="7" s="1"/>
  <c r="BA16" i="7"/>
  <c r="AN19" i="7"/>
  <c r="X97" i="7"/>
  <c r="X99" i="7" s="1"/>
  <c r="X100" i="7" s="1"/>
  <c r="X7" i="7" s="1"/>
  <c r="AF7" i="7"/>
  <c r="S107" i="7"/>
  <c r="BA23" i="7" s="1"/>
  <c r="AA107" i="7"/>
  <c r="AA108" i="7" s="1"/>
  <c r="D252" i="7"/>
  <c r="Z5" i="7"/>
  <c r="BD16" i="7"/>
  <c r="BD22" i="7" s="1"/>
  <c r="BD24" i="7" s="1"/>
  <c r="Q97" i="7"/>
  <c r="Q99" i="7" s="1"/>
  <c r="Y97" i="7"/>
  <c r="Y99" i="7" s="1"/>
  <c r="Y100" i="7" s="1"/>
  <c r="Y7" i="7" s="1"/>
  <c r="AG97" i="7"/>
  <c r="T107" i="7"/>
  <c r="BB23" i="7" s="1"/>
  <c r="BG23" i="7"/>
  <c r="BE22" i="7"/>
  <c r="R108" i="7"/>
  <c r="N5" i="7"/>
  <c r="AX19" i="7"/>
  <c r="AX22" i="7" s="1"/>
  <c r="N97" i="7"/>
  <c r="N99" i="7" s="1"/>
  <c r="N100" i="7" s="1"/>
  <c r="N7" i="7" s="1"/>
  <c r="AW22" i="7"/>
  <c r="P107" i="7"/>
  <c r="P97" i="7"/>
  <c r="P99" i="7" s="1"/>
  <c r="M107" i="7"/>
  <c r="AU23" i="7" s="1"/>
  <c r="M97" i="7"/>
  <c r="M99" i="7" s="1"/>
  <c r="L107" i="7"/>
  <c r="L108" i="7" s="1"/>
  <c r="L97" i="7"/>
  <c r="L99" i="7" s="1"/>
  <c r="AT19" i="7"/>
  <c r="J5" i="7"/>
  <c r="K107" i="7"/>
  <c r="AT23" i="7" s="1"/>
  <c r="AT16" i="7"/>
  <c r="AT22" i="7" s="1"/>
  <c r="AT24" i="7" s="1"/>
  <c r="J108" i="7"/>
  <c r="H5" i="7"/>
  <c r="AS16" i="7"/>
  <c r="AS22" i="7" s="1"/>
  <c r="H97" i="7"/>
  <c r="H99" i="7" s="1"/>
  <c r="H100" i="7" s="1"/>
  <c r="H7" i="7" s="1"/>
  <c r="F107" i="7"/>
  <c r="AQ23" i="7" s="1"/>
  <c r="AI105" i="7"/>
  <c r="AR19" i="7"/>
  <c r="AR22" i="7" s="1"/>
  <c r="AQ22" i="7"/>
  <c r="AQ24" i="7" s="1"/>
  <c r="F97" i="7"/>
  <c r="F99" i="7" s="1"/>
  <c r="F100" i="7" s="1"/>
  <c r="F7" i="7" s="1"/>
  <c r="G97" i="7"/>
  <c r="G99" i="7" s="1"/>
  <c r="G100" i="7" s="1"/>
  <c r="G7" i="7" s="1"/>
  <c r="E107" i="7"/>
  <c r="AP23" i="7" s="1"/>
  <c r="D5" i="7"/>
  <c r="AP19" i="7"/>
  <c r="E97" i="7"/>
  <c r="E99" i="7" s="1"/>
  <c r="D97" i="7"/>
  <c r="D99" i="7" s="1"/>
  <c r="AO19" i="7"/>
  <c r="D107" i="7"/>
  <c r="AO23" i="7" s="1"/>
  <c r="D100" i="7"/>
  <c r="D7" i="7" s="1"/>
  <c r="AO16" i="7"/>
  <c r="AI104" i="7"/>
  <c r="BG84" i="7" a="1"/>
  <c r="BH102" i="7" s="1"/>
  <c r="C107" i="7"/>
  <c r="AN23" i="7" s="1"/>
  <c r="AI76" i="7"/>
  <c r="C97" i="7"/>
  <c r="C99" i="7" s="1"/>
  <c r="AH62" i="7"/>
  <c r="AN22" i="7"/>
  <c r="AN24" i="7" s="1"/>
  <c r="AH105" i="7"/>
  <c r="B107" i="7"/>
  <c r="AM23" i="7" s="1"/>
  <c r="AI80" i="7"/>
  <c r="BG16" i="7"/>
  <c r="BG22" i="7" s="1"/>
  <c r="BG24" i="7" s="1"/>
  <c r="AI62" i="7"/>
  <c r="AM17" i="7"/>
  <c r="AE7" i="7"/>
  <c r="I108" i="7"/>
  <c r="AS23" i="7"/>
  <c r="AP16" i="7"/>
  <c r="AM18" i="7"/>
  <c r="AM22" i="7" s="1"/>
  <c r="BI16" i="7"/>
  <c r="BI22" i="7" s="1"/>
  <c r="AD7" i="7"/>
  <c r="F108" i="7"/>
  <c r="N108" i="7"/>
  <c r="V108" i="7"/>
  <c r="G107" i="7"/>
  <c r="AR23" i="7" s="1"/>
  <c r="O107" i="7"/>
  <c r="AW23" i="7" s="1"/>
  <c r="W107" i="7"/>
  <c r="W108" i="7" s="1"/>
  <c r="BI23" i="7"/>
  <c r="AH76" i="7"/>
  <c r="BA77" i="7"/>
  <c r="O97" i="7"/>
  <c r="O99" i="7" s="1"/>
  <c r="AH80" i="7"/>
  <c r="AH101" i="7"/>
  <c r="AI103" i="7"/>
  <c r="H246" i="7"/>
  <c r="E247" i="7"/>
  <c r="F247" i="7" s="1"/>
  <c r="AU16" i="7"/>
  <c r="AU22" i="7" s="1"/>
  <c r="AU24" i="7" s="1"/>
  <c r="BC16" i="7"/>
  <c r="BC22" i="7" s="1"/>
  <c r="BC24" i="7" s="1"/>
  <c r="AL13" i="7"/>
  <c r="AI101" i="7"/>
  <c r="AI102" i="7"/>
  <c r="B97" i="7"/>
  <c r="J97" i="7"/>
  <c r="J99" i="7" s="1"/>
  <c r="J100" i="7" s="1"/>
  <c r="J7" i="7" s="1"/>
  <c r="R97" i="7"/>
  <c r="R99" i="7" s="1"/>
  <c r="R100" i="7" s="1"/>
  <c r="R7" i="7" s="1"/>
  <c r="Z97" i="7"/>
  <c r="Z99" i="7" s="1"/>
  <c r="Z100" i="7" s="1"/>
  <c r="Z7" i="7" s="1"/>
  <c r="AH58" i="7"/>
  <c r="Z108" i="7"/>
  <c r="AH92" i="7"/>
  <c r="AG99" i="7"/>
  <c r="AH102" i="7"/>
  <c r="AI58" i="7"/>
  <c r="AI92" i="7"/>
  <c r="E251" i="7"/>
  <c r="AH103" i="7"/>
  <c r="AH104" i="7"/>
  <c r="T108" i="6"/>
  <c r="U108" i="6"/>
  <c r="U97" i="6"/>
  <c r="U99" i="6" s="1"/>
  <c r="U100" i="6" s="1"/>
  <c r="T97" i="6"/>
  <c r="T99" i="6" s="1"/>
  <c r="T100" i="6" s="1"/>
  <c r="I246" i="8" l="1"/>
  <c r="H252" i="8"/>
  <c r="H118" i="8"/>
  <c r="S108" i="7"/>
  <c r="Q100" i="7"/>
  <c r="Q7" i="7" s="1"/>
  <c r="AY23" i="7"/>
  <c r="AY24" i="7" s="1"/>
  <c r="AW24" i="7"/>
  <c r="AO22" i="7"/>
  <c r="AO24" i="7" s="1"/>
  <c r="T108" i="7"/>
  <c r="E252" i="7"/>
  <c r="B108" i="7"/>
  <c r="O100" i="7"/>
  <c r="O7" i="7" s="1"/>
  <c r="BI24" i="7"/>
  <c r="M100" i="7"/>
  <c r="M7" i="7" s="1"/>
  <c r="AB7" i="7"/>
  <c r="BJ23" i="7"/>
  <c r="BJ24" i="7" s="1"/>
  <c r="T100" i="7"/>
  <c r="T7" i="7" s="1"/>
  <c r="X108" i="7"/>
  <c r="BE23" i="7"/>
  <c r="O108" i="7"/>
  <c r="E100" i="7"/>
  <c r="E7" i="7" s="1"/>
  <c r="BB24" i="7"/>
  <c r="AA100" i="7"/>
  <c r="AA7" i="7" s="1"/>
  <c r="BE24" i="7"/>
  <c r="BA22" i="7"/>
  <c r="BA24" i="7" s="1"/>
  <c r="S100" i="7"/>
  <c r="S7" i="7" s="1"/>
  <c r="P100" i="7"/>
  <c r="P7" i="7" s="1"/>
  <c r="P108" i="7"/>
  <c r="AX23" i="7"/>
  <c r="AX24" i="7" s="1"/>
  <c r="M108" i="7"/>
  <c r="L100" i="7"/>
  <c r="L7" i="7" s="1"/>
  <c r="K108" i="7"/>
  <c r="K100" i="7"/>
  <c r="K7" i="7" s="1"/>
  <c r="AS24" i="7"/>
  <c r="G108" i="7"/>
  <c r="AR24" i="7"/>
  <c r="C256" i="7"/>
  <c r="AP22" i="7"/>
  <c r="AP24" i="7" s="1"/>
  <c r="E108" i="7"/>
  <c r="AH107" i="7"/>
  <c r="D108" i="7"/>
  <c r="BG97" i="7"/>
  <c r="BI105" i="7"/>
  <c r="BI100" i="7"/>
  <c r="BI95" i="7"/>
  <c r="BI107" i="7"/>
  <c r="BI94" i="7"/>
  <c r="BI90" i="7"/>
  <c r="BJ106" i="7"/>
  <c r="BJ86" i="7"/>
  <c r="BG88" i="7"/>
  <c r="BK98" i="7"/>
  <c r="BJ85" i="7"/>
  <c r="BH96" i="7"/>
  <c r="BL106" i="7"/>
  <c r="BK93" i="7"/>
  <c r="BI104" i="7"/>
  <c r="BH91" i="7"/>
  <c r="BL101" i="7"/>
  <c r="BK88" i="7"/>
  <c r="BI99" i="7"/>
  <c r="BH86" i="7"/>
  <c r="BL96" i="7"/>
  <c r="BJ107" i="7"/>
  <c r="BJ90" i="7"/>
  <c r="BK94" i="7"/>
  <c r="BK89" i="7"/>
  <c r="BL97" i="7"/>
  <c r="BJ103" i="7"/>
  <c r="BL95" i="7"/>
  <c r="BG96" i="7"/>
  <c r="BH104" i="7"/>
  <c r="BH101" i="7"/>
  <c r="BK86" i="7"/>
  <c r="BL94" i="7"/>
  <c r="BL89" i="7"/>
  <c r="BG98" i="7"/>
  <c r="BJ95" i="7"/>
  <c r="BK87" i="7"/>
  <c r="BK99" i="7"/>
  <c r="BK95" i="7"/>
  <c r="BL87" i="7"/>
  <c r="BL91" i="7"/>
  <c r="BI89" i="7"/>
  <c r="BG100" i="7"/>
  <c r="BL86" i="7"/>
  <c r="BJ97" i="7"/>
  <c r="BI84" i="7"/>
  <c r="BG95" i="7"/>
  <c r="BK105" i="7"/>
  <c r="BJ92" i="7"/>
  <c r="BH103" i="7"/>
  <c r="BG90" i="7"/>
  <c r="BK100" i="7"/>
  <c r="BJ87" i="7"/>
  <c r="BH98" i="7"/>
  <c r="C100" i="7"/>
  <c r="C7" i="7" s="1"/>
  <c r="BH93" i="7"/>
  <c r="BG84" i="7"/>
  <c r="BL102" i="7"/>
  <c r="BH87" i="7"/>
  <c r="BK84" i="7"/>
  <c r="BH105" i="7"/>
  <c r="BI85" i="7"/>
  <c r="BK106" i="7"/>
  <c r="BG91" i="7"/>
  <c r="BK101" i="7"/>
  <c r="BJ88" i="7"/>
  <c r="BH99" i="7"/>
  <c r="BG86" i="7"/>
  <c r="BK96" i="7"/>
  <c r="BL104" i="7"/>
  <c r="BG85" i="7"/>
  <c r="BI97" i="7"/>
  <c r="BJ105" i="7"/>
  <c r="BG103" i="7"/>
  <c r="BI87" i="7"/>
  <c r="BH106" i="7"/>
  <c r="BG93" i="7"/>
  <c r="BG105" i="7"/>
  <c r="BG101" i="7"/>
  <c r="BJ98" i="7"/>
  <c r="BH97" i="7"/>
  <c r="BK90" i="7"/>
  <c r="BI101" i="7"/>
  <c r="BH88" i="7"/>
  <c r="BL98" i="7"/>
  <c r="BK85" i="7"/>
  <c r="BI96" i="7"/>
  <c r="BG107" i="7"/>
  <c r="BL93" i="7"/>
  <c r="BJ104" i="7"/>
  <c r="BI91" i="7"/>
  <c r="BG102" i="7"/>
  <c r="BL88" i="7"/>
  <c r="BJ99" i="7"/>
  <c r="BL99" i="7"/>
  <c r="BH92" i="7"/>
  <c r="BG106" i="7"/>
  <c r="BL103" i="7"/>
  <c r="BI102" i="7"/>
  <c r="BJ93" i="7"/>
  <c r="BH94" i="7"/>
  <c r="BG89" i="7"/>
  <c r="BK107" i="7"/>
  <c r="BH84" i="7"/>
  <c r="BI92" i="7"/>
  <c r="BJ100" i="7"/>
  <c r="BL84" i="7"/>
  <c r="BI98" i="7"/>
  <c r="BH89" i="7"/>
  <c r="BI106" i="7"/>
  <c r="BI86" i="7"/>
  <c r="BJ102" i="7"/>
  <c r="BG92" i="7"/>
  <c r="BK102" i="7"/>
  <c r="BJ89" i="7"/>
  <c r="BH100" i="7"/>
  <c r="BG87" i="7"/>
  <c r="BK97" i="7"/>
  <c r="BJ84" i="7"/>
  <c r="BH95" i="7"/>
  <c r="BL105" i="7"/>
  <c r="BK92" i="7"/>
  <c r="BI103" i="7"/>
  <c r="BH90" i="7"/>
  <c r="BL100" i="7"/>
  <c r="C108" i="7"/>
  <c r="BL92" i="7"/>
  <c r="BK103" i="7"/>
  <c r="BJ94" i="7"/>
  <c r="BH85" i="7"/>
  <c r="BK91" i="7"/>
  <c r="BL107" i="7"/>
  <c r="BI93" i="7"/>
  <c r="BG104" i="7"/>
  <c r="BL90" i="7"/>
  <c r="BJ101" i="7"/>
  <c r="BI88" i="7"/>
  <c r="BG99" i="7"/>
  <c r="BL85" i="7"/>
  <c r="BJ96" i="7"/>
  <c r="BH107" i="7"/>
  <c r="BG94" i="7"/>
  <c r="BK104" i="7"/>
  <c r="BJ91" i="7"/>
  <c r="AM24" i="7"/>
  <c r="W100" i="7"/>
  <c r="W7" i="7" s="1"/>
  <c r="F251" i="7"/>
  <c r="E118" i="7"/>
  <c r="B99" i="7"/>
  <c r="AI97" i="7"/>
  <c r="AH97" i="7"/>
  <c r="I246" i="7"/>
  <c r="AI107" i="7"/>
  <c r="G247" i="7"/>
  <c r="F252" i="7"/>
  <c r="B256" i="7"/>
  <c r="S57" i="6"/>
  <c r="I252" i="8" l="1"/>
  <c r="I118" i="8"/>
  <c r="J246" i="8"/>
  <c r="AI108" i="7"/>
  <c r="K6" i="7"/>
  <c r="AT9" i="7"/>
  <c r="AT8" i="7"/>
  <c r="AH108" i="7"/>
  <c r="H247" i="7"/>
  <c r="AH99" i="7"/>
  <c r="B100" i="7"/>
  <c r="AI99" i="7"/>
  <c r="G251" i="7"/>
  <c r="F118" i="7"/>
  <c r="J246" i="7"/>
  <c r="J252" i="8" l="1"/>
  <c r="J118" i="8"/>
  <c r="K246" i="8"/>
  <c r="H251" i="7"/>
  <c r="G118" i="7"/>
  <c r="B7" i="7"/>
  <c r="A7" i="7" s="1"/>
  <c r="AI100" i="7"/>
  <c r="AH100" i="7"/>
  <c r="K246" i="7"/>
  <c r="G252" i="7"/>
  <c r="I247" i="7"/>
  <c r="H252" i="7"/>
  <c r="K252" i="8" l="1"/>
  <c r="K118" i="8"/>
  <c r="L246" i="8"/>
  <c r="L246" i="7"/>
  <c r="J247" i="7"/>
  <c r="I251" i="7"/>
  <c r="H118" i="7"/>
  <c r="L252" i="8" l="1"/>
  <c r="L118" i="8"/>
  <c r="M246" i="8"/>
  <c r="J251" i="7"/>
  <c r="I118" i="7"/>
  <c r="K247" i="7"/>
  <c r="J252" i="7"/>
  <c r="M246" i="7"/>
  <c r="I252" i="7"/>
  <c r="N246" i="8" l="1"/>
  <c r="M118" i="8"/>
  <c r="M252" i="8"/>
  <c r="N246" i="7"/>
  <c r="L247" i="7"/>
  <c r="K251" i="7"/>
  <c r="K252" i="7" s="1"/>
  <c r="J118" i="7"/>
  <c r="O246" i="8" l="1"/>
  <c r="N252" i="8"/>
  <c r="N118" i="8"/>
  <c r="L251" i="7"/>
  <c r="K118" i="7"/>
  <c r="M247" i="7"/>
  <c r="L252" i="7"/>
  <c r="O246" i="7"/>
  <c r="P246" i="8" l="1"/>
  <c r="O252" i="8"/>
  <c r="O118" i="8"/>
  <c r="N247" i="7"/>
  <c r="P246" i="7"/>
  <c r="M251" i="7"/>
  <c r="L118" i="7"/>
  <c r="Q246" i="8" l="1"/>
  <c r="P252" i="8"/>
  <c r="N251" i="7"/>
  <c r="M118" i="7"/>
  <c r="Q246" i="7"/>
  <c r="M252" i="7"/>
  <c r="O247" i="7"/>
  <c r="N252" i="7"/>
  <c r="Q252" i="8" l="1"/>
  <c r="R246" i="8"/>
  <c r="P247" i="7"/>
  <c r="R246" i="7"/>
  <c r="O251" i="7"/>
  <c r="N118" i="7"/>
  <c r="R252" i="8" l="1"/>
  <c r="R118" i="8"/>
  <c r="S246" i="8"/>
  <c r="P251" i="7"/>
  <c r="Q251" i="7" s="1"/>
  <c r="O118" i="7"/>
  <c r="S246" i="7"/>
  <c r="O252" i="7"/>
  <c r="Q247" i="7"/>
  <c r="P252" i="7"/>
  <c r="S252" i="8" l="1"/>
  <c r="S118" i="8"/>
  <c r="T246" i="8"/>
  <c r="R247" i="7"/>
  <c r="Q252" i="7"/>
  <c r="T246" i="7"/>
  <c r="R251" i="7"/>
  <c r="Q118" i="7"/>
  <c r="T252" i="8" l="1"/>
  <c r="T118" i="8"/>
  <c r="U246" i="8"/>
  <c r="S251" i="7"/>
  <c r="R118" i="7"/>
  <c r="U246" i="7"/>
  <c r="S247" i="7"/>
  <c r="R252" i="7"/>
  <c r="U118" i="8" l="1"/>
  <c r="V246" i="8"/>
  <c r="U252" i="8"/>
  <c r="T247" i="7"/>
  <c r="S252" i="7"/>
  <c r="V246" i="7"/>
  <c r="T251" i="7"/>
  <c r="S118" i="7"/>
  <c r="W246" i="8" l="1"/>
  <c r="V252" i="8"/>
  <c r="V118" i="8"/>
  <c r="W246" i="7"/>
  <c r="U251" i="7"/>
  <c r="T118" i="7"/>
  <c r="U247" i="7"/>
  <c r="T252" i="7"/>
  <c r="X246" i="8" l="1"/>
  <c r="W252" i="8"/>
  <c r="W118" i="8"/>
  <c r="V247" i="7"/>
  <c r="U252" i="7"/>
  <c r="V251" i="7"/>
  <c r="X246" i="7"/>
  <c r="Y246" i="8" l="1"/>
  <c r="X252" i="8"/>
  <c r="X118" i="8"/>
  <c r="Y246" i="7"/>
  <c r="W251" i="7"/>
  <c r="V118" i="7"/>
  <c r="W247" i="7"/>
  <c r="V252" i="7"/>
  <c r="Y252" i="8" l="1"/>
  <c r="Z246" i="8"/>
  <c r="X251" i="7"/>
  <c r="W118" i="7"/>
  <c r="X247" i="7"/>
  <c r="W252" i="7"/>
  <c r="Z246" i="7"/>
  <c r="Z252" i="8" l="1"/>
  <c r="AA246" i="8"/>
  <c r="Y247" i="7"/>
  <c r="X252" i="7"/>
  <c r="AA246" i="7"/>
  <c r="Y251" i="7"/>
  <c r="Z251" i="7" s="1"/>
  <c r="AA251" i="7" s="1"/>
  <c r="AB251" i="7" s="1"/>
  <c r="AC251" i="7" s="1"/>
  <c r="AD251" i="7" s="1"/>
  <c r="AE251" i="7" s="1"/>
  <c r="AF251" i="7" s="1"/>
  <c r="B251" i="7" s="1"/>
  <c r="X118" i="7"/>
  <c r="AA252" i="8" l="1"/>
  <c r="AA118" i="8"/>
  <c r="AB246" i="8"/>
  <c r="AA118" i="7"/>
  <c r="AB246" i="7"/>
  <c r="Z247" i="7"/>
  <c r="Y252" i="7"/>
  <c r="AB252" i="8" l="1"/>
  <c r="AB118" i="8"/>
  <c r="AC246" i="8"/>
  <c r="AA247" i="7"/>
  <c r="Z252" i="7"/>
  <c r="AC246" i="7"/>
  <c r="AC118" i="8" l="1"/>
  <c r="AD246" i="8"/>
  <c r="AC252" i="8"/>
  <c r="AD246" i="7"/>
  <c r="AB247" i="7"/>
  <c r="AA252" i="7"/>
  <c r="AE246" i="8" l="1"/>
  <c r="AD252" i="8"/>
  <c r="AD118" i="8"/>
  <c r="AC247" i="7"/>
  <c r="AB252" i="7"/>
  <c r="AE246" i="7"/>
  <c r="AF246" i="8" l="1"/>
  <c r="AE252" i="8"/>
  <c r="AE118" i="8"/>
  <c r="AF246" i="7"/>
  <c r="AD247" i="7"/>
  <c r="AC252" i="7"/>
  <c r="AF252" i="8" l="1"/>
  <c r="AF118" i="8"/>
  <c r="B246" i="8"/>
  <c r="B118" i="8" s="1"/>
  <c r="AE247" i="7"/>
  <c r="AD252" i="7"/>
  <c r="B246" i="7"/>
  <c r="B252" i="8" l="1"/>
  <c r="B118" i="7"/>
  <c r="AF247" i="7"/>
  <c r="AE252" i="7"/>
  <c r="AI118" i="8" l="1"/>
  <c r="AH118" i="8"/>
  <c r="B247" i="7"/>
  <c r="B252" i="7" s="1"/>
  <c r="AF252" i="7"/>
  <c r="AI118" i="7"/>
  <c r="AH118" i="7"/>
  <c r="Q121" i="6" l="1"/>
  <c r="Q57" i="6"/>
  <c r="F58" i="6" l="1"/>
  <c r="G58" i="6"/>
  <c r="H58" i="6"/>
  <c r="F62" i="6"/>
  <c r="G62" i="6"/>
  <c r="H62" i="6"/>
  <c r="F76" i="6"/>
  <c r="AQ18" i="6" s="1"/>
  <c r="G76" i="6"/>
  <c r="H76" i="6"/>
  <c r="F80" i="6"/>
  <c r="G80" i="6"/>
  <c r="H80" i="6"/>
  <c r="F92" i="6"/>
  <c r="AQ19" i="6" s="1"/>
  <c r="G92" i="6"/>
  <c r="AR19" i="6" s="1"/>
  <c r="H92" i="6"/>
  <c r="G5" i="6" s="1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18" i="6"/>
  <c r="G118" i="6"/>
  <c r="H118" i="6"/>
  <c r="AH125" i="6"/>
  <c r="AI125" i="6"/>
  <c r="AH124" i="6"/>
  <c r="AI124" i="6"/>
  <c r="AG252" i="6"/>
  <c r="C252" i="6"/>
  <c r="D251" i="6"/>
  <c r="E251" i="6" s="1"/>
  <c r="F251" i="6" s="1"/>
  <c r="G251" i="6" s="1"/>
  <c r="H251" i="6" s="1"/>
  <c r="I251" i="6" s="1"/>
  <c r="J251" i="6" s="1"/>
  <c r="K251" i="6" s="1"/>
  <c r="L251" i="6" s="1"/>
  <c r="M251" i="6" s="1"/>
  <c r="N251" i="6" s="1"/>
  <c r="O251" i="6" s="1"/>
  <c r="P251" i="6" s="1"/>
  <c r="Q251" i="6" s="1"/>
  <c r="R251" i="6" s="1"/>
  <c r="S251" i="6" s="1"/>
  <c r="T251" i="6" s="1"/>
  <c r="U251" i="6" s="1"/>
  <c r="V251" i="6" s="1"/>
  <c r="W251" i="6" s="1"/>
  <c r="X251" i="6" s="1"/>
  <c r="Y251" i="6" s="1"/>
  <c r="Z251" i="6" s="1"/>
  <c r="AA251" i="6" s="1"/>
  <c r="AB251" i="6" s="1"/>
  <c r="AC251" i="6" s="1"/>
  <c r="AD251" i="6" s="1"/>
  <c r="AE251" i="6" s="1"/>
  <c r="AF251" i="6" s="1"/>
  <c r="B251" i="6" s="1"/>
  <c r="U250" i="6"/>
  <c r="V250" i="6" s="1"/>
  <c r="W250" i="6" s="1"/>
  <c r="X250" i="6" s="1"/>
  <c r="Y250" i="6" s="1"/>
  <c r="Z250" i="6" s="1"/>
  <c r="AA250" i="6" s="1"/>
  <c r="AB250" i="6" s="1"/>
  <c r="AC250" i="6" s="1"/>
  <c r="AD250" i="6" s="1"/>
  <c r="AE250" i="6" s="1"/>
  <c r="AF250" i="6" s="1"/>
  <c r="B250" i="6" s="1"/>
  <c r="J250" i="6"/>
  <c r="K250" i="6" s="1"/>
  <c r="L250" i="6" s="1"/>
  <c r="M250" i="6" s="1"/>
  <c r="N250" i="6" s="1"/>
  <c r="O250" i="6" s="1"/>
  <c r="P250" i="6" s="1"/>
  <c r="Q250" i="6" s="1"/>
  <c r="R250" i="6" s="1"/>
  <c r="S250" i="6" s="1"/>
  <c r="T250" i="6" s="1"/>
  <c r="E250" i="6"/>
  <c r="F250" i="6" s="1"/>
  <c r="G250" i="6" s="1"/>
  <c r="H250" i="6" s="1"/>
  <c r="I250" i="6" s="1"/>
  <c r="D250" i="6"/>
  <c r="K249" i="6"/>
  <c r="L249" i="6" s="1"/>
  <c r="M249" i="6" s="1"/>
  <c r="N249" i="6" s="1"/>
  <c r="O249" i="6" s="1"/>
  <c r="P249" i="6" s="1"/>
  <c r="Q249" i="6" s="1"/>
  <c r="R249" i="6" s="1"/>
  <c r="S249" i="6" s="1"/>
  <c r="T249" i="6" s="1"/>
  <c r="U249" i="6" s="1"/>
  <c r="V249" i="6" s="1"/>
  <c r="W249" i="6" s="1"/>
  <c r="X249" i="6" s="1"/>
  <c r="Y249" i="6" s="1"/>
  <c r="Z249" i="6" s="1"/>
  <c r="AA249" i="6" s="1"/>
  <c r="AB249" i="6" s="1"/>
  <c r="AC249" i="6" s="1"/>
  <c r="AD249" i="6" s="1"/>
  <c r="AE249" i="6" s="1"/>
  <c r="AF249" i="6" s="1"/>
  <c r="B249" i="6" s="1"/>
  <c r="D249" i="6"/>
  <c r="E249" i="6" s="1"/>
  <c r="F249" i="6" s="1"/>
  <c r="G249" i="6" s="1"/>
  <c r="H249" i="6" s="1"/>
  <c r="I249" i="6" s="1"/>
  <c r="J249" i="6" s="1"/>
  <c r="N248" i="6"/>
  <c r="O248" i="6" s="1"/>
  <c r="P248" i="6" s="1"/>
  <c r="Q248" i="6" s="1"/>
  <c r="R248" i="6" s="1"/>
  <c r="S248" i="6" s="1"/>
  <c r="T248" i="6" s="1"/>
  <c r="U248" i="6" s="1"/>
  <c r="V248" i="6" s="1"/>
  <c r="W248" i="6" s="1"/>
  <c r="X248" i="6" s="1"/>
  <c r="Y248" i="6" s="1"/>
  <c r="Z248" i="6" s="1"/>
  <c r="AA248" i="6" s="1"/>
  <c r="AB248" i="6" s="1"/>
  <c r="AC248" i="6" s="1"/>
  <c r="AD248" i="6" s="1"/>
  <c r="AE248" i="6" s="1"/>
  <c r="AF248" i="6" s="1"/>
  <c r="B248" i="6" s="1"/>
  <c r="F248" i="6"/>
  <c r="G248" i="6" s="1"/>
  <c r="H248" i="6" s="1"/>
  <c r="I248" i="6" s="1"/>
  <c r="J248" i="6" s="1"/>
  <c r="K248" i="6" s="1"/>
  <c r="L248" i="6" s="1"/>
  <c r="M248" i="6" s="1"/>
  <c r="D248" i="6"/>
  <c r="E248" i="6" s="1"/>
  <c r="D247" i="6"/>
  <c r="E247" i="6" s="1"/>
  <c r="F247" i="6" s="1"/>
  <c r="G247" i="6" s="1"/>
  <c r="H247" i="6" s="1"/>
  <c r="I247" i="6" s="1"/>
  <c r="J247" i="6" s="1"/>
  <c r="K247" i="6" s="1"/>
  <c r="L247" i="6" s="1"/>
  <c r="M247" i="6" s="1"/>
  <c r="N247" i="6" s="1"/>
  <c r="O247" i="6" s="1"/>
  <c r="P247" i="6" s="1"/>
  <c r="Q247" i="6" s="1"/>
  <c r="R247" i="6" s="1"/>
  <c r="S247" i="6" s="1"/>
  <c r="T247" i="6" s="1"/>
  <c r="U247" i="6" s="1"/>
  <c r="V247" i="6" s="1"/>
  <c r="W247" i="6" s="1"/>
  <c r="X247" i="6" s="1"/>
  <c r="Y247" i="6" s="1"/>
  <c r="Z247" i="6" s="1"/>
  <c r="AA247" i="6" s="1"/>
  <c r="AB247" i="6" s="1"/>
  <c r="AC247" i="6" s="1"/>
  <c r="AD247" i="6" s="1"/>
  <c r="AE247" i="6" s="1"/>
  <c r="AF247" i="6" s="1"/>
  <c r="B247" i="6" s="1"/>
  <c r="D246" i="6"/>
  <c r="AG244" i="6"/>
  <c r="AF244" i="6"/>
  <c r="AE244" i="6"/>
  <c r="AD244" i="6"/>
  <c r="AC244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AI130" i="6"/>
  <c r="AH130" i="6"/>
  <c r="AI129" i="6"/>
  <c r="AH129" i="6"/>
  <c r="AI128" i="6"/>
  <c r="AH128" i="6"/>
  <c r="AI127" i="6"/>
  <c r="AH127" i="6"/>
  <c r="AI126" i="6"/>
  <c r="AH126" i="6"/>
  <c r="AI123" i="6"/>
  <c r="AH123" i="6"/>
  <c r="AI122" i="6"/>
  <c r="AH122" i="6"/>
  <c r="AI121" i="6"/>
  <c r="AH121" i="6"/>
  <c r="AI120" i="6"/>
  <c r="AH120" i="6"/>
  <c r="AI119" i="6"/>
  <c r="AH119" i="6"/>
  <c r="Z118" i="6"/>
  <c r="Y118" i="6"/>
  <c r="C118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I106" i="6"/>
  <c r="AH106" i="6"/>
  <c r="AF105" i="6"/>
  <c r="AE105" i="6"/>
  <c r="AD105" i="6"/>
  <c r="AC105" i="6"/>
  <c r="AB105" i="6"/>
  <c r="AA105" i="6"/>
  <c r="Z105" i="6"/>
  <c r="Y105" i="6"/>
  <c r="X105" i="6"/>
  <c r="W105" i="6"/>
  <c r="V105" i="6"/>
  <c r="S105" i="6"/>
  <c r="R105" i="6"/>
  <c r="Q105" i="6"/>
  <c r="P105" i="6"/>
  <c r="O105" i="6"/>
  <c r="N105" i="6"/>
  <c r="M105" i="6"/>
  <c r="L105" i="6"/>
  <c r="K105" i="6"/>
  <c r="J105" i="6"/>
  <c r="I105" i="6"/>
  <c r="E105" i="6"/>
  <c r="D105" i="6"/>
  <c r="C105" i="6"/>
  <c r="B105" i="6"/>
  <c r="AF104" i="6"/>
  <c r="AE104" i="6"/>
  <c r="AD104" i="6"/>
  <c r="AC104" i="6"/>
  <c r="AB104" i="6"/>
  <c r="AA104" i="6"/>
  <c r="Z104" i="6"/>
  <c r="Y104" i="6"/>
  <c r="X104" i="6"/>
  <c r="W104" i="6"/>
  <c r="V104" i="6"/>
  <c r="S104" i="6"/>
  <c r="R104" i="6"/>
  <c r="Q104" i="6"/>
  <c r="P104" i="6"/>
  <c r="O104" i="6"/>
  <c r="N104" i="6"/>
  <c r="M104" i="6"/>
  <c r="L104" i="6"/>
  <c r="K104" i="6"/>
  <c r="J104" i="6"/>
  <c r="I104" i="6"/>
  <c r="E104" i="6"/>
  <c r="D104" i="6"/>
  <c r="C104" i="6"/>
  <c r="B104" i="6"/>
  <c r="AF103" i="6"/>
  <c r="AE103" i="6"/>
  <c r="AD103" i="6"/>
  <c r="AC103" i="6"/>
  <c r="AB103" i="6"/>
  <c r="AA103" i="6"/>
  <c r="Z103" i="6"/>
  <c r="Y103" i="6"/>
  <c r="X103" i="6"/>
  <c r="W103" i="6"/>
  <c r="V103" i="6"/>
  <c r="S103" i="6"/>
  <c r="R103" i="6"/>
  <c r="Q103" i="6"/>
  <c r="P103" i="6"/>
  <c r="O103" i="6"/>
  <c r="N103" i="6"/>
  <c r="M103" i="6"/>
  <c r="L103" i="6"/>
  <c r="K103" i="6"/>
  <c r="J103" i="6"/>
  <c r="I103" i="6"/>
  <c r="E103" i="6"/>
  <c r="D103" i="6"/>
  <c r="C103" i="6"/>
  <c r="B103" i="6"/>
  <c r="AF102" i="6"/>
  <c r="AE102" i="6"/>
  <c r="AD102" i="6"/>
  <c r="AC102" i="6"/>
  <c r="AB102" i="6"/>
  <c r="AA102" i="6"/>
  <c r="Z102" i="6"/>
  <c r="Y102" i="6"/>
  <c r="Y107" i="6" s="1"/>
  <c r="X102" i="6"/>
  <c r="W102" i="6"/>
  <c r="V102" i="6"/>
  <c r="S102" i="6"/>
  <c r="R102" i="6"/>
  <c r="Q102" i="6"/>
  <c r="P102" i="6"/>
  <c r="O102" i="6"/>
  <c r="N102" i="6"/>
  <c r="M102" i="6"/>
  <c r="L102" i="6"/>
  <c r="K102" i="6"/>
  <c r="J102" i="6"/>
  <c r="I102" i="6"/>
  <c r="E102" i="6"/>
  <c r="D102" i="6"/>
  <c r="C102" i="6"/>
  <c r="B102" i="6"/>
  <c r="AF101" i="6"/>
  <c r="AE101" i="6"/>
  <c r="AD101" i="6"/>
  <c r="AC101" i="6"/>
  <c r="AB101" i="6"/>
  <c r="AA101" i="6"/>
  <c r="Z101" i="6"/>
  <c r="Y101" i="6"/>
  <c r="X101" i="6"/>
  <c r="W101" i="6"/>
  <c r="V101" i="6"/>
  <c r="S101" i="6"/>
  <c r="S107" i="6" s="1"/>
  <c r="R101" i="6"/>
  <c r="Q101" i="6"/>
  <c r="P101" i="6"/>
  <c r="O101" i="6"/>
  <c r="N101" i="6"/>
  <c r="M101" i="6"/>
  <c r="L101" i="6"/>
  <c r="K101" i="6"/>
  <c r="J101" i="6"/>
  <c r="I101" i="6"/>
  <c r="E101" i="6"/>
  <c r="D101" i="6"/>
  <c r="C101" i="6"/>
  <c r="B101" i="6"/>
  <c r="AI98" i="6"/>
  <c r="AH98" i="6"/>
  <c r="AI96" i="6"/>
  <c r="AH96" i="6"/>
  <c r="AG96" i="6"/>
  <c r="AI95" i="6"/>
  <c r="AH95" i="6"/>
  <c r="AI94" i="6"/>
  <c r="AH94" i="6"/>
  <c r="AI93" i="6"/>
  <c r="AH93" i="6"/>
  <c r="AG92" i="6"/>
  <c r="AF92" i="6"/>
  <c r="AE92" i="6"/>
  <c r="BI19" i="6" s="1"/>
  <c r="AD92" i="6"/>
  <c r="AC92" i="6"/>
  <c r="AB92" i="6"/>
  <c r="AA5" i="6" s="1"/>
  <c r="AA92" i="6"/>
  <c r="Z5" i="6" s="1"/>
  <c r="Z92" i="6"/>
  <c r="Y92" i="6"/>
  <c r="X5" i="6" s="1"/>
  <c r="X92" i="6"/>
  <c r="W92" i="6"/>
  <c r="V92" i="6"/>
  <c r="BD19" i="6" s="1"/>
  <c r="S92" i="6"/>
  <c r="R5" i="6" s="1"/>
  <c r="R92" i="6"/>
  <c r="AZ19" i="6" s="1"/>
  <c r="Q92" i="6"/>
  <c r="AY19" i="6" s="1"/>
  <c r="P92" i="6"/>
  <c r="AX19" i="6" s="1"/>
  <c r="O92" i="6"/>
  <c r="AW19" i="6" s="1"/>
  <c r="N92" i="6"/>
  <c r="M92" i="6"/>
  <c r="L92" i="6"/>
  <c r="K5" i="6" s="1"/>
  <c r="K92" i="6"/>
  <c r="J92" i="6"/>
  <c r="I92" i="6"/>
  <c r="H5" i="6" s="1"/>
  <c r="E92" i="6"/>
  <c r="D92" i="6"/>
  <c r="AO19" i="6" s="1"/>
  <c r="C92" i="6"/>
  <c r="B5" i="6" s="1"/>
  <c r="B92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I81" i="6"/>
  <c r="AH81" i="6"/>
  <c r="BJ80" i="6"/>
  <c r="AG80" i="6"/>
  <c r="AF80" i="6"/>
  <c r="AE80" i="6"/>
  <c r="AD80" i="6"/>
  <c r="AC80" i="6"/>
  <c r="AB80" i="6"/>
  <c r="BG20" i="6" s="1"/>
  <c r="AA80" i="6"/>
  <c r="Z80" i="6"/>
  <c r="Y80" i="6"/>
  <c r="X80" i="6"/>
  <c r="W80" i="6"/>
  <c r="V80" i="6"/>
  <c r="BD20" i="6" s="1"/>
  <c r="S80" i="6"/>
  <c r="BA20" i="6" s="1"/>
  <c r="R80" i="6"/>
  <c r="AZ20" i="6" s="1"/>
  <c r="Q80" i="6"/>
  <c r="AY20" i="6" s="1"/>
  <c r="P80" i="6"/>
  <c r="O80" i="6"/>
  <c r="N80" i="6"/>
  <c r="AV20" i="6" s="1"/>
  <c r="M80" i="6"/>
  <c r="L80" i="6"/>
  <c r="K80" i="6"/>
  <c r="AT20" i="6" s="1"/>
  <c r="J80" i="6"/>
  <c r="I80" i="6"/>
  <c r="AQ20" i="6"/>
  <c r="E80" i="6"/>
  <c r="AP20" i="6" s="1"/>
  <c r="D80" i="6"/>
  <c r="C80" i="6"/>
  <c r="AN20" i="6" s="1"/>
  <c r="B80" i="6"/>
  <c r="BQ79" i="6"/>
  <c r="BI79" i="6"/>
  <c r="AI79" i="6"/>
  <c r="AH79" i="6"/>
  <c r="AI78" i="6"/>
  <c r="AH78" i="6"/>
  <c r="AZ77" i="6"/>
  <c r="AI77" i="6"/>
  <c r="AH77" i="6"/>
  <c r="BW76" i="6"/>
  <c r="BB76" i="6"/>
  <c r="AG76" i="6"/>
  <c r="AF76" i="6"/>
  <c r="AE76" i="6"/>
  <c r="AD76" i="6"/>
  <c r="BH18" i="6" s="1"/>
  <c r="AC76" i="6"/>
  <c r="AB76" i="6"/>
  <c r="AA76" i="6"/>
  <c r="Z76" i="6"/>
  <c r="BF18" i="6" s="1"/>
  <c r="Y76" i="6"/>
  <c r="X76" i="6"/>
  <c r="BE18" i="6" s="1"/>
  <c r="W76" i="6"/>
  <c r="V76" i="6"/>
  <c r="BC18" i="6"/>
  <c r="S76" i="6"/>
  <c r="BA18" i="6" s="1"/>
  <c r="R76" i="6"/>
  <c r="AZ18" i="6" s="1"/>
  <c r="Q76" i="6"/>
  <c r="AY18" i="6" s="1"/>
  <c r="P76" i="6"/>
  <c r="AX18" i="6" s="1"/>
  <c r="O76" i="6"/>
  <c r="AW18" i="6" s="1"/>
  <c r="N76" i="6"/>
  <c r="AV18" i="6" s="1"/>
  <c r="M76" i="6"/>
  <c r="AU18" i="6" s="1"/>
  <c r="L76" i="6"/>
  <c r="K76" i="6"/>
  <c r="J76" i="6"/>
  <c r="I76" i="6"/>
  <c r="E76" i="6"/>
  <c r="AP18" i="6" s="1"/>
  <c r="D76" i="6"/>
  <c r="AO18" i="6" s="1"/>
  <c r="C76" i="6"/>
  <c r="B76" i="6"/>
  <c r="AM18" i="6" s="1"/>
  <c r="BV75" i="6"/>
  <c r="BN75" i="6"/>
  <c r="BD75" i="6"/>
  <c r="BC75" i="6"/>
  <c r="AI75" i="6"/>
  <c r="AH75" i="6"/>
  <c r="AG75" i="6"/>
  <c r="AI74" i="6"/>
  <c r="AH74" i="6"/>
  <c r="BW73" i="6"/>
  <c r="BW80" i="6" s="1"/>
  <c r="BV73" i="6"/>
  <c r="BV80" i="6" s="1"/>
  <c r="BU73" i="6"/>
  <c r="BU80" i="6" s="1"/>
  <c r="BT73" i="6"/>
  <c r="BT80" i="6" s="1"/>
  <c r="BS73" i="6"/>
  <c r="BS80" i="6" s="1"/>
  <c r="BR73" i="6"/>
  <c r="BR80" i="6" s="1"/>
  <c r="BQ73" i="6"/>
  <c r="BQ80" i="6" s="1"/>
  <c r="BP73" i="6"/>
  <c r="BP80" i="6" s="1"/>
  <c r="BO73" i="6"/>
  <c r="BO80" i="6" s="1"/>
  <c r="BN73" i="6"/>
  <c r="BN80" i="6" s="1"/>
  <c r="BM73" i="6"/>
  <c r="BM80" i="6" s="1"/>
  <c r="BL73" i="6"/>
  <c r="BL80" i="6" s="1"/>
  <c r="BK73" i="6"/>
  <c r="BK80" i="6" s="1"/>
  <c r="BJ73" i="6"/>
  <c r="BI73" i="6"/>
  <c r="BI80" i="6" s="1"/>
  <c r="BH73" i="6"/>
  <c r="BH80" i="6" s="1"/>
  <c r="BG73" i="6"/>
  <c r="BG80" i="6" s="1"/>
  <c r="BF73" i="6"/>
  <c r="BF80" i="6" s="1"/>
  <c r="BE73" i="6"/>
  <c r="BE80" i="6" s="1"/>
  <c r="BD73" i="6"/>
  <c r="BD80" i="6" s="1"/>
  <c r="BC73" i="6"/>
  <c r="BC80" i="6" s="1"/>
  <c r="BB73" i="6"/>
  <c r="BB80" i="6" s="1"/>
  <c r="BA73" i="6"/>
  <c r="BA80" i="6" s="1"/>
  <c r="AZ73" i="6"/>
  <c r="AZ80" i="6" s="1"/>
  <c r="AI73" i="6"/>
  <c r="AH73" i="6"/>
  <c r="BW72" i="6"/>
  <c r="BW79" i="6" s="1"/>
  <c r="BV72" i="6"/>
  <c r="BV79" i="6" s="1"/>
  <c r="BU72" i="6"/>
  <c r="BU79" i="6" s="1"/>
  <c r="BT72" i="6"/>
  <c r="BT79" i="6" s="1"/>
  <c r="BS72" i="6"/>
  <c r="BS79" i="6" s="1"/>
  <c r="BR72" i="6"/>
  <c r="BR79" i="6" s="1"/>
  <c r="BQ72" i="6"/>
  <c r="BP72" i="6"/>
  <c r="BP79" i="6" s="1"/>
  <c r="BO72" i="6"/>
  <c r="BO79" i="6" s="1"/>
  <c r="BN72" i="6"/>
  <c r="BN79" i="6" s="1"/>
  <c r="BM72" i="6"/>
  <c r="BM79" i="6" s="1"/>
  <c r="BL72" i="6"/>
  <c r="BL79" i="6" s="1"/>
  <c r="BK72" i="6"/>
  <c r="BK79" i="6" s="1"/>
  <c r="BJ72" i="6"/>
  <c r="BJ79" i="6" s="1"/>
  <c r="BI72" i="6"/>
  <c r="BH72" i="6"/>
  <c r="BH79" i="6" s="1"/>
  <c r="BG72" i="6"/>
  <c r="BG79" i="6" s="1"/>
  <c r="BF72" i="6"/>
  <c r="BF79" i="6" s="1"/>
  <c r="BE72" i="6"/>
  <c r="BE79" i="6" s="1"/>
  <c r="BD72" i="6"/>
  <c r="BD79" i="6" s="1"/>
  <c r="BC72" i="6"/>
  <c r="BC79" i="6" s="1"/>
  <c r="BB72" i="6"/>
  <c r="BB79" i="6" s="1"/>
  <c r="BA72" i="6"/>
  <c r="BA79" i="6" s="1"/>
  <c r="AZ72" i="6"/>
  <c r="AZ79" i="6" s="1"/>
  <c r="AI72" i="6"/>
  <c r="AH72" i="6"/>
  <c r="BW71" i="6"/>
  <c r="BW78" i="6" s="1"/>
  <c r="BV71" i="6"/>
  <c r="BV78" i="6" s="1"/>
  <c r="BU71" i="6"/>
  <c r="BU78" i="6" s="1"/>
  <c r="BT71" i="6"/>
  <c r="BT78" i="6" s="1"/>
  <c r="BS71" i="6"/>
  <c r="BS78" i="6" s="1"/>
  <c r="BR71" i="6"/>
  <c r="BR78" i="6" s="1"/>
  <c r="BQ71" i="6"/>
  <c r="BQ78" i="6" s="1"/>
  <c r="BP71" i="6"/>
  <c r="BP78" i="6" s="1"/>
  <c r="BO71" i="6"/>
  <c r="BO78" i="6" s="1"/>
  <c r="BN71" i="6"/>
  <c r="BN78" i="6" s="1"/>
  <c r="BM71" i="6"/>
  <c r="BM78" i="6" s="1"/>
  <c r="BL71" i="6"/>
  <c r="BL78" i="6" s="1"/>
  <c r="BK71" i="6"/>
  <c r="BK78" i="6" s="1"/>
  <c r="BJ71" i="6"/>
  <c r="BJ78" i="6" s="1"/>
  <c r="BI71" i="6"/>
  <c r="BI78" i="6" s="1"/>
  <c r="BH71" i="6"/>
  <c r="BH78" i="6" s="1"/>
  <c r="BG71" i="6"/>
  <c r="BG78" i="6" s="1"/>
  <c r="BF71" i="6"/>
  <c r="BF78" i="6" s="1"/>
  <c r="BE71" i="6"/>
  <c r="BE78" i="6" s="1"/>
  <c r="BD71" i="6"/>
  <c r="BD78" i="6" s="1"/>
  <c r="BC71" i="6"/>
  <c r="BC78" i="6" s="1"/>
  <c r="BB71" i="6"/>
  <c r="BB78" i="6" s="1"/>
  <c r="BA71" i="6"/>
  <c r="BA78" i="6" s="1"/>
  <c r="AZ71" i="6"/>
  <c r="AZ78" i="6" s="1"/>
  <c r="AI71" i="6"/>
  <c r="AH71" i="6"/>
  <c r="BW70" i="6"/>
  <c r="BW77" i="6" s="1"/>
  <c r="BV70" i="6"/>
  <c r="BV77" i="6" s="1"/>
  <c r="BU70" i="6"/>
  <c r="BU77" i="6" s="1"/>
  <c r="BT70" i="6"/>
  <c r="BT77" i="6" s="1"/>
  <c r="BS70" i="6"/>
  <c r="BS77" i="6" s="1"/>
  <c r="BR70" i="6"/>
  <c r="BR77" i="6" s="1"/>
  <c r="BQ70" i="6"/>
  <c r="BQ77" i="6" s="1"/>
  <c r="BP70" i="6"/>
  <c r="BP77" i="6" s="1"/>
  <c r="BO70" i="6"/>
  <c r="BO77" i="6" s="1"/>
  <c r="BN70" i="6"/>
  <c r="BN77" i="6" s="1"/>
  <c r="BM70" i="6"/>
  <c r="BM77" i="6" s="1"/>
  <c r="BL70" i="6"/>
  <c r="BL77" i="6" s="1"/>
  <c r="BK70" i="6"/>
  <c r="BK77" i="6" s="1"/>
  <c r="BJ70" i="6"/>
  <c r="BJ77" i="6" s="1"/>
  <c r="BI70" i="6"/>
  <c r="BI77" i="6" s="1"/>
  <c r="BH70" i="6"/>
  <c r="BH77" i="6" s="1"/>
  <c r="BG70" i="6"/>
  <c r="BG77" i="6" s="1"/>
  <c r="BF70" i="6"/>
  <c r="BF77" i="6" s="1"/>
  <c r="BE70" i="6"/>
  <c r="BE77" i="6" s="1"/>
  <c r="BD70" i="6"/>
  <c r="BD77" i="6" s="1"/>
  <c r="BC70" i="6"/>
  <c r="BC77" i="6" s="1"/>
  <c r="BB70" i="6"/>
  <c r="BB77" i="6" s="1"/>
  <c r="BA70" i="6"/>
  <c r="BA77" i="6" s="1"/>
  <c r="AZ70" i="6"/>
  <c r="AI70" i="6"/>
  <c r="AH70" i="6"/>
  <c r="BW69" i="6"/>
  <c r="BV69" i="6"/>
  <c r="BV76" i="6" s="1"/>
  <c r="BU69" i="6"/>
  <c r="BU76" i="6" s="1"/>
  <c r="BT69" i="6"/>
  <c r="BT76" i="6" s="1"/>
  <c r="BS69" i="6"/>
  <c r="BS76" i="6" s="1"/>
  <c r="BR69" i="6"/>
  <c r="BR76" i="6" s="1"/>
  <c r="BQ69" i="6"/>
  <c r="BQ76" i="6" s="1"/>
  <c r="BP69" i="6"/>
  <c r="BP76" i="6" s="1"/>
  <c r="BO69" i="6"/>
  <c r="BO76" i="6" s="1"/>
  <c r="BN69" i="6"/>
  <c r="BN76" i="6" s="1"/>
  <c r="BM69" i="6"/>
  <c r="BM76" i="6" s="1"/>
  <c r="BL69" i="6"/>
  <c r="BL76" i="6" s="1"/>
  <c r="BK69" i="6"/>
  <c r="BK76" i="6" s="1"/>
  <c r="BJ69" i="6"/>
  <c r="BJ76" i="6" s="1"/>
  <c r="BI69" i="6"/>
  <c r="BI76" i="6" s="1"/>
  <c r="BH69" i="6"/>
  <c r="BH76" i="6" s="1"/>
  <c r="BG69" i="6"/>
  <c r="BG76" i="6" s="1"/>
  <c r="BF69" i="6"/>
  <c r="BF76" i="6" s="1"/>
  <c r="BE69" i="6"/>
  <c r="BE76" i="6" s="1"/>
  <c r="BD69" i="6"/>
  <c r="BD76" i="6" s="1"/>
  <c r="BC69" i="6"/>
  <c r="BC76" i="6" s="1"/>
  <c r="BB69" i="6"/>
  <c r="BA69" i="6"/>
  <c r="BA76" i="6" s="1"/>
  <c r="AZ69" i="6"/>
  <c r="AZ76" i="6" s="1"/>
  <c r="AI69" i="6"/>
  <c r="AH69" i="6"/>
  <c r="BW68" i="6"/>
  <c r="BW75" i="6" s="1"/>
  <c r="BV68" i="6"/>
  <c r="BU68" i="6"/>
  <c r="BU75" i="6" s="1"/>
  <c r="BT68" i="6"/>
  <c r="BT75" i="6" s="1"/>
  <c r="BS68" i="6"/>
  <c r="BS75" i="6" s="1"/>
  <c r="BR68" i="6"/>
  <c r="BR75" i="6" s="1"/>
  <c r="BQ68" i="6"/>
  <c r="BQ75" i="6" s="1"/>
  <c r="BP68" i="6"/>
  <c r="BP75" i="6" s="1"/>
  <c r="BO68" i="6"/>
  <c r="BO75" i="6" s="1"/>
  <c r="BN68" i="6"/>
  <c r="BM68" i="6"/>
  <c r="BM75" i="6" s="1"/>
  <c r="BL68" i="6"/>
  <c r="BL75" i="6" s="1"/>
  <c r="BK68" i="6"/>
  <c r="BK75" i="6" s="1"/>
  <c r="BJ68" i="6"/>
  <c r="BJ75" i="6" s="1"/>
  <c r="BI68" i="6"/>
  <c r="BI75" i="6" s="1"/>
  <c r="BH68" i="6"/>
  <c r="BH75" i="6" s="1"/>
  <c r="BG68" i="6"/>
  <c r="BG75" i="6" s="1"/>
  <c r="BF68" i="6"/>
  <c r="BF75" i="6" s="1"/>
  <c r="BE68" i="6"/>
  <c r="BE75" i="6" s="1"/>
  <c r="BD68" i="6"/>
  <c r="BC68" i="6"/>
  <c r="BB68" i="6"/>
  <c r="BB75" i="6" s="1"/>
  <c r="BA68" i="6"/>
  <c r="BA75" i="6" s="1"/>
  <c r="AZ68" i="6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AF62" i="6"/>
  <c r="BJ17" i="6" s="1"/>
  <c r="AE62" i="6"/>
  <c r="BI17" i="6" s="1"/>
  <c r="AD62" i="6"/>
  <c r="BH17" i="6" s="1"/>
  <c r="AC62" i="6"/>
  <c r="AB62" i="6"/>
  <c r="BG17" i="6" s="1"/>
  <c r="AA62" i="6"/>
  <c r="Z62" i="6"/>
  <c r="BF17" i="6" s="1"/>
  <c r="Y62" i="6"/>
  <c r="X62" i="6"/>
  <c r="BE17" i="6" s="1"/>
  <c r="W62" i="6"/>
  <c r="V62" i="6"/>
  <c r="BD17" i="6" s="1"/>
  <c r="S62" i="6"/>
  <c r="BA17" i="6" s="1"/>
  <c r="R62" i="6"/>
  <c r="AZ17" i="6" s="1"/>
  <c r="Q62" i="6"/>
  <c r="P62" i="6"/>
  <c r="O62" i="6"/>
  <c r="AW17" i="6" s="1"/>
  <c r="N62" i="6"/>
  <c r="AV17" i="6" s="1"/>
  <c r="M62" i="6"/>
  <c r="AU17" i="6" s="1"/>
  <c r="L62" i="6"/>
  <c r="K62" i="6"/>
  <c r="AT17" i="6" s="1"/>
  <c r="J62" i="6"/>
  <c r="I62" i="6"/>
  <c r="E62" i="6"/>
  <c r="AP17" i="6" s="1"/>
  <c r="D62" i="6"/>
  <c r="AO17" i="6" s="1"/>
  <c r="C62" i="6"/>
  <c r="AN17" i="6" s="1"/>
  <c r="B62" i="6"/>
  <c r="AM17" i="6" s="1"/>
  <c r="AI61" i="6"/>
  <c r="AH61" i="6"/>
  <c r="AI60" i="6"/>
  <c r="AH60" i="6"/>
  <c r="AI59" i="6"/>
  <c r="AH59" i="6"/>
  <c r="AG58" i="6"/>
  <c r="AG97" i="6" s="1"/>
  <c r="AF58" i="6"/>
  <c r="AE58" i="6"/>
  <c r="AD58" i="6"/>
  <c r="AB58" i="6"/>
  <c r="BG16" i="6" s="1"/>
  <c r="AA58" i="6"/>
  <c r="Z58" i="6"/>
  <c r="BF16" i="6" s="1"/>
  <c r="Y58" i="6"/>
  <c r="X58" i="6"/>
  <c r="W58" i="6"/>
  <c r="V58" i="6"/>
  <c r="BD16" i="6" s="1"/>
  <c r="S58" i="6"/>
  <c r="R58" i="6"/>
  <c r="AZ16" i="6" s="1"/>
  <c r="Q58" i="6"/>
  <c r="P58" i="6"/>
  <c r="O58" i="6"/>
  <c r="N58" i="6"/>
  <c r="M58" i="6"/>
  <c r="L58" i="6"/>
  <c r="K58" i="6"/>
  <c r="J58" i="6"/>
  <c r="I58" i="6"/>
  <c r="AQ16" i="6"/>
  <c r="E58" i="6"/>
  <c r="AP16" i="6" s="1"/>
  <c r="D58" i="6"/>
  <c r="AO16" i="6" s="1"/>
  <c r="C58" i="6"/>
  <c r="B58" i="6"/>
  <c r="AM16" i="6" s="1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BB23" i="6"/>
  <c r="AI23" i="6"/>
  <c r="AH23" i="6"/>
  <c r="AI22" i="6"/>
  <c r="AH22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I21" i="6"/>
  <c r="AH21" i="6"/>
  <c r="BJ20" i="6"/>
  <c r="BI20" i="6"/>
  <c r="BH20" i="6"/>
  <c r="BF20" i="6"/>
  <c r="BE20" i="6"/>
  <c r="BC20" i="6"/>
  <c r="BB20" i="6"/>
  <c r="AX20" i="6"/>
  <c r="AW20" i="6"/>
  <c r="AU20" i="6"/>
  <c r="AS20" i="6"/>
  <c r="AR20" i="6"/>
  <c r="AO20" i="6"/>
  <c r="AM20" i="6"/>
  <c r="AI20" i="6"/>
  <c r="AH20" i="6"/>
  <c r="BJ19" i="6"/>
  <c r="BE19" i="6"/>
  <c r="BB19" i="6"/>
  <c r="AT19" i="6"/>
  <c r="AI19" i="6"/>
  <c r="AH19" i="6"/>
  <c r="BJ18" i="6"/>
  <c r="BI18" i="6"/>
  <c r="BG18" i="6"/>
  <c r="BD18" i="6"/>
  <c r="BB18" i="6"/>
  <c r="AT18" i="6"/>
  <c r="AS18" i="6"/>
  <c r="AR18" i="6"/>
  <c r="AN18" i="6"/>
  <c r="AI18" i="6"/>
  <c r="AH18" i="6"/>
  <c r="BC17" i="6"/>
  <c r="BB17" i="6"/>
  <c r="AY17" i="6"/>
  <c r="AX17" i="6"/>
  <c r="AS17" i="6"/>
  <c r="AR17" i="6"/>
  <c r="AQ17" i="6"/>
  <c r="AI17" i="6"/>
  <c r="AH17" i="6"/>
  <c r="BH16" i="6"/>
  <c r="BE16" i="6"/>
  <c r="BC16" i="6"/>
  <c r="BB16" i="6"/>
  <c r="AV16" i="6"/>
  <c r="AU16" i="6"/>
  <c r="AS16" i="6"/>
  <c r="AR16" i="6"/>
  <c r="AI16" i="6"/>
  <c r="AH16" i="6"/>
  <c r="AI15" i="6"/>
  <c r="AH15" i="6"/>
  <c r="AI14" i="6"/>
  <c r="AH14" i="6"/>
  <c r="AI13" i="6"/>
  <c r="AH13" i="6"/>
  <c r="AL12" i="6"/>
  <c r="AI12" i="6"/>
  <c r="AH12" i="6"/>
  <c r="AI11" i="6"/>
  <c r="AH11" i="6"/>
  <c r="AE5" i="6"/>
  <c r="AD5" i="6"/>
  <c r="W5" i="6"/>
  <c r="V5" i="6"/>
  <c r="S5" i="6"/>
  <c r="P5" i="6"/>
  <c r="N5" i="6"/>
  <c r="J5" i="6"/>
  <c r="E5" i="6"/>
  <c r="AG4" i="6"/>
  <c r="K4" i="6"/>
  <c r="E4" i="6"/>
  <c r="H4" i="6" s="1"/>
  <c r="B4" i="6"/>
  <c r="AG3" i="6"/>
  <c r="AG2" i="6"/>
  <c r="AG6" i="6" s="1"/>
  <c r="AF97" i="6" l="1"/>
  <c r="AF99" i="6" s="1"/>
  <c r="AD107" i="6"/>
  <c r="BH23" i="6" s="1"/>
  <c r="AD108" i="6"/>
  <c r="AC5" i="6"/>
  <c r="BH19" i="6"/>
  <c r="BH22" i="6" s="1"/>
  <c r="BH24" i="6" s="1"/>
  <c r="AB107" i="6"/>
  <c r="BG23" i="6" s="1"/>
  <c r="BG19" i="6"/>
  <c r="BG22" i="6"/>
  <c r="AA107" i="6"/>
  <c r="AA108" i="6" s="1"/>
  <c r="AA97" i="6"/>
  <c r="AA99" i="6" s="1"/>
  <c r="AA100" i="6" s="1"/>
  <c r="AA7" i="6" s="1"/>
  <c r="Z107" i="6"/>
  <c r="BF23" i="6" s="1"/>
  <c r="Z97" i="6"/>
  <c r="Z99" i="6" s="1"/>
  <c r="Z100" i="6" s="1"/>
  <c r="Z7" i="6" s="1"/>
  <c r="Y97" i="6"/>
  <c r="Y99" i="6" s="1"/>
  <c r="Y100" i="6" s="1"/>
  <c r="Y7" i="6" s="1"/>
  <c r="BE22" i="6"/>
  <c r="X97" i="6"/>
  <c r="X99" i="6" s="1"/>
  <c r="W97" i="6"/>
  <c r="W99" i="6" s="1"/>
  <c r="V107" i="6"/>
  <c r="BD23" i="6" s="1"/>
  <c r="V108" i="6"/>
  <c r="U5" i="6"/>
  <c r="BD22" i="6"/>
  <c r="BD24" i="6" s="1"/>
  <c r="BB22" i="6"/>
  <c r="BB24" i="6" s="1"/>
  <c r="BA19" i="6"/>
  <c r="R107" i="6"/>
  <c r="AZ23" i="6" s="1"/>
  <c r="AZ22" i="6"/>
  <c r="AZ24" i="6" s="1"/>
  <c r="Q107" i="6"/>
  <c r="AY23" i="6" s="1"/>
  <c r="Q97" i="6"/>
  <c r="Q99" i="6" s="1"/>
  <c r="Q100" i="6" s="1"/>
  <c r="Q7" i="6" s="1"/>
  <c r="AY16" i="6"/>
  <c r="AY22" i="6" s="1"/>
  <c r="AY24" i="6" s="1"/>
  <c r="O5" i="6"/>
  <c r="P97" i="6"/>
  <c r="P99" i="6" s="1"/>
  <c r="O97" i="6"/>
  <c r="O99" i="6" s="1"/>
  <c r="O100" i="6" s="1"/>
  <c r="O7" i="6" s="1"/>
  <c r="AW16" i="6"/>
  <c r="AW22" i="6" s="1"/>
  <c r="N107" i="6"/>
  <c r="AV23" i="6" s="1"/>
  <c r="M5" i="6"/>
  <c r="AV19" i="6"/>
  <c r="AV22" i="6" s="1"/>
  <c r="AV24" i="6" s="1"/>
  <c r="L107" i="6"/>
  <c r="K107" i="6"/>
  <c r="AT23" i="6" s="1"/>
  <c r="K97" i="6"/>
  <c r="K99" i="6" s="1"/>
  <c r="K100" i="6" s="1"/>
  <c r="K7" i="6" s="1"/>
  <c r="J107" i="6"/>
  <c r="AS19" i="6"/>
  <c r="I107" i="6"/>
  <c r="AS23" i="6" s="1"/>
  <c r="I97" i="6"/>
  <c r="I99" i="6" s="1"/>
  <c r="AS22" i="6"/>
  <c r="AS24" i="6" s="1"/>
  <c r="H107" i="6"/>
  <c r="H97" i="6"/>
  <c r="H99" i="6" s="1"/>
  <c r="H100" i="6" s="1"/>
  <c r="H7" i="6" s="1"/>
  <c r="F107" i="6"/>
  <c r="AQ22" i="6"/>
  <c r="G107" i="6"/>
  <c r="G97" i="6"/>
  <c r="G99" i="6" s="1"/>
  <c r="G100" i="6" s="1"/>
  <c r="F108" i="6"/>
  <c r="AQ23" i="6"/>
  <c r="AQ24" i="6" s="1"/>
  <c r="F97" i="6"/>
  <c r="F99" i="6" s="1"/>
  <c r="F100" i="6" s="1"/>
  <c r="F7" i="6" s="1"/>
  <c r="H108" i="6"/>
  <c r="F5" i="6"/>
  <c r="G108" i="6"/>
  <c r="AH105" i="6"/>
  <c r="AI101" i="6"/>
  <c r="C5" i="6"/>
  <c r="AI102" i="6"/>
  <c r="AN19" i="6"/>
  <c r="C107" i="6"/>
  <c r="C108" i="6" s="1"/>
  <c r="BG84" i="6" a="1"/>
  <c r="BG104" i="6" s="1"/>
  <c r="AI62" i="6"/>
  <c r="BG24" i="6"/>
  <c r="G7" i="6"/>
  <c r="AN23" i="6"/>
  <c r="S108" i="6"/>
  <c r="BA23" i="6"/>
  <c r="I5" i="6"/>
  <c r="J108" i="6"/>
  <c r="D252" i="6"/>
  <c r="D118" i="6"/>
  <c r="E246" i="6"/>
  <c r="D258" i="6"/>
  <c r="AL13" i="6"/>
  <c r="AO22" i="6"/>
  <c r="AX16" i="6"/>
  <c r="AX22" i="6" s="1"/>
  <c r="B97" i="6"/>
  <c r="J97" i="6"/>
  <c r="J99" i="6" s="1"/>
  <c r="J100" i="6" s="1"/>
  <c r="J7" i="6" s="1"/>
  <c r="AH58" i="6"/>
  <c r="AH62" i="6"/>
  <c r="AH80" i="6"/>
  <c r="AI80" i="6"/>
  <c r="AH102" i="6"/>
  <c r="AI104" i="6"/>
  <c r="Y5" i="6"/>
  <c r="BF19" i="6"/>
  <c r="BF22" i="6" s="1"/>
  <c r="BF24" i="6" s="1"/>
  <c r="C97" i="6"/>
  <c r="C99" i="6" s="1"/>
  <c r="C100" i="6" s="1"/>
  <c r="C7" i="6" s="1"/>
  <c r="AN16" i="6"/>
  <c r="AN22" i="6" s="1"/>
  <c r="S97" i="6"/>
  <c r="S99" i="6" s="1"/>
  <c r="S100" i="6" s="1"/>
  <c r="S7" i="6" s="1"/>
  <c r="BA16" i="6"/>
  <c r="BA22" i="6" s="1"/>
  <c r="AP19" i="6"/>
  <c r="AP22" i="6" s="1"/>
  <c r="D5" i="6"/>
  <c r="BC19" i="6"/>
  <c r="BC22" i="6" s="1"/>
  <c r="T5" i="6"/>
  <c r="AR22" i="6"/>
  <c r="BJ16" i="6"/>
  <c r="BJ22" i="6" s="1"/>
  <c r="R97" i="6"/>
  <c r="R99" i="6" s="1"/>
  <c r="R100" i="6" s="1"/>
  <c r="R7" i="6" s="1"/>
  <c r="AI92" i="6"/>
  <c r="AM19" i="6"/>
  <c r="AM22" i="6" s="1"/>
  <c r="AH92" i="6"/>
  <c r="X107" i="6"/>
  <c r="Z108" i="6"/>
  <c r="AI58" i="6"/>
  <c r="AU19" i="6"/>
  <c r="AU22" i="6" s="1"/>
  <c r="L5" i="6"/>
  <c r="AB5" i="6"/>
  <c r="AI103" i="6"/>
  <c r="AF5" i="6"/>
  <c r="E97" i="6"/>
  <c r="E99" i="6" s="1"/>
  <c r="M97" i="6"/>
  <c r="M99" i="6" s="1"/>
  <c r="AC97" i="6"/>
  <c r="AC99" i="6" s="1"/>
  <c r="AH76" i="6"/>
  <c r="I100" i="6"/>
  <c r="I7" i="6" s="1"/>
  <c r="Q5" i="6"/>
  <c r="R108" i="6"/>
  <c r="P107" i="6"/>
  <c r="AF107" i="6"/>
  <c r="AF100" i="6" s="1"/>
  <c r="AF7" i="6" s="1"/>
  <c r="AT16" i="6"/>
  <c r="AT22" i="6" s="1"/>
  <c r="AT24" i="6" s="1"/>
  <c r="BI16" i="6"/>
  <c r="BI22" i="6" s="1"/>
  <c r="BI24" i="6" s="1"/>
  <c r="AE97" i="6"/>
  <c r="AE99" i="6" s="1"/>
  <c r="AZ75" i="6"/>
  <c r="AI76" i="6"/>
  <c r="AH103" i="6"/>
  <c r="L108" i="6"/>
  <c r="AB108" i="6"/>
  <c r="B107" i="6"/>
  <c r="B108" i="6" s="1"/>
  <c r="AH101" i="6"/>
  <c r="AI105" i="6"/>
  <c r="D107" i="6"/>
  <c r="AO23" i="6" s="1"/>
  <c r="D97" i="6"/>
  <c r="D99" i="6" s="1"/>
  <c r="D100" i="6" s="1"/>
  <c r="D7" i="6" s="1"/>
  <c r="L97" i="6"/>
  <c r="L99" i="6" s="1"/>
  <c r="L100" i="6" s="1"/>
  <c r="L7" i="6" s="1"/>
  <c r="T7" i="6"/>
  <c r="AB97" i="6"/>
  <c r="AB99" i="6" s="1"/>
  <c r="AB100" i="6" s="1"/>
  <c r="AB7" i="6" s="1"/>
  <c r="E107" i="6"/>
  <c r="AP23" i="6" s="1"/>
  <c r="M107" i="6"/>
  <c r="AU23" i="6" s="1"/>
  <c r="BC23" i="6"/>
  <c r="AC107" i="6"/>
  <c r="AC108" i="6" s="1"/>
  <c r="N97" i="6"/>
  <c r="N99" i="6" s="1"/>
  <c r="N100" i="6" s="1"/>
  <c r="N7" i="6" s="1"/>
  <c r="V97" i="6"/>
  <c r="V99" i="6" s="1"/>
  <c r="V100" i="6" s="1"/>
  <c r="V7" i="6" s="1"/>
  <c r="AD97" i="6"/>
  <c r="AD99" i="6" s="1"/>
  <c r="AD100" i="6" s="1"/>
  <c r="AD7" i="6" s="1"/>
  <c r="I108" i="6"/>
  <c r="Q108" i="6"/>
  <c r="Y108" i="6"/>
  <c r="AG99" i="6"/>
  <c r="AR23" i="6"/>
  <c r="O107" i="6"/>
  <c r="AW23" i="6" s="1"/>
  <c r="W107" i="6"/>
  <c r="AE107" i="6"/>
  <c r="BI23" i="6" s="1"/>
  <c r="AH104" i="6"/>
  <c r="AA57" i="5"/>
  <c r="Z57" i="5"/>
  <c r="Y57" i="5"/>
  <c r="X57" i="5"/>
  <c r="W121" i="5"/>
  <c r="W57" i="5"/>
  <c r="V121" i="5"/>
  <c r="U121" i="5"/>
  <c r="T121" i="5"/>
  <c r="AE100" i="6" l="1"/>
  <c r="AE7" i="6" s="1"/>
  <c r="W100" i="6"/>
  <c r="W7" i="6" s="1"/>
  <c r="BC24" i="6"/>
  <c r="BA24" i="6"/>
  <c r="AW24" i="6"/>
  <c r="N108" i="6"/>
  <c r="K108" i="6"/>
  <c r="AP24" i="6"/>
  <c r="E100" i="6"/>
  <c r="E7" i="6" s="1"/>
  <c r="D108" i="6"/>
  <c r="AO24" i="6"/>
  <c r="AN24" i="6"/>
  <c r="BK96" i="6"/>
  <c r="BG105" i="6"/>
  <c r="BG85" i="6"/>
  <c r="BJ88" i="6"/>
  <c r="BH94" i="6"/>
  <c r="BL88" i="6"/>
  <c r="BI95" i="6"/>
  <c r="BH89" i="6"/>
  <c r="BI101" i="6"/>
  <c r="BJ93" i="6"/>
  <c r="BI99" i="6"/>
  <c r="BJ107" i="6"/>
  <c r="BI96" i="6"/>
  <c r="BK95" i="6"/>
  <c r="BK97" i="6"/>
  <c r="BK92" i="6"/>
  <c r="BG99" i="6"/>
  <c r="BK106" i="6"/>
  <c r="BH87" i="6"/>
  <c r="BJ90" i="6"/>
  <c r="BL105" i="6"/>
  <c r="BI97" i="6"/>
  <c r="BJ101" i="6"/>
  <c r="BJ102" i="6"/>
  <c r="BH107" i="6"/>
  <c r="BI105" i="6"/>
  <c r="BL103" i="6"/>
  <c r="BK100" i="6"/>
  <c r="BH100" i="6"/>
  <c r="BI90" i="6"/>
  <c r="BG94" i="6"/>
  <c r="BH101" i="6"/>
  <c r="BL85" i="6"/>
  <c r="BJ87" i="6"/>
  <c r="BH84" i="6"/>
  <c r="BG98" i="6"/>
  <c r="BK102" i="6"/>
  <c r="BH105" i="6"/>
  <c r="BL93" i="6"/>
  <c r="BJ95" i="6"/>
  <c r="BG93" i="6"/>
  <c r="BK98" i="6"/>
  <c r="BL102" i="6"/>
  <c r="BG91" i="6"/>
  <c r="BJ104" i="6"/>
  <c r="BH106" i="6"/>
  <c r="BI98" i="6"/>
  <c r="BG101" i="6"/>
  <c r="BH96" i="6"/>
  <c r="BI106" i="6"/>
  <c r="BL91" i="6"/>
  <c r="BK85" i="6"/>
  <c r="BI100" i="6"/>
  <c r="BH95" i="6"/>
  <c r="BG102" i="6"/>
  <c r="BL96" i="6"/>
  <c r="BL106" i="6"/>
  <c r="BH104" i="6"/>
  <c r="BL98" i="6"/>
  <c r="BI94" i="6"/>
  <c r="BH93" i="6"/>
  <c r="BG87" i="6"/>
  <c r="BK101" i="6"/>
  <c r="BJ96" i="6"/>
  <c r="BI107" i="6"/>
  <c r="BH98" i="6"/>
  <c r="BL94" i="6"/>
  <c r="BG84" i="6"/>
  <c r="BJ97" i="6"/>
  <c r="BI93" i="6"/>
  <c r="BI102" i="6"/>
  <c r="BG97" i="6"/>
  <c r="BJ94" i="6"/>
  <c r="BI88" i="6"/>
  <c r="BG107" i="6"/>
  <c r="BL97" i="6"/>
  <c r="BL84" i="6"/>
  <c r="BJ99" i="6"/>
  <c r="BK87" i="6"/>
  <c r="BK107" i="6"/>
  <c r="BG96" i="6"/>
  <c r="BJ105" i="6"/>
  <c r="BK99" i="6"/>
  <c r="BL99" i="6"/>
  <c r="BK89" i="6"/>
  <c r="BJ84" i="6"/>
  <c r="BH99" i="6"/>
  <c r="BH86" i="6"/>
  <c r="BL104" i="6"/>
  <c r="BG92" i="6"/>
  <c r="BJ89" i="6"/>
  <c r="BK84" i="6"/>
  <c r="BI85" i="6"/>
  <c r="BJ85" i="6"/>
  <c r="BG86" i="6"/>
  <c r="BI86" i="6"/>
  <c r="BH85" i="6"/>
  <c r="BL95" i="6"/>
  <c r="BJ106" i="6"/>
  <c r="BI92" i="6"/>
  <c r="BG103" i="6"/>
  <c r="BL89" i="6"/>
  <c r="BJ100" i="6"/>
  <c r="BI103" i="6"/>
  <c r="BH90" i="6"/>
  <c r="BL100" i="6"/>
  <c r="BI89" i="6"/>
  <c r="BK86" i="6"/>
  <c r="BK94" i="6"/>
  <c r="BI87" i="6"/>
  <c r="BG88" i="6"/>
  <c r="BH88" i="6"/>
  <c r="BK88" i="6"/>
  <c r="BG89" i="6"/>
  <c r="BJ86" i="6"/>
  <c r="BH97" i="6"/>
  <c r="BL107" i="6"/>
  <c r="BK93" i="6"/>
  <c r="BI104" i="6"/>
  <c r="BH91" i="6"/>
  <c r="BL101" i="6"/>
  <c r="BK104" i="6"/>
  <c r="BJ91" i="6"/>
  <c r="BH102" i="6"/>
  <c r="BL86" i="6"/>
  <c r="BG100" i="6"/>
  <c r="BG90" i="6"/>
  <c r="BK90" i="6"/>
  <c r="BL90" i="6"/>
  <c r="BI91" i="6"/>
  <c r="BK91" i="6"/>
  <c r="BL87" i="6"/>
  <c r="BJ98" i="6"/>
  <c r="BI84" i="6"/>
  <c r="BG95" i="6"/>
  <c r="BK105" i="6"/>
  <c r="BJ92" i="6"/>
  <c r="BH103" i="6"/>
  <c r="BG106" i="6"/>
  <c r="BL92" i="6"/>
  <c r="BJ103" i="6"/>
  <c r="BK103" i="6"/>
  <c r="BH92" i="6"/>
  <c r="AT8" i="6"/>
  <c r="P108" i="6"/>
  <c r="AX23" i="6"/>
  <c r="AX24" i="6" s="1"/>
  <c r="B256" i="6"/>
  <c r="AE108" i="6"/>
  <c r="W108" i="6"/>
  <c r="AU24" i="6"/>
  <c r="C256" i="6"/>
  <c r="P100" i="6"/>
  <c r="P7" i="6" s="1"/>
  <c r="O108" i="6"/>
  <c r="AC100" i="6"/>
  <c r="AC7" i="6" s="1"/>
  <c r="X108" i="6"/>
  <c r="BE23" i="6"/>
  <c r="BE24" i="6" s="1"/>
  <c r="E108" i="6"/>
  <c r="X100" i="6"/>
  <c r="X7" i="6" s="1"/>
  <c r="F246" i="6"/>
  <c r="E252" i="6"/>
  <c r="E118" i="6"/>
  <c r="B99" i="6"/>
  <c r="AI97" i="6"/>
  <c r="AH97" i="6"/>
  <c r="AI107" i="6"/>
  <c r="AM23" i="6"/>
  <c r="AM24" i="6" s="1"/>
  <c r="AH107" i="6"/>
  <c r="U7" i="6"/>
  <c r="AF108" i="6"/>
  <c r="BJ23" i="6"/>
  <c r="BJ24" i="6" s="1"/>
  <c r="M100" i="6"/>
  <c r="M7" i="6" s="1"/>
  <c r="M108" i="6"/>
  <c r="AR24" i="6"/>
  <c r="AI108" i="6" l="1"/>
  <c r="AH108" i="6"/>
  <c r="K6" i="6"/>
  <c r="AT9" i="6"/>
  <c r="AH99" i="6"/>
  <c r="B100" i="6"/>
  <c r="AI99" i="6"/>
  <c r="G246" i="6"/>
  <c r="F252" i="6"/>
  <c r="P57" i="5"/>
  <c r="H246" i="6" l="1"/>
  <c r="G252" i="6"/>
  <c r="AI100" i="6"/>
  <c r="B7" i="6"/>
  <c r="A7" i="6" s="1"/>
  <c r="AH100" i="6"/>
  <c r="O57" i="5"/>
  <c r="I246" i="6" l="1"/>
  <c r="H252" i="6"/>
  <c r="N57" i="5"/>
  <c r="I252" i="6" l="1"/>
  <c r="I118" i="6"/>
  <c r="J246" i="6"/>
  <c r="J252" i="6" l="1"/>
  <c r="J118" i="6"/>
  <c r="K246" i="6"/>
  <c r="AH125" i="5"/>
  <c r="AI125" i="5"/>
  <c r="AH124" i="5"/>
  <c r="AI124" i="5"/>
  <c r="D57" i="5"/>
  <c r="D58" i="5"/>
  <c r="D62" i="5"/>
  <c r="D76" i="5"/>
  <c r="AO18" i="5" s="1"/>
  <c r="D80" i="5"/>
  <c r="AO20" i="5" s="1"/>
  <c r="D92" i="5"/>
  <c r="D108" i="5" s="1"/>
  <c r="D101" i="5"/>
  <c r="D102" i="5"/>
  <c r="D103" i="5"/>
  <c r="D104" i="5"/>
  <c r="D105" i="5"/>
  <c r="D118" i="5"/>
  <c r="H244" i="5"/>
  <c r="C57" i="5"/>
  <c r="C58" i="5"/>
  <c r="C62" i="5"/>
  <c r="C76" i="5"/>
  <c r="C80" i="5"/>
  <c r="AN20" i="5" s="1"/>
  <c r="C92" i="5"/>
  <c r="AN19" i="5" s="1"/>
  <c r="C101" i="5"/>
  <c r="C102" i="5"/>
  <c r="C103" i="5"/>
  <c r="C104" i="5"/>
  <c r="C105" i="5"/>
  <c r="C118" i="5"/>
  <c r="B118" i="5"/>
  <c r="B105" i="5"/>
  <c r="B104" i="5"/>
  <c r="B103" i="5"/>
  <c r="B102" i="5"/>
  <c r="B101" i="5"/>
  <c r="B92" i="5"/>
  <c r="B108" i="5" s="1"/>
  <c r="B80" i="5"/>
  <c r="B76" i="5"/>
  <c r="B62" i="5"/>
  <c r="B58" i="5"/>
  <c r="B57" i="5"/>
  <c r="AG252" i="5"/>
  <c r="C252" i="5"/>
  <c r="D251" i="5"/>
  <c r="E251" i="5" s="1"/>
  <c r="S250" i="5"/>
  <c r="T250" i="5" s="1"/>
  <c r="U250" i="5" s="1"/>
  <c r="V250" i="5" s="1"/>
  <c r="W250" i="5" s="1"/>
  <c r="X250" i="5" s="1"/>
  <c r="Y250" i="5" s="1"/>
  <c r="Z250" i="5" s="1"/>
  <c r="AA250" i="5" s="1"/>
  <c r="AB250" i="5" s="1"/>
  <c r="AC250" i="5" s="1"/>
  <c r="AD250" i="5" s="1"/>
  <c r="AE250" i="5" s="1"/>
  <c r="AF250" i="5" s="1"/>
  <c r="B250" i="5" s="1"/>
  <c r="J250" i="5"/>
  <c r="K250" i="5" s="1"/>
  <c r="L250" i="5" s="1"/>
  <c r="M250" i="5" s="1"/>
  <c r="N250" i="5" s="1"/>
  <c r="O250" i="5" s="1"/>
  <c r="P250" i="5" s="1"/>
  <c r="Q250" i="5" s="1"/>
  <c r="R250" i="5" s="1"/>
  <c r="E250" i="5"/>
  <c r="F250" i="5" s="1"/>
  <c r="G250" i="5" s="1"/>
  <c r="H250" i="5" s="1"/>
  <c r="I250" i="5" s="1"/>
  <c r="D250" i="5"/>
  <c r="D249" i="5"/>
  <c r="E249" i="5" s="1"/>
  <c r="F249" i="5" s="1"/>
  <c r="G249" i="5" s="1"/>
  <c r="H249" i="5" s="1"/>
  <c r="I249" i="5" s="1"/>
  <c r="J249" i="5" s="1"/>
  <c r="K249" i="5" s="1"/>
  <c r="L249" i="5" s="1"/>
  <c r="M249" i="5" s="1"/>
  <c r="N249" i="5" s="1"/>
  <c r="O249" i="5" s="1"/>
  <c r="P249" i="5" s="1"/>
  <c r="Q249" i="5" s="1"/>
  <c r="R249" i="5" s="1"/>
  <c r="S249" i="5" s="1"/>
  <c r="T249" i="5" s="1"/>
  <c r="U249" i="5" s="1"/>
  <c r="V249" i="5" s="1"/>
  <c r="W249" i="5" s="1"/>
  <c r="X249" i="5" s="1"/>
  <c r="Y249" i="5" s="1"/>
  <c r="Z249" i="5" s="1"/>
  <c r="AA249" i="5" s="1"/>
  <c r="AB249" i="5" s="1"/>
  <c r="AC249" i="5" s="1"/>
  <c r="AD249" i="5" s="1"/>
  <c r="AE249" i="5" s="1"/>
  <c r="AF249" i="5" s="1"/>
  <c r="B249" i="5" s="1"/>
  <c r="O248" i="5"/>
  <c r="P248" i="5" s="1"/>
  <c r="Q248" i="5" s="1"/>
  <c r="R248" i="5" s="1"/>
  <c r="S248" i="5" s="1"/>
  <c r="T248" i="5" s="1"/>
  <c r="U248" i="5" s="1"/>
  <c r="V248" i="5" s="1"/>
  <c r="W248" i="5" s="1"/>
  <c r="X248" i="5" s="1"/>
  <c r="Y248" i="5" s="1"/>
  <c r="Z248" i="5" s="1"/>
  <c r="AA248" i="5" s="1"/>
  <c r="AB248" i="5" s="1"/>
  <c r="AC248" i="5" s="1"/>
  <c r="AD248" i="5" s="1"/>
  <c r="AE248" i="5" s="1"/>
  <c r="AF248" i="5" s="1"/>
  <c r="B248" i="5" s="1"/>
  <c r="F248" i="5"/>
  <c r="G248" i="5" s="1"/>
  <c r="H248" i="5" s="1"/>
  <c r="I248" i="5" s="1"/>
  <c r="J248" i="5" s="1"/>
  <c r="K248" i="5" s="1"/>
  <c r="L248" i="5" s="1"/>
  <c r="M248" i="5" s="1"/>
  <c r="N248" i="5" s="1"/>
  <c r="E248" i="5"/>
  <c r="D248" i="5"/>
  <c r="D247" i="5"/>
  <c r="E247" i="5" s="1"/>
  <c r="E246" i="5"/>
  <c r="F246" i="5" s="1"/>
  <c r="G246" i="5" s="1"/>
  <c r="D246" i="5"/>
  <c r="D252" i="5" s="1"/>
  <c r="AG244" i="5"/>
  <c r="AF244" i="5"/>
  <c r="AE244" i="5"/>
  <c r="AD244" i="5"/>
  <c r="AC244" i="5"/>
  <c r="AB244" i="5"/>
  <c r="AA244" i="5"/>
  <c r="Z244" i="5"/>
  <c r="Z118" i="5" s="1"/>
  <c r="Y244" i="5"/>
  <c r="Y118" i="5" s="1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G244" i="5"/>
  <c r="F244" i="5"/>
  <c r="E244" i="5"/>
  <c r="D244" i="5"/>
  <c r="C244" i="5"/>
  <c r="B244" i="5"/>
  <c r="AI130" i="5"/>
  <c r="AH130" i="5"/>
  <c r="AI129" i="5"/>
  <c r="AH129" i="5"/>
  <c r="AI128" i="5"/>
  <c r="AH128" i="5"/>
  <c r="AI127" i="5"/>
  <c r="AH127" i="5"/>
  <c r="AI126" i="5"/>
  <c r="AH126" i="5"/>
  <c r="AI123" i="5"/>
  <c r="AH123" i="5"/>
  <c r="AI122" i="5"/>
  <c r="AH122" i="5"/>
  <c r="AI121" i="5"/>
  <c r="AH121" i="5"/>
  <c r="AI120" i="5"/>
  <c r="AH120" i="5"/>
  <c r="AI119" i="5"/>
  <c r="AH119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I110" i="5"/>
  <c r="AH110" i="5"/>
  <c r="AI109" i="5"/>
  <c r="AH109" i="5"/>
  <c r="H107" i="5"/>
  <c r="AI106" i="5"/>
  <c r="AH106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I107" i="5" s="1"/>
  <c r="AS23" i="5" s="1"/>
  <c r="H105" i="5"/>
  <c r="G105" i="5"/>
  <c r="F105" i="5"/>
  <c r="E105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AF101" i="5"/>
  <c r="AE101" i="5"/>
  <c r="AE107" i="5" s="1"/>
  <c r="AD101" i="5"/>
  <c r="AC101" i="5"/>
  <c r="AB101" i="5"/>
  <c r="AA101" i="5"/>
  <c r="Z101" i="5"/>
  <c r="Y101" i="5"/>
  <c r="Y107" i="5" s="1"/>
  <c r="X101" i="5"/>
  <c r="X107" i="5" s="1"/>
  <c r="BE23" i="5" s="1"/>
  <c r="W101" i="5"/>
  <c r="V101" i="5"/>
  <c r="U101" i="5"/>
  <c r="T101" i="5"/>
  <c r="S101" i="5"/>
  <c r="R101" i="5"/>
  <c r="Q101" i="5"/>
  <c r="Q107" i="5" s="1"/>
  <c r="AY23" i="5" s="1"/>
  <c r="P101" i="5"/>
  <c r="O101" i="5"/>
  <c r="N101" i="5"/>
  <c r="M101" i="5"/>
  <c r="L101" i="5"/>
  <c r="K101" i="5"/>
  <c r="J101" i="5"/>
  <c r="I101" i="5"/>
  <c r="H101" i="5"/>
  <c r="G101" i="5"/>
  <c r="F101" i="5"/>
  <c r="E101" i="5"/>
  <c r="E107" i="5" s="1"/>
  <c r="AP23" i="5" s="1"/>
  <c r="AI98" i="5"/>
  <c r="AH98" i="5"/>
  <c r="AI96" i="5"/>
  <c r="AH96" i="5"/>
  <c r="AG96" i="5"/>
  <c r="AI95" i="5"/>
  <c r="AH95" i="5"/>
  <c r="AI94" i="5"/>
  <c r="AH94" i="5"/>
  <c r="AI93" i="5"/>
  <c r="AH93" i="5"/>
  <c r="AG92" i="5"/>
  <c r="AF92" i="5"/>
  <c r="BJ19" i="5" s="1"/>
  <c r="AE92" i="5"/>
  <c r="BI19" i="5" s="1"/>
  <c r="AD92" i="5"/>
  <c r="AC92" i="5"/>
  <c r="AB92" i="5"/>
  <c r="BG19" i="5" s="1"/>
  <c r="AA92" i="5"/>
  <c r="Z92" i="5"/>
  <c r="BF19" i="5" s="1"/>
  <c r="Y92" i="5"/>
  <c r="X92" i="5"/>
  <c r="W5" i="5" s="1"/>
  <c r="W92" i="5"/>
  <c r="V92" i="5"/>
  <c r="BD19" i="5" s="1"/>
  <c r="U92" i="5"/>
  <c r="T92" i="5"/>
  <c r="BB19" i="5" s="1"/>
  <c r="S92" i="5"/>
  <c r="R5" i="5" s="1"/>
  <c r="R92" i="5"/>
  <c r="Q92" i="5"/>
  <c r="P92" i="5"/>
  <c r="AX19" i="5" s="1"/>
  <c r="O92" i="5"/>
  <c r="N92" i="5"/>
  <c r="AV19" i="5" s="1"/>
  <c r="M92" i="5"/>
  <c r="L92" i="5"/>
  <c r="K92" i="5"/>
  <c r="J5" i="5" s="1"/>
  <c r="J92" i="5"/>
  <c r="I5" i="5" s="1"/>
  <c r="I92" i="5"/>
  <c r="AS19" i="5" s="1"/>
  <c r="H92" i="5"/>
  <c r="G92" i="5"/>
  <c r="F92" i="5"/>
  <c r="AQ19" i="5" s="1"/>
  <c r="E92" i="5"/>
  <c r="D5" i="5" s="1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I81" i="5"/>
  <c r="AH81" i="5"/>
  <c r="BP80" i="5"/>
  <c r="BO80" i="5"/>
  <c r="BN80" i="5"/>
  <c r="BB80" i="5"/>
  <c r="AG80" i="5"/>
  <c r="AF80" i="5"/>
  <c r="AE80" i="5"/>
  <c r="BI20" i="5" s="1"/>
  <c r="AD80" i="5"/>
  <c r="BH20" i="5" s="1"/>
  <c r="AC80" i="5"/>
  <c r="AB80" i="5"/>
  <c r="BG20" i="5" s="1"/>
  <c r="AA80" i="5"/>
  <c r="Z80" i="5"/>
  <c r="BF20" i="5" s="1"/>
  <c r="Y80" i="5"/>
  <c r="X80" i="5"/>
  <c r="BE20" i="5" s="1"/>
  <c r="W80" i="5"/>
  <c r="V80" i="5"/>
  <c r="U80" i="5"/>
  <c r="BC20" i="5" s="1"/>
  <c r="T80" i="5"/>
  <c r="BB20" i="5" s="1"/>
  <c r="S80" i="5"/>
  <c r="BA20" i="5" s="1"/>
  <c r="R80" i="5"/>
  <c r="AZ20" i="5" s="1"/>
  <c r="Q80" i="5"/>
  <c r="P80" i="5"/>
  <c r="O80" i="5"/>
  <c r="N80" i="5"/>
  <c r="M80" i="5"/>
  <c r="L80" i="5"/>
  <c r="K80" i="5"/>
  <c r="AT20" i="5" s="1"/>
  <c r="J80" i="5"/>
  <c r="I80" i="5"/>
  <c r="H80" i="5"/>
  <c r="G80" i="5"/>
  <c r="F80" i="5"/>
  <c r="E80" i="5"/>
  <c r="AM20" i="5"/>
  <c r="BB79" i="5"/>
  <c r="AI79" i="5"/>
  <c r="AH79" i="5"/>
  <c r="BR78" i="5"/>
  <c r="BC78" i="5"/>
  <c r="AI78" i="5"/>
  <c r="AH78" i="5"/>
  <c r="AI77" i="5"/>
  <c r="AH77" i="5"/>
  <c r="BR76" i="5"/>
  <c r="BO76" i="5"/>
  <c r="BN76" i="5"/>
  <c r="BF76" i="5"/>
  <c r="AF76" i="5"/>
  <c r="BJ18" i="5" s="1"/>
  <c r="AE76" i="5"/>
  <c r="AD76" i="5"/>
  <c r="BH18" i="5" s="1"/>
  <c r="AC76" i="5"/>
  <c r="AB76" i="5"/>
  <c r="AA76" i="5"/>
  <c r="Z76" i="5"/>
  <c r="BF18" i="5" s="1"/>
  <c r="Y76" i="5"/>
  <c r="X76" i="5"/>
  <c r="W76" i="5"/>
  <c r="V76" i="5"/>
  <c r="U76" i="5"/>
  <c r="BC18" i="5" s="1"/>
  <c r="T76" i="5"/>
  <c r="S76" i="5"/>
  <c r="BA18" i="5" s="1"/>
  <c r="R76" i="5"/>
  <c r="Q76" i="5"/>
  <c r="AY18" i="5" s="1"/>
  <c r="P76" i="5"/>
  <c r="AX18" i="5" s="1"/>
  <c r="O76" i="5"/>
  <c r="AW18" i="5" s="1"/>
  <c r="N76" i="5"/>
  <c r="AV18" i="5" s="1"/>
  <c r="M76" i="5"/>
  <c r="AU18" i="5" s="1"/>
  <c r="L76" i="5"/>
  <c r="K76" i="5"/>
  <c r="AT18" i="5" s="1"/>
  <c r="J76" i="5"/>
  <c r="I76" i="5"/>
  <c r="AS18" i="5" s="1"/>
  <c r="H76" i="5"/>
  <c r="G76" i="5"/>
  <c r="AR18" i="5" s="1"/>
  <c r="F76" i="5"/>
  <c r="AQ18" i="5" s="1"/>
  <c r="E76" i="5"/>
  <c r="AP18" i="5" s="1"/>
  <c r="BO75" i="5"/>
  <c r="BK75" i="5"/>
  <c r="AI75" i="5"/>
  <c r="AH75" i="5"/>
  <c r="AG75" i="5"/>
  <c r="AG76" i="5" s="1"/>
  <c r="AI74" i="5"/>
  <c r="AH74" i="5"/>
  <c r="BW73" i="5"/>
  <c r="BW80" i="5" s="1"/>
  <c r="BV73" i="5"/>
  <c r="BV80" i="5" s="1"/>
  <c r="BU73" i="5"/>
  <c r="BU80" i="5" s="1"/>
  <c r="BT73" i="5"/>
  <c r="BT80" i="5" s="1"/>
  <c r="BS73" i="5"/>
  <c r="BS80" i="5" s="1"/>
  <c r="BR73" i="5"/>
  <c r="BR80" i="5" s="1"/>
  <c r="BQ73" i="5"/>
  <c r="BQ80" i="5" s="1"/>
  <c r="BP73" i="5"/>
  <c r="BO73" i="5"/>
  <c r="BN73" i="5"/>
  <c r="BM73" i="5"/>
  <c r="BM80" i="5" s="1"/>
  <c r="BL73" i="5"/>
  <c r="BL80" i="5" s="1"/>
  <c r="BK73" i="5"/>
  <c r="BK80" i="5" s="1"/>
  <c r="BJ73" i="5"/>
  <c r="BJ80" i="5" s="1"/>
  <c r="BI73" i="5"/>
  <c r="BI80" i="5" s="1"/>
  <c r="BH73" i="5"/>
  <c r="BH80" i="5" s="1"/>
  <c r="BG73" i="5"/>
  <c r="BG80" i="5" s="1"/>
  <c r="BF73" i="5"/>
  <c r="BF80" i="5" s="1"/>
  <c r="BE73" i="5"/>
  <c r="BE80" i="5" s="1"/>
  <c r="BD73" i="5"/>
  <c r="BD80" i="5" s="1"/>
  <c r="BC73" i="5"/>
  <c r="BC80" i="5" s="1"/>
  <c r="BB73" i="5"/>
  <c r="BA73" i="5"/>
  <c r="BA80" i="5" s="1"/>
  <c r="AZ73" i="5"/>
  <c r="AZ80" i="5" s="1"/>
  <c r="AI73" i="5"/>
  <c r="AH73" i="5"/>
  <c r="BW72" i="5"/>
  <c r="BW79" i="5" s="1"/>
  <c r="BV72" i="5"/>
  <c r="BV79" i="5" s="1"/>
  <c r="BU72" i="5"/>
  <c r="BU79" i="5" s="1"/>
  <c r="BT72" i="5"/>
  <c r="BT79" i="5" s="1"/>
  <c r="BS72" i="5"/>
  <c r="BS79" i="5" s="1"/>
  <c r="BR72" i="5"/>
  <c r="BR79" i="5" s="1"/>
  <c r="BQ72" i="5"/>
  <c r="BQ79" i="5" s="1"/>
  <c r="BP72" i="5"/>
  <c r="BP79" i="5" s="1"/>
  <c r="BO72" i="5"/>
  <c r="BO79" i="5" s="1"/>
  <c r="BN72" i="5"/>
  <c r="BN79" i="5" s="1"/>
  <c r="BM72" i="5"/>
  <c r="BM79" i="5" s="1"/>
  <c r="BL72" i="5"/>
  <c r="BL79" i="5" s="1"/>
  <c r="BK72" i="5"/>
  <c r="BK79" i="5" s="1"/>
  <c r="BJ72" i="5"/>
  <c r="BJ79" i="5" s="1"/>
  <c r="BI72" i="5"/>
  <c r="BI79" i="5" s="1"/>
  <c r="BH72" i="5"/>
  <c r="BH79" i="5" s="1"/>
  <c r="BG72" i="5"/>
  <c r="BG79" i="5" s="1"/>
  <c r="BF72" i="5"/>
  <c r="BF79" i="5" s="1"/>
  <c r="BE72" i="5"/>
  <c r="BE79" i="5" s="1"/>
  <c r="BD72" i="5"/>
  <c r="BD79" i="5" s="1"/>
  <c r="BC72" i="5"/>
  <c r="BC79" i="5" s="1"/>
  <c r="BB72" i="5"/>
  <c r="BA72" i="5"/>
  <c r="BA79" i="5" s="1"/>
  <c r="AZ72" i="5"/>
  <c r="AZ79" i="5" s="1"/>
  <c r="AI72" i="5"/>
  <c r="AH72" i="5"/>
  <c r="BW71" i="5"/>
  <c r="BW78" i="5" s="1"/>
  <c r="BV71" i="5"/>
  <c r="BV78" i="5" s="1"/>
  <c r="BU71" i="5"/>
  <c r="BU78" i="5" s="1"/>
  <c r="BT71" i="5"/>
  <c r="BT78" i="5" s="1"/>
  <c r="BS71" i="5"/>
  <c r="BS78" i="5" s="1"/>
  <c r="BR71" i="5"/>
  <c r="BQ71" i="5"/>
  <c r="BQ78" i="5" s="1"/>
  <c r="BP71" i="5"/>
  <c r="BP78" i="5" s="1"/>
  <c r="BO71" i="5"/>
  <c r="BO78" i="5" s="1"/>
  <c r="BN71" i="5"/>
  <c r="BN78" i="5" s="1"/>
  <c r="BM71" i="5"/>
  <c r="BM78" i="5" s="1"/>
  <c r="BL71" i="5"/>
  <c r="BL78" i="5" s="1"/>
  <c r="BK71" i="5"/>
  <c r="BK78" i="5" s="1"/>
  <c r="BJ71" i="5"/>
  <c r="BJ78" i="5" s="1"/>
  <c r="BI71" i="5"/>
  <c r="BI78" i="5" s="1"/>
  <c r="BH71" i="5"/>
  <c r="BH78" i="5" s="1"/>
  <c r="BG71" i="5"/>
  <c r="BG78" i="5" s="1"/>
  <c r="BF71" i="5"/>
  <c r="BF78" i="5" s="1"/>
  <c r="BE71" i="5"/>
  <c r="BE78" i="5" s="1"/>
  <c r="BD71" i="5"/>
  <c r="BD78" i="5" s="1"/>
  <c r="BC71" i="5"/>
  <c r="BB71" i="5"/>
  <c r="BB78" i="5" s="1"/>
  <c r="BA71" i="5"/>
  <c r="BA78" i="5" s="1"/>
  <c r="AZ71" i="5"/>
  <c r="AZ78" i="5" s="1"/>
  <c r="AI71" i="5"/>
  <c r="AH71" i="5"/>
  <c r="BW70" i="5"/>
  <c r="BW77" i="5" s="1"/>
  <c r="BV70" i="5"/>
  <c r="BV77" i="5" s="1"/>
  <c r="BU70" i="5"/>
  <c r="BU77" i="5" s="1"/>
  <c r="BT70" i="5"/>
  <c r="BT77" i="5" s="1"/>
  <c r="BS70" i="5"/>
  <c r="BS77" i="5" s="1"/>
  <c r="BR70" i="5"/>
  <c r="BR77" i="5" s="1"/>
  <c r="BQ70" i="5"/>
  <c r="BQ77" i="5" s="1"/>
  <c r="BP70" i="5"/>
  <c r="BP77" i="5" s="1"/>
  <c r="BO70" i="5"/>
  <c r="BO77" i="5" s="1"/>
  <c r="BN70" i="5"/>
  <c r="BN77" i="5" s="1"/>
  <c r="BM70" i="5"/>
  <c r="BM77" i="5" s="1"/>
  <c r="BL70" i="5"/>
  <c r="BL77" i="5" s="1"/>
  <c r="BK70" i="5"/>
  <c r="BK77" i="5" s="1"/>
  <c r="BJ70" i="5"/>
  <c r="BJ77" i="5" s="1"/>
  <c r="BI70" i="5"/>
  <c r="BI77" i="5" s="1"/>
  <c r="BH70" i="5"/>
  <c r="BH77" i="5" s="1"/>
  <c r="BG70" i="5"/>
  <c r="BG77" i="5" s="1"/>
  <c r="BF70" i="5"/>
  <c r="BF77" i="5" s="1"/>
  <c r="BE70" i="5"/>
  <c r="BE77" i="5" s="1"/>
  <c r="BD70" i="5"/>
  <c r="BD77" i="5" s="1"/>
  <c r="BC70" i="5"/>
  <c r="BC77" i="5" s="1"/>
  <c r="BB70" i="5"/>
  <c r="BB77" i="5" s="1"/>
  <c r="BA70" i="5"/>
  <c r="BA77" i="5" s="1"/>
  <c r="AZ70" i="5"/>
  <c r="AZ77" i="5" s="1"/>
  <c r="AI70" i="5"/>
  <c r="AH70" i="5"/>
  <c r="BW69" i="5"/>
  <c r="BW76" i="5" s="1"/>
  <c r="BV69" i="5"/>
  <c r="BV76" i="5" s="1"/>
  <c r="BU69" i="5"/>
  <c r="BU76" i="5" s="1"/>
  <c r="BT69" i="5"/>
  <c r="BT76" i="5" s="1"/>
  <c r="BS69" i="5"/>
  <c r="BS76" i="5" s="1"/>
  <c r="BR69" i="5"/>
  <c r="BQ69" i="5"/>
  <c r="BQ76" i="5" s="1"/>
  <c r="BP69" i="5"/>
  <c r="BP76" i="5" s="1"/>
  <c r="BO69" i="5"/>
  <c r="BN69" i="5"/>
  <c r="BM69" i="5"/>
  <c r="BM76" i="5" s="1"/>
  <c r="BL69" i="5"/>
  <c r="BL76" i="5" s="1"/>
  <c r="BK69" i="5"/>
  <c r="BK76" i="5" s="1"/>
  <c r="BJ69" i="5"/>
  <c r="BJ76" i="5" s="1"/>
  <c r="BI69" i="5"/>
  <c r="BI76" i="5" s="1"/>
  <c r="BH69" i="5"/>
  <c r="BH76" i="5" s="1"/>
  <c r="BG69" i="5"/>
  <c r="BG76" i="5" s="1"/>
  <c r="BF69" i="5"/>
  <c r="BE69" i="5"/>
  <c r="BE76" i="5" s="1"/>
  <c r="BD69" i="5"/>
  <c r="BD76" i="5" s="1"/>
  <c r="BC69" i="5"/>
  <c r="BC76" i="5" s="1"/>
  <c r="BB69" i="5"/>
  <c r="BB76" i="5" s="1"/>
  <c r="BA69" i="5"/>
  <c r="BA76" i="5" s="1"/>
  <c r="AZ69" i="5"/>
  <c r="AZ76" i="5" s="1"/>
  <c r="AI69" i="5"/>
  <c r="AH69" i="5"/>
  <c r="BW68" i="5"/>
  <c r="BW75" i="5" s="1"/>
  <c r="BV68" i="5"/>
  <c r="BV75" i="5" s="1"/>
  <c r="BU68" i="5"/>
  <c r="BU75" i="5" s="1"/>
  <c r="BT68" i="5"/>
  <c r="BT75" i="5" s="1"/>
  <c r="BS68" i="5"/>
  <c r="BS75" i="5" s="1"/>
  <c r="BR68" i="5"/>
  <c r="BR75" i="5" s="1"/>
  <c r="BQ68" i="5"/>
  <c r="BQ75" i="5" s="1"/>
  <c r="BP68" i="5"/>
  <c r="BP75" i="5" s="1"/>
  <c r="BO68" i="5"/>
  <c r="BN68" i="5"/>
  <c r="BN75" i="5" s="1"/>
  <c r="BM68" i="5"/>
  <c r="BM75" i="5" s="1"/>
  <c r="BL68" i="5"/>
  <c r="BL75" i="5" s="1"/>
  <c r="BK68" i="5"/>
  <c r="BJ68" i="5"/>
  <c r="BJ75" i="5" s="1"/>
  <c r="BI68" i="5"/>
  <c r="BI75" i="5" s="1"/>
  <c r="BH68" i="5"/>
  <c r="BH75" i="5" s="1"/>
  <c r="BG68" i="5"/>
  <c r="BG75" i="5" s="1"/>
  <c r="BF68" i="5"/>
  <c r="BF75" i="5" s="1"/>
  <c r="BE68" i="5"/>
  <c r="BE75" i="5" s="1"/>
  <c r="BD68" i="5"/>
  <c r="BD75" i="5" s="1"/>
  <c r="BC68" i="5"/>
  <c r="BC75" i="5" s="1"/>
  <c r="BB68" i="5"/>
  <c r="BB75" i="5" s="1"/>
  <c r="BA68" i="5"/>
  <c r="BA75" i="5" s="1"/>
  <c r="AZ68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G62" i="5"/>
  <c r="AF62" i="5"/>
  <c r="AE62" i="5"/>
  <c r="BI17" i="5" s="1"/>
  <c r="AD62" i="5"/>
  <c r="BH17" i="5" s="1"/>
  <c r="AC62" i="5"/>
  <c r="AB62" i="5"/>
  <c r="AA62" i="5"/>
  <c r="Z62" i="5"/>
  <c r="BF17" i="5" s="1"/>
  <c r="Y62" i="5"/>
  <c r="X62" i="5"/>
  <c r="BE17" i="5" s="1"/>
  <c r="W62" i="5"/>
  <c r="V62" i="5"/>
  <c r="BD17" i="5" s="1"/>
  <c r="U62" i="5"/>
  <c r="BC17" i="5" s="1"/>
  <c r="T62" i="5"/>
  <c r="BB17" i="5" s="1"/>
  <c r="S62" i="5"/>
  <c r="BA17" i="5" s="1"/>
  <c r="R62" i="5"/>
  <c r="AZ17" i="5" s="1"/>
  <c r="Q62" i="5"/>
  <c r="P62" i="5"/>
  <c r="O62" i="5"/>
  <c r="N62" i="5"/>
  <c r="AV17" i="5" s="1"/>
  <c r="M62" i="5"/>
  <c r="AU17" i="5" s="1"/>
  <c r="L62" i="5"/>
  <c r="K62" i="5"/>
  <c r="AT17" i="5" s="1"/>
  <c r="J62" i="5"/>
  <c r="I62" i="5"/>
  <c r="AS17" i="5" s="1"/>
  <c r="H62" i="5"/>
  <c r="G62" i="5"/>
  <c r="AR17" i="5" s="1"/>
  <c r="F62" i="5"/>
  <c r="AQ17" i="5" s="1"/>
  <c r="E62" i="5"/>
  <c r="AP17" i="5" s="1"/>
  <c r="AI61" i="5"/>
  <c r="AH61" i="5"/>
  <c r="AI60" i="5"/>
  <c r="AH60" i="5"/>
  <c r="AI59" i="5"/>
  <c r="AH59" i="5"/>
  <c r="AG58" i="5"/>
  <c r="AF58" i="5"/>
  <c r="BJ16" i="5" s="1"/>
  <c r="AE58" i="5"/>
  <c r="BI16" i="5" s="1"/>
  <c r="AD58" i="5"/>
  <c r="BH16" i="5" s="1"/>
  <c r="AC58" i="5"/>
  <c r="AB58" i="5"/>
  <c r="BG16" i="5" s="1"/>
  <c r="AA58" i="5"/>
  <c r="Z58" i="5"/>
  <c r="Y58" i="5"/>
  <c r="X58" i="5"/>
  <c r="W58" i="5"/>
  <c r="V58" i="5"/>
  <c r="U58" i="5"/>
  <c r="T58" i="5"/>
  <c r="S58" i="5"/>
  <c r="R58" i="5"/>
  <c r="AZ16" i="5" s="1"/>
  <c r="Q58" i="5"/>
  <c r="P58" i="5"/>
  <c r="O58" i="5"/>
  <c r="N58" i="5"/>
  <c r="M58" i="5"/>
  <c r="L58" i="5"/>
  <c r="K58" i="5"/>
  <c r="J58" i="5"/>
  <c r="I58" i="5"/>
  <c r="AS16" i="5" s="1"/>
  <c r="H58" i="5"/>
  <c r="G58" i="5"/>
  <c r="F58" i="5"/>
  <c r="E58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I21" i="5"/>
  <c r="AH21" i="5"/>
  <c r="BJ20" i="5"/>
  <c r="BD20" i="5"/>
  <c r="AY20" i="5"/>
  <c r="AX20" i="5"/>
  <c r="AW20" i="5"/>
  <c r="AV20" i="5"/>
  <c r="AU20" i="5"/>
  <c r="AS20" i="5"/>
  <c r="AR20" i="5"/>
  <c r="AQ20" i="5"/>
  <c r="AP20" i="5"/>
  <c r="AI20" i="5"/>
  <c r="AH20" i="5"/>
  <c r="BH19" i="5"/>
  <c r="AY19" i="5"/>
  <c r="AW19" i="5"/>
  <c r="AR19" i="5"/>
  <c r="AO19" i="5"/>
  <c r="AI19" i="5"/>
  <c r="AH19" i="5"/>
  <c r="BI18" i="5"/>
  <c r="BG18" i="5"/>
  <c r="BD18" i="5"/>
  <c r="BB18" i="5"/>
  <c r="AZ18" i="5"/>
  <c r="AN18" i="5"/>
  <c r="AM18" i="5"/>
  <c r="AI18" i="5"/>
  <c r="AH18" i="5"/>
  <c r="BJ17" i="5"/>
  <c r="BG17" i="5"/>
  <c r="AY17" i="5"/>
  <c r="AX17" i="5"/>
  <c r="AW17" i="5"/>
  <c r="AO17" i="5"/>
  <c r="AN17" i="5"/>
  <c r="AI17" i="5"/>
  <c r="AH17" i="5"/>
  <c r="BE16" i="5"/>
  <c r="BA16" i="5"/>
  <c r="AY16" i="5"/>
  <c r="AX16" i="5"/>
  <c r="AW16" i="5"/>
  <c r="AR16" i="5"/>
  <c r="AO16" i="5"/>
  <c r="AI16" i="5"/>
  <c r="AH16" i="5"/>
  <c r="AI15" i="5"/>
  <c r="AH15" i="5"/>
  <c r="AI14" i="5"/>
  <c r="AH14" i="5"/>
  <c r="AI13" i="5"/>
  <c r="AH13" i="5"/>
  <c r="AL12" i="5"/>
  <c r="AI12" i="5"/>
  <c r="AH12" i="5"/>
  <c r="AI11" i="5"/>
  <c r="AH11" i="5"/>
  <c r="AC5" i="5"/>
  <c r="AB5" i="5"/>
  <c r="Z5" i="5"/>
  <c r="X5" i="5"/>
  <c r="V5" i="5"/>
  <c r="T5" i="5"/>
  <c r="P5" i="5"/>
  <c r="N5" i="5"/>
  <c r="M5" i="5"/>
  <c r="L5" i="5"/>
  <c r="K5" i="5"/>
  <c r="G5" i="5"/>
  <c r="F5" i="5"/>
  <c r="E5" i="5"/>
  <c r="C5" i="5"/>
  <c r="AG4" i="5"/>
  <c r="K4" i="5"/>
  <c r="E4" i="5"/>
  <c r="H4" i="5" s="1"/>
  <c r="B4" i="5"/>
  <c r="AG3" i="5"/>
  <c r="AG2" i="5"/>
  <c r="AG6" i="5" s="1"/>
  <c r="AF57" i="4"/>
  <c r="AF58" i="4"/>
  <c r="AF62" i="4"/>
  <c r="AF76" i="4"/>
  <c r="AF80" i="4"/>
  <c r="AF92" i="4"/>
  <c r="AF108" i="4" s="1"/>
  <c r="AF101" i="4"/>
  <c r="AF102" i="4"/>
  <c r="AF103" i="4"/>
  <c r="AF104" i="4"/>
  <c r="AF105" i="4"/>
  <c r="AF118" i="4"/>
  <c r="AE97" i="4"/>
  <c r="AE57" i="4"/>
  <c r="AE58" i="4"/>
  <c r="AE62" i="4"/>
  <c r="AE76" i="4"/>
  <c r="AE80" i="4"/>
  <c r="AE92" i="4"/>
  <c r="AE99" i="4" s="1"/>
  <c r="AE100" i="4" s="1"/>
  <c r="AE101" i="4"/>
  <c r="AE102" i="4"/>
  <c r="AE103" i="4"/>
  <c r="AE104" i="4"/>
  <c r="AE105" i="4"/>
  <c r="AE118" i="4"/>
  <c r="AD57" i="4"/>
  <c r="AD58" i="4"/>
  <c r="AD62" i="4"/>
  <c r="AD76" i="4"/>
  <c r="AD80" i="4"/>
  <c r="AD92" i="4"/>
  <c r="AD108" i="4" s="1"/>
  <c r="AD101" i="4"/>
  <c r="AD102" i="4"/>
  <c r="AD103" i="4"/>
  <c r="AD104" i="4"/>
  <c r="AD105" i="4"/>
  <c r="AD118" i="4"/>
  <c r="AC57" i="4"/>
  <c r="AC58" i="4"/>
  <c r="AC62" i="4"/>
  <c r="AC76" i="4"/>
  <c r="AC80" i="4"/>
  <c r="AC92" i="4"/>
  <c r="AC101" i="4"/>
  <c r="AC102" i="4"/>
  <c r="AC103" i="4"/>
  <c r="AC104" i="4"/>
  <c r="AC105" i="4"/>
  <c r="AC118" i="4"/>
  <c r="AB57" i="4"/>
  <c r="AB58" i="4"/>
  <c r="AB62" i="4"/>
  <c r="AB76" i="4"/>
  <c r="AB80" i="4"/>
  <c r="AB92" i="4"/>
  <c r="AB101" i="4"/>
  <c r="AB102" i="4"/>
  <c r="AB103" i="4"/>
  <c r="AB104" i="4"/>
  <c r="AB105" i="4"/>
  <c r="AB118" i="4"/>
  <c r="AA57" i="4"/>
  <c r="Z57" i="4"/>
  <c r="K252" i="6" l="1"/>
  <c r="K118" i="6"/>
  <c r="L246" i="6"/>
  <c r="AF107" i="5"/>
  <c r="AF108" i="5" s="1"/>
  <c r="AE5" i="5"/>
  <c r="BI22" i="5"/>
  <c r="AD5" i="5"/>
  <c r="AE108" i="5"/>
  <c r="AE97" i="5"/>
  <c r="AE99" i="5" s="1"/>
  <c r="AE100" i="5" s="1"/>
  <c r="AE7" i="5" s="1"/>
  <c r="BH22" i="5"/>
  <c r="AC107" i="5"/>
  <c r="AC108" i="5" s="1"/>
  <c r="AA5" i="5"/>
  <c r="BG22" i="5"/>
  <c r="AA107" i="5"/>
  <c r="AA97" i="5"/>
  <c r="AA99" i="5" s="1"/>
  <c r="Z107" i="5"/>
  <c r="BF23" i="5" s="1"/>
  <c r="Y5" i="5"/>
  <c r="Y108" i="5"/>
  <c r="BE19" i="5"/>
  <c r="X97" i="5"/>
  <c r="X99" i="5" s="1"/>
  <c r="X100" i="5" s="1"/>
  <c r="X7" i="5" s="1"/>
  <c r="W107" i="5"/>
  <c r="W108" i="5"/>
  <c r="W97" i="5"/>
  <c r="W99" i="5" s="1"/>
  <c r="W100" i="5" s="1"/>
  <c r="W7" i="5" s="1"/>
  <c r="U5" i="5"/>
  <c r="U107" i="5"/>
  <c r="BC23" i="5" s="1"/>
  <c r="BC19" i="5"/>
  <c r="S5" i="5"/>
  <c r="S107" i="5"/>
  <c r="BA23" i="5" s="1"/>
  <c r="BA19" i="5"/>
  <c r="BA22" i="5" s="1"/>
  <c r="BA24" i="5" s="1"/>
  <c r="S97" i="5"/>
  <c r="S99" i="5" s="1"/>
  <c r="S100" i="5" s="1"/>
  <c r="S7" i="5" s="1"/>
  <c r="R107" i="5"/>
  <c r="AZ23" i="5" s="1"/>
  <c r="Q5" i="5"/>
  <c r="AZ19" i="5"/>
  <c r="Q108" i="5"/>
  <c r="P107" i="5"/>
  <c r="AX23" i="5" s="1"/>
  <c r="O5" i="5"/>
  <c r="AW22" i="5"/>
  <c r="O97" i="5"/>
  <c r="O99" i="5" s="1"/>
  <c r="M107" i="5"/>
  <c r="AU23" i="5" s="1"/>
  <c r="AU19" i="5"/>
  <c r="K107" i="5"/>
  <c r="AT23" i="5" s="1"/>
  <c r="AT19" i="5"/>
  <c r="K97" i="5"/>
  <c r="K99" i="5" s="1"/>
  <c r="K100" i="5" s="1"/>
  <c r="K7" i="5" s="1"/>
  <c r="J107" i="5"/>
  <c r="I108" i="5"/>
  <c r="H5" i="5"/>
  <c r="H108" i="5"/>
  <c r="H97" i="5"/>
  <c r="H99" i="5" s="1"/>
  <c r="H100" i="5" s="1"/>
  <c r="H7" i="5" s="1"/>
  <c r="G97" i="5"/>
  <c r="G99" i="5" s="1"/>
  <c r="E108" i="5"/>
  <c r="D97" i="5"/>
  <c r="D99" i="5" s="1"/>
  <c r="D100" i="5" s="1"/>
  <c r="AO22" i="5"/>
  <c r="C108" i="5"/>
  <c r="C97" i="5"/>
  <c r="C99" i="5" s="1"/>
  <c r="C100" i="5" s="1"/>
  <c r="AH57" i="5"/>
  <c r="B5" i="5"/>
  <c r="AM19" i="5"/>
  <c r="AF5" i="5"/>
  <c r="B97" i="5"/>
  <c r="B99" i="5" s="1"/>
  <c r="B100" i="5" s="1"/>
  <c r="AI57" i="5"/>
  <c r="AS22" i="5"/>
  <c r="AS24" i="5" s="1"/>
  <c r="F107" i="5"/>
  <c r="AQ23" i="5" s="1"/>
  <c r="AI102" i="5"/>
  <c r="V107" i="5"/>
  <c r="BD23" i="5" s="1"/>
  <c r="AD107" i="5"/>
  <c r="BH23" i="5" s="1"/>
  <c r="M97" i="5"/>
  <c r="M99" i="5" s="1"/>
  <c r="M100" i="5" s="1"/>
  <c r="M7" i="5" s="1"/>
  <c r="AU16" i="5"/>
  <c r="AU22" i="5" s="1"/>
  <c r="AU24" i="5" s="1"/>
  <c r="U97" i="5"/>
  <c r="U99" i="5" s="1"/>
  <c r="U100" i="5" s="1"/>
  <c r="U7" i="5" s="1"/>
  <c r="BC16" i="5"/>
  <c r="BC22" i="5" s="1"/>
  <c r="BC24" i="5" s="1"/>
  <c r="AH76" i="5"/>
  <c r="BG84" i="5" a="1"/>
  <c r="AI76" i="5"/>
  <c r="AF97" i="5"/>
  <c r="AF99" i="5" s="1"/>
  <c r="AF100" i="5" s="1"/>
  <c r="AF7" i="5" s="1"/>
  <c r="F247" i="5"/>
  <c r="E252" i="5"/>
  <c r="BJ22" i="5"/>
  <c r="P97" i="5"/>
  <c r="P99" i="5" s="1"/>
  <c r="P100" i="5" s="1"/>
  <c r="P7" i="5" s="1"/>
  <c r="D258" i="5"/>
  <c r="AL13" i="5"/>
  <c r="F97" i="5"/>
  <c r="F99" i="5" s="1"/>
  <c r="AQ16" i="5"/>
  <c r="AQ22" i="5" s="1"/>
  <c r="AV16" i="5"/>
  <c r="AV22" i="5" s="1"/>
  <c r="N97" i="5"/>
  <c r="N99" i="5" s="1"/>
  <c r="BD16" i="5"/>
  <c r="BD22" i="5" s="1"/>
  <c r="V97" i="5"/>
  <c r="V99" i="5" s="1"/>
  <c r="AD97" i="5"/>
  <c r="AD99" i="5" s="1"/>
  <c r="AD100" i="5" s="1"/>
  <c r="AD7" i="5" s="1"/>
  <c r="AX22" i="5"/>
  <c r="AX24" i="5" s="1"/>
  <c r="P108" i="5"/>
  <c r="AR22" i="5"/>
  <c r="N107" i="5"/>
  <c r="AV23" i="5" s="1"/>
  <c r="F251" i="5"/>
  <c r="G251" i="5" s="1"/>
  <c r="H251" i="5" s="1"/>
  <c r="I251" i="5" s="1"/>
  <c r="J251" i="5" s="1"/>
  <c r="K251" i="5" s="1"/>
  <c r="L251" i="5" s="1"/>
  <c r="M251" i="5" s="1"/>
  <c r="N251" i="5" s="1"/>
  <c r="O251" i="5" s="1"/>
  <c r="P251" i="5" s="1"/>
  <c r="Q251" i="5" s="1"/>
  <c r="R251" i="5" s="1"/>
  <c r="S251" i="5" s="1"/>
  <c r="T251" i="5" s="1"/>
  <c r="U251" i="5" s="1"/>
  <c r="V251" i="5" s="1"/>
  <c r="W251" i="5" s="1"/>
  <c r="X251" i="5" s="1"/>
  <c r="Y251" i="5" s="1"/>
  <c r="Z251" i="5" s="1"/>
  <c r="AA251" i="5" s="1"/>
  <c r="AB251" i="5" s="1"/>
  <c r="AC251" i="5" s="1"/>
  <c r="AD251" i="5" s="1"/>
  <c r="AE251" i="5" s="1"/>
  <c r="AF251" i="5" s="1"/>
  <c r="B251" i="5" s="1"/>
  <c r="E118" i="5"/>
  <c r="E97" i="5"/>
  <c r="E99" i="5" s="1"/>
  <c r="E100" i="5" s="1"/>
  <c r="E7" i="5" s="1"/>
  <c r="AP16" i="5"/>
  <c r="AP22" i="5" s="1"/>
  <c r="AP24" i="5" s="1"/>
  <c r="AC97" i="5"/>
  <c r="AC99" i="5" s="1"/>
  <c r="AC100" i="5" s="1"/>
  <c r="AC7" i="5" s="1"/>
  <c r="AY22" i="5"/>
  <c r="AY24" i="5" s="1"/>
  <c r="BE18" i="5"/>
  <c r="BE22" i="5" s="1"/>
  <c r="BE24" i="5" s="1"/>
  <c r="X108" i="5"/>
  <c r="AI62" i="5"/>
  <c r="AH62" i="5"/>
  <c r="C7" i="5"/>
  <c r="AZ22" i="5"/>
  <c r="AZ24" i="5" s="1"/>
  <c r="AM17" i="5"/>
  <c r="AM16" i="5"/>
  <c r="AI58" i="5"/>
  <c r="J97" i="5"/>
  <c r="J99" i="5" s="1"/>
  <c r="J100" i="5" s="1"/>
  <c r="J7" i="5" s="1"/>
  <c r="R97" i="5"/>
  <c r="R99" i="5" s="1"/>
  <c r="R100" i="5" s="1"/>
  <c r="R7" i="5" s="1"/>
  <c r="Z97" i="5"/>
  <c r="Z99" i="5" s="1"/>
  <c r="Z100" i="5" s="1"/>
  <c r="Z7" i="5" s="1"/>
  <c r="BF16" i="5"/>
  <c r="BF22" i="5" s="1"/>
  <c r="BF24" i="5" s="1"/>
  <c r="AH58" i="5"/>
  <c r="AN23" i="5"/>
  <c r="AH101" i="5"/>
  <c r="AH103" i="5"/>
  <c r="AH80" i="5"/>
  <c r="AO23" i="5"/>
  <c r="L107" i="5"/>
  <c r="L108" i="5" s="1"/>
  <c r="T107" i="5"/>
  <c r="BB23" i="5" s="1"/>
  <c r="AB107" i="5"/>
  <c r="BG23" i="5" s="1"/>
  <c r="BI23" i="5"/>
  <c r="L97" i="5"/>
  <c r="L99" i="5" s="1"/>
  <c r="T97" i="5"/>
  <c r="T99" i="5" s="1"/>
  <c r="AB97" i="5"/>
  <c r="AB99" i="5" s="1"/>
  <c r="AI80" i="5"/>
  <c r="O107" i="5"/>
  <c r="AT16" i="5"/>
  <c r="AT22" i="5" s="1"/>
  <c r="AT24" i="5" s="1"/>
  <c r="BB16" i="5"/>
  <c r="BB22" i="5" s="1"/>
  <c r="AZ75" i="5"/>
  <c r="F118" i="5"/>
  <c r="J108" i="5"/>
  <c r="Z108" i="5"/>
  <c r="AH92" i="5"/>
  <c r="AG99" i="5"/>
  <c r="AI105" i="5"/>
  <c r="G107" i="5"/>
  <c r="H246" i="5"/>
  <c r="AN16" i="5"/>
  <c r="AN22" i="5" s="1"/>
  <c r="AP19" i="5"/>
  <c r="I97" i="5"/>
  <c r="I99" i="5" s="1"/>
  <c r="I100" i="5" s="1"/>
  <c r="I7" i="5" s="1"/>
  <c r="Q97" i="5"/>
  <c r="Q99" i="5" s="1"/>
  <c r="Q100" i="5" s="1"/>
  <c r="Q7" i="5" s="1"/>
  <c r="Y97" i="5"/>
  <c r="Y99" i="5" s="1"/>
  <c r="Y100" i="5" s="1"/>
  <c r="Y7" i="5" s="1"/>
  <c r="AG97" i="5"/>
  <c r="K108" i="5"/>
  <c r="S108" i="5"/>
  <c r="AA108" i="5"/>
  <c r="AI92" i="5"/>
  <c r="AI101" i="5"/>
  <c r="AH102" i="5"/>
  <c r="AI103" i="5"/>
  <c r="AI104" i="5"/>
  <c r="AH105" i="5"/>
  <c r="AH104" i="5"/>
  <c r="AF97" i="4"/>
  <c r="AF99" i="4" s="1"/>
  <c r="AF100" i="4" s="1"/>
  <c r="AE108" i="4"/>
  <c r="AD97" i="4"/>
  <c r="AD99" i="4" s="1"/>
  <c r="AD100" i="4" s="1"/>
  <c r="AC97" i="4"/>
  <c r="AC99" i="4" s="1"/>
  <c r="AC100" i="4" s="1"/>
  <c r="AC108" i="4"/>
  <c r="AB108" i="4"/>
  <c r="AB97" i="4"/>
  <c r="AB99" i="4" s="1"/>
  <c r="AB100" i="4" s="1"/>
  <c r="L252" i="6" l="1"/>
  <c r="L118" i="6"/>
  <c r="M246" i="6"/>
  <c r="BJ23" i="5"/>
  <c r="BJ24" i="5" s="1"/>
  <c r="BI24" i="5"/>
  <c r="BH24" i="5"/>
  <c r="BG24" i="5"/>
  <c r="AA100" i="5"/>
  <c r="AA7" i="5" s="1"/>
  <c r="U108" i="5"/>
  <c r="R108" i="5"/>
  <c r="O100" i="5"/>
  <c r="O7" i="5" s="1"/>
  <c r="N108" i="5"/>
  <c r="M108" i="5"/>
  <c r="C256" i="5"/>
  <c r="G100" i="5"/>
  <c r="G7" i="5" s="1"/>
  <c r="F108" i="5"/>
  <c r="AQ24" i="5"/>
  <c r="F100" i="5"/>
  <c r="F7" i="5" s="1"/>
  <c r="AO24" i="5"/>
  <c r="AN24" i="5"/>
  <c r="G108" i="5"/>
  <c r="AR23" i="5"/>
  <c r="BI107" i="5"/>
  <c r="BG106" i="5"/>
  <c r="BK104" i="5"/>
  <c r="BI103" i="5"/>
  <c r="BG102" i="5"/>
  <c r="BK100" i="5"/>
  <c r="BI99" i="5"/>
  <c r="BG98" i="5"/>
  <c r="BK96" i="5"/>
  <c r="BI95" i="5"/>
  <c r="BG94" i="5"/>
  <c r="BK92" i="5"/>
  <c r="BI91" i="5"/>
  <c r="BG90" i="5"/>
  <c r="BK88" i="5"/>
  <c r="BI87" i="5"/>
  <c r="BG86" i="5"/>
  <c r="BK84" i="5"/>
  <c r="BH107" i="5"/>
  <c r="BL105" i="5"/>
  <c r="BJ104" i="5"/>
  <c r="BH103" i="5"/>
  <c r="BL101" i="5"/>
  <c r="BJ100" i="5"/>
  <c r="BH99" i="5"/>
  <c r="BL97" i="5"/>
  <c r="BJ96" i="5"/>
  <c r="BH95" i="5"/>
  <c r="BL93" i="5"/>
  <c r="BJ92" i="5"/>
  <c r="BH91" i="5"/>
  <c r="BL89" i="5"/>
  <c r="BJ88" i="5"/>
  <c r="BH87" i="5"/>
  <c r="BL85" i="5"/>
  <c r="BJ84" i="5"/>
  <c r="BG107" i="5"/>
  <c r="BK105" i="5"/>
  <c r="BI104" i="5"/>
  <c r="BG103" i="5"/>
  <c r="BK101" i="5"/>
  <c r="BI100" i="5"/>
  <c r="BG99" i="5"/>
  <c r="BK97" i="5"/>
  <c r="BI96" i="5"/>
  <c r="BG95" i="5"/>
  <c r="BK93" i="5"/>
  <c r="BI92" i="5"/>
  <c r="BG91" i="5"/>
  <c r="BK89" i="5"/>
  <c r="BI88" i="5"/>
  <c r="BG87" i="5"/>
  <c r="BK85" i="5"/>
  <c r="BI84" i="5"/>
  <c r="BK106" i="5"/>
  <c r="BI105" i="5"/>
  <c r="BG104" i="5"/>
  <c r="BK102" i="5"/>
  <c r="BI101" i="5"/>
  <c r="BG100" i="5"/>
  <c r="BK98" i="5"/>
  <c r="BI97" i="5"/>
  <c r="BG96" i="5"/>
  <c r="BK94" i="5"/>
  <c r="BI93" i="5"/>
  <c r="BG92" i="5"/>
  <c r="BK90" i="5"/>
  <c r="BI89" i="5"/>
  <c r="BG88" i="5"/>
  <c r="BK86" i="5"/>
  <c r="BI85" i="5"/>
  <c r="BG84" i="5"/>
  <c r="BL107" i="5"/>
  <c r="BH105" i="5"/>
  <c r="BJ102" i="5"/>
  <c r="BL99" i="5"/>
  <c r="BH97" i="5"/>
  <c r="BJ94" i="5"/>
  <c r="BL91" i="5"/>
  <c r="BH89" i="5"/>
  <c r="BJ86" i="5"/>
  <c r="BK107" i="5"/>
  <c r="BG105" i="5"/>
  <c r="BI102" i="5"/>
  <c r="BK99" i="5"/>
  <c r="BG97" i="5"/>
  <c r="BI94" i="5"/>
  <c r="BK91" i="5"/>
  <c r="BG89" i="5"/>
  <c r="BI86" i="5"/>
  <c r="BJ107" i="5"/>
  <c r="BL104" i="5"/>
  <c r="BH102" i="5"/>
  <c r="BJ99" i="5"/>
  <c r="BL96" i="5"/>
  <c r="BH94" i="5"/>
  <c r="BJ91" i="5"/>
  <c r="BL88" i="5"/>
  <c r="BH86" i="5"/>
  <c r="BI106" i="5"/>
  <c r="BK103" i="5"/>
  <c r="BG101" i="5"/>
  <c r="BI98" i="5"/>
  <c r="BK95" i="5"/>
  <c r="BG93" i="5"/>
  <c r="BI90" i="5"/>
  <c r="BK87" i="5"/>
  <c r="BG85" i="5"/>
  <c r="BH106" i="5"/>
  <c r="BJ103" i="5"/>
  <c r="BL100" i="5"/>
  <c r="BH98" i="5"/>
  <c r="BJ95" i="5"/>
  <c r="BL92" i="5"/>
  <c r="BH90" i="5"/>
  <c r="BJ87" i="5"/>
  <c r="BL84" i="5"/>
  <c r="BJ106" i="5"/>
  <c r="BL98" i="5"/>
  <c r="BH92" i="5"/>
  <c r="BH85" i="5"/>
  <c r="BH93" i="5"/>
  <c r="BJ105" i="5"/>
  <c r="BJ98" i="5"/>
  <c r="BL90" i="5"/>
  <c r="BH84" i="5"/>
  <c r="BH104" i="5"/>
  <c r="BJ97" i="5"/>
  <c r="BJ90" i="5"/>
  <c r="BL94" i="5"/>
  <c r="BL87" i="5"/>
  <c r="BH101" i="5"/>
  <c r="BL86" i="5"/>
  <c r="BL106" i="5"/>
  <c r="BJ85" i="5"/>
  <c r="BL103" i="5"/>
  <c r="BH96" i="5"/>
  <c r="BJ89" i="5"/>
  <c r="BJ93" i="5"/>
  <c r="BL102" i="5"/>
  <c r="BL95" i="5"/>
  <c r="BH88" i="5"/>
  <c r="BH100" i="5"/>
  <c r="BJ101" i="5"/>
  <c r="BB24" i="5"/>
  <c r="V100" i="5"/>
  <c r="V7" i="5" s="1"/>
  <c r="AB108" i="5"/>
  <c r="I246" i="5"/>
  <c r="H118" i="5"/>
  <c r="T100" i="5"/>
  <c r="T7" i="5" s="1"/>
  <c r="L100" i="5"/>
  <c r="L7" i="5" s="1"/>
  <c r="AH107" i="5"/>
  <c r="AM23" i="5"/>
  <c r="AI107" i="5"/>
  <c r="AD108" i="5"/>
  <c r="D7" i="5"/>
  <c r="AI97" i="5"/>
  <c r="AH97" i="5"/>
  <c r="T108" i="5"/>
  <c r="N100" i="5"/>
  <c r="N7" i="5" s="1"/>
  <c r="AB100" i="5"/>
  <c r="AB7" i="5" s="1"/>
  <c r="O108" i="5"/>
  <c r="AW23" i="5"/>
  <c r="AW24" i="5" s="1"/>
  <c r="BD24" i="5"/>
  <c r="G118" i="5"/>
  <c r="V108" i="5"/>
  <c r="AM22" i="5"/>
  <c r="AR24" i="5"/>
  <c r="AV24" i="5"/>
  <c r="G247" i="5"/>
  <c r="F252" i="5"/>
  <c r="B256" i="5"/>
  <c r="N246" i="6" l="1"/>
  <c r="M118" i="6"/>
  <c r="M252" i="6"/>
  <c r="AH108" i="5"/>
  <c r="K6" i="5"/>
  <c r="AI108" i="5"/>
  <c r="H247" i="5"/>
  <c r="G252" i="5"/>
  <c r="I118" i="5"/>
  <c r="J246" i="5"/>
  <c r="AM24" i="5"/>
  <c r="AT9" i="5" s="1"/>
  <c r="AT8" i="5"/>
  <c r="AH99" i="5"/>
  <c r="AI99" i="5"/>
  <c r="O246" i="6" l="1"/>
  <c r="N252" i="6"/>
  <c r="N118" i="6"/>
  <c r="J118" i="5"/>
  <c r="K246" i="5"/>
  <c r="B7" i="5"/>
  <c r="A7" i="5" s="1"/>
  <c r="AI100" i="5"/>
  <c r="AH100" i="5"/>
  <c r="I247" i="5"/>
  <c r="H252" i="5"/>
  <c r="P246" i="6" l="1"/>
  <c r="O252" i="6"/>
  <c r="O118" i="6"/>
  <c r="J247" i="5"/>
  <c r="I252" i="5"/>
  <c r="K118" i="5"/>
  <c r="L246" i="5"/>
  <c r="Q246" i="6" l="1"/>
  <c r="P252" i="6"/>
  <c r="M246" i="5"/>
  <c r="L118" i="5"/>
  <c r="K247" i="5"/>
  <c r="J252" i="5"/>
  <c r="Y57" i="4"/>
  <c r="X57" i="4"/>
  <c r="W57" i="4"/>
  <c r="V57" i="4"/>
  <c r="U57" i="4"/>
  <c r="T57" i="4"/>
  <c r="N57" i="4"/>
  <c r="O57" i="4"/>
  <c r="P57" i="4"/>
  <c r="N58" i="4"/>
  <c r="O58" i="4"/>
  <c r="P58" i="4"/>
  <c r="N62" i="4"/>
  <c r="O62" i="4"/>
  <c r="P62" i="4"/>
  <c r="N76" i="4"/>
  <c r="O76" i="4"/>
  <c r="P76" i="4"/>
  <c r="N80" i="4"/>
  <c r="O80" i="4"/>
  <c r="P80" i="4"/>
  <c r="N92" i="4"/>
  <c r="O92" i="4"/>
  <c r="P92" i="4"/>
  <c r="N101" i="4"/>
  <c r="O101" i="4"/>
  <c r="P101" i="4"/>
  <c r="N102" i="4"/>
  <c r="O102" i="4"/>
  <c r="P102" i="4"/>
  <c r="N103" i="4"/>
  <c r="O103" i="4"/>
  <c r="P103" i="4"/>
  <c r="N104" i="4"/>
  <c r="O104" i="4"/>
  <c r="P104" i="4"/>
  <c r="N105" i="4"/>
  <c r="O105" i="4"/>
  <c r="P105" i="4"/>
  <c r="N118" i="4"/>
  <c r="O118" i="4"/>
  <c r="P118" i="4"/>
  <c r="Q57" i="4"/>
  <c r="R57" i="4"/>
  <c r="Q58" i="4"/>
  <c r="R58" i="4"/>
  <c r="Q62" i="4"/>
  <c r="R62" i="4"/>
  <c r="Q76" i="4"/>
  <c r="R76" i="4"/>
  <c r="Q80" i="4"/>
  <c r="R80" i="4"/>
  <c r="Q92" i="4"/>
  <c r="R92" i="4"/>
  <c r="Q101" i="4"/>
  <c r="R101" i="4"/>
  <c r="Q102" i="4"/>
  <c r="R102" i="4"/>
  <c r="Q103" i="4"/>
  <c r="R103" i="4"/>
  <c r="Q104" i="4"/>
  <c r="R104" i="4"/>
  <c r="Q105" i="4"/>
  <c r="R105" i="4"/>
  <c r="Q118" i="4"/>
  <c r="R118" i="4"/>
  <c r="Q252" i="6" l="1"/>
  <c r="R246" i="6"/>
  <c r="Q118" i="6"/>
  <c r="L247" i="5"/>
  <c r="K252" i="5"/>
  <c r="N246" i="5"/>
  <c r="M118" i="5"/>
  <c r="N107" i="4"/>
  <c r="N108" i="4" s="1"/>
  <c r="Q97" i="4"/>
  <c r="Q99" i="4" s="1"/>
  <c r="Q107" i="4"/>
  <c r="Q108" i="4" s="1"/>
  <c r="P97" i="4"/>
  <c r="P99" i="4" s="1"/>
  <c r="P107" i="4"/>
  <c r="P108" i="4" s="1"/>
  <c r="O107" i="4"/>
  <c r="O108" i="4" s="1"/>
  <c r="O97" i="4"/>
  <c r="O99" i="4" s="1"/>
  <c r="N97" i="4"/>
  <c r="N99" i="4" s="1"/>
  <c r="R97" i="4"/>
  <c r="R99" i="4" s="1"/>
  <c r="R107" i="4"/>
  <c r="R108" i="4" s="1"/>
  <c r="R252" i="6" l="1"/>
  <c r="R118" i="6"/>
  <c r="S246" i="6"/>
  <c r="O246" i="5"/>
  <c r="N118" i="5"/>
  <c r="M247" i="5"/>
  <c r="L252" i="5"/>
  <c r="N100" i="4"/>
  <c r="Q100" i="4"/>
  <c r="P100" i="4"/>
  <c r="O100" i="4"/>
  <c r="R100" i="4"/>
  <c r="M57" i="4"/>
  <c r="L57" i="4"/>
  <c r="K57" i="4"/>
  <c r="J121" i="4"/>
  <c r="J57" i="4"/>
  <c r="I121" i="4"/>
  <c r="I57" i="4"/>
  <c r="H121" i="4"/>
  <c r="H57" i="4"/>
  <c r="G121" i="4"/>
  <c r="G57" i="4"/>
  <c r="F121" i="4"/>
  <c r="F57" i="4"/>
  <c r="E121" i="4"/>
  <c r="E57" i="4"/>
  <c r="D121" i="4"/>
  <c r="D57" i="4"/>
  <c r="D58" i="4"/>
  <c r="AO16" i="4" s="1"/>
  <c r="D62" i="4"/>
  <c r="D76" i="4"/>
  <c r="AO18" i="4" s="1"/>
  <c r="D80" i="4"/>
  <c r="AH125" i="4"/>
  <c r="AI125" i="4"/>
  <c r="AH124" i="4"/>
  <c r="AI124" i="4"/>
  <c r="C121" i="4"/>
  <c r="C118" i="4" s="1"/>
  <c r="C57" i="4"/>
  <c r="C58" i="4"/>
  <c r="C62" i="4"/>
  <c r="AN17" i="4" s="1"/>
  <c r="C76" i="4"/>
  <c r="C80" i="4"/>
  <c r="B121" i="4"/>
  <c r="B57" i="4"/>
  <c r="B105" i="4"/>
  <c r="B104" i="4"/>
  <c r="B103" i="4"/>
  <c r="B102" i="4"/>
  <c r="B101" i="4"/>
  <c r="B92" i="4"/>
  <c r="AM19" i="4" s="1"/>
  <c r="B80" i="4"/>
  <c r="B76" i="4"/>
  <c r="B62" i="4"/>
  <c r="AM17" i="4" s="1"/>
  <c r="B58" i="4"/>
  <c r="AM16" i="4" s="1"/>
  <c r="AG252" i="4"/>
  <c r="C252" i="4"/>
  <c r="T251" i="4"/>
  <c r="U251" i="4" s="1"/>
  <c r="V251" i="4" s="1"/>
  <c r="W251" i="4" s="1"/>
  <c r="X251" i="4" s="1"/>
  <c r="Y251" i="4" s="1"/>
  <c r="Z251" i="4" s="1"/>
  <c r="AA251" i="4" s="1"/>
  <c r="AB251" i="4" s="1"/>
  <c r="AC251" i="4" s="1"/>
  <c r="AD251" i="4" s="1"/>
  <c r="AE251" i="4" s="1"/>
  <c r="AF251" i="4" s="1"/>
  <c r="B251" i="4" s="1"/>
  <c r="L251" i="4"/>
  <c r="M251" i="4" s="1"/>
  <c r="N251" i="4" s="1"/>
  <c r="O251" i="4" s="1"/>
  <c r="P251" i="4" s="1"/>
  <c r="Q251" i="4" s="1"/>
  <c r="R251" i="4" s="1"/>
  <c r="S251" i="4" s="1"/>
  <c r="D251" i="4"/>
  <c r="E251" i="4" s="1"/>
  <c r="F251" i="4" s="1"/>
  <c r="G251" i="4" s="1"/>
  <c r="H251" i="4" s="1"/>
  <c r="I251" i="4" s="1"/>
  <c r="J251" i="4" s="1"/>
  <c r="K251" i="4" s="1"/>
  <c r="E250" i="4"/>
  <c r="F250" i="4" s="1"/>
  <c r="G250" i="4" s="1"/>
  <c r="H250" i="4" s="1"/>
  <c r="I250" i="4" s="1"/>
  <c r="J250" i="4" s="1"/>
  <c r="K250" i="4" s="1"/>
  <c r="L250" i="4" s="1"/>
  <c r="M250" i="4" s="1"/>
  <c r="N250" i="4" s="1"/>
  <c r="O250" i="4" s="1"/>
  <c r="P250" i="4" s="1"/>
  <c r="Q250" i="4" s="1"/>
  <c r="R250" i="4" s="1"/>
  <c r="S250" i="4" s="1"/>
  <c r="T250" i="4" s="1"/>
  <c r="U250" i="4" s="1"/>
  <c r="V250" i="4" s="1"/>
  <c r="W250" i="4" s="1"/>
  <c r="X250" i="4" s="1"/>
  <c r="Y250" i="4" s="1"/>
  <c r="Z250" i="4" s="1"/>
  <c r="AA250" i="4" s="1"/>
  <c r="AB250" i="4" s="1"/>
  <c r="AC250" i="4" s="1"/>
  <c r="AD250" i="4" s="1"/>
  <c r="AE250" i="4" s="1"/>
  <c r="AF250" i="4" s="1"/>
  <c r="B250" i="4" s="1"/>
  <c r="D250" i="4"/>
  <c r="D249" i="4"/>
  <c r="E249" i="4" s="1"/>
  <c r="F249" i="4" s="1"/>
  <c r="G249" i="4" s="1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X249" i="4" s="1"/>
  <c r="Y249" i="4" s="1"/>
  <c r="Z249" i="4" s="1"/>
  <c r="AA249" i="4" s="1"/>
  <c r="AB249" i="4" s="1"/>
  <c r="AC249" i="4" s="1"/>
  <c r="AD249" i="4" s="1"/>
  <c r="AE249" i="4" s="1"/>
  <c r="AF249" i="4" s="1"/>
  <c r="B249" i="4" s="1"/>
  <c r="E248" i="4"/>
  <c r="F248" i="4" s="1"/>
  <c r="G248" i="4" s="1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S248" i="4" s="1"/>
  <c r="T248" i="4" s="1"/>
  <c r="U248" i="4" s="1"/>
  <c r="V248" i="4" s="1"/>
  <c r="W248" i="4" s="1"/>
  <c r="X248" i="4" s="1"/>
  <c r="Y248" i="4" s="1"/>
  <c r="Z248" i="4" s="1"/>
  <c r="AA248" i="4" s="1"/>
  <c r="AB248" i="4" s="1"/>
  <c r="AC248" i="4" s="1"/>
  <c r="AD248" i="4" s="1"/>
  <c r="AE248" i="4" s="1"/>
  <c r="AF248" i="4" s="1"/>
  <c r="B248" i="4" s="1"/>
  <c r="D248" i="4"/>
  <c r="D247" i="4"/>
  <c r="D246" i="4"/>
  <c r="D118" i="4" s="1"/>
  <c r="AG244" i="4"/>
  <c r="AF244" i="4"/>
  <c r="AE244" i="4"/>
  <c r="AD244" i="4"/>
  <c r="AC244" i="4"/>
  <c r="AB244" i="4"/>
  <c r="AA244" i="4"/>
  <c r="Z244" i="4"/>
  <c r="Z118" i="4" s="1"/>
  <c r="Y244" i="4"/>
  <c r="Y118" i="4" s="1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I130" i="4"/>
  <c r="AH130" i="4"/>
  <c r="AI129" i="4"/>
  <c r="AH129" i="4"/>
  <c r="AI128" i="4"/>
  <c r="AH128" i="4"/>
  <c r="AI127" i="4"/>
  <c r="AH127" i="4"/>
  <c r="AI126" i="4"/>
  <c r="AH126" i="4"/>
  <c r="AI123" i="4"/>
  <c r="AH123" i="4"/>
  <c r="AI122" i="4"/>
  <c r="AH122" i="4"/>
  <c r="AI120" i="4"/>
  <c r="AH120" i="4"/>
  <c r="AI119" i="4"/>
  <c r="AH119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6" i="4"/>
  <c r="AH106" i="4"/>
  <c r="AA105" i="4"/>
  <c r="Z105" i="4"/>
  <c r="Y105" i="4"/>
  <c r="X105" i="4"/>
  <c r="W105" i="4"/>
  <c r="V105" i="4"/>
  <c r="U105" i="4"/>
  <c r="T105" i="4"/>
  <c r="S105" i="4"/>
  <c r="M105" i="4"/>
  <c r="L105" i="4"/>
  <c r="K105" i="4"/>
  <c r="J105" i="4"/>
  <c r="I105" i="4"/>
  <c r="H105" i="4"/>
  <c r="G105" i="4"/>
  <c r="F105" i="4"/>
  <c r="E105" i="4"/>
  <c r="D105" i="4"/>
  <c r="C105" i="4"/>
  <c r="AA104" i="4"/>
  <c r="Z104" i="4"/>
  <c r="Y104" i="4"/>
  <c r="X104" i="4"/>
  <c r="W104" i="4"/>
  <c r="V104" i="4"/>
  <c r="U104" i="4"/>
  <c r="T104" i="4"/>
  <c r="S104" i="4"/>
  <c r="M104" i="4"/>
  <c r="L104" i="4"/>
  <c r="K104" i="4"/>
  <c r="J104" i="4"/>
  <c r="I104" i="4"/>
  <c r="H104" i="4"/>
  <c r="G104" i="4"/>
  <c r="F104" i="4"/>
  <c r="E104" i="4"/>
  <c r="D104" i="4"/>
  <c r="C104" i="4"/>
  <c r="AA103" i="4"/>
  <c r="Z103" i="4"/>
  <c r="Y103" i="4"/>
  <c r="X103" i="4"/>
  <c r="W103" i="4"/>
  <c r="V103" i="4"/>
  <c r="U103" i="4"/>
  <c r="T103" i="4"/>
  <c r="S103" i="4"/>
  <c r="M103" i="4"/>
  <c r="L103" i="4"/>
  <c r="K103" i="4"/>
  <c r="J103" i="4"/>
  <c r="I103" i="4"/>
  <c r="H103" i="4"/>
  <c r="G103" i="4"/>
  <c r="F103" i="4"/>
  <c r="E103" i="4"/>
  <c r="D103" i="4"/>
  <c r="C103" i="4"/>
  <c r="AA102" i="4"/>
  <c r="Z102" i="4"/>
  <c r="Y102" i="4"/>
  <c r="X102" i="4"/>
  <c r="W102" i="4"/>
  <c r="V102" i="4"/>
  <c r="U102" i="4"/>
  <c r="T102" i="4"/>
  <c r="S102" i="4"/>
  <c r="M102" i="4"/>
  <c r="L102" i="4"/>
  <c r="K102" i="4"/>
  <c r="J102" i="4"/>
  <c r="I102" i="4"/>
  <c r="H102" i="4"/>
  <c r="G102" i="4"/>
  <c r="F102" i="4"/>
  <c r="E102" i="4"/>
  <c r="D102" i="4"/>
  <c r="C102" i="4"/>
  <c r="BH23" i="4"/>
  <c r="AA101" i="4"/>
  <c r="Z101" i="4"/>
  <c r="Y101" i="4"/>
  <c r="X101" i="4"/>
  <c r="W101" i="4"/>
  <c r="V101" i="4"/>
  <c r="U101" i="4"/>
  <c r="T101" i="4"/>
  <c r="S101" i="4"/>
  <c r="AX23" i="4"/>
  <c r="AV23" i="4"/>
  <c r="M101" i="4"/>
  <c r="L101" i="4"/>
  <c r="K101" i="4"/>
  <c r="J101" i="4"/>
  <c r="I101" i="4"/>
  <c r="H101" i="4"/>
  <c r="G101" i="4"/>
  <c r="F101" i="4"/>
  <c r="E101" i="4"/>
  <c r="D101" i="4"/>
  <c r="C101" i="4"/>
  <c r="AI98" i="4"/>
  <c r="AH98" i="4"/>
  <c r="AI96" i="4"/>
  <c r="AH96" i="4"/>
  <c r="AG96" i="4"/>
  <c r="AI95" i="4"/>
  <c r="AH95" i="4"/>
  <c r="AI94" i="4"/>
  <c r="AH94" i="4"/>
  <c r="AI93" i="4"/>
  <c r="AH93" i="4"/>
  <c r="AG92" i="4"/>
  <c r="BJ19" i="4"/>
  <c r="AA92" i="4"/>
  <c r="Z92" i="4"/>
  <c r="Y92" i="4"/>
  <c r="X5" i="4" s="1"/>
  <c r="X92" i="4"/>
  <c r="BE19" i="4" s="1"/>
  <c r="W92" i="4"/>
  <c r="V92" i="4"/>
  <c r="U5" i="4" s="1"/>
  <c r="U92" i="4"/>
  <c r="T5" i="4" s="1"/>
  <c r="T92" i="4"/>
  <c r="S5" i="4" s="1"/>
  <c r="S92" i="4"/>
  <c r="R5" i="4" s="1"/>
  <c r="AX19" i="4"/>
  <c r="M92" i="4"/>
  <c r="AU19" i="4" s="1"/>
  <c r="L92" i="4"/>
  <c r="K92" i="4"/>
  <c r="AT19" i="4" s="1"/>
  <c r="J92" i="4"/>
  <c r="I92" i="4"/>
  <c r="AS19" i="4" s="1"/>
  <c r="H92" i="4"/>
  <c r="G5" i="4" s="1"/>
  <c r="G92" i="4"/>
  <c r="AR19" i="4" s="1"/>
  <c r="F92" i="4"/>
  <c r="E5" i="4" s="1"/>
  <c r="E92" i="4"/>
  <c r="AP19" i="4" s="1"/>
  <c r="D92" i="4"/>
  <c r="C5" i="4" s="1"/>
  <c r="C92" i="4"/>
  <c r="AN19" i="4" s="1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G80" i="4"/>
  <c r="BJ20" i="4"/>
  <c r="AA80" i="4"/>
  <c r="Z80" i="4"/>
  <c r="Y80" i="4"/>
  <c r="X80" i="4"/>
  <c r="W80" i="4"/>
  <c r="V80" i="4"/>
  <c r="BD20" i="4" s="1"/>
  <c r="U80" i="4"/>
  <c r="BC20" i="4" s="1"/>
  <c r="T80" i="4"/>
  <c r="BB20" i="4" s="1"/>
  <c r="S80" i="4"/>
  <c r="BA20" i="4" s="1"/>
  <c r="AX20" i="4"/>
  <c r="M80" i="4"/>
  <c r="L80" i="4"/>
  <c r="K80" i="4"/>
  <c r="AT20" i="4" s="1"/>
  <c r="J80" i="4"/>
  <c r="I80" i="4"/>
  <c r="AS20" i="4" s="1"/>
  <c r="H80" i="4"/>
  <c r="G80" i="4"/>
  <c r="F80" i="4"/>
  <c r="E80" i="4"/>
  <c r="BD79" i="4"/>
  <c r="AI79" i="4"/>
  <c r="AH79" i="4"/>
  <c r="AI78" i="4"/>
  <c r="AH78" i="4"/>
  <c r="AI77" i="4"/>
  <c r="AH77" i="4"/>
  <c r="AG76" i="4"/>
  <c r="BJ18" i="4"/>
  <c r="BH18" i="4"/>
  <c r="BG18" i="4"/>
  <c r="AA76" i="4"/>
  <c r="Z76" i="4"/>
  <c r="Y76" i="4"/>
  <c r="X76" i="4"/>
  <c r="W76" i="4"/>
  <c r="V76" i="4"/>
  <c r="BD18" i="4" s="1"/>
  <c r="U76" i="4"/>
  <c r="BC18" i="4" s="1"/>
  <c r="T76" i="4"/>
  <c r="BB18" i="4" s="1"/>
  <c r="S76" i="4"/>
  <c r="AY18" i="4"/>
  <c r="AX18" i="4"/>
  <c r="AV18" i="4"/>
  <c r="M76" i="4"/>
  <c r="AU18" i="4" s="1"/>
  <c r="L76" i="4"/>
  <c r="K76" i="4"/>
  <c r="AT18" i="4" s="1"/>
  <c r="J76" i="4"/>
  <c r="I76" i="4"/>
  <c r="AS18" i="4" s="1"/>
  <c r="H76" i="4"/>
  <c r="G76" i="4"/>
  <c r="F76" i="4"/>
  <c r="AQ18" i="4" s="1"/>
  <c r="E76" i="4"/>
  <c r="AP18" i="4" s="1"/>
  <c r="BS75" i="4"/>
  <c r="AI75" i="4"/>
  <c r="AH75" i="4"/>
  <c r="AG75" i="4"/>
  <c r="AI74" i="4"/>
  <c r="AH74" i="4"/>
  <c r="BW73" i="4"/>
  <c r="BW80" i="4" s="1"/>
  <c r="BV73" i="4"/>
  <c r="BV80" i="4" s="1"/>
  <c r="BU73" i="4"/>
  <c r="BU80" i="4" s="1"/>
  <c r="BT73" i="4"/>
  <c r="BT80" i="4" s="1"/>
  <c r="BS73" i="4"/>
  <c r="BS80" i="4" s="1"/>
  <c r="BR73" i="4"/>
  <c r="BR80" i="4" s="1"/>
  <c r="BQ73" i="4"/>
  <c r="BQ80" i="4" s="1"/>
  <c r="BP73" i="4"/>
  <c r="BP80" i="4" s="1"/>
  <c r="BO73" i="4"/>
  <c r="BO80" i="4" s="1"/>
  <c r="BN73" i="4"/>
  <c r="BN80" i="4" s="1"/>
  <c r="BM73" i="4"/>
  <c r="BM80" i="4" s="1"/>
  <c r="BL73" i="4"/>
  <c r="BL80" i="4" s="1"/>
  <c r="BK73" i="4"/>
  <c r="BK80" i="4" s="1"/>
  <c r="BJ73" i="4"/>
  <c r="BJ80" i="4" s="1"/>
  <c r="BI73" i="4"/>
  <c r="BI80" i="4" s="1"/>
  <c r="BH73" i="4"/>
  <c r="BH80" i="4" s="1"/>
  <c r="BG73" i="4"/>
  <c r="BG80" i="4" s="1"/>
  <c r="BF73" i="4"/>
  <c r="BF80" i="4" s="1"/>
  <c r="BE73" i="4"/>
  <c r="BE80" i="4" s="1"/>
  <c r="BD73" i="4"/>
  <c r="BD80" i="4" s="1"/>
  <c r="BC73" i="4"/>
  <c r="BC80" i="4" s="1"/>
  <c r="BB73" i="4"/>
  <c r="BB80" i="4" s="1"/>
  <c r="BA73" i="4"/>
  <c r="BA80" i="4" s="1"/>
  <c r="AZ73" i="4"/>
  <c r="AZ80" i="4" s="1"/>
  <c r="AI73" i="4"/>
  <c r="AH73" i="4"/>
  <c r="BW72" i="4"/>
  <c r="BW79" i="4" s="1"/>
  <c r="BV72" i="4"/>
  <c r="BV79" i="4" s="1"/>
  <c r="BU72" i="4"/>
  <c r="BU79" i="4" s="1"/>
  <c r="BT72" i="4"/>
  <c r="BT79" i="4" s="1"/>
  <c r="BS72" i="4"/>
  <c r="BS79" i="4" s="1"/>
  <c r="BR72" i="4"/>
  <c r="BR79" i="4" s="1"/>
  <c r="BQ72" i="4"/>
  <c r="BQ79" i="4" s="1"/>
  <c r="BP72" i="4"/>
  <c r="BP79" i="4" s="1"/>
  <c r="BO72" i="4"/>
  <c r="BO79" i="4" s="1"/>
  <c r="BN72" i="4"/>
  <c r="BN79" i="4" s="1"/>
  <c r="BM72" i="4"/>
  <c r="BM79" i="4" s="1"/>
  <c r="BL72" i="4"/>
  <c r="BL79" i="4" s="1"/>
  <c r="BK72" i="4"/>
  <c r="BK79" i="4" s="1"/>
  <c r="BJ72" i="4"/>
  <c r="BJ79" i="4" s="1"/>
  <c r="BI72" i="4"/>
  <c r="BI79" i="4" s="1"/>
  <c r="BH72" i="4"/>
  <c r="BH79" i="4" s="1"/>
  <c r="BG72" i="4"/>
  <c r="BG79" i="4" s="1"/>
  <c r="BF72" i="4"/>
  <c r="BF79" i="4" s="1"/>
  <c r="BE72" i="4"/>
  <c r="BE79" i="4" s="1"/>
  <c r="BD72" i="4"/>
  <c r="BC72" i="4"/>
  <c r="BC79" i="4" s="1"/>
  <c r="BB72" i="4"/>
  <c r="BB79" i="4" s="1"/>
  <c r="BA72" i="4"/>
  <c r="BA79" i="4" s="1"/>
  <c r="AZ72" i="4"/>
  <c r="AZ79" i="4" s="1"/>
  <c r="AI72" i="4"/>
  <c r="AH72" i="4"/>
  <c r="BW71" i="4"/>
  <c r="BW78" i="4" s="1"/>
  <c r="BV71" i="4"/>
  <c r="BV78" i="4" s="1"/>
  <c r="BU71" i="4"/>
  <c r="BU78" i="4" s="1"/>
  <c r="BT71" i="4"/>
  <c r="BT78" i="4" s="1"/>
  <c r="BS71" i="4"/>
  <c r="BS78" i="4" s="1"/>
  <c r="BR71" i="4"/>
  <c r="BR78" i="4" s="1"/>
  <c r="BQ71" i="4"/>
  <c r="BQ78" i="4" s="1"/>
  <c r="BP71" i="4"/>
  <c r="BP78" i="4" s="1"/>
  <c r="BO71" i="4"/>
  <c r="BO78" i="4" s="1"/>
  <c r="BN71" i="4"/>
  <c r="BN78" i="4" s="1"/>
  <c r="BM71" i="4"/>
  <c r="BM78" i="4" s="1"/>
  <c r="BL71" i="4"/>
  <c r="BL78" i="4" s="1"/>
  <c r="BK71" i="4"/>
  <c r="BK78" i="4" s="1"/>
  <c r="BJ71" i="4"/>
  <c r="BJ78" i="4" s="1"/>
  <c r="BI71" i="4"/>
  <c r="BI78" i="4" s="1"/>
  <c r="BH71" i="4"/>
  <c r="BH78" i="4" s="1"/>
  <c r="BG71" i="4"/>
  <c r="BG78" i="4" s="1"/>
  <c r="BF71" i="4"/>
  <c r="BF78" i="4" s="1"/>
  <c r="BE71" i="4"/>
  <c r="BE78" i="4" s="1"/>
  <c r="BD71" i="4"/>
  <c r="BD78" i="4" s="1"/>
  <c r="BC71" i="4"/>
  <c r="BC78" i="4" s="1"/>
  <c r="BB71" i="4"/>
  <c r="BB78" i="4" s="1"/>
  <c r="BA71" i="4"/>
  <c r="BA78" i="4" s="1"/>
  <c r="AZ71" i="4"/>
  <c r="AZ78" i="4" s="1"/>
  <c r="AI71" i="4"/>
  <c r="AH71" i="4"/>
  <c r="BW70" i="4"/>
  <c r="BW77" i="4" s="1"/>
  <c r="BV70" i="4"/>
  <c r="BV77" i="4" s="1"/>
  <c r="BU70" i="4"/>
  <c r="BU77" i="4" s="1"/>
  <c r="BT70" i="4"/>
  <c r="BT77" i="4" s="1"/>
  <c r="BS70" i="4"/>
  <c r="BS77" i="4" s="1"/>
  <c r="BR70" i="4"/>
  <c r="BR77" i="4" s="1"/>
  <c r="BQ70" i="4"/>
  <c r="BQ77" i="4" s="1"/>
  <c r="BP70" i="4"/>
  <c r="BP77" i="4" s="1"/>
  <c r="BO70" i="4"/>
  <c r="BO77" i="4" s="1"/>
  <c r="BN70" i="4"/>
  <c r="BN77" i="4" s="1"/>
  <c r="BM70" i="4"/>
  <c r="BM77" i="4" s="1"/>
  <c r="BL70" i="4"/>
  <c r="BL77" i="4" s="1"/>
  <c r="BK70" i="4"/>
  <c r="BK77" i="4" s="1"/>
  <c r="BJ70" i="4"/>
  <c r="BJ77" i="4" s="1"/>
  <c r="BI70" i="4"/>
  <c r="BI77" i="4" s="1"/>
  <c r="BH70" i="4"/>
  <c r="BH77" i="4" s="1"/>
  <c r="BG70" i="4"/>
  <c r="BG77" i="4" s="1"/>
  <c r="BF70" i="4"/>
  <c r="BF77" i="4" s="1"/>
  <c r="BE70" i="4"/>
  <c r="BE77" i="4" s="1"/>
  <c r="BD70" i="4"/>
  <c r="BD77" i="4" s="1"/>
  <c r="BC70" i="4"/>
  <c r="BC77" i="4" s="1"/>
  <c r="BB70" i="4"/>
  <c r="BB77" i="4" s="1"/>
  <c r="BA70" i="4"/>
  <c r="BA77" i="4" s="1"/>
  <c r="AZ70" i="4"/>
  <c r="AZ77" i="4" s="1"/>
  <c r="AI70" i="4"/>
  <c r="AH70" i="4"/>
  <c r="BW69" i="4"/>
  <c r="BW76" i="4" s="1"/>
  <c r="BV69" i="4"/>
  <c r="BV76" i="4" s="1"/>
  <c r="BU69" i="4"/>
  <c r="BU76" i="4" s="1"/>
  <c r="BT69" i="4"/>
  <c r="BT76" i="4" s="1"/>
  <c r="BS69" i="4"/>
  <c r="BS76" i="4" s="1"/>
  <c r="BR69" i="4"/>
  <c r="BR76" i="4" s="1"/>
  <c r="BQ69" i="4"/>
  <c r="BQ76" i="4" s="1"/>
  <c r="BP69" i="4"/>
  <c r="BP76" i="4" s="1"/>
  <c r="BO69" i="4"/>
  <c r="BO76" i="4" s="1"/>
  <c r="BN69" i="4"/>
  <c r="BN76" i="4" s="1"/>
  <c r="BM69" i="4"/>
  <c r="BM76" i="4" s="1"/>
  <c r="BL69" i="4"/>
  <c r="BL76" i="4" s="1"/>
  <c r="BK69" i="4"/>
  <c r="BK76" i="4" s="1"/>
  <c r="BJ69" i="4"/>
  <c r="BJ76" i="4" s="1"/>
  <c r="BI69" i="4"/>
  <c r="BI76" i="4" s="1"/>
  <c r="BH69" i="4"/>
  <c r="BH76" i="4" s="1"/>
  <c r="BG69" i="4"/>
  <c r="BG76" i="4" s="1"/>
  <c r="BF69" i="4"/>
  <c r="BF76" i="4" s="1"/>
  <c r="BE69" i="4"/>
  <c r="BE76" i="4" s="1"/>
  <c r="BD69" i="4"/>
  <c r="BD76" i="4" s="1"/>
  <c r="BC69" i="4"/>
  <c r="BC76" i="4" s="1"/>
  <c r="BB69" i="4"/>
  <c r="BB76" i="4" s="1"/>
  <c r="BA69" i="4"/>
  <c r="BA76" i="4" s="1"/>
  <c r="AZ69" i="4"/>
  <c r="AZ76" i="4" s="1"/>
  <c r="AI69" i="4"/>
  <c r="AH69" i="4"/>
  <c r="BW68" i="4"/>
  <c r="BW75" i="4" s="1"/>
  <c r="BV68" i="4"/>
  <c r="BV75" i="4" s="1"/>
  <c r="BU68" i="4"/>
  <c r="BU75" i="4" s="1"/>
  <c r="BT68" i="4"/>
  <c r="BT75" i="4" s="1"/>
  <c r="BS68" i="4"/>
  <c r="BR68" i="4"/>
  <c r="BR75" i="4" s="1"/>
  <c r="BQ68" i="4"/>
  <c r="BQ75" i="4" s="1"/>
  <c r="BP68" i="4"/>
  <c r="BP75" i="4" s="1"/>
  <c r="BO68" i="4"/>
  <c r="BO75" i="4" s="1"/>
  <c r="BN68" i="4"/>
  <c r="BN75" i="4" s="1"/>
  <c r="BM68" i="4"/>
  <c r="BM75" i="4" s="1"/>
  <c r="BL68" i="4"/>
  <c r="BL75" i="4" s="1"/>
  <c r="BK68" i="4"/>
  <c r="BK75" i="4" s="1"/>
  <c r="BJ68" i="4"/>
  <c r="BJ75" i="4" s="1"/>
  <c r="BI68" i="4"/>
  <c r="BI75" i="4" s="1"/>
  <c r="BH68" i="4"/>
  <c r="BH75" i="4" s="1"/>
  <c r="BG68" i="4"/>
  <c r="BG75" i="4" s="1"/>
  <c r="BF68" i="4"/>
  <c r="BF75" i="4" s="1"/>
  <c r="BE68" i="4"/>
  <c r="BE75" i="4" s="1"/>
  <c r="BD68" i="4"/>
  <c r="BD75" i="4" s="1"/>
  <c r="BC68" i="4"/>
  <c r="BC75" i="4" s="1"/>
  <c r="BB68" i="4"/>
  <c r="BB75" i="4" s="1"/>
  <c r="BA68" i="4"/>
  <c r="BA75" i="4" s="1"/>
  <c r="AZ68" i="4"/>
  <c r="AZ75" i="4" s="1"/>
  <c r="AI68" i="4"/>
  <c r="AH68" i="4"/>
  <c r="AI67" i="4"/>
  <c r="AH67" i="4"/>
  <c r="AI66" i="4"/>
  <c r="AH66" i="4"/>
  <c r="AI65" i="4"/>
  <c r="AH65" i="4"/>
  <c r="AI64" i="4"/>
  <c r="AH64" i="4"/>
  <c r="AI63" i="4"/>
  <c r="AH63" i="4"/>
  <c r="AG62" i="4"/>
  <c r="BJ17" i="4"/>
  <c r="BH17" i="4"/>
  <c r="AA62" i="4"/>
  <c r="Z62" i="4"/>
  <c r="BF17" i="4" s="1"/>
  <c r="Y62" i="4"/>
  <c r="X62" i="4"/>
  <c r="BE17" i="4" s="1"/>
  <c r="W62" i="4"/>
  <c r="V62" i="4"/>
  <c r="BD17" i="4" s="1"/>
  <c r="U62" i="4"/>
  <c r="T62" i="4"/>
  <c r="BB17" i="4" s="1"/>
  <c r="S62" i="4"/>
  <c r="BA17" i="4" s="1"/>
  <c r="AZ17" i="4"/>
  <c r="AX17" i="4"/>
  <c r="AV17" i="4"/>
  <c r="M62" i="4"/>
  <c r="L62" i="4"/>
  <c r="K62" i="4"/>
  <c r="J62" i="4"/>
  <c r="I62" i="4"/>
  <c r="AS17" i="4" s="1"/>
  <c r="H62" i="4"/>
  <c r="G62" i="4"/>
  <c r="F62" i="4"/>
  <c r="AQ17" i="4" s="1"/>
  <c r="E62" i="4"/>
  <c r="AI61" i="4"/>
  <c r="AH61" i="4"/>
  <c r="AI60" i="4"/>
  <c r="AH60" i="4"/>
  <c r="AI59" i="4"/>
  <c r="AH59" i="4"/>
  <c r="AG58" i="4"/>
  <c r="AA58" i="4"/>
  <c r="Z58" i="4"/>
  <c r="BF16" i="4" s="1"/>
  <c r="Y58" i="4"/>
  <c r="X58" i="4"/>
  <c r="W58" i="4"/>
  <c r="V58" i="4"/>
  <c r="BD16" i="4" s="1"/>
  <c r="U58" i="4"/>
  <c r="BC16" i="4" s="1"/>
  <c r="T58" i="4"/>
  <c r="S58" i="4"/>
  <c r="M58" i="4"/>
  <c r="AU16" i="4" s="1"/>
  <c r="L58" i="4"/>
  <c r="K58" i="4"/>
  <c r="AT16" i="4" s="1"/>
  <c r="J58" i="4"/>
  <c r="I58" i="4"/>
  <c r="H58" i="4"/>
  <c r="G58" i="4"/>
  <c r="F58" i="4"/>
  <c r="AQ16" i="4" s="1"/>
  <c r="E58" i="4"/>
  <c r="AP16" i="4" s="1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I21" i="4"/>
  <c r="AH21" i="4"/>
  <c r="BI20" i="4"/>
  <c r="BH20" i="4"/>
  <c r="BG20" i="4"/>
  <c r="BF20" i="4"/>
  <c r="BE20" i="4"/>
  <c r="AZ20" i="4"/>
  <c r="AY20" i="4"/>
  <c r="AW20" i="4"/>
  <c r="AV20" i="4"/>
  <c r="AU20" i="4"/>
  <c r="AQ20" i="4"/>
  <c r="AP20" i="4"/>
  <c r="AO20" i="4"/>
  <c r="AN20" i="4"/>
  <c r="AM20" i="4"/>
  <c r="AI20" i="4"/>
  <c r="AH20" i="4"/>
  <c r="BI19" i="4"/>
  <c r="BH19" i="4"/>
  <c r="BG19" i="4"/>
  <c r="BF19" i="4"/>
  <c r="AZ19" i="4"/>
  <c r="AY19" i="4"/>
  <c r="AW19" i="4"/>
  <c r="AV19" i="4"/>
  <c r="AI19" i="4"/>
  <c r="AH19" i="4"/>
  <c r="BI18" i="4"/>
  <c r="BF18" i="4"/>
  <c r="BE18" i="4"/>
  <c r="BA18" i="4"/>
  <c r="AZ18" i="4"/>
  <c r="AW18" i="4"/>
  <c r="AR18" i="4"/>
  <c r="AM18" i="4"/>
  <c r="AI18" i="4"/>
  <c r="AH18" i="4"/>
  <c r="BI17" i="4"/>
  <c r="BG17" i="4"/>
  <c r="BC17" i="4"/>
  <c r="AY17" i="4"/>
  <c r="AW17" i="4"/>
  <c r="AU17" i="4"/>
  <c r="AT17" i="4"/>
  <c r="AR17" i="4"/>
  <c r="AP17" i="4"/>
  <c r="AO17" i="4"/>
  <c r="AI17" i="4"/>
  <c r="AH17" i="4"/>
  <c r="BI16" i="4"/>
  <c r="BH16" i="4"/>
  <c r="BG16" i="4"/>
  <c r="BE16" i="4"/>
  <c r="AZ16" i="4"/>
  <c r="AW16" i="4"/>
  <c r="AV16" i="4"/>
  <c r="AS16" i="4"/>
  <c r="AR16" i="4"/>
  <c r="AN16" i="4"/>
  <c r="AI16" i="4"/>
  <c r="AH16" i="4"/>
  <c r="AI15" i="4"/>
  <c r="AH15" i="4"/>
  <c r="AI14" i="4"/>
  <c r="AH14" i="4"/>
  <c r="AI13" i="4"/>
  <c r="AH13" i="4"/>
  <c r="AL12" i="4"/>
  <c r="AI12" i="4"/>
  <c r="AH12" i="4"/>
  <c r="AI11" i="4"/>
  <c r="AH11" i="4"/>
  <c r="AE5" i="4"/>
  <c r="AD5" i="4"/>
  <c r="AC5" i="4"/>
  <c r="AB5" i="4"/>
  <c r="AA5" i="4"/>
  <c r="Z5" i="4"/>
  <c r="Y5" i="4"/>
  <c r="W5" i="4"/>
  <c r="V5" i="4"/>
  <c r="Q5" i="4"/>
  <c r="P5" i="4"/>
  <c r="O5" i="4"/>
  <c r="N5" i="4"/>
  <c r="M5" i="4"/>
  <c r="K5" i="4"/>
  <c r="F5" i="4"/>
  <c r="AG4" i="4"/>
  <c r="K4" i="4"/>
  <c r="E4" i="4"/>
  <c r="H4" i="4" s="1"/>
  <c r="B4" i="4"/>
  <c r="D258" i="4" s="1"/>
  <c r="AG3" i="4"/>
  <c r="AG2" i="4"/>
  <c r="AF57" i="3"/>
  <c r="AF121" i="3"/>
  <c r="AF58" i="3"/>
  <c r="AF62" i="3"/>
  <c r="AE121" i="3"/>
  <c r="AE80" i="3"/>
  <c r="AE57" i="3"/>
  <c r="AE58" i="3"/>
  <c r="AE62" i="3"/>
  <c r="AD57" i="3"/>
  <c r="AC121" i="3"/>
  <c r="AC57" i="3"/>
  <c r="AB57" i="3"/>
  <c r="S252" i="6" l="1"/>
  <c r="S118" i="6"/>
  <c r="T246" i="6"/>
  <c r="N247" i="5"/>
  <c r="M252" i="5"/>
  <c r="P246" i="5"/>
  <c r="O118" i="5"/>
  <c r="BI22" i="4"/>
  <c r="AA97" i="4"/>
  <c r="AA99" i="4" s="1"/>
  <c r="W97" i="4"/>
  <c r="W99" i="4" s="1"/>
  <c r="V107" i="4"/>
  <c r="BD23" i="4" s="1"/>
  <c r="BD19" i="4"/>
  <c r="BD22" i="4" s="1"/>
  <c r="BD24" i="4" s="1"/>
  <c r="BC19" i="4"/>
  <c r="BB19" i="4"/>
  <c r="BA19" i="4"/>
  <c r="S97" i="4"/>
  <c r="S99" i="4" s="1"/>
  <c r="L5" i="4"/>
  <c r="L97" i="4"/>
  <c r="L99" i="4" s="1"/>
  <c r="J5" i="4"/>
  <c r="T97" i="4"/>
  <c r="T99" i="4" s="1"/>
  <c r="AB7" i="4"/>
  <c r="G107" i="4"/>
  <c r="AR23" i="4" s="1"/>
  <c r="AW23" i="4"/>
  <c r="W107" i="4"/>
  <c r="BI23" i="4"/>
  <c r="E246" i="4"/>
  <c r="H107" i="4"/>
  <c r="X107" i="4"/>
  <c r="BE23" i="4" s="1"/>
  <c r="BJ23" i="4"/>
  <c r="BI24" i="4"/>
  <c r="AW22" i="4"/>
  <c r="AZ23" i="4"/>
  <c r="Z107" i="4"/>
  <c r="BF23" i="4" s="1"/>
  <c r="B107" i="4"/>
  <c r="BA16" i="4"/>
  <c r="BA22" i="4" s="1"/>
  <c r="P7" i="4"/>
  <c r="X97" i="4"/>
  <c r="X99" i="4" s="1"/>
  <c r="X100" i="4" s="1"/>
  <c r="X7" i="4" s="1"/>
  <c r="C107" i="4"/>
  <c r="C108" i="4" s="1"/>
  <c r="K107" i="4"/>
  <c r="S107" i="4"/>
  <c r="AA107" i="4"/>
  <c r="AA108" i="4" s="1"/>
  <c r="AH57" i="4"/>
  <c r="AG99" i="4"/>
  <c r="V108" i="4"/>
  <c r="L107" i="4"/>
  <c r="L108" i="4" s="1"/>
  <c r="T107" i="4"/>
  <c r="BE22" i="4"/>
  <c r="R7" i="4"/>
  <c r="AY23" i="4"/>
  <c r="Y107" i="4"/>
  <c r="Y108" i="4" s="1"/>
  <c r="AV22" i="4"/>
  <c r="AV24" i="4" s="1"/>
  <c r="BH22" i="4"/>
  <c r="BH24" i="4" s="1"/>
  <c r="N7" i="4"/>
  <c r="V97" i="4"/>
  <c r="V99" i="4" s="1"/>
  <c r="V100" i="4" s="1"/>
  <c r="V7" i="4" s="1"/>
  <c r="AD7" i="4"/>
  <c r="U97" i="4"/>
  <c r="U99" i="4" s="1"/>
  <c r="BC22" i="4"/>
  <c r="BF22" i="4"/>
  <c r="AT22" i="4"/>
  <c r="K97" i="4"/>
  <c r="K99" i="4" s="1"/>
  <c r="J107" i="4"/>
  <c r="J108" i="4" s="1"/>
  <c r="I5" i="4"/>
  <c r="J97" i="4"/>
  <c r="J99" i="4" s="1"/>
  <c r="J100" i="4" s="1"/>
  <c r="J7" i="4" s="1"/>
  <c r="I107" i="4"/>
  <c r="AS23" i="4" s="1"/>
  <c r="H5" i="4"/>
  <c r="AI80" i="4"/>
  <c r="AS22" i="4"/>
  <c r="AS24" i="4" s="1"/>
  <c r="H108" i="4"/>
  <c r="H97" i="4"/>
  <c r="H99" i="4" s="1"/>
  <c r="H100" i="4" s="1"/>
  <c r="H7" i="4" s="1"/>
  <c r="AI105" i="4"/>
  <c r="AR20" i="4"/>
  <c r="AH80" i="4"/>
  <c r="G97" i="4"/>
  <c r="G99" i="4" s="1"/>
  <c r="G100" i="4" s="1"/>
  <c r="G7" i="4" s="1"/>
  <c r="AR22" i="4"/>
  <c r="AR24" i="4" s="1"/>
  <c r="F107" i="4"/>
  <c r="AQ23" i="4" s="1"/>
  <c r="AQ19" i="4"/>
  <c r="AQ22" i="4" s="1"/>
  <c r="AQ24" i="4" s="1"/>
  <c r="D5" i="4"/>
  <c r="AP22" i="4"/>
  <c r="AO19" i="4"/>
  <c r="D97" i="4"/>
  <c r="D99" i="4" s="1"/>
  <c r="D107" i="4"/>
  <c r="D108" i="4" s="1"/>
  <c r="AI57" i="4"/>
  <c r="AO22" i="4"/>
  <c r="B5" i="4"/>
  <c r="C97" i="4"/>
  <c r="C99" i="4" s="1"/>
  <c r="C100" i="4" s="1"/>
  <c r="C7" i="4" s="1"/>
  <c r="AN18" i="4"/>
  <c r="AN22" i="4" s="1"/>
  <c r="AN23" i="4"/>
  <c r="AI62" i="4"/>
  <c r="AH76" i="4"/>
  <c r="AI102" i="4"/>
  <c r="AH105" i="4"/>
  <c r="AI104" i="4"/>
  <c r="AH121" i="4"/>
  <c r="B108" i="4"/>
  <c r="AF5" i="4"/>
  <c r="AI121" i="4"/>
  <c r="AI58" i="4"/>
  <c r="AI76" i="4"/>
  <c r="B97" i="4"/>
  <c r="B99" i="4" s="1"/>
  <c r="B100" i="4" s="1"/>
  <c r="AH103" i="4"/>
  <c r="AL13" i="4"/>
  <c r="BG23" i="4"/>
  <c r="AM22" i="4"/>
  <c r="AZ22" i="4"/>
  <c r="AZ24" i="4" s="1"/>
  <c r="AU22" i="4"/>
  <c r="AG6" i="4"/>
  <c r="BG22" i="4"/>
  <c r="O7" i="4"/>
  <c r="G108" i="4"/>
  <c r="BB16" i="4"/>
  <c r="BJ16" i="4"/>
  <c r="BJ22" i="4" s="1"/>
  <c r="M97" i="4"/>
  <c r="M99" i="4" s="1"/>
  <c r="M100" i="4" s="1"/>
  <c r="M7" i="4" s="1"/>
  <c r="E107" i="4"/>
  <c r="AP23" i="4" s="1"/>
  <c r="M107" i="4"/>
  <c r="U107" i="4"/>
  <c r="BC23" i="4" s="1"/>
  <c r="BG84" i="4" a="1"/>
  <c r="F108" i="4"/>
  <c r="Z97" i="4"/>
  <c r="Z99" i="4" s="1"/>
  <c r="D252" i="4"/>
  <c r="E247" i="4"/>
  <c r="I97" i="4"/>
  <c r="I99" i="4" s="1"/>
  <c r="I100" i="4" s="1"/>
  <c r="I7" i="4" s="1"/>
  <c r="Q7" i="4"/>
  <c r="Y97" i="4"/>
  <c r="Y99" i="4" s="1"/>
  <c r="AG97" i="4"/>
  <c r="E97" i="4"/>
  <c r="E99" i="4" s="1"/>
  <c r="AH58" i="4"/>
  <c r="AH62" i="4"/>
  <c r="F97" i="4"/>
  <c r="F99" i="4" s="1"/>
  <c r="AX16" i="4"/>
  <c r="AX22" i="4" s="1"/>
  <c r="AX24" i="4" s="1"/>
  <c r="I108" i="4"/>
  <c r="AH102" i="4"/>
  <c r="AI103" i="4"/>
  <c r="AH104" i="4"/>
  <c r="AY16" i="4"/>
  <c r="AY22" i="4" s="1"/>
  <c r="AI92" i="4"/>
  <c r="AH92" i="4"/>
  <c r="AI101" i="4"/>
  <c r="AH101" i="4"/>
  <c r="T252" i="6" l="1"/>
  <c r="U246" i="6"/>
  <c r="Q246" i="5"/>
  <c r="O247" i="5"/>
  <c r="N252" i="5"/>
  <c r="BJ24" i="4"/>
  <c r="Z100" i="4"/>
  <c r="Z7" i="4" s="1"/>
  <c r="Y100" i="4"/>
  <c r="Y7" i="4" s="1"/>
  <c r="BE24" i="4"/>
  <c r="W100" i="4"/>
  <c r="W7" i="4" s="1"/>
  <c r="W108" i="4"/>
  <c r="U108" i="4"/>
  <c r="BC24" i="4"/>
  <c r="BB22" i="4"/>
  <c r="AT8" i="4" s="1"/>
  <c r="T100" i="4"/>
  <c r="T7" i="4" s="1"/>
  <c r="BB23" i="4"/>
  <c r="T108" i="4"/>
  <c r="AW24" i="4"/>
  <c r="AY24" i="4"/>
  <c r="L100" i="4"/>
  <c r="L7" i="4" s="1"/>
  <c r="K100" i="4"/>
  <c r="K7" i="4" s="1"/>
  <c r="AA100" i="4"/>
  <c r="AA7" i="4" s="1"/>
  <c r="S108" i="4"/>
  <c r="BA23" i="4"/>
  <c r="BA24" i="4" s="1"/>
  <c r="BF24" i="4"/>
  <c r="K108" i="4"/>
  <c r="AT23" i="4"/>
  <c r="AT24" i="4" s="1"/>
  <c r="F246" i="4"/>
  <c r="E118" i="4"/>
  <c r="F100" i="4"/>
  <c r="F7" i="4" s="1"/>
  <c r="AF7" i="4"/>
  <c r="S100" i="4"/>
  <c r="S7" i="4" s="1"/>
  <c r="Z108" i="4"/>
  <c r="AE7" i="4"/>
  <c r="X108" i="4"/>
  <c r="AP24" i="4"/>
  <c r="AO23" i="4"/>
  <c r="AO24" i="4" s="1"/>
  <c r="D100" i="4"/>
  <c r="D7" i="4" s="1"/>
  <c r="AN24" i="4"/>
  <c r="E100" i="4"/>
  <c r="E7" i="4" s="1"/>
  <c r="AI99" i="4"/>
  <c r="AI97" i="4"/>
  <c r="AH99" i="4"/>
  <c r="E108" i="4"/>
  <c r="B7" i="4"/>
  <c r="BK106" i="4"/>
  <c r="BI105" i="4"/>
  <c r="BG104" i="4"/>
  <c r="BK102" i="4"/>
  <c r="BI101" i="4"/>
  <c r="BG100" i="4"/>
  <c r="BK98" i="4"/>
  <c r="BI97" i="4"/>
  <c r="BG96" i="4"/>
  <c r="BK94" i="4"/>
  <c r="BI93" i="4"/>
  <c r="BG92" i="4"/>
  <c r="BK90" i="4"/>
  <c r="BI89" i="4"/>
  <c r="BG88" i="4"/>
  <c r="BK86" i="4"/>
  <c r="BI85" i="4"/>
  <c r="BG84" i="4"/>
  <c r="BL107" i="4"/>
  <c r="BJ106" i="4"/>
  <c r="BH105" i="4"/>
  <c r="BL103" i="4"/>
  <c r="BJ102" i="4"/>
  <c r="BH101" i="4"/>
  <c r="BL99" i="4"/>
  <c r="BJ98" i="4"/>
  <c r="BH97" i="4"/>
  <c r="BL95" i="4"/>
  <c r="BJ94" i="4"/>
  <c r="BH93" i="4"/>
  <c r="BL91" i="4"/>
  <c r="BJ90" i="4"/>
  <c r="BH89" i="4"/>
  <c r="BL87" i="4"/>
  <c r="BJ86" i="4"/>
  <c r="BH85" i="4"/>
  <c r="BJ107" i="4"/>
  <c r="BL105" i="4"/>
  <c r="BH104" i="4"/>
  <c r="BH102" i="4"/>
  <c r="BJ100" i="4"/>
  <c r="BL98" i="4"/>
  <c r="BL96" i="4"/>
  <c r="BH95" i="4"/>
  <c r="BJ93" i="4"/>
  <c r="BJ91" i="4"/>
  <c r="BL89" i="4"/>
  <c r="BH88" i="4"/>
  <c r="BH86" i="4"/>
  <c r="BJ84" i="4"/>
  <c r="BI107" i="4"/>
  <c r="BK105" i="4"/>
  <c r="BK103" i="4"/>
  <c r="BG102" i="4"/>
  <c r="BI100" i="4"/>
  <c r="BI98" i="4"/>
  <c r="BK96" i="4"/>
  <c r="BG95" i="4"/>
  <c r="BG93" i="4"/>
  <c r="BI91" i="4"/>
  <c r="BK89" i="4"/>
  <c r="BK87" i="4"/>
  <c r="BG86" i="4"/>
  <c r="BI84" i="4"/>
  <c r="BH107" i="4"/>
  <c r="BJ105" i="4"/>
  <c r="BJ103" i="4"/>
  <c r="BL101" i="4"/>
  <c r="BH100" i="4"/>
  <c r="BH98" i="4"/>
  <c r="BJ96" i="4"/>
  <c r="BL94" i="4"/>
  <c r="BL92" i="4"/>
  <c r="BH91" i="4"/>
  <c r="BJ89" i="4"/>
  <c r="BJ87" i="4"/>
  <c r="BL85" i="4"/>
  <c r="BH84" i="4"/>
  <c r="BG107" i="4"/>
  <c r="BG105" i="4"/>
  <c r="BI103" i="4"/>
  <c r="BK101" i="4"/>
  <c r="BK99" i="4"/>
  <c r="BG98" i="4"/>
  <c r="BI96" i="4"/>
  <c r="BI94" i="4"/>
  <c r="BK92" i="4"/>
  <c r="BG91" i="4"/>
  <c r="BG89" i="4"/>
  <c r="BI87" i="4"/>
  <c r="BK85" i="4"/>
  <c r="BL106" i="4"/>
  <c r="BL104" i="4"/>
  <c r="BH103" i="4"/>
  <c r="BJ101" i="4"/>
  <c r="BJ99" i="4"/>
  <c r="BL97" i="4"/>
  <c r="BH96" i="4"/>
  <c r="BH94" i="4"/>
  <c r="BJ92" i="4"/>
  <c r="BL90" i="4"/>
  <c r="BL88" i="4"/>
  <c r="BH87" i="4"/>
  <c r="BJ85" i="4"/>
  <c r="BI106" i="4"/>
  <c r="BK104" i="4"/>
  <c r="BG103" i="4"/>
  <c r="BG101" i="4"/>
  <c r="BI99" i="4"/>
  <c r="BK97" i="4"/>
  <c r="BK95" i="4"/>
  <c r="BG94" i="4"/>
  <c r="BI92" i="4"/>
  <c r="BI90" i="4"/>
  <c r="BK88" i="4"/>
  <c r="BG87" i="4"/>
  <c r="BG85" i="4"/>
  <c r="BH106" i="4"/>
  <c r="BJ104" i="4"/>
  <c r="BL102" i="4"/>
  <c r="BL100" i="4"/>
  <c r="BH99" i="4"/>
  <c r="BJ97" i="4"/>
  <c r="BJ95" i="4"/>
  <c r="BL93" i="4"/>
  <c r="BH92" i="4"/>
  <c r="BH90" i="4"/>
  <c r="BJ88" i="4"/>
  <c r="BL86" i="4"/>
  <c r="BL84" i="4"/>
  <c r="BK107" i="4"/>
  <c r="BG106" i="4"/>
  <c r="BI104" i="4"/>
  <c r="BI102" i="4"/>
  <c r="BK100" i="4"/>
  <c r="BG99" i="4"/>
  <c r="BG97" i="4"/>
  <c r="BI95" i="4"/>
  <c r="BK93" i="4"/>
  <c r="BK91" i="4"/>
  <c r="BG90" i="4"/>
  <c r="BI88" i="4"/>
  <c r="BI86" i="4"/>
  <c r="BK84" i="4"/>
  <c r="B256" i="4"/>
  <c r="AI107" i="4"/>
  <c r="AH107" i="4"/>
  <c r="AM23" i="4"/>
  <c r="AM24" i="4" s="1"/>
  <c r="AH97" i="4"/>
  <c r="C256" i="4"/>
  <c r="AC7" i="4"/>
  <c r="F247" i="4"/>
  <c r="E252" i="4"/>
  <c r="BG24" i="4"/>
  <c r="U100" i="4"/>
  <c r="U7" i="4" s="1"/>
  <c r="M108" i="4"/>
  <c r="AU23" i="4"/>
  <c r="AU24" i="4" s="1"/>
  <c r="V246" i="6" l="1"/>
  <c r="U252" i="6"/>
  <c r="P247" i="5"/>
  <c r="O252" i="5"/>
  <c r="Q118" i="5"/>
  <c r="R246" i="5"/>
  <c r="BB24" i="4"/>
  <c r="G246" i="4"/>
  <c r="F118" i="4"/>
  <c r="G247" i="4"/>
  <c r="F252" i="4"/>
  <c r="K6" i="4"/>
  <c r="AT9" i="4"/>
  <c r="AI108" i="4"/>
  <c r="AH108" i="4"/>
  <c r="A7" i="4"/>
  <c r="AH100" i="4"/>
  <c r="AI100" i="4"/>
  <c r="W246" i="6" l="1"/>
  <c r="V252" i="6"/>
  <c r="V118" i="6"/>
  <c r="R118" i="5"/>
  <c r="S246" i="5"/>
  <c r="Q247" i="5"/>
  <c r="P252" i="5"/>
  <c r="G118" i="4"/>
  <c r="H246" i="4"/>
  <c r="H247" i="4"/>
  <c r="G252" i="4"/>
  <c r="X246" i="6" l="1"/>
  <c r="W252" i="6"/>
  <c r="W118" i="6"/>
  <c r="R247" i="5"/>
  <c r="Q252" i="5"/>
  <c r="S118" i="5"/>
  <c r="T246" i="5"/>
  <c r="I246" i="4"/>
  <c r="H118" i="4"/>
  <c r="I247" i="4"/>
  <c r="H252" i="4"/>
  <c r="Y246" i="6" l="1"/>
  <c r="X118" i="6"/>
  <c r="X252" i="6"/>
  <c r="T118" i="5"/>
  <c r="U246" i="5"/>
  <c r="S247" i="5"/>
  <c r="R252" i="5"/>
  <c r="I118" i="4"/>
  <c r="J246" i="4"/>
  <c r="J247" i="4"/>
  <c r="I252" i="4"/>
  <c r="Y252" i="6" l="1"/>
  <c r="Z246" i="6"/>
  <c r="T247" i="5"/>
  <c r="S252" i="5"/>
  <c r="V246" i="5"/>
  <c r="U118" i="5"/>
  <c r="K246" i="4"/>
  <c r="J118" i="4"/>
  <c r="K247" i="4"/>
  <c r="J252" i="4"/>
  <c r="Z252" i="6" l="1"/>
  <c r="AA246" i="6"/>
  <c r="W246" i="5"/>
  <c r="V118" i="5"/>
  <c r="U247" i="5"/>
  <c r="T252" i="5"/>
  <c r="K118" i="4"/>
  <c r="L246" i="4"/>
  <c r="L247" i="4"/>
  <c r="K252" i="4"/>
  <c r="AA252" i="6" l="1"/>
  <c r="AA118" i="6"/>
  <c r="AB246" i="6"/>
  <c r="X246" i="5"/>
  <c r="W118" i="5"/>
  <c r="V247" i="5"/>
  <c r="U252" i="5"/>
  <c r="M246" i="4"/>
  <c r="L118" i="4"/>
  <c r="M247" i="4"/>
  <c r="L252" i="4"/>
  <c r="AB252" i="6" l="1"/>
  <c r="AB118" i="6"/>
  <c r="AC246" i="6"/>
  <c r="W247" i="5"/>
  <c r="V252" i="5"/>
  <c r="Y246" i="5"/>
  <c r="X118" i="5"/>
  <c r="M118" i="4"/>
  <c r="N246" i="4"/>
  <c r="N247" i="4"/>
  <c r="M252" i="4"/>
  <c r="AC118" i="6" l="1"/>
  <c r="AD246" i="6"/>
  <c r="AC252" i="6"/>
  <c r="Z246" i="5"/>
  <c r="X247" i="5"/>
  <c r="W252" i="5"/>
  <c r="O246" i="4"/>
  <c r="O247" i="4"/>
  <c r="N252" i="4"/>
  <c r="L58" i="3"/>
  <c r="L62" i="3"/>
  <c r="L76" i="3"/>
  <c r="L80" i="3"/>
  <c r="L92" i="3"/>
  <c r="L101" i="3"/>
  <c r="L102" i="3"/>
  <c r="L103" i="3"/>
  <c r="L104" i="3"/>
  <c r="L105" i="3"/>
  <c r="L118" i="3"/>
  <c r="K58" i="3"/>
  <c r="K62" i="3"/>
  <c r="K76" i="3"/>
  <c r="K80" i="3"/>
  <c r="K92" i="3"/>
  <c r="K101" i="3"/>
  <c r="K102" i="3"/>
  <c r="K103" i="3"/>
  <c r="K104" i="3"/>
  <c r="K105" i="3"/>
  <c r="K118" i="3"/>
  <c r="J58" i="3"/>
  <c r="J62" i="3"/>
  <c r="J76" i="3"/>
  <c r="J80" i="3"/>
  <c r="J92" i="3"/>
  <c r="J101" i="3"/>
  <c r="J102" i="3"/>
  <c r="J103" i="3"/>
  <c r="J104" i="3"/>
  <c r="J105" i="3"/>
  <c r="J118" i="3"/>
  <c r="I58" i="3"/>
  <c r="I62" i="3"/>
  <c r="I76" i="3"/>
  <c r="I80" i="3"/>
  <c r="I92" i="3"/>
  <c r="I101" i="3"/>
  <c r="I102" i="3"/>
  <c r="I103" i="3"/>
  <c r="I104" i="3"/>
  <c r="I105" i="3"/>
  <c r="I118" i="3"/>
  <c r="Q153" i="3"/>
  <c r="Q149" i="3"/>
  <c r="Q148" i="3"/>
  <c r="AE246" i="6" l="1"/>
  <c r="AD252" i="6"/>
  <c r="AD118" i="6"/>
  <c r="Y247" i="5"/>
  <c r="X252" i="5"/>
  <c r="AA246" i="5"/>
  <c r="P246" i="4"/>
  <c r="Q246" i="4" s="1"/>
  <c r="R246" i="4"/>
  <c r="P247" i="4"/>
  <c r="O252" i="4"/>
  <c r="L107" i="3"/>
  <c r="L108" i="3" s="1"/>
  <c r="L97" i="3"/>
  <c r="L99" i="3" s="1"/>
  <c r="L100" i="3" s="1"/>
  <c r="K107" i="3"/>
  <c r="K108" i="3" s="1"/>
  <c r="K97" i="3"/>
  <c r="K99" i="3" s="1"/>
  <c r="J107" i="3"/>
  <c r="J108" i="3" s="1"/>
  <c r="J97" i="3"/>
  <c r="J99" i="3" s="1"/>
  <c r="I107" i="3"/>
  <c r="I97" i="3"/>
  <c r="I99" i="3" s="1"/>
  <c r="I100" i="3" s="1"/>
  <c r="I108" i="3"/>
  <c r="AF246" i="6" l="1"/>
  <c r="AE252" i="6"/>
  <c r="AE118" i="6"/>
  <c r="AA118" i="5"/>
  <c r="AB246" i="5"/>
  <c r="Z247" i="5"/>
  <c r="Y252" i="5"/>
  <c r="Q247" i="4"/>
  <c r="P252" i="4"/>
  <c r="S246" i="4"/>
  <c r="K100" i="3"/>
  <c r="J100" i="3"/>
  <c r="H58" i="3"/>
  <c r="H62" i="3"/>
  <c r="H76" i="3"/>
  <c r="H80" i="3"/>
  <c r="H92" i="3"/>
  <c r="H101" i="3"/>
  <c r="H102" i="3"/>
  <c r="H103" i="3"/>
  <c r="H104" i="3"/>
  <c r="H105" i="3"/>
  <c r="H107" i="3" s="1"/>
  <c r="H118" i="3"/>
  <c r="Q144" i="3"/>
  <c r="Q145" i="3" s="1"/>
  <c r="Q244" i="3" s="1"/>
  <c r="G58" i="3"/>
  <c r="AR16" i="3" s="1"/>
  <c r="G62" i="3"/>
  <c r="G76" i="3"/>
  <c r="G80" i="3"/>
  <c r="G92" i="3"/>
  <c r="AR19" i="3" s="1"/>
  <c r="G101" i="3"/>
  <c r="G107" i="3" s="1"/>
  <c r="G102" i="3"/>
  <c r="G103" i="3"/>
  <c r="G104" i="3"/>
  <c r="G105" i="3"/>
  <c r="G118" i="3"/>
  <c r="F58" i="3"/>
  <c r="F62" i="3"/>
  <c r="F76" i="3"/>
  <c r="F80" i="3"/>
  <c r="F92" i="3"/>
  <c r="E5" i="3" s="1"/>
  <c r="F101" i="3"/>
  <c r="F107" i="3" s="1"/>
  <c r="AQ23" i="3" s="1"/>
  <c r="F102" i="3"/>
  <c r="F103" i="3"/>
  <c r="F104" i="3"/>
  <c r="F105" i="3"/>
  <c r="F118" i="3"/>
  <c r="E58" i="3"/>
  <c r="E62" i="3"/>
  <c r="E76" i="3"/>
  <c r="E80" i="3"/>
  <c r="E92" i="3"/>
  <c r="E101" i="3"/>
  <c r="E102" i="3"/>
  <c r="E103" i="3"/>
  <c r="E107" i="3" s="1"/>
  <c r="AP23" i="3" s="1"/>
  <c r="E104" i="3"/>
  <c r="E105" i="3"/>
  <c r="E118" i="3"/>
  <c r="D121" i="3"/>
  <c r="D57" i="3"/>
  <c r="D58" i="3"/>
  <c r="D62" i="3"/>
  <c r="AH125" i="3"/>
  <c r="AI125" i="3"/>
  <c r="AH124" i="3"/>
  <c r="AI124" i="3"/>
  <c r="C121" i="3"/>
  <c r="C57" i="3"/>
  <c r="AI57" i="3"/>
  <c r="C58" i="3"/>
  <c r="AN16" i="3" s="1"/>
  <c r="C62" i="3"/>
  <c r="C76" i="3"/>
  <c r="AN18" i="3" s="1"/>
  <c r="C80" i="3"/>
  <c r="B121" i="3"/>
  <c r="AI121" i="3" s="1"/>
  <c r="B57" i="3"/>
  <c r="B118" i="3"/>
  <c r="B105" i="3"/>
  <c r="B104" i="3"/>
  <c r="B103" i="3"/>
  <c r="B102" i="3"/>
  <c r="B101" i="3"/>
  <c r="B107" i="3" s="1"/>
  <c r="AM23" i="3" s="1"/>
  <c r="B92" i="3"/>
  <c r="AF5" i="3" s="1"/>
  <c r="B80" i="3"/>
  <c r="B76" i="3"/>
  <c r="AM18" i="3" s="1"/>
  <c r="B62" i="3"/>
  <c r="AM17" i="3" s="1"/>
  <c r="B58" i="3"/>
  <c r="AG252" i="3"/>
  <c r="D252" i="3"/>
  <c r="C252" i="3"/>
  <c r="E251" i="3"/>
  <c r="D251" i="3"/>
  <c r="K250" i="3"/>
  <c r="L250" i="3" s="1"/>
  <c r="M250" i="3" s="1"/>
  <c r="N250" i="3" s="1"/>
  <c r="O250" i="3" s="1"/>
  <c r="P250" i="3" s="1"/>
  <c r="Q250" i="3" s="1"/>
  <c r="R250" i="3" s="1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B250" i="3" s="1"/>
  <c r="E250" i="3"/>
  <c r="F250" i="3" s="1"/>
  <c r="G250" i="3" s="1"/>
  <c r="H250" i="3" s="1"/>
  <c r="I250" i="3" s="1"/>
  <c r="J250" i="3" s="1"/>
  <c r="D250" i="3"/>
  <c r="D249" i="3"/>
  <c r="E249" i="3" s="1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B249" i="3" s="1"/>
  <c r="E248" i="3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B248" i="3" s="1"/>
  <c r="D248" i="3"/>
  <c r="M247" i="3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B247" i="3" s="1"/>
  <c r="E247" i="3"/>
  <c r="F247" i="3" s="1"/>
  <c r="G247" i="3" s="1"/>
  <c r="H247" i="3" s="1"/>
  <c r="I247" i="3" s="1"/>
  <c r="J247" i="3" s="1"/>
  <c r="K247" i="3" s="1"/>
  <c r="L247" i="3" s="1"/>
  <c r="D247" i="3"/>
  <c r="E246" i="3"/>
  <c r="F246" i="3" s="1"/>
  <c r="G246" i="3" s="1"/>
  <c r="D246" i="3"/>
  <c r="AG244" i="3"/>
  <c r="AF244" i="3"/>
  <c r="AE244" i="3"/>
  <c r="AD244" i="3"/>
  <c r="AC244" i="3"/>
  <c r="AB244" i="3"/>
  <c r="AA244" i="3"/>
  <c r="Z244" i="3"/>
  <c r="Z118" i="3" s="1"/>
  <c r="Y244" i="3"/>
  <c r="X244" i="3"/>
  <c r="W244" i="3"/>
  <c r="V244" i="3"/>
  <c r="U244" i="3"/>
  <c r="T244" i="3"/>
  <c r="S244" i="3"/>
  <c r="R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I130" i="3"/>
  <c r="AH130" i="3"/>
  <c r="AI129" i="3"/>
  <c r="AH129" i="3"/>
  <c r="AI128" i="3"/>
  <c r="AH128" i="3"/>
  <c r="AI127" i="3"/>
  <c r="AH127" i="3"/>
  <c r="AI126" i="3"/>
  <c r="AH126" i="3"/>
  <c r="AI123" i="3"/>
  <c r="AH123" i="3"/>
  <c r="AI122" i="3"/>
  <c r="AH122" i="3"/>
  <c r="AI120" i="3"/>
  <c r="AH120" i="3"/>
  <c r="AI119" i="3"/>
  <c r="AH119" i="3"/>
  <c r="Y118" i="3"/>
  <c r="D118" i="3"/>
  <c r="C118" i="3"/>
  <c r="AI117" i="3"/>
  <c r="AH117" i="3"/>
  <c r="AI116" i="3"/>
  <c r="AH116" i="3"/>
  <c r="AI115" i="3"/>
  <c r="AH115" i="3"/>
  <c r="AI114" i="3"/>
  <c r="AH114" i="3"/>
  <c r="AI113" i="3"/>
  <c r="AH113" i="3"/>
  <c r="AI112" i="3"/>
  <c r="AH112" i="3"/>
  <c r="AI111" i="3"/>
  <c r="AH111" i="3"/>
  <c r="AI110" i="3"/>
  <c r="AH110" i="3"/>
  <c r="AI109" i="3"/>
  <c r="AH109" i="3"/>
  <c r="AI106" i="3"/>
  <c r="AH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D105" i="3"/>
  <c r="C105" i="3"/>
  <c r="AF104" i="3"/>
  <c r="AE104" i="3"/>
  <c r="AD104" i="3"/>
  <c r="AC104" i="3"/>
  <c r="AB104" i="3"/>
  <c r="AB107" i="3" s="1"/>
  <c r="BG23" i="3" s="1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D104" i="3"/>
  <c r="C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D103" i="3"/>
  <c r="C103" i="3"/>
  <c r="AF102" i="3"/>
  <c r="AF107" i="3" s="1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D102" i="3"/>
  <c r="C102" i="3"/>
  <c r="AF101" i="3"/>
  <c r="AE101" i="3"/>
  <c r="AD101" i="3"/>
  <c r="AD107" i="3" s="1"/>
  <c r="BH23" i="3" s="1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D101" i="3"/>
  <c r="C101" i="3"/>
  <c r="AI98" i="3"/>
  <c r="AH98" i="3"/>
  <c r="I7" i="3"/>
  <c r="AI96" i="3"/>
  <c r="AH96" i="3"/>
  <c r="AG96" i="3"/>
  <c r="AI95" i="3"/>
  <c r="AH95" i="3"/>
  <c r="AI94" i="3"/>
  <c r="AH94" i="3"/>
  <c r="AI93" i="3"/>
  <c r="AH93" i="3"/>
  <c r="AG92" i="3"/>
  <c r="AF92" i="3"/>
  <c r="AE5" i="3" s="1"/>
  <c r="AE92" i="3"/>
  <c r="BI19" i="3" s="1"/>
  <c r="AD92" i="3"/>
  <c r="BH19" i="3" s="1"/>
  <c r="AC92" i="3"/>
  <c r="AB5" i="3" s="1"/>
  <c r="AB92" i="3"/>
  <c r="AA92" i="3"/>
  <c r="Z5" i="3" s="1"/>
  <c r="Z92" i="3"/>
  <c r="BF19" i="3" s="1"/>
  <c r="Y92" i="3"/>
  <c r="X5" i="3" s="1"/>
  <c r="X92" i="3"/>
  <c r="BE19" i="3" s="1"/>
  <c r="W92" i="3"/>
  <c r="V92" i="3"/>
  <c r="U5" i="3" s="1"/>
  <c r="U92" i="3"/>
  <c r="T92" i="3"/>
  <c r="BB19" i="3" s="1"/>
  <c r="S92" i="3"/>
  <c r="R92" i="3"/>
  <c r="AZ19" i="3" s="1"/>
  <c r="Q92" i="3"/>
  <c r="AY19" i="3" s="1"/>
  <c r="P92" i="3"/>
  <c r="AX19" i="3" s="1"/>
  <c r="O92" i="3"/>
  <c r="N5" i="3" s="1"/>
  <c r="N92" i="3"/>
  <c r="AV19" i="3" s="1"/>
  <c r="M92" i="3"/>
  <c r="D92" i="3"/>
  <c r="C92" i="3"/>
  <c r="AN19" i="3" s="1"/>
  <c r="AI91" i="3"/>
  <c r="AH91" i="3"/>
  <c r="AI90" i="3"/>
  <c r="AH90" i="3"/>
  <c r="AI89" i="3"/>
  <c r="AH89" i="3"/>
  <c r="AI88" i="3"/>
  <c r="AH88" i="3"/>
  <c r="AI87" i="3"/>
  <c r="AH87" i="3"/>
  <c r="AI86" i="3"/>
  <c r="AH86" i="3"/>
  <c r="AI85" i="3"/>
  <c r="AH85" i="3"/>
  <c r="AI84" i="3"/>
  <c r="AH84" i="3"/>
  <c r="AI83" i="3"/>
  <c r="AH83" i="3"/>
  <c r="AI82" i="3"/>
  <c r="AH82" i="3"/>
  <c r="AI81" i="3"/>
  <c r="AH81" i="3"/>
  <c r="BI80" i="3"/>
  <c r="AG80" i="3"/>
  <c r="AF80" i="3"/>
  <c r="BJ20" i="3" s="1"/>
  <c r="BI20" i="3"/>
  <c r="AD80" i="3"/>
  <c r="BH20" i="3" s="1"/>
  <c r="AC80" i="3"/>
  <c r="AB80" i="3"/>
  <c r="BG20" i="3" s="1"/>
  <c r="AA80" i="3"/>
  <c r="Z80" i="3"/>
  <c r="BF20" i="3" s="1"/>
  <c r="Y80" i="3"/>
  <c r="X80" i="3"/>
  <c r="BE20" i="3" s="1"/>
  <c r="W80" i="3"/>
  <c r="V80" i="3"/>
  <c r="U80" i="3"/>
  <c r="T80" i="3"/>
  <c r="S80" i="3"/>
  <c r="BA20" i="3" s="1"/>
  <c r="R80" i="3"/>
  <c r="Q80" i="3"/>
  <c r="P80" i="3"/>
  <c r="O80" i="3"/>
  <c r="AW20" i="3" s="1"/>
  <c r="N80" i="3"/>
  <c r="AV20" i="3" s="1"/>
  <c r="M80" i="3"/>
  <c r="D80" i="3"/>
  <c r="BV79" i="3"/>
  <c r="BH79" i="3"/>
  <c r="AI79" i="3"/>
  <c r="AH79" i="3"/>
  <c r="BS78" i="3"/>
  <c r="BR78" i="3"/>
  <c r="BB78" i="3"/>
  <c r="AI78" i="3"/>
  <c r="AH78" i="3"/>
  <c r="BB77" i="3"/>
  <c r="AI77" i="3"/>
  <c r="AH77" i="3"/>
  <c r="BQ76" i="3"/>
  <c r="BP76" i="3"/>
  <c r="BN76" i="3"/>
  <c r="AF76" i="3"/>
  <c r="BJ18" i="3" s="1"/>
  <c r="AE76" i="3"/>
  <c r="AD76" i="3"/>
  <c r="BH18" i="3" s="1"/>
  <c r="AC76" i="3"/>
  <c r="AB76" i="3"/>
  <c r="BG18" i="3" s="1"/>
  <c r="AA76" i="3"/>
  <c r="Z76" i="3"/>
  <c r="BF18" i="3" s="1"/>
  <c r="Y76" i="3"/>
  <c r="X76" i="3"/>
  <c r="BE18" i="3" s="1"/>
  <c r="W76" i="3"/>
  <c r="V76" i="3"/>
  <c r="U76" i="3"/>
  <c r="T76" i="3"/>
  <c r="BB18" i="3" s="1"/>
  <c r="S76" i="3"/>
  <c r="BA18" i="3" s="1"/>
  <c r="R76" i="3"/>
  <c r="Q76" i="3"/>
  <c r="AY18" i="3" s="1"/>
  <c r="P76" i="3"/>
  <c r="AX18" i="3" s="1"/>
  <c r="O76" i="3"/>
  <c r="N76" i="3"/>
  <c r="M76" i="3"/>
  <c r="AU18" i="3" s="1"/>
  <c r="AS18" i="3"/>
  <c r="D76" i="3"/>
  <c r="AO18" i="3" s="1"/>
  <c r="BV75" i="3"/>
  <c r="BO75" i="3"/>
  <c r="BH75" i="3"/>
  <c r="AI75" i="3"/>
  <c r="AH75" i="3"/>
  <c r="AG75" i="3"/>
  <c r="AG76" i="3" s="1"/>
  <c r="AI74" i="3"/>
  <c r="AH74" i="3"/>
  <c r="BW73" i="3"/>
  <c r="BW80" i="3" s="1"/>
  <c r="BV73" i="3"/>
  <c r="BV80" i="3" s="1"/>
  <c r="BU73" i="3"/>
  <c r="BU80" i="3" s="1"/>
  <c r="BT73" i="3"/>
  <c r="BT80" i="3" s="1"/>
  <c r="BS73" i="3"/>
  <c r="BS80" i="3" s="1"/>
  <c r="BR73" i="3"/>
  <c r="BR80" i="3" s="1"/>
  <c r="BQ73" i="3"/>
  <c r="BQ80" i="3" s="1"/>
  <c r="BP73" i="3"/>
  <c r="BP80" i="3" s="1"/>
  <c r="BO73" i="3"/>
  <c r="BO80" i="3" s="1"/>
  <c r="BN73" i="3"/>
  <c r="BN80" i="3" s="1"/>
  <c r="BM73" i="3"/>
  <c r="BM80" i="3" s="1"/>
  <c r="BL73" i="3"/>
  <c r="BL80" i="3" s="1"/>
  <c r="BK73" i="3"/>
  <c r="BK80" i="3" s="1"/>
  <c r="BJ73" i="3"/>
  <c r="BJ80" i="3" s="1"/>
  <c r="BI73" i="3"/>
  <c r="BH73" i="3"/>
  <c r="BH80" i="3" s="1"/>
  <c r="BG73" i="3"/>
  <c r="BG80" i="3" s="1"/>
  <c r="BF73" i="3"/>
  <c r="BF80" i="3" s="1"/>
  <c r="BE73" i="3"/>
  <c r="BE80" i="3" s="1"/>
  <c r="BD73" i="3"/>
  <c r="BD80" i="3" s="1"/>
  <c r="BC73" i="3"/>
  <c r="BC80" i="3" s="1"/>
  <c r="BB73" i="3"/>
  <c r="BB80" i="3" s="1"/>
  <c r="BA73" i="3"/>
  <c r="BA80" i="3" s="1"/>
  <c r="AZ73" i="3"/>
  <c r="AZ80" i="3" s="1"/>
  <c r="AI73" i="3"/>
  <c r="AH73" i="3"/>
  <c r="BW72" i="3"/>
  <c r="BW79" i="3" s="1"/>
  <c r="BV72" i="3"/>
  <c r="BU72" i="3"/>
  <c r="BU79" i="3" s="1"/>
  <c r="BT72" i="3"/>
  <c r="BT79" i="3" s="1"/>
  <c r="BS72" i="3"/>
  <c r="BS79" i="3" s="1"/>
  <c r="BR72" i="3"/>
  <c r="BR79" i="3" s="1"/>
  <c r="BQ72" i="3"/>
  <c r="BQ79" i="3" s="1"/>
  <c r="BP72" i="3"/>
  <c r="BP79" i="3" s="1"/>
  <c r="BO72" i="3"/>
  <c r="BO79" i="3" s="1"/>
  <c r="BN72" i="3"/>
  <c r="BN79" i="3" s="1"/>
  <c r="BM72" i="3"/>
  <c r="BM79" i="3" s="1"/>
  <c r="BL72" i="3"/>
  <c r="BL79" i="3" s="1"/>
  <c r="BK72" i="3"/>
  <c r="BK79" i="3" s="1"/>
  <c r="BJ72" i="3"/>
  <c r="BJ79" i="3" s="1"/>
  <c r="BI72" i="3"/>
  <c r="BI79" i="3" s="1"/>
  <c r="BH72" i="3"/>
  <c r="BG72" i="3"/>
  <c r="BG79" i="3" s="1"/>
  <c r="BF72" i="3"/>
  <c r="BF79" i="3" s="1"/>
  <c r="BE72" i="3"/>
  <c r="BE79" i="3" s="1"/>
  <c r="BD72" i="3"/>
  <c r="BD79" i="3" s="1"/>
  <c r="BC72" i="3"/>
  <c r="BC79" i="3" s="1"/>
  <c r="BB72" i="3"/>
  <c r="BB79" i="3" s="1"/>
  <c r="BA72" i="3"/>
  <c r="BA79" i="3" s="1"/>
  <c r="AZ72" i="3"/>
  <c r="AZ79" i="3" s="1"/>
  <c r="AI72" i="3"/>
  <c r="AH72" i="3"/>
  <c r="BW71" i="3"/>
  <c r="BW78" i="3" s="1"/>
  <c r="BV71" i="3"/>
  <c r="BV78" i="3" s="1"/>
  <c r="BU71" i="3"/>
  <c r="BU78" i="3" s="1"/>
  <c r="BT71" i="3"/>
  <c r="BT78" i="3" s="1"/>
  <c r="BS71" i="3"/>
  <c r="BR71" i="3"/>
  <c r="BQ71" i="3"/>
  <c r="BQ78" i="3" s="1"/>
  <c r="BP71" i="3"/>
  <c r="BP78" i="3" s="1"/>
  <c r="BO71" i="3"/>
  <c r="BO78" i="3" s="1"/>
  <c r="BN71" i="3"/>
  <c r="BN78" i="3" s="1"/>
  <c r="BM71" i="3"/>
  <c r="BM78" i="3" s="1"/>
  <c r="BL71" i="3"/>
  <c r="BL78" i="3" s="1"/>
  <c r="BK71" i="3"/>
  <c r="BK78" i="3" s="1"/>
  <c r="BJ71" i="3"/>
  <c r="BJ78" i="3" s="1"/>
  <c r="BI71" i="3"/>
  <c r="BI78" i="3" s="1"/>
  <c r="BH71" i="3"/>
  <c r="BH78" i="3" s="1"/>
  <c r="BG71" i="3"/>
  <c r="BG78" i="3" s="1"/>
  <c r="BF71" i="3"/>
  <c r="BF78" i="3" s="1"/>
  <c r="BE71" i="3"/>
  <c r="BE78" i="3" s="1"/>
  <c r="BD71" i="3"/>
  <c r="BD78" i="3" s="1"/>
  <c r="BC71" i="3"/>
  <c r="BC78" i="3" s="1"/>
  <c r="BB71" i="3"/>
  <c r="BA71" i="3"/>
  <c r="BA78" i="3" s="1"/>
  <c r="AZ71" i="3"/>
  <c r="AZ78" i="3" s="1"/>
  <c r="AI71" i="3"/>
  <c r="AH71" i="3"/>
  <c r="BW70" i="3"/>
  <c r="BW77" i="3" s="1"/>
  <c r="BV70" i="3"/>
  <c r="BV77" i="3" s="1"/>
  <c r="BU70" i="3"/>
  <c r="BU77" i="3" s="1"/>
  <c r="BT70" i="3"/>
  <c r="BT77" i="3" s="1"/>
  <c r="BS70" i="3"/>
  <c r="BS77" i="3" s="1"/>
  <c r="BR70" i="3"/>
  <c r="BR77" i="3" s="1"/>
  <c r="BQ70" i="3"/>
  <c r="BQ77" i="3" s="1"/>
  <c r="BP70" i="3"/>
  <c r="BP77" i="3" s="1"/>
  <c r="BO70" i="3"/>
  <c r="BO77" i="3" s="1"/>
  <c r="BN70" i="3"/>
  <c r="BN77" i="3" s="1"/>
  <c r="BM70" i="3"/>
  <c r="BM77" i="3" s="1"/>
  <c r="BL70" i="3"/>
  <c r="BL77" i="3" s="1"/>
  <c r="BK70" i="3"/>
  <c r="BK77" i="3" s="1"/>
  <c r="BJ70" i="3"/>
  <c r="BJ77" i="3" s="1"/>
  <c r="BI70" i="3"/>
  <c r="BI77" i="3" s="1"/>
  <c r="BH70" i="3"/>
  <c r="BH77" i="3" s="1"/>
  <c r="BG70" i="3"/>
  <c r="BG77" i="3" s="1"/>
  <c r="BF70" i="3"/>
  <c r="BF77" i="3" s="1"/>
  <c r="BE70" i="3"/>
  <c r="BE77" i="3" s="1"/>
  <c r="BD70" i="3"/>
  <c r="BD77" i="3" s="1"/>
  <c r="BC70" i="3"/>
  <c r="BC77" i="3" s="1"/>
  <c r="BB70" i="3"/>
  <c r="BA70" i="3"/>
  <c r="BA77" i="3" s="1"/>
  <c r="AZ70" i="3"/>
  <c r="AZ77" i="3" s="1"/>
  <c r="AI70" i="3"/>
  <c r="AH70" i="3"/>
  <c r="BW69" i="3"/>
  <c r="BW76" i="3" s="1"/>
  <c r="BV69" i="3"/>
  <c r="BV76" i="3" s="1"/>
  <c r="BU69" i="3"/>
  <c r="BU76" i="3" s="1"/>
  <c r="BT69" i="3"/>
  <c r="BT76" i="3" s="1"/>
  <c r="BS69" i="3"/>
  <c r="BS76" i="3" s="1"/>
  <c r="BR69" i="3"/>
  <c r="BR76" i="3" s="1"/>
  <c r="BQ69" i="3"/>
  <c r="BP69" i="3"/>
  <c r="BO69" i="3"/>
  <c r="BO76" i="3" s="1"/>
  <c r="BN69" i="3"/>
  <c r="BM69" i="3"/>
  <c r="BM76" i="3" s="1"/>
  <c r="BL69" i="3"/>
  <c r="BL76" i="3" s="1"/>
  <c r="BK69" i="3"/>
  <c r="BK76" i="3" s="1"/>
  <c r="BJ69" i="3"/>
  <c r="BJ76" i="3" s="1"/>
  <c r="BI69" i="3"/>
  <c r="BI76" i="3" s="1"/>
  <c r="BH69" i="3"/>
  <c r="BH76" i="3" s="1"/>
  <c r="BG69" i="3"/>
  <c r="BG76" i="3" s="1"/>
  <c r="BF69" i="3"/>
  <c r="BF76" i="3" s="1"/>
  <c r="BE69" i="3"/>
  <c r="BE76" i="3" s="1"/>
  <c r="BD69" i="3"/>
  <c r="BD76" i="3" s="1"/>
  <c r="BC69" i="3"/>
  <c r="BC76" i="3" s="1"/>
  <c r="BB69" i="3"/>
  <c r="BB76" i="3" s="1"/>
  <c r="BA69" i="3"/>
  <c r="BA76" i="3" s="1"/>
  <c r="AZ69" i="3"/>
  <c r="AZ76" i="3" s="1"/>
  <c r="AI69" i="3"/>
  <c r="AH69" i="3"/>
  <c r="BW68" i="3"/>
  <c r="BW75" i="3" s="1"/>
  <c r="BV68" i="3"/>
  <c r="BU68" i="3"/>
  <c r="BU75" i="3" s="1"/>
  <c r="BT68" i="3"/>
  <c r="BT75" i="3" s="1"/>
  <c r="BS68" i="3"/>
  <c r="BS75" i="3" s="1"/>
  <c r="BR68" i="3"/>
  <c r="BR75" i="3" s="1"/>
  <c r="BQ68" i="3"/>
  <c r="BQ75" i="3" s="1"/>
  <c r="BP68" i="3"/>
  <c r="BP75" i="3" s="1"/>
  <c r="BO68" i="3"/>
  <c r="BN68" i="3"/>
  <c r="BN75" i="3" s="1"/>
  <c r="BM68" i="3"/>
  <c r="BM75" i="3" s="1"/>
  <c r="BL68" i="3"/>
  <c r="BL75" i="3" s="1"/>
  <c r="BK68" i="3"/>
  <c r="BK75" i="3" s="1"/>
  <c r="BJ68" i="3"/>
  <c r="BJ75" i="3" s="1"/>
  <c r="BI68" i="3"/>
  <c r="BI75" i="3" s="1"/>
  <c r="BH68" i="3"/>
  <c r="BG68" i="3"/>
  <c r="BG75" i="3" s="1"/>
  <c r="BF68" i="3"/>
  <c r="BF75" i="3" s="1"/>
  <c r="BE68" i="3"/>
  <c r="BE75" i="3" s="1"/>
  <c r="BD68" i="3"/>
  <c r="BD75" i="3" s="1"/>
  <c r="BC68" i="3"/>
  <c r="BC75" i="3" s="1"/>
  <c r="BB68" i="3"/>
  <c r="BB75" i="3" s="1"/>
  <c r="BA68" i="3"/>
  <c r="BA75" i="3" s="1"/>
  <c r="AZ68" i="3"/>
  <c r="AZ75" i="3" s="1"/>
  <c r="AI68" i="3"/>
  <c r="AH68" i="3"/>
  <c r="AI67" i="3"/>
  <c r="AH67" i="3"/>
  <c r="AI66" i="3"/>
  <c r="AH66" i="3"/>
  <c r="AI65" i="3"/>
  <c r="AH65" i="3"/>
  <c r="AI64" i="3"/>
  <c r="AH64" i="3"/>
  <c r="AI63" i="3"/>
  <c r="AH63" i="3"/>
  <c r="AG62" i="3"/>
  <c r="BI17" i="3"/>
  <c r="AD62" i="3"/>
  <c r="BH17" i="3" s="1"/>
  <c r="AC62" i="3"/>
  <c r="AB62" i="3"/>
  <c r="BG17" i="3" s="1"/>
  <c r="AA62" i="3"/>
  <c r="Z62" i="3"/>
  <c r="Y62" i="3"/>
  <c r="X62" i="3"/>
  <c r="W62" i="3"/>
  <c r="V62" i="3"/>
  <c r="BD17" i="3" s="1"/>
  <c r="U62" i="3"/>
  <c r="BC17" i="3" s="1"/>
  <c r="T62" i="3"/>
  <c r="BB17" i="3" s="1"/>
  <c r="S62" i="3"/>
  <c r="BA17" i="3" s="1"/>
  <c r="R62" i="3"/>
  <c r="Q62" i="3"/>
  <c r="P62" i="3"/>
  <c r="O62" i="3"/>
  <c r="N62" i="3"/>
  <c r="AV17" i="3" s="1"/>
  <c r="M62" i="3"/>
  <c r="AU17" i="3" s="1"/>
  <c r="AI61" i="3"/>
  <c r="AH61" i="3"/>
  <c r="AI60" i="3"/>
  <c r="AH60" i="3"/>
  <c r="AI59" i="3"/>
  <c r="AH59" i="3"/>
  <c r="AG58" i="3"/>
  <c r="AG97" i="3" s="1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AW16" i="3" s="1"/>
  <c r="N58" i="3"/>
  <c r="M58" i="3"/>
  <c r="L7" i="3"/>
  <c r="AM16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BJ23" i="3"/>
  <c r="AT23" i="3"/>
  <c r="AS23" i="3"/>
  <c r="AI23" i="3"/>
  <c r="AH23" i="3"/>
  <c r="AI22" i="3"/>
  <c r="AH22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I21" i="3"/>
  <c r="AH21" i="3"/>
  <c r="BD20" i="3"/>
  <c r="BC20" i="3"/>
  <c r="BB20" i="3"/>
  <c r="AZ20" i="3"/>
  <c r="AY20" i="3"/>
  <c r="AX20" i="3"/>
  <c r="AU20" i="3"/>
  <c r="AT20" i="3"/>
  <c r="AS20" i="3"/>
  <c r="AR20" i="3"/>
  <c r="AQ20" i="3"/>
  <c r="AP20" i="3"/>
  <c r="AN20" i="3"/>
  <c r="AI20" i="3"/>
  <c r="AH20" i="3"/>
  <c r="AT19" i="3"/>
  <c r="AS19" i="3"/>
  <c r="AM19" i="3"/>
  <c r="AI19" i="3"/>
  <c r="AH19" i="3"/>
  <c r="BI18" i="3"/>
  <c r="BD18" i="3"/>
  <c r="BC18" i="3"/>
  <c r="AZ18" i="3"/>
  <c r="AW18" i="3"/>
  <c r="AV18" i="3"/>
  <c r="AT18" i="3"/>
  <c r="AR18" i="3"/>
  <c r="AQ18" i="3"/>
  <c r="AP18" i="3"/>
  <c r="AI18" i="3"/>
  <c r="AH18" i="3"/>
  <c r="BJ17" i="3"/>
  <c r="BF17" i="3"/>
  <c r="BE17" i="3"/>
  <c r="AZ17" i="3"/>
  <c r="AY17" i="3"/>
  <c r="AX17" i="3"/>
  <c r="AW17" i="3"/>
  <c r="AT17" i="3"/>
  <c r="AS17" i="3"/>
  <c r="AR17" i="3"/>
  <c r="AQ17" i="3"/>
  <c r="AP17" i="3"/>
  <c r="AO17" i="3"/>
  <c r="AN17" i="3"/>
  <c r="AI17" i="3"/>
  <c r="AH17" i="3"/>
  <c r="BJ16" i="3"/>
  <c r="BI16" i="3"/>
  <c r="BH16" i="3"/>
  <c r="BF16" i="3"/>
  <c r="BA16" i="3"/>
  <c r="AZ16" i="3"/>
  <c r="AX16" i="3"/>
  <c r="AT16" i="3"/>
  <c r="AS16" i="3"/>
  <c r="AO16" i="3"/>
  <c r="AI16" i="3"/>
  <c r="AH16" i="3"/>
  <c r="AI15" i="3"/>
  <c r="AH15" i="3"/>
  <c r="AI14" i="3"/>
  <c r="AH14" i="3"/>
  <c r="AI13" i="3"/>
  <c r="AH13" i="3"/>
  <c r="AL12" i="3"/>
  <c r="AI12" i="3"/>
  <c r="AH12" i="3"/>
  <c r="AI11" i="3"/>
  <c r="AH11" i="3"/>
  <c r="K7" i="3"/>
  <c r="AC5" i="3"/>
  <c r="V5" i="3"/>
  <c r="K5" i="3"/>
  <c r="J5" i="3"/>
  <c r="I5" i="3"/>
  <c r="H5" i="3"/>
  <c r="AG4" i="3"/>
  <c r="AG6" i="3" s="1"/>
  <c r="K4" i="3"/>
  <c r="E4" i="3"/>
  <c r="H4" i="3" s="1"/>
  <c r="B4" i="3"/>
  <c r="D258" i="3" s="1"/>
  <c r="AG3" i="3"/>
  <c r="AG2" i="3"/>
  <c r="AG252" i="2"/>
  <c r="C252" i="2"/>
  <c r="E251" i="2"/>
  <c r="F251" i="2" s="1"/>
  <c r="G251" i="2" s="1"/>
  <c r="H251" i="2" s="1"/>
  <c r="I251" i="2" s="1"/>
  <c r="J251" i="2" s="1"/>
  <c r="K251" i="2" s="1"/>
  <c r="L251" i="2" s="1"/>
  <c r="M251" i="2" s="1"/>
  <c r="N251" i="2" s="1"/>
  <c r="O251" i="2" s="1"/>
  <c r="P251" i="2" s="1"/>
  <c r="Q251" i="2" s="1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B251" i="2" s="1"/>
  <c r="D251" i="2"/>
  <c r="D250" i="2"/>
  <c r="E250" i="2" s="1"/>
  <c r="F250" i="2" s="1"/>
  <c r="G250" i="2" s="1"/>
  <c r="H250" i="2" s="1"/>
  <c r="I250" i="2" s="1"/>
  <c r="J250" i="2" s="1"/>
  <c r="K250" i="2" s="1"/>
  <c r="L250" i="2" s="1"/>
  <c r="M250" i="2" s="1"/>
  <c r="N250" i="2" s="1"/>
  <c r="O250" i="2" s="1"/>
  <c r="P250" i="2" s="1"/>
  <c r="Q250" i="2" s="1"/>
  <c r="R250" i="2" s="1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B250" i="2" s="1"/>
  <c r="E249" i="2"/>
  <c r="F249" i="2" s="1"/>
  <c r="G249" i="2" s="1"/>
  <c r="H249" i="2" s="1"/>
  <c r="I249" i="2" s="1"/>
  <c r="J249" i="2" s="1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B249" i="2" s="1"/>
  <c r="D249" i="2"/>
  <c r="AE248" i="2"/>
  <c r="AF248" i="2" s="1"/>
  <c r="B248" i="2" s="1"/>
  <c r="P248" i="2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E248" i="2"/>
  <c r="F248" i="2" s="1"/>
  <c r="G248" i="2" s="1"/>
  <c r="H248" i="2" s="1"/>
  <c r="I248" i="2" s="1"/>
  <c r="J248" i="2" s="1"/>
  <c r="K248" i="2" s="1"/>
  <c r="L248" i="2" s="1"/>
  <c r="M248" i="2" s="1"/>
  <c r="N248" i="2" s="1"/>
  <c r="O248" i="2" s="1"/>
  <c r="D248" i="2"/>
  <c r="E247" i="2"/>
  <c r="F247" i="2" s="1"/>
  <c r="G247" i="2" s="1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B247" i="2" s="1"/>
  <c r="D247" i="2"/>
  <c r="D246" i="2"/>
  <c r="AG244" i="2"/>
  <c r="AF244" i="2"/>
  <c r="AE244" i="2"/>
  <c r="AD244" i="2"/>
  <c r="AC244" i="2"/>
  <c r="AB244" i="2"/>
  <c r="AA244" i="2"/>
  <c r="Z244" i="2"/>
  <c r="Z118" i="2" s="1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I130" i="2"/>
  <c r="AH130" i="2"/>
  <c r="AI129" i="2"/>
  <c r="AH129" i="2"/>
  <c r="AI128" i="2"/>
  <c r="AH128" i="2"/>
  <c r="AI127" i="2"/>
  <c r="AH127" i="2"/>
  <c r="AI126" i="2"/>
  <c r="AH126" i="2"/>
  <c r="AI123" i="2"/>
  <c r="AH123" i="2"/>
  <c r="AI122" i="2"/>
  <c r="AH122" i="2"/>
  <c r="AI121" i="2"/>
  <c r="AH121" i="2"/>
  <c r="AI120" i="2"/>
  <c r="AH120" i="2"/>
  <c r="AI119" i="2"/>
  <c r="AH119" i="2"/>
  <c r="Y118" i="2"/>
  <c r="C118" i="2"/>
  <c r="AI117" i="2"/>
  <c r="AH117" i="2"/>
  <c r="AI116" i="2"/>
  <c r="AH116" i="2"/>
  <c r="AI115" i="2"/>
  <c r="AH115" i="2"/>
  <c r="AI114" i="2"/>
  <c r="AH114" i="2"/>
  <c r="AI113" i="2"/>
  <c r="AH113" i="2"/>
  <c r="AI112" i="2"/>
  <c r="AH112" i="2"/>
  <c r="AI111" i="2"/>
  <c r="AH111" i="2"/>
  <c r="AI110" i="2"/>
  <c r="AH110" i="2"/>
  <c r="AI109" i="2"/>
  <c r="AH109" i="2"/>
  <c r="B108" i="2"/>
  <c r="Z107" i="2"/>
  <c r="S107" i="2"/>
  <c r="BA23" i="2" s="1"/>
  <c r="AI106" i="2"/>
  <c r="AH106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AH105" i="2" s="1"/>
  <c r="E105" i="2"/>
  <c r="D105" i="2"/>
  <c r="C105" i="2"/>
  <c r="B105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F107" i="2" s="1"/>
  <c r="AQ23" i="2" s="1"/>
  <c r="E104" i="2"/>
  <c r="D104" i="2"/>
  <c r="C104" i="2"/>
  <c r="B104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I103" i="2" s="1"/>
  <c r="F103" i="2"/>
  <c r="E103" i="2"/>
  <c r="D103" i="2"/>
  <c r="C103" i="2"/>
  <c r="B103" i="2"/>
  <c r="AF102" i="2"/>
  <c r="AF107" i="2" s="1"/>
  <c r="AE102" i="2"/>
  <c r="AD102" i="2"/>
  <c r="AC102" i="2"/>
  <c r="AB102" i="2"/>
  <c r="AA102" i="2"/>
  <c r="Z102" i="2"/>
  <c r="Y102" i="2"/>
  <c r="X102" i="2"/>
  <c r="X107" i="2" s="1"/>
  <c r="BE23" i="2" s="1"/>
  <c r="W102" i="2"/>
  <c r="V102" i="2"/>
  <c r="U102" i="2"/>
  <c r="T102" i="2"/>
  <c r="S102" i="2"/>
  <c r="R102" i="2"/>
  <c r="Q102" i="2"/>
  <c r="P102" i="2"/>
  <c r="P107" i="2" s="1"/>
  <c r="AX23" i="2" s="1"/>
  <c r="O102" i="2"/>
  <c r="N102" i="2"/>
  <c r="M102" i="2"/>
  <c r="L102" i="2"/>
  <c r="K102" i="2"/>
  <c r="J102" i="2"/>
  <c r="I102" i="2"/>
  <c r="H102" i="2"/>
  <c r="H107" i="2" s="1"/>
  <c r="G102" i="2"/>
  <c r="F102" i="2"/>
  <c r="E102" i="2"/>
  <c r="D102" i="2"/>
  <c r="C102" i="2"/>
  <c r="B102" i="2"/>
  <c r="AF101" i="2"/>
  <c r="AE101" i="2"/>
  <c r="AD101" i="2"/>
  <c r="AC101" i="2"/>
  <c r="AC107" i="2" s="1"/>
  <c r="AB101" i="2"/>
  <c r="AB107" i="2" s="1"/>
  <c r="AA101" i="2"/>
  <c r="AA107" i="2" s="1"/>
  <c r="Z101" i="2"/>
  <c r="Y101" i="2"/>
  <c r="Y107" i="2" s="1"/>
  <c r="X101" i="2"/>
  <c r="W101" i="2"/>
  <c r="V101" i="2"/>
  <c r="U101" i="2"/>
  <c r="U107" i="2" s="1"/>
  <c r="T101" i="2"/>
  <c r="T107" i="2" s="1"/>
  <c r="S101" i="2"/>
  <c r="R101" i="2"/>
  <c r="R107" i="2" s="1"/>
  <c r="R108" i="2" s="1"/>
  <c r="Q101" i="2"/>
  <c r="Q107" i="2" s="1"/>
  <c r="P101" i="2"/>
  <c r="O101" i="2"/>
  <c r="N101" i="2"/>
  <c r="M101" i="2"/>
  <c r="M107" i="2" s="1"/>
  <c r="L101" i="2"/>
  <c r="L107" i="2" s="1"/>
  <c r="K101" i="2"/>
  <c r="K107" i="2" s="1"/>
  <c r="AT23" i="2" s="1"/>
  <c r="J101" i="2"/>
  <c r="J107" i="2" s="1"/>
  <c r="J108" i="2" s="1"/>
  <c r="I101" i="2"/>
  <c r="I107" i="2" s="1"/>
  <c r="AS23" i="2" s="1"/>
  <c r="H101" i="2"/>
  <c r="G101" i="2"/>
  <c r="F101" i="2"/>
  <c r="E101" i="2"/>
  <c r="E107" i="2" s="1"/>
  <c r="AP23" i="2" s="1"/>
  <c r="D101" i="2"/>
  <c r="D107" i="2" s="1"/>
  <c r="AO23" i="2" s="1"/>
  <c r="C101" i="2"/>
  <c r="C107" i="2" s="1"/>
  <c r="B101" i="2"/>
  <c r="B107" i="2" s="1"/>
  <c r="AA100" i="2"/>
  <c r="AI98" i="2"/>
  <c r="AH98" i="2"/>
  <c r="V97" i="2"/>
  <c r="V99" i="2" s="1"/>
  <c r="T97" i="2"/>
  <c r="T99" i="2" s="1"/>
  <c r="T100" i="2" s="1"/>
  <c r="T7" i="2" s="1"/>
  <c r="S97" i="2"/>
  <c r="S99" i="2" s="1"/>
  <c r="S100" i="2" s="1"/>
  <c r="S7" i="2" s="1"/>
  <c r="AI96" i="2"/>
  <c r="AH96" i="2"/>
  <c r="AG96" i="2"/>
  <c r="AI95" i="2"/>
  <c r="AH95" i="2"/>
  <c r="AI94" i="2"/>
  <c r="AH94" i="2"/>
  <c r="AI93" i="2"/>
  <c r="AH93" i="2"/>
  <c r="AG92" i="2"/>
  <c r="AF92" i="2"/>
  <c r="AE92" i="2"/>
  <c r="AD92" i="2"/>
  <c r="AC92" i="2"/>
  <c r="AC108" i="2" s="1"/>
  <c r="AB92" i="2"/>
  <c r="AA92" i="2"/>
  <c r="AA108" i="2" s="1"/>
  <c r="Z92" i="2"/>
  <c r="Y92" i="2"/>
  <c r="X5" i="2" s="1"/>
  <c r="X92" i="2"/>
  <c r="W92" i="2"/>
  <c r="V92" i="2"/>
  <c r="U92" i="2"/>
  <c r="U108" i="2" s="1"/>
  <c r="T92" i="2"/>
  <c r="S92" i="2"/>
  <c r="R92" i="2"/>
  <c r="Q92" i="2"/>
  <c r="Q108" i="2" s="1"/>
  <c r="P92" i="2"/>
  <c r="O92" i="2"/>
  <c r="N92" i="2"/>
  <c r="M92" i="2"/>
  <c r="M108" i="2" s="1"/>
  <c r="L92" i="2"/>
  <c r="K92" i="2"/>
  <c r="K108" i="2" s="1"/>
  <c r="J92" i="2"/>
  <c r="I92" i="2"/>
  <c r="H5" i="2" s="1"/>
  <c r="H92" i="2"/>
  <c r="G92" i="2"/>
  <c r="F92" i="2"/>
  <c r="E92" i="2"/>
  <c r="E108" i="2" s="1"/>
  <c r="D92" i="2"/>
  <c r="C92" i="2"/>
  <c r="C108" i="2" s="1"/>
  <c r="B92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4" i="2"/>
  <c r="AH84" i="2"/>
  <c r="AI83" i="2"/>
  <c r="AH83" i="2"/>
  <c r="AI82" i="2"/>
  <c r="AH82" i="2"/>
  <c r="AI81" i="2"/>
  <c r="AH81" i="2"/>
  <c r="BV80" i="2"/>
  <c r="BT80" i="2"/>
  <c r="BS80" i="2"/>
  <c r="BF80" i="2"/>
  <c r="BD80" i="2"/>
  <c r="AG80" i="2"/>
  <c r="AF80" i="2"/>
  <c r="AF97" i="2" s="1"/>
  <c r="AF99" i="2" s="1"/>
  <c r="AF100" i="2" s="1"/>
  <c r="AF7" i="2" s="1"/>
  <c r="AE80" i="2"/>
  <c r="BI20" i="2" s="1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AR20" i="2" s="1"/>
  <c r="F80" i="2"/>
  <c r="E80" i="2"/>
  <c r="D80" i="2"/>
  <c r="C80" i="2"/>
  <c r="B80" i="2"/>
  <c r="BP79" i="2"/>
  <c r="BN79" i="2"/>
  <c r="BM79" i="2"/>
  <c r="AZ79" i="2"/>
  <c r="AI79" i="2"/>
  <c r="AH79" i="2"/>
  <c r="BR78" i="2"/>
  <c r="BP78" i="2"/>
  <c r="BO78" i="2"/>
  <c r="BJ78" i="2"/>
  <c r="BH78" i="2"/>
  <c r="AI78" i="2"/>
  <c r="AH78" i="2"/>
  <c r="BW77" i="2"/>
  <c r="BV77" i="2"/>
  <c r="BL77" i="2"/>
  <c r="BI77" i="2"/>
  <c r="BH77" i="2"/>
  <c r="BG77" i="2"/>
  <c r="BD77" i="2"/>
  <c r="BC77" i="2"/>
  <c r="AI77" i="2"/>
  <c r="AH77" i="2"/>
  <c r="BV76" i="2"/>
  <c r="BU76" i="2"/>
  <c r="BT76" i="2"/>
  <c r="BN76" i="2"/>
  <c r="BM76" i="2"/>
  <c r="BL76" i="2"/>
  <c r="BK76" i="2"/>
  <c r="BF76" i="2"/>
  <c r="BE76" i="2"/>
  <c r="AG76" i="2"/>
  <c r="AG3" i="2" s="1"/>
  <c r="AG6" i="2" s="1"/>
  <c r="AF76" i="2"/>
  <c r="BJ18" i="2" s="1"/>
  <c r="AE76" i="2"/>
  <c r="BI18" i="2" s="1"/>
  <c r="AD76" i="2"/>
  <c r="BH18" i="2" s="1"/>
  <c r="AC76" i="2"/>
  <c r="AB76" i="2"/>
  <c r="AA76" i="2"/>
  <c r="Z76" i="2"/>
  <c r="BF18" i="2" s="1"/>
  <c r="Y76" i="2"/>
  <c r="X76" i="2"/>
  <c r="BE18" i="2" s="1"/>
  <c r="BE22" i="2" s="1"/>
  <c r="BE24" i="2" s="1"/>
  <c r="W76" i="2"/>
  <c r="V76" i="2"/>
  <c r="U76" i="2"/>
  <c r="T76" i="2"/>
  <c r="S76" i="2"/>
  <c r="R76" i="2"/>
  <c r="AZ18" i="2" s="1"/>
  <c r="Q76" i="2"/>
  <c r="AY18" i="2" s="1"/>
  <c r="P76" i="2"/>
  <c r="AX18" i="2" s="1"/>
  <c r="O76" i="2"/>
  <c r="AW18" i="2" s="1"/>
  <c r="N76" i="2"/>
  <c r="M76" i="2"/>
  <c r="L76" i="2"/>
  <c r="K76" i="2"/>
  <c r="J76" i="2"/>
  <c r="I76" i="2"/>
  <c r="I97" i="2" s="1"/>
  <c r="I99" i="2" s="1"/>
  <c r="I100" i="2" s="1"/>
  <c r="I7" i="2" s="1"/>
  <c r="H76" i="2"/>
  <c r="G76" i="2"/>
  <c r="AR18" i="2" s="1"/>
  <c r="F76" i="2"/>
  <c r="AQ18" i="2" s="1"/>
  <c r="E76" i="2"/>
  <c r="D76" i="2"/>
  <c r="C76" i="2"/>
  <c r="B76" i="2"/>
  <c r="BW75" i="2"/>
  <c r="BV75" i="2"/>
  <c r="BU75" i="2"/>
  <c r="BQ75" i="2"/>
  <c r="BP75" i="2"/>
  <c r="BO75" i="2"/>
  <c r="BN75" i="2"/>
  <c r="BM75" i="2"/>
  <c r="BL75" i="2"/>
  <c r="BI75" i="2"/>
  <c r="BH75" i="2"/>
  <c r="BG75" i="2"/>
  <c r="BF75" i="2"/>
  <c r="BE75" i="2"/>
  <c r="BD75" i="2"/>
  <c r="BC75" i="2"/>
  <c r="BA75" i="2"/>
  <c r="AZ75" i="2"/>
  <c r="AI75" i="2"/>
  <c r="AH75" i="2"/>
  <c r="AG75" i="2"/>
  <c r="AI74" i="2"/>
  <c r="AH74" i="2"/>
  <c r="BW73" i="2"/>
  <c r="BW80" i="2" s="1"/>
  <c r="BV73" i="2"/>
  <c r="BU73" i="2"/>
  <c r="BU80" i="2" s="1"/>
  <c r="BT73" i="2"/>
  <c r="BS73" i="2"/>
  <c r="BR73" i="2"/>
  <c r="BR80" i="2" s="1"/>
  <c r="BQ73" i="2"/>
  <c r="BQ80" i="2" s="1"/>
  <c r="BP73" i="2"/>
  <c r="BP80" i="2" s="1"/>
  <c r="BO73" i="2"/>
  <c r="BO80" i="2" s="1"/>
  <c r="BN73" i="2"/>
  <c r="BN80" i="2" s="1"/>
  <c r="BM73" i="2"/>
  <c r="BM80" i="2" s="1"/>
  <c r="BL73" i="2"/>
  <c r="BL80" i="2" s="1"/>
  <c r="BK73" i="2"/>
  <c r="BK80" i="2" s="1"/>
  <c r="BJ73" i="2"/>
  <c r="BJ80" i="2" s="1"/>
  <c r="BI73" i="2"/>
  <c r="BI80" i="2" s="1"/>
  <c r="BH73" i="2"/>
  <c r="BH80" i="2" s="1"/>
  <c r="BG73" i="2"/>
  <c r="BG80" i="2" s="1"/>
  <c r="BF73" i="2"/>
  <c r="BE73" i="2"/>
  <c r="BE80" i="2" s="1"/>
  <c r="BD73" i="2"/>
  <c r="BC73" i="2"/>
  <c r="BC80" i="2" s="1"/>
  <c r="BB73" i="2"/>
  <c r="BB80" i="2" s="1"/>
  <c r="BA73" i="2"/>
  <c r="BA80" i="2" s="1"/>
  <c r="AZ73" i="2"/>
  <c r="AZ80" i="2" s="1"/>
  <c r="AI73" i="2"/>
  <c r="AH73" i="2"/>
  <c r="BW72" i="2"/>
  <c r="BW79" i="2" s="1"/>
  <c r="BV72" i="2"/>
  <c r="BV79" i="2" s="1"/>
  <c r="BU72" i="2"/>
  <c r="BU79" i="2" s="1"/>
  <c r="BT72" i="2"/>
  <c r="BT79" i="2" s="1"/>
  <c r="BS72" i="2"/>
  <c r="BS79" i="2" s="1"/>
  <c r="BR72" i="2"/>
  <c r="BR79" i="2" s="1"/>
  <c r="BQ72" i="2"/>
  <c r="BQ79" i="2" s="1"/>
  <c r="BP72" i="2"/>
  <c r="BO72" i="2"/>
  <c r="BO79" i="2" s="1"/>
  <c r="BN72" i="2"/>
  <c r="BM72" i="2"/>
  <c r="BL72" i="2"/>
  <c r="BL79" i="2" s="1"/>
  <c r="BK72" i="2"/>
  <c r="BK79" i="2" s="1"/>
  <c r="BJ72" i="2"/>
  <c r="BJ79" i="2" s="1"/>
  <c r="BI72" i="2"/>
  <c r="BI79" i="2" s="1"/>
  <c r="BH72" i="2"/>
  <c r="BH79" i="2" s="1"/>
  <c r="BG72" i="2"/>
  <c r="BG79" i="2" s="1"/>
  <c r="BF72" i="2"/>
  <c r="BF79" i="2" s="1"/>
  <c r="BE72" i="2"/>
  <c r="BE79" i="2" s="1"/>
  <c r="BD72" i="2"/>
  <c r="BD79" i="2" s="1"/>
  <c r="BC72" i="2"/>
  <c r="BC79" i="2" s="1"/>
  <c r="BB72" i="2"/>
  <c r="BB79" i="2" s="1"/>
  <c r="BA72" i="2"/>
  <c r="BA79" i="2" s="1"/>
  <c r="AZ72" i="2"/>
  <c r="AI72" i="2"/>
  <c r="AH72" i="2"/>
  <c r="BW71" i="2"/>
  <c r="BW78" i="2" s="1"/>
  <c r="BV71" i="2"/>
  <c r="BV78" i="2" s="1"/>
  <c r="BU71" i="2"/>
  <c r="BU78" i="2" s="1"/>
  <c r="BT71" i="2"/>
  <c r="BT78" i="2" s="1"/>
  <c r="BS71" i="2"/>
  <c r="BS78" i="2" s="1"/>
  <c r="BR71" i="2"/>
  <c r="BQ71" i="2"/>
  <c r="BQ78" i="2" s="1"/>
  <c r="BP71" i="2"/>
  <c r="BO71" i="2"/>
  <c r="BN71" i="2"/>
  <c r="BN78" i="2" s="1"/>
  <c r="BM71" i="2"/>
  <c r="BM78" i="2" s="1"/>
  <c r="BL71" i="2"/>
  <c r="BL78" i="2" s="1"/>
  <c r="BK71" i="2"/>
  <c r="BK78" i="2" s="1"/>
  <c r="BJ71" i="2"/>
  <c r="BI71" i="2"/>
  <c r="BI78" i="2" s="1"/>
  <c r="BH71" i="2"/>
  <c r="BG71" i="2"/>
  <c r="BG78" i="2" s="1"/>
  <c r="BF71" i="2"/>
  <c r="BF78" i="2" s="1"/>
  <c r="BE71" i="2"/>
  <c r="BE78" i="2" s="1"/>
  <c r="BD71" i="2"/>
  <c r="BD78" i="2" s="1"/>
  <c r="BC71" i="2"/>
  <c r="BC78" i="2" s="1"/>
  <c r="BB71" i="2"/>
  <c r="BB78" i="2" s="1"/>
  <c r="BA71" i="2"/>
  <c r="BA78" i="2" s="1"/>
  <c r="AZ71" i="2"/>
  <c r="AZ78" i="2" s="1"/>
  <c r="AI71" i="2"/>
  <c r="AH71" i="2"/>
  <c r="BW70" i="2"/>
  <c r="BV70" i="2"/>
  <c r="BU70" i="2"/>
  <c r="BU77" i="2" s="1"/>
  <c r="BT70" i="2"/>
  <c r="BT77" i="2" s="1"/>
  <c r="BS70" i="2"/>
  <c r="BS77" i="2" s="1"/>
  <c r="BR70" i="2"/>
  <c r="BR77" i="2" s="1"/>
  <c r="BQ70" i="2"/>
  <c r="BQ77" i="2" s="1"/>
  <c r="BP70" i="2"/>
  <c r="BP77" i="2" s="1"/>
  <c r="BO70" i="2"/>
  <c r="BO77" i="2" s="1"/>
  <c r="BN70" i="2"/>
  <c r="BN77" i="2" s="1"/>
  <c r="BM70" i="2"/>
  <c r="BM77" i="2" s="1"/>
  <c r="BL70" i="2"/>
  <c r="BK70" i="2"/>
  <c r="BK77" i="2" s="1"/>
  <c r="BJ70" i="2"/>
  <c r="BJ77" i="2" s="1"/>
  <c r="BI70" i="2"/>
  <c r="BH70" i="2"/>
  <c r="BG70" i="2"/>
  <c r="BF70" i="2"/>
  <c r="BF77" i="2" s="1"/>
  <c r="BE70" i="2"/>
  <c r="BE77" i="2" s="1"/>
  <c r="BD70" i="2"/>
  <c r="BC70" i="2"/>
  <c r="BB70" i="2"/>
  <c r="BB77" i="2" s="1"/>
  <c r="BA70" i="2"/>
  <c r="BA77" i="2" s="1"/>
  <c r="AZ70" i="2"/>
  <c r="AZ77" i="2" s="1"/>
  <c r="AI70" i="2"/>
  <c r="AH70" i="2"/>
  <c r="BW69" i="2"/>
  <c r="BW76" i="2" s="1"/>
  <c r="BV69" i="2"/>
  <c r="BU69" i="2"/>
  <c r="BT69" i="2"/>
  <c r="BS69" i="2"/>
  <c r="BS76" i="2" s="1"/>
  <c r="BR69" i="2"/>
  <c r="BR76" i="2" s="1"/>
  <c r="BQ69" i="2"/>
  <c r="BQ76" i="2" s="1"/>
  <c r="BP69" i="2"/>
  <c r="BP76" i="2" s="1"/>
  <c r="BO69" i="2"/>
  <c r="BO76" i="2" s="1"/>
  <c r="BN69" i="2"/>
  <c r="BM69" i="2"/>
  <c r="BL69" i="2"/>
  <c r="BK69" i="2"/>
  <c r="BJ69" i="2"/>
  <c r="BJ76" i="2" s="1"/>
  <c r="BI69" i="2"/>
  <c r="BI76" i="2" s="1"/>
  <c r="BH69" i="2"/>
  <c r="BH76" i="2" s="1"/>
  <c r="BG69" i="2"/>
  <c r="BG76" i="2" s="1"/>
  <c r="BF69" i="2"/>
  <c r="BE69" i="2"/>
  <c r="BD69" i="2"/>
  <c r="BD76" i="2" s="1"/>
  <c r="BC69" i="2"/>
  <c r="BC76" i="2" s="1"/>
  <c r="BB69" i="2"/>
  <c r="BB76" i="2" s="1"/>
  <c r="BA69" i="2"/>
  <c r="BA76" i="2" s="1"/>
  <c r="AZ69" i="2"/>
  <c r="AZ76" i="2" s="1"/>
  <c r="AI69" i="2"/>
  <c r="AH69" i="2"/>
  <c r="BW68" i="2"/>
  <c r="BV68" i="2"/>
  <c r="BU68" i="2"/>
  <c r="BT68" i="2"/>
  <c r="BT75" i="2" s="1"/>
  <c r="BS68" i="2"/>
  <c r="BS75" i="2" s="1"/>
  <c r="BR68" i="2"/>
  <c r="BR75" i="2" s="1"/>
  <c r="BQ68" i="2"/>
  <c r="BP68" i="2"/>
  <c r="BO68" i="2"/>
  <c r="BN68" i="2"/>
  <c r="BM68" i="2"/>
  <c r="BL68" i="2"/>
  <c r="BK68" i="2"/>
  <c r="BK75" i="2" s="1"/>
  <c r="BJ68" i="2"/>
  <c r="BJ75" i="2" s="1"/>
  <c r="BI68" i="2"/>
  <c r="BH68" i="2"/>
  <c r="BG68" i="2"/>
  <c r="BF68" i="2"/>
  <c r="BE68" i="2"/>
  <c r="BD68" i="2"/>
  <c r="BC68" i="2"/>
  <c r="BB68" i="2"/>
  <c r="BB75" i="2" s="1"/>
  <c r="BA68" i="2"/>
  <c r="AZ68" i="2"/>
  <c r="AI68" i="2"/>
  <c r="AH68" i="2"/>
  <c r="AI67" i="2"/>
  <c r="AH67" i="2"/>
  <c r="AI66" i="2"/>
  <c r="AH66" i="2"/>
  <c r="AI65" i="2"/>
  <c r="AH65" i="2"/>
  <c r="AI64" i="2"/>
  <c r="AH64" i="2"/>
  <c r="AI63" i="2"/>
  <c r="AH63" i="2"/>
  <c r="AG62" i="2"/>
  <c r="AF62" i="2"/>
  <c r="AE62" i="2"/>
  <c r="BI17" i="2" s="1"/>
  <c r="AD62" i="2"/>
  <c r="AC62" i="2"/>
  <c r="AB62" i="2"/>
  <c r="AA62" i="2"/>
  <c r="Z62" i="2"/>
  <c r="BF17" i="2" s="1"/>
  <c r="Y62" i="2"/>
  <c r="X62" i="2"/>
  <c r="W62" i="2"/>
  <c r="V62" i="2"/>
  <c r="U62" i="2"/>
  <c r="T62" i="2"/>
  <c r="BB17" i="2" s="1"/>
  <c r="S62" i="2"/>
  <c r="BA17" i="2" s="1"/>
  <c r="R62" i="2"/>
  <c r="AZ17" i="2" s="1"/>
  <c r="Q62" i="2"/>
  <c r="P62" i="2"/>
  <c r="O62" i="2"/>
  <c r="N62" i="2"/>
  <c r="M62" i="2"/>
  <c r="AU17" i="2" s="1"/>
  <c r="L62" i="2"/>
  <c r="K62" i="2"/>
  <c r="AT17" i="2" s="1"/>
  <c r="J62" i="2"/>
  <c r="I62" i="2"/>
  <c r="H62" i="2"/>
  <c r="G62" i="2"/>
  <c r="F62" i="2"/>
  <c r="E62" i="2"/>
  <c r="D62" i="2"/>
  <c r="C62" i="2"/>
  <c r="B62" i="2"/>
  <c r="AM17" i="2" s="1"/>
  <c r="AI61" i="2"/>
  <c r="AH61" i="2"/>
  <c r="AI60" i="2"/>
  <c r="AH60" i="2"/>
  <c r="AI59" i="2"/>
  <c r="AH59" i="2"/>
  <c r="AG58" i="2"/>
  <c r="AF58" i="2"/>
  <c r="AE58" i="2"/>
  <c r="AD58" i="2"/>
  <c r="AD97" i="2" s="1"/>
  <c r="AD99" i="2" s="1"/>
  <c r="AC58" i="2"/>
  <c r="AC97" i="2" s="1"/>
  <c r="AC99" i="2" s="1"/>
  <c r="AC100" i="2" s="1"/>
  <c r="AC7" i="2" s="1"/>
  <c r="AB58" i="2"/>
  <c r="AB97" i="2" s="1"/>
  <c r="AB99" i="2" s="1"/>
  <c r="AB100" i="2" s="1"/>
  <c r="AB7" i="2" s="1"/>
  <c r="AA58" i="2"/>
  <c r="AA97" i="2" s="1"/>
  <c r="AA99" i="2" s="1"/>
  <c r="Z58" i="2"/>
  <c r="Z97" i="2" s="1"/>
  <c r="Z99" i="2" s="1"/>
  <c r="Z100" i="2" s="1"/>
  <c r="Z7" i="2" s="1"/>
  <c r="Y58" i="2"/>
  <c r="X58" i="2"/>
  <c r="W58" i="2"/>
  <c r="V58" i="2"/>
  <c r="BD16" i="2" s="1"/>
  <c r="U58" i="2"/>
  <c r="T58" i="2"/>
  <c r="BB16" i="2" s="1"/>
  <c r="BB22" i="2" s="1"/>
  <c r="BB24" i="2" s="1"/>
  <c r="S58" i="2"/>
  <c r="BA16" i="2" s="1"/>
  <c r="R58" i="2"/>
  <c r="R97" i="2" s="1"/>
  <c r="R99" i="2" s="1"/>
  <c r="R100" i="2" s="1"/>
  <c r="R7" i="2" s="1"/>
  <c r="Q58" i="2"/>
  <c r="P58" i="2"/>
  <c r="O58" i="2"/>
  <c r="N58" i="2"/>
  <c r="M58" i="2"/>
  <c r="L58" i="2"/>
  <c r="L97" i="2" s="1"/>
  <c r="L99" i="2" s="1"/>
  <c r="L100" i="2" s="1"/>
  <c r="L7" i="2" s="1"/>
  <c r="K58" i="2"/>
  <c r="K97" i="2" s="1"/>
  <c r="K99" i="2" s="1"/>
  <c r="K100" i="2" s="1"/>
  <c r="K7" i="2" s="1"/>
  <c r="J58" i="2"/>
  <c r="J97" i="2" s="1"/>
  <c r="J99" i="2" s="1"/>
  <c r="I58" i="2"/>
  <c r="H58" i="2"/>
  <c r="G58" i="2"/>
  <c r="F58" i="2"/>
  <c r="F97" i="2" s="1"/>
  <c r="F99" i="2" s="1"/>
  <c r="F100" i="2" s="1"/>
  <c r="F7" i="2" s="1"/>
  <c r="E58" i="2"/>
  <c r="E97" i="2" s="1"/>
  <c r="E99" i="2" s="1"/>
  <c r="E100" i="2" s="1"/>
  <c r="E7" i="2" s="1"/>
  <c r="D58" i="2"/>
  <c r="D97" i="2" s="1"/>
  <c r="D99" i="2" s="1"/>
  <c r="D100" i="2" s="1"/>
  <c r="D7" i="2" s="1"/>
  <c r="C58" i="2"/>
  <c r="B58" i="2"/>
  <c r="AM16" i="2" s="1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BJ23" i="2"/>
  <c r="BG23" i="2"/>
  <c r="BC23" i="2"/>
  <c r="BB23" i="2"/>
  <c r="AZ23" i="2"/>
  <c r="AY23" i="2"/>
  <c r="AU23" i="2"/>
  <c r="AN23" i="2"/>
  <c r="AM23" i="2"/>
  <c r="AI23" i="2"/>
  <c r="AH23" i="2"/>
  <c r="AI22" i="2"/>
  <c r="AH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I21" i="2"/>
  <c r="AH21" i="2"/>
  <c r="BJ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Q20" i="2"/>
  <c r="AP20" i="2"/>
  <c r="AO20" i="2"/>
  <c r="AN20" i="2"/>
  <c r="AI20" i="2"/>
  <c r="AH20" i="2"/>
  <c r="BJ19" i="2"/>
  <c r="BI19" i="2"/>
  <c r="BH19" i="2"/>
  <c r="BG19" i="2"/>
  <c r="BF19" i="2"/>
  <c r="BE19" i="2"/>
  <c r="BD19" i="2"/>
  <c r="BC19" i="2"/>
  <c r="BB19" i="2"/>
  <c r="AZ19" i="2"/>
  <c r="AX19" i="2"/>
  <c r="AW19" i="2"/>
  <c r="AV19" i="2"/>
  <c r="AU19" i="2"/>
  <c r="AR19" i="2"/>
  <c r="AQ19" i="2"/>
  <c r="AM19" i="2"/>
  <c r="AI19" i="2"/>
  <c r="AH19" i="2"/>
  <c r="BG18" i="2"/>
  <c r="BD18" i="2"/>
  <c r="BD22" i="2" s="1"/>
  <c r="BC18" i="2"/>
  <c r="BB18" i="2"/>
  <c r="BA18" i="2"/>
  <c r="AV18" i="2"/>
  <c r="AU18" i="2"/>
  <c r="AT18" i="2"/>
  <c r="AS18" i="2"/>
  <c r="AP18" i="2"/>
  <c r="AO18" i="2"/>
  <c r="AN18" i="2"/>
  <c r="AI18" i="2"/>
  <c r="AH18" i="2"/>
  <c r="BJ17" i="2"/>
  <c r="BH17" i="2"/>
  <c r="BG17" i="2"/>
  <c r="BE17" i="2"/>
  <c r="BD17" i="2"/>
  <c r="BC17" i="2"/>
  <c r="AY17" i="2"/>
  <c r="AX17" i="2"/>
  <c r="AW17" i="2"/>
  <c r="AV17" i="2"/>
  <c r="AS17" i="2"/>
  <c r="AR17" i="2"/>
  <c r="AQ17" i="2"/>
  <c r="AP17" i="2"/>
  <c r="AO17" i="2"/>
  <c r="AN17" i="2"/>
  <c r="AI17" i="2"/>
  <c r="AH17" i="2"/>
  <c r="BJ16" i="2"/>
  <c r="BJ22" i="2" s="1"/>
  <c r="BJ24" i="2" s="1"/>
  <c r="BI16" i="2"/>
  <c r="BI22" i="2" s="1"/>
  <c r="BH16" i="2"/>
  <c r="BG16" i="2"/>
  <c r="BF16" i="2"/>
  <c r="BE16" i="2"/>
  <c r="AY16" i="2"/>
  <c r="AX16" i="2"/>
  <c r="AX22" i="2" s="1"/>
  <c r="AX24" i="2" s="1"/>
  <c r="AW16" i="2"/>
  <c r="AW22" i="2" s="1"/>
  <c r="AT16" i="2"/>
  <c r="AS16" i="2"/>
  <c r="AR16" i="2"/>
  <c r="AQ16" i="2"/>
  <c r="AP16" i="2"/>
  <c r="AI16" i="2"/>
  <c r="AH16" i="2"/>
  <c r="AI15" i="2"/>
  <c r="AH15" i="2"/>
  <c r="AI14" i="2"/>
  <c r="AH14" i="2"/>
  <c r="AI13" i="2"/>
  <c r="AH13" i="2"/>
  <c r="AL12" i="2"/>
  <c r="AI12" i="2"/>
  <c r="AH12" i="2"/>
  <c r="AI11" i="2"/>
  <c r="AH11" i="2"/>
  <c r="AA7" i="2"/>
  <c r="AF5" i="2"/>
  <c r="AE5" i="2"/>
  <c r="AD5" i="2"/>
  <c r="AC5" i="2"/>
  <c r="AB5" i="2"/>
  <c r="Y5" i="2"/>
  <c r="W5" i="2"/>
  <c r="V5" i="2"/>
  <c r="U5" i="2"/>
  <c r="T5" i="2"/>
  <c r="Q5" i="2"/>
  <c r="O5" i="2"/>
  <c r="N5" i="2"/>
  <c r="M5" i="2"/>
  <c r="J5" i="2"/>
  <c r="I5" i="2"/>
  <c r="G5" i="2"/>
  <c r="F5" i="2"/>
  <c r="E5" i="2"/>
  <c r="AG4" i="2"/>
  <c r="K4" i="2"/>
  <c r="E4" i="2"/>
  <c r="H4" i="2" s="1"/>
  <c r="B4" i="2"/>
  <c r="AG2" i="2"/>
  <c r="B246" i="6" l="1"/>
  <c r="AF252" i="6"/>
  <c r="AF118" i="6"/>
  <c r="AA247" i="5"/>
  <c r="Z252" i="5"/>
  <c r="AB118" i="5"/>
  <c r="AC246" i="5"/>
  <c r="T246" i="4"/>
  <c r="S118" i="4"/>
  <c r="R247" i="4"/>
  <c r="Q252" i="4"/>
  <c r="BJ19" i="3"/>
  <c r="BJ22" i="3" s="1"/>
  <c r="BJ24" i="3" s="1"/>
  <c r="AF97" i="3"/>
  <c r="AF99" i="3" s="1"/>
  <c r="AF100" i="3" s="1"/>
  <c r="AF7" i="3" s="1"/>
  <c r="AD5" i="3"/>
  <c r="AE97" i="3"/>
  <c r="AE99" i="3" s="1"/>
  <c r="BI22" i="3"/>
  <c r="BH22" i="3"/>
  <c r="BH24" i="3" s="1"/>
  <c r="AD97" i="3"/>
  <c r="AD99" i="3" s="1"/>
  <c r="AC107" i="3"/>
  <c r="AC108" i="3" s="1"/>
  <c r="AC97" i="3"/>
  <c r="AC99" i="3" s="1"/>
  <c r="AB97" i="3"/>
  <c r="AB99" i="3" s="1"/>
  <c r="AB100" i="3" s="1"/>
  <c r="AB7" i="3" s="1"/>
  <c r="AB108" i="3"/>
  <c r="BG19" i="3"/>
  <c r="AA5" i="3"/>
  <c r="BG16" i="3"/>
  <c r="BG22" i="3" s="1"/>
  <c r="BG24" i="3" s="1"/>
  <c r="AA107" i="3"/>
  <c r="AA108" i="3" s="1"/>
  <c r="AA97" i="3"/>
  <c r="AA99" i="3" s="1"/>
  <c r="AA100" i="3" s="1"/>
  <c r="AA7" i="3" s="1"/>
  <c r="Z107" i="3"/>
  <c r="BF23" i="3" s="1"/>
  <c r="Y5" i="3"/>
  <c r="BF22" i="3"/>
  <c r="Y107" i="3"/>
  <c r="Y108" i="3" s="1"/>
  <c r="Y97" i="3"/>
  <c r="Y99" i="3" s="1"/>
  <c r="W5" i="3"/>
  <c r="X107" i="3"/>
  <c r="BE23" i="3" s="1"/>
  <c r="X97" i="3"/>
  <c r="X99" i="3" s="1"/>
  <c r="X100" i="3" s="1"/>
  <c r="X7" i="3" s="1"/>
  <c r="BE16" i="3"/>
  <c r="BE22" i="3" s="1"/>
  <c r="BE24" i="3" s="1"/>
  <c r="W97" i="3"/>
  <c r="W99" i="3" s="1"/>
  <c r="BD19" i="3"/>
  <c r="V107" i="3"/>
  <c r="BD23" i="3" s="1"/>
  <c r="V97" i="3"/>
  <c r="V99" i="3" s="1"/>
  <c r="V100" i="3" s="1"/>
  <c r="V7" i="3" s="1"/>
  <c r="U107" i="3"/>
  <c r="BC23" i="3" s="1"/>
  <c r="U97" i="3"/>
  <c r="U99" i="3" s="1"/>
  <c r="S5" i="3"/>
  <c r="T107" i="3"/>
  <c r="BB23" i="3" s="1"/>
  <c r="T97" i="3"/>
  <c r="T99" i="3" s="1"/>
  <c r="BB16" i="3"/>
  <c r="BB22" i="3" s="1"/>
  <c r="S107" i="3"/>
  <c r="BA23" i="3" s="1"/>
  <c r="BA19" i="3"/>
  <c r="BA22" i="3" s="1"/>
  <c r="BA24" i="3" s="1"/>
  <c r="R5" i="3"/>
  <c r="S97" i="3"/>
  <c r="S99" i="3" s="1"/>
  <c r="S100" i="3" s="1"/>
  <c r="S7" i="3" s="1"/>
  <c r="R107" i="3"/>
  <c r="AZ23" i="3" s="1"/>
  <c r="Q5" i="3"/>
  <c r="AZ22" i="3"/>
  <c r="AZ24" i="3" s="1"/>
  <c r="P5" i="3"/>
  <c r="Q107" i="3"/>
  <c r="AY23" i="3" s="1"/>
  <c r="Q97" i="3"/>
  <c r="Q99" i="3" s="1"/>
  <c r="AY16" i="3"/>
  <c r="AY22" i="3" s="1"/>
  <c r="O5" i="3"/>
  <c r="P107" i="3"/>
  <c r="AX23" i="3" s="1"/>
  <c r="AX22" i="3"/>
  <c r="AX24" i="3" s="1"/>
  <c r="AW19" i="3"/>
  <c r="AW22" i="3"/>
  <c r="O97" i="3"/>
  <c r="O99" i="3" s="1"/>
  <c r="N107" i="3"/>
  <c r="AV23" i="3" s="1"/>
  <c r="M5" i="3"/>
  <c r="N97" i="3"/>
  <c r="N99" i="3" s="1"/>
  <c r="M107" i="3"/>
  <c r="AU23" i="3" s="1"/>
  <c r="M108" i="3"/>
  <c r="M97" i="3"/>
  <c r="M99" i="3" s="1"/>
  <c r="M100" i="3" s="1"/>
  <c r="M7" i="3" s="1"/>
  <c r="AT22" i="3"/>
  <c r="AT24" i="3" s="1"/>
  <c r="AS22" i="3"/>
  <c r="AS24" i="3" s="1"/>
  <c r="H97" i="3"/>
  <c r="H99" i="3" s="1"/>
  <c r="H100" i="3" s="1"/>
  <c r="H7" i="3" s="1"/>
  <c r="H108" i="3"/>
  <c r="G5" i="3"/>
  <c r="G108" i="3"/>
  <c r="F5" i="3"/>
  <c r="G97" i="3"/>
  <c r="G99" i="3" s="1"/>
  <c r="AR22" i="3"/>
  <c r="AI80" i="3"/>
  <c r="F97" i="3"/>
  <c r="F99" i="3" s="1"/>
  <c r="F100" i="3" s="1"/>
  <c r="F7" i="3" s="1"/>
  <c r="F108" i="3"/>
  <c r="AQ19" i="3"/>
  <c r="E108" i="3"/>
  <c r="E97" i="3"/>
  <c r="E99" i="3" s="1"/>
  <c r="E100" i="3" s="1"/>
  <c r="E7" i="3" s="1"/>
  <c r="AH121" i="3"/>
  <c r="D107" i="3"/>
  <c r="AO23" i="3" s="1"/>
  <c r="C5" i="3"/>
  <c r="AO19" i="3"/>
  <c r="AO20" i="3"/>
  <c r="D97" i="3"/>
  <c r="D99" i="3" s="1"/>
  <c r="D100" i="3" s="1"/>
  <c r="D7" i="3" s="1"/>
  <c r="AO22" i="3"/>
  <c r="AO24" i="3" s="1"/>
  <c r="B5" i="3"/>
  <c r="AI104" i="3"/>
  <c r="C107" i="3"/>
  <c r="AN23" i="3" s="1"/>
  <c r="C97" i="3"/>
  <c r="C99" i="3" s="1"/>
  <c r="C100" i="3" s="1"/>
  <c r="C7" i="3" s="1"/>
  <c r="AN22" i="3"/>
  <c r="AN24" i="3" s="1"/>
  <c r="AH57" i="3"/>
  <c r="C108" i="3"/>
  <c r="AI101" i="3"/>
  <c r="AI105" i="3"/>
  <c r="B108" i="3"/>
  <c r="B97" i="3"/>
  <c r="B99" i="3" s="1"/>
  <c r="B100" i="3" s="1"/>
  <c r="AI62" i="3"/>
  <c r="AH76" i="3"/>
  <c r="BG84" i="3" a="1"/>
  <c r="BI103" i="3" s="1"/>
  <c r="AI76" i="3"/>
  <c r="AQ16" i="3"/>
  <c r="AQ22" i="3" s="1"/>
  <c r="AQ24" i="3" s="1"/>
  <c r="AU19" i="3"/>
  <c r="BC19" i="3"/>
  <c r="AD100" i="3"/>
  <c r="AD7" i="3" s="1"/>
  <c r="AH80" i="3"/>
  <c r="V108" i="3"/>
  <c r="AD108" i="3"/>
  <c r="P97" i="3"/>
  <c r="P99" i="3" s="1"/>
  <c r="P100" i="3" s="1"/>
  <c r="P7" i="3" s="1"/>
  <c r="AR23" i="3"/>
  <c r="O107" i="3"/>
  <c r="AW23" i="3" s="1"/>
  <c r="W107" i="3"/>
  <c r="W100" i="3" s="1"/>
  <c r="W7" i="3" s="1"/>
  <c r="AE107" i="3"/>
  <c r="BI23" i="3" s="1"/>
  <c r="O108" i="3"/>
  <c r="W108" i="3"/>
  <c r="AE108" i="3"/>
  <c r="H246" i="3"/>
  <c r="AU16" i="3"/>
  <c r="BC16" i="3"/>
  <c r="BC22" i="3" s="1"/>
  <c r="BC24" i="3" s="1"/>
  <c r="AM20" i="3"/>
  <c r="AM22" i="3" s="1"/>
  <c r="P108" i="3"/>
  <c r="X108" i="3"/>
  <c r="AF108" i="3"/>
  <c r="AH101" i="3"/>
  <c r="AI103" i="3"/>
  <c r="D5" i="3"/>
  <c r="L5" i="3"/>
  <c r="T5" i="3"/>
  <c r="AL13" i="3"/>
  <c r="AV16" i="3"/>
  <c r="AV22" i="3" s="1"/>
  <c r="BD16" i="3"/>
  <c r="BD22" i="3" s="1"/>
  <c r="BD24" i="3" s="1"/>
  <c r="AP19" i="3"/>
  <c r="AG99" i="3"/>
  <c r="AI102" i="3"/>
  <c r="F251" i="3"/>
  <c r="J7" i="3"/>
  <c r="R97" i="3"/>
  <c r="R99" i="3" s="1"/>
  <c r="R100" i="3" s="1"/>
  <c r="R7" i="3" s="1"/>
  <c r="Z97" i="3"/>
  <c r="Z99" i="3" s="1"/>
  <c r="AH58" i="3"/>
  <c r="AH62" i="3"/>
  <c r="AI92" i="3"/>
  <c r="AP16" i="3"/>
  <c r="AI58" i="3"/>
  <c r="AH103" i="3"/>
  <c r="AH92" i="3"/>
  <c r="E252" i="3"/>
  <c r="AH102" i="3"/>
  <c r="AH104" i="3"/>
  <c r="AH105" i="3"/>
  <c r="BF22" i="2"/>
  <c r="J100" i="2"/>
  <c r="J7" i="2" s="1"/>
  <c r="AT22" i="2"/>
  <c r="AT24" i="2" s="1"/>
  <c r="BA22" i="2"/>
  <c r="BA24" i="2" s="1"/>
  <c r="BG22" i="2"/>
  <c r="BG24" i="2" s="1"/>
  <c r="AH62" i="2"/>
  <c r="AI92" i="2"/>
  <c r="AI58" i="2"/>
  <c r="Y97" i="2"/>
  <c r="Y99" i="2" s="1"/>
  <c r="Y100" i="2" s="1"/>
  <c r="Y7" i="2" s="1"/>
  <c r="AH101" i="2"/>
  <c r="AO16" i="2"/>
  <c r="AN19" i="2"/>
  <c r="AI76" i="2"/>
  <c r="D108" i="2"/>
  <c r="AO19" i="2"/>
  <c r="C5" i="2"/>
  <c r="L108" i="2"/>
  <c r="K5" i="2"/>
  <c r="T108" i="2"/>
  <c r="S5" i="2"/>
  <c r="AB108" i="2"/>
  <c r="AA5" i="2"/>
  <c r="B97" i="2"/>
  <c r="X97" i="2"/>
  <c r="X99" i="2" s="1"/>
  <c r="X100" i="2" s="1"/>
  <c r="X7" i="2" s="1"/>
  <c r="AI101" i="2"/>
  <c r="AH102" i="2"/>
  <c r="AI104" i="2"/>
  <c r="I108" i="2"/>
  <c r="U97" i="2"/>
  <c r="U99" i="2" s="1"/>
  <c r="U100" i="2" s="1"/>
  <c r="U7" i="2" s="1"/>
  <c r="BC16" i="2"/>
  <c r="BC22" i="2" s="1"/>
  <c r="BC24" i="2" s="1"/>
  <c r="P97" i="2"/>
  <c r="P99" i="2" s="1"/>
  <c r="P100" i="2" s="1"/>
  <c r="P7" i="2" s="1"/>
  <c r="AI102" i="2"/>
  <c r="AH103" i="2"/>
  <c r="Y108" i="2"/>
  <c r="Q97" i="2"/>
  <c r="Q99" i="2" s="1"/>
  <c r="Q100" i="2" s="1"/>
  <c r="Q7" i="2" s="1"/>
  <c r="AG99" i="2"/>
  <c r="D252" i="2"/>
  <c r="E246" i="2"/>
  <c r="D118" i="2"/>
  <c r="AH58" i="2"/>
  <c r="AH92" i="2"/>
  <c r="BF23" i="2"/>
  <c r="Z108" i="2"/>
  <c r="BH22" i="2"/>
  <c r="AN16" i="2"/>
  <c r="AN22" i="2" s="1"/>
  <c r="AN24" i="2" s="1"/>
  <c r="C97" i="2"/>
  <c r="C99" i="2" s="1"/>
  <c r="C100" i="2" s="1"/>
  <c r="C7" i="2" s="1"/>
  <c r="AI62" i="2"/>
  <c r="S108" i="2"/>
  <c r="B5" i="2"/>
  <c r="AH76" i="2"/>
  <c r="AZ16" i="2"/>
  <c r="AZ22" i="2" s="1"/>
  <c r="AZ24" i="2" s="1"/>
  <c r="AY19" i="2"/>
  <c r="AY22" i="2" s="1"/>
  <c r="AY24" i="2" s="1"/>
  <c r="M97" i="2"/>
  <c r="M99" i="2" s="1"/>
  <c r="M100" i="2" s="1"/>
  <c r="M7" i="2" s="1"/>
  <c r="AU16" i="2"/>
  <c r="AU22" i="2" s="1"/>
  <c r="AU24" i="2" s="1"/>
  <c r="P5" i="2"/>
  <c r="AQ22" i="2"/>
  <c r="AQ24" i="2" s="1"/>
  <c r="AM18" i="2"/>
  <c r="AM22" i="2" s="1"/>
  <c r="AV16" i="2"/>
  <c r="AV22" i="2" s="1"/>
  <c r="N97" i="2"/>
  <c r="N99" i="2" s="1"/>
  <c r="D258" i="2"/>
  <c r="AL13" i="2"/>
  <c r="Z5" i="2"/>
  <c r="AR22" i="2"/>
  <c r="AS19" i="2"/>
  <c r="AS22" i="2" s="1"/>
  <c r="AS24" i="2" s="1"/>
  <c r="BA19" i="2"/>
  <c r="G97" i="2"/>
  <c r="G99" i="2" s="1"/>
  <c r="O97" i="2"/>
  <c r="O99" i="2" s="1"/>
  <c r="W97" i="2"/>
  <c r="W99" i="2" s="1"/>
  <c r="W100" i="2" s="1"/>
  <c r="W7" i="2" s="1"/>
  <c r="AE97" i="2"/>
  <c r="AE99" i="2" s="1"/>
  <c r="AE100" i="2" s="1"/>
  <c r="AE7" i="2" s="1"/>
  <c r="AI80" i="2"/>
  <c r="AM20" i="2"/>
  <c r="AH80" i="2"/>
  <c r="AG97" i="2"/>
  <c r="R5" i="2"/>
  <c r="AT19" i="2"/>
  <c r="H97" i="2"/>
  <c r="H99" i="2" s="1"/>
  <c r="H100" i="2" s="1"/>
  <c r="H7" i="2" s="1"/>
  <c r="BG84" i="2" a="1"/>
  <c r="AH104" i="2"/>
  <c r="AI105" i="2"/>
  <c r="F108" i="2"/>
  <c r="V108" i="2"/>
  <c r="G107" i="2"/>
  <c r="O107" i="2"/>
  <c r="AW23" i="2" s="1"/>
  <c r="AW24" i="2" s="1"/>
  <c r="W107" i="2"/>
  <c r="W108" i="2" s="1"/>
  <c r="AE107" i="2"/>
  <c r="BI23" i="2" s="1"/>
  <c r="BI24" i="2" s="1"/>
  <c r="N107" i="2"/>
  <c r="AV23" i="2" s="1"/>
  <c r="V107" i="2"/>
  <c r="BD23" i="2" s="1"/>
  <c r="BD24" i="2" s="1"/>
  <c r="AD107" i="2"/>
  <c r="BH23" i="2" s="1"/>
  <c r="D5" i="2"/>
  <c r="L5" i="2"/>
  <c r="AP19" i="2"/>
  <c r="AP22" i="2" s="1"/>
  <c r="AP24" i="2" s="1"/>
  <c r="H108" i="2"/>
  <c r="P108" i="2"/>
  <c r="X108" i="2"/>
  <c r="AF108" i="2"/>
  <c r="B252" i="6" l="1"/>
  <c r="B118" i="6"/>
  <c r="AC118" i="5"/>
  <c r="AD246" i="5"/>
  <c r="AB247" i="5"/>
  <c r="AA252" i="5"/>
  <c r="S247" i="4"/>
  <c r="R252" i="4"/>
  <c r="T118" i="4"/>
  <c r="U246" i="4"/>
  <c r="BI24" i="3"/>
  <c r="AC100" i="3"/>
  <c r="AC7" i="3" s="1"/>
  <c r="Z100" i="3"/>
  <c r="Z7" i="3" s="1"/>
  <c r="BF24" i="3"/>
  <c r="Z108" i="3"/>
  <c r="Y100" i="3"/>
  <c r="Y7" i="3" s="1"/>
  <c r="U100" i="3"/>
  <c r="U7" i="3" s="1"/>
  <c r="U108" i="3"/>
  <c r="BB24" i="3"/>
  <c r="T100" i="3"/>
  <c r="T7" i="3" s="1"/>
  <c r="T108" i="3"/>
  <c r="S108" i="3"/>
  <c r="R108" i="3"/>
  <c r="AY24" i="3"/>
  <c r="Q100" i="3"/>
  <c r="Q7" i="3" s="1"/>
  <c r="Q108" i="3"/>
  <c r="C256" i="3"/>
  <c r="AW24" i="3"/>
  <c r="O100" i="3"/>
  <c r="O7" i="3" s="1"/>
  <c r="N100" i="3"/>
  <c r="N7" i="3" s="1"/>
  <c r="AV24" i="3"/>
  <c r="AI107" i="3"/>
  <c r="N108" i="3"/>
  <c r="G100" i="3"/>
  <c r="G7" i="3" s="1"/>
  <c r="AR24" i="3"/>
  <c r="AP22" i="3"/>
  <c r="AP24" i="3" s="1"/>
  <c r="D108" i="3"/>
  <c r="BI105" i="3"/>
  <c r="BL86" i="3"/>
  <c r="BG85" i="3"/>
  <c r="BG103" i="3"/>
  <c r="BG98" i="3"/>
  <c r="BL94" i="3"/>
  <c r="BJ97" i="3"/>
  <c r="BI86" i="3"/>
  <c r="BI104" i="3"/>
  <c r="BI99" i="3"/>
  <c r="BL100" i="3"/>
  <c r="BH96" i="3"/>
  <c r="BK95" i="3"/>
  <c r="BL89" i="3"/>
  <c r="BL95" i="3"/>
  <c r="BH94" i="3"/>
  <c r="BI106" i="3"/>
  <c r="BJ100" i="3"/>
  <c r="BL98" i="3"/>
  <c r="BJ98" i="3"/>
  <c r="BL96" i="3"/>
  <c r="BK107" i="3"/>
  <c r="BL101" i="3"/>
  <c r="BH91" i="3"/>
  <c r="BG84" i="3"/>
  <c r="BK90" i="3"/>
  <c r="BH89" i="3"/>
  <c r="BI92" i="3"/>
  <c r="BI87" i="3"/>
  <c r="BJ103" i="3"/>
  <c r="BG97" i="3"/>
  <c r="BK86" i="3"/>
  <c r="BI93" i="3"/>
  <c r="BL91" i="3"/>
  <c r="BK93" i="3"/>
  <c r="BK88" i="3"/>
  <c r="BI97" i="3"/>
  <c r="BL92" i="3"/>
  <c r="BL87" i="3"/>
  <c r="BJ89" i="3"/>
  <c r="BG104" i="3"/>
  <c r="BH88" i="3"/>
  <c r="BH86" i="3"/>
  <c r="BJ107" i="3"/>
  <c r="BJ102" i="3"/>
  <c r="BK91" i="3"/>
  <c r="BI102" i="3"/>
  <c r="BI88" i="3"/>
  <c r="BG99" i="3"/>
  <c r="BL85" i="3"/>
  <c r="BJ96" i="3"/>
  <c r="BH107" i="3"/>
  <c r="BG94" i="3"/>
  <c r="BK104" i="3"/>
  <c r="BG100" i="3"/>
  <c r="BJ95" i="3"/>
  <c r="BJ90" i="3"/>
  <c r="BI85" i="3"/>
  <c r="BK106" i="3"/>
  <c r="BL90" i="3"/>
  <c r="BL88" i="3"/>
  <c r="BH92" i="3"/>
  <c r="BH105" i="3"/>
  <c r="BG93" i="3"/>
  <c r="BK103" i="3"/>
  <c r="BK89" i="3"/>
  <c r="BI100" i="3"/>
  <c r="BH87" i="3"/>
  <c r="BL97" i="3"/>
  <c r="BK84" i="3"/>
  <c r="BI95" i="3"/>
  <c r="BG106" i="3"/>
  <c r="BK102" i="3"/>
  <c r="BH98" i="3"/>
  <c r="BH93" i="3"/>
  <c r="BG88" i="3"/>
  <c r="BH84" i="3"/>
  <c r="BJ93" i="3"/>
  <c r="BJ91" i="3"/>
  <c r="BJ86" i="3"/>
  <c r="BL107" i="3"/>
  <c r="BI94" i="3"/>
  <c r="BG105" i="3"/>
  <c r="BG91" i="3"/>
  <c r="BK101" i="3"/>
  <c r="BJ88" i="3"/>
  <c r="BH99" i="3"/>
  <c r="BG86" i="3"/>
  <c r="BK96" i="3"/>
  <c r="BI107" i="3"/>
  <c r="BI98" i="3"/>
  <c r="BI84" i="3"/>
  <c r="BG95" i="3"/>
  <c r="BK105" i="3"/>
  <c r="BJ92" i="3"/>
  <c r="BH103" i="3"/>
  <c r="BG90" i="3"/>
  <c r="BK100" i="3"/>
  <c r="BI89" i="3"/>
  <c r="BL84" i="3"/>
  <c r="BH106" i="3"/>
  <c r="BH101" i="3"/>
  <c r="BG96" i="3"/>
  <c r="BL102" i="3"/>
  <c r="BJ101" i="3"/>
  <c r="BJ99" i="3"/>
  <c r="BJ94" i="3"/>
  <c r="BK87" i="3"/>
  <c r="BG92" i="3"/>
  <c r="BJ87" i="3"/>
  <c r="BH100" i="3"/>
  <c r="BL103" i="3"/>
  <c r="BK98" i="3"/>
  <c r="BJ105" i="3"/>
  <c r="BH104" i="3"/>
  <c r="BH102" i="3"/>
  <c r="BH97" i="3"/>
  <c r="BG89" i="3"/>
  <c r="BK99" i="3"/>
  <c r="BK85" i="3"/>
  <c r="BI96" i="3"/>
  <c r="BG107" i="3"/>
  <c r="BL93" i="3"/>
  <c r="BJ104" i="3"/>
  <c r="BI91" i="3"/>
  <c r="BG102" i="3"/>
  <c r="BK94" i="3"/>
  <c r="BH90" i="3"/>
  <c r="BH85" i="3"/>
  <c r="BJ106" i="3"/>
  <c r="BI101" i="3"/>
  <c r="BJ85" i="3"/>
  <c r="BL106" i="3"/>
  <c r="BL104" i="3"/>
  <c r="BL99" i="3"/>
  <c r="BI90" i="3"/>
  <c r="BG101" i="3"/>
  <c r="BG87" i="3"/>
  <c r="BK97" i="3"/>
  <c r="BJ84" i="3"/>
  <c r="BH95" i="3"/>
  <c r="BL105" i="3"/>
  <c r="BK92" i="3"/>
  <c r="AM24" i="3"/>
  <c r="G251" i="3"/>
  <c r="AU22" i="3"/>
  <c r="AU24" i="3" s="1"/>
  <c r="F252" i="3"/>
  <c r="AE100" i="3"/>
  <c r="AE7" i="3" s="1"/>
  <c r="AI97" i="3"/>
  <c r="AH97" i="3"/>
  <c r="I246" i="3"/>
  <c r="AH107" i="3"/>
  <c r="B256" i="3"/>
  <c r="K6" i="3" s="1"/>
  <c r="AM24" i="2"/>
  <c r="G108" i="2"/>
  <c r="AR23" i="2"/>
  <c r="AR24" i="2" s="1"/>
  <c r="AH107" i="2"/>
  <c r="N108" i="2"/>
  <c r="AI108" i="2" s="1"/>
  <c r="F246" i="2"/>
  <c r="E252" i="2"/>
  <c r="E118" i="2"/>
  <c r="O100" i="2"/>
  <c r="O7" i="2" s="1"/>
  <c r="N100" i="2"/>
  <c r="N7" i="2" s="1"/>
  <c r="B99" i="2"/>
  <c r="AI97" i="2"/>
  <c r="AH97" i="2"/>
  <c r="AE108" i="2"/>
  <c r="C256" i="2"/>
  <c r="G100" i="2"/>
  <c r="G7" i="2" s="1"/>
  <c r="B256" i="2"/>
  <c r="AV24" i="2"/>
  <c r="BH24" i="2"/>
  <c r="O108" i="2"/>
  <c r="BI107" i="2"/>
  <c r="BG106" i="2"/>
  <c r="BK104" i="2"/>
  <c r="BI103" i="2"/>
  <c r="BG102" i="2"/>
  <c r="BK100" i="2"/>
  <c r="BI99" i="2"/>
  <c r="BG98" i="2"/>
  <c r="BK96" i="2"/>
  <c r="BI95" i="2"/>
  <c r="BG94" i="2"/>
  <c r="BK92" i="2"/>
  <c r="BI91" i="2"/>
  <c r="BG90" i="2"/>
  <c r="BK88" i="2"/>
  <c r="BI87" i="2"/>
  <c r="BG86" i="2"/>
  <c r="BK84" i="2"/>
  <c r="BK107" i="2"/>
  <c r="BI106" i="2"/>
  <c r="BG105" i="2"/>
  <c r="BK103" i="2"/>
  <c r="BI102" i="2"/>
  <c r="BG101" i="2"/>
  <c r="BK99" i="2"/>
  <c r="BI98" i="2"/>
  <c r="BG97" i="2"/>
  <c r="BK95" i="2"/>
  <c r="BI94" i="2"/>
  <c r="BG93" i="2"/>
  <c r="BK91" i="2"/>
  <c r="BI90" i="2"/>
  <c r="BG89" i="2"/>
  <c r="BK87" i="2"/>
  <c r="BI86" i="2"/>
  <c r="BG85" i="2"/>
  <c r="BG107" i="2"/>
  <c r="BI105" i="2"/>
  <c r="BJ103" i="2"/>
  <c r="BK101" i="2"/>
  <c r="BG100" i="2"/>
  <c r="BH98" i="2"/>
  <c r="BI96" i="2"/>
  <c r="BK94" i="2"/>
  <c r="BL92" i="2"/>
  <c r="BG91" i="2"/>
  <c r="BI89" i="2"/>
  <c r="BJ87" i="2"/>
  <c r="BK85" i="2"/>
  <c r="BG84" i="2"/>
  <c r="BL106" i="2"/>
  <c r="BH105" i="2"/>
  <c r="BH103" i="2"/>
  <c r="BJ101" i="2"/>
  <c r="BL99" i="2"/>
  <c r="BL97" i="2"/>
  <c r="BH96" i="2"/>
  <c r="BJ94" i="2"/>
  <c r="BJ92" i="2"/>
  <c r="BL90" i="2"/>
  <c r="BH89" i="2"/>
  <c r="BH87" i="2"/>
  <c r="BJ85" i="2"/>
  <c r="BK106" i="2"/>
  <c r="BL104" i="2"/>
  <c r="BG103" i="2"/>
  <c r="BI101" i="2"/>
  <c r="BJ99" i="2"/>
  <c r="BK97" i="2"/>
  <c r="BG96" i="2"/>
  <c r="BH94" i="2"/>
  <c r="BI92" i="2"/>
  <c r="BK90" i="2"/>
  <c r="BL88" i="2"/>
  <c r="BG87" i="2"/>
  <c r="BI85" i="2"/>
  <c r="BJ106" i="2"/>
  <c r="BJ104" i="2"/>
  <c r="BL102" i="2"/>
  <c r="BH101" i="2"/>
  <c r="BH106" i="2"/>
  <c r="BK102" i="2"/>
  <c r="BH99" i="2"/>
  <c r="BL96" i="2"/>
  <c r="BK93" i="2"/>
  <c r="BH91" i="2"/>
  <c r="BH88" i="2"/>
  <c r="BH85" i="2"/>
  <c r="BL105" i="2"/>
  <c r="BJ102" i="2"/>
  <c r="BG99" i="2"/>
  <c r="BJ96" i="2"/>
  <c r="BJ93" i="2"/>
  <c r="BJ90" i="2"/>
  <c r="BG88" i="2"/>
  <c r="BL84" i="2"/>
  <c r="BJ100" i="2"/>
  <c r="BG92" i="2"/>
  <c r="BJ86" i="2"/>
  <c r="BI100" i="2"/>
  <c r="BL91" i="2"/>
  <c r="BH86" i="2"/>
  <c r="BL103" i="2"/>
  <c r="BJ91" i="2"/>
  <c r="BL85" i="2"/>
  <c r="BK105" i="2"/>
  <c r="BH102" i="2"/>
  <c r="BL98" i="2"/>
  <c r="BL95" i="2"/>
  <c r="BI93" i="2"/>
  <c r="BH90" i="2"/>
  <c r="BL87" i="2"/>
  <c r="BJ84" i="2"/>
  <c r="BH97" i="2"/>
  <c r="BJ105" i="2"/>
  <c r="BL101" i="2"/>
  <c r="BK98" i="2"/>
  <c r="BJ95" i="2"/>
  <c r="BH93" i="2"/>
  <c r="BL89" i="2"/>
  <c r="BL86" i="2"/>
  <c r="BI84" i="2"/>
  <c r="BH104" i="2"/>
  <c r="BI104" i="2"/>
  <c r="BL100" i="2"/>
  <c r="BJ98" i="2"/>
  <c r="BH95" i="2"/>
  <c r="BH92" i="2"/>
  <c r="BK89" i="2"/>
  <c r="BK86" i="2"/>
  <c r="BH84" i="2"/>
  <c r="BL107" i="2"/>
  <c r="BJ97" i="2"/>
  <c r="BG95" i="2"/>
  <c r="BJ89" i="2"/>
  <c r="BJ107" i="2"/>
  <c r="BG104" i="2"/>
  <c r="BI97" i="2"/>
  <c r="BL94" i="2"/>
  <c r="BJ88" i="2"/>
  <c r="BH107" i="2"/>
  <c r="BH100" i="2"/>
  <c r="BL93" i="2"/>
  <c r="BI88" i="2"/>
  <c r="AD100" i="2"/>
  <c r="AD7" i="2" s="1"/>
  <c r="AO22" i="2"/>
  <c r="AO24" i="2" s="1"/>
  <c r="AD108" i="2"/>
  <c r="AI107" i="2"/>
  <c r="V100" i="2"/>
  <c r="V7" i="2" s="1"/>
  <c r="BF24" i="2"/>
  <c r="AI118" i="6" l="1"/>
  <c r="AH118" i="6"/>
  <c r="AC247" i="5"/>
  <c r="AB252" i="5"/>
  <c r="AE246" i="5"/>
  <c r="AD118" i="5"/>
  <c r="V246" i="4"/>
  <c r="U118" i="4"/>
  <c r="T247" i="4"/>
  <c r="S252" i="4"/>
  <c r="AI108" i="3"/>
  <c r="AH108" i="3"/>
  <c r="AH99" i="3"/>
  <c r="AI99" i="3"/>
  <c r="J246" i="3"/>
  <c r="H251" i="3"/>
  <c r="G252" i="3"/>
  <c r="AT8" i="3"/>
  <c r="AT9" i="3"/>
  <c r="AI99" i="2"/>
  <c r="AH99" i="2"/>
  <c r="B100" i="2"/>
  <c r="K6" i="2"/>
  <c r="AT8" i="2"/>
  <c r="AT9" i="2"/>
  <c r="AH108" i="2"/>
  <c r="G246" i="2"/>
  <c r="F252" i="2"/>
  <c r="F118" i="2"/>
  <c r="AF246" i="5" l="1"/>
  <c r="AE118" i="5"/>
  <c r="AD247" i="5"/>
  <c r="AC252" i="5"/>
  <c r="U247" i="4"/>
  <c r="T252" i="4"/>
  <c r="W246" i="4"/>
  <c r="V118" i="4"/>
  <c r="K246" i="3"/>
  <c r="I251" i="3"/>
  <c r="H252" i="3"/>
  <c r="AH100" i="3"/>
  <c r="B7" i="3"/>
  <c r="A7" i="3" s="1"/>
  <c r="AI100" i="3"/>
  <c r="H246" i="2"/>
  <c r="G118" i="2"/>
  <c r="G252" i="2"/>
  <c r="AH100" i="2"/>
  <c r="B7" i="2"/>
  <c r="A7" i="2" s="1"/>
  <c r="AI100" i="2"/>
  <c r="AE247" i="5" l="1"/>
  <c r="AD252" i="5"/>
  <c r="AF118" i="5"/>
  <c r="B246" i="5"/>
  <c r="X246" i="4"/>
  <c r="W118" i="4"/>
  <c r="V247" i="4"/>
  <c r="U252" i="4"/>
  <c r="J251" i="3"/>
  <c r="I252" i="3"/>
  <c r="L246" i="3"/>
  <c r="I246" i="2"/>
  <c r="H252" i="2"/>
  <c r="H118" i="2"/>
  <c r="AF247" i="5" l="1"/>
  <c r="AE252" i="5"/>
  <c r="W247" i="4"/>
  <c r="V252" i="4"/>
  <c r="Y246" i="4"/>
  <c r="X118" i="4"/>
  <c r="M246" i="3"/>
  <c r="K251" i="3"/>
  <c r="J252" i="3"/>
  <c r="I252" i="2"/>
  <c r="I118" i="2"/>
  <c r="J246" i="2"/>
  <c r="B247" i="5" l="1"/>
  <c r="B252" i="5" s="1"/>
  <c r="AF252" i="5"/>
  <c r="AI118" i="5"/>
  <c r="AH118" i="5"/>
  <c r="Z246" i="4"/>
  <c r="X247" i="4"/>
  <c r="W252" i="4"/>
  <c r="L251" i="3"/>
  <c r="K252" i="3"/>
  <c r="N246" i="3"/>
  <c r="J252" i="2"/>
  <c r="J118" i="2"/>
  <c r="K246" i="2"/>
  <c r="Y247" i="4" l="1"/>
  <c r="X252" i="4"/>
  <c r="AA246" i="4"/>
  <c r="O246" i="3"/>
  <c r="M251" i="3"/>
  <c r="L252" i="3"/>
  <c r="K252" i="2"/>
  <c r="K118" i="2"/>
  <c r="L246" i="2"/>
  <c r="AA118" i="4" l="1"/>
  <c r="AB246" i="4"/>
  <c r="Z247" i="4"/>
  <c r="Y252" i="4"/>
  <c r="N251" i="3"/>
  <c r="M252" i="3"/>
  <c r="M118" i="3"/>
  <c r="P246" i="3"/>
  <c r="L252" i="2"/>
  <c r="L118" i="2"/>
  <c r="M246" i="2"/>
  <c r="AA247" i="4" l="1"/>
  <c r="Z252" i="4"/>
  <c r="AC246" i="4"/>
  <c r="Q246" i="3"/>
  <c r="O251" i="3"/>
  <c r="N118" i="3"/>
  <c r="N252" i="3"/>
  <c r="N246" i="2"/>
  <c r="M252" i="2"/>
  <c r="M118" i="2"/>
  <c r="AD246" i="4" l="1"/>
  <c r="AB247" i="4"/>
  <c r="AA252" i="4"/>
  <c r="P251" i="3"/>
  <c r="O252" i="3"/>
  <c r="O118" i="3"/>
  <c r="R246" i="3"/>
  <c r="O246" i="2"/>
  <c r="N118" i="2"/>
  <c r="N252" i="2"/>
  <c r="AC247" i="4" l="1"/>
  <c r="AB252" i="4"/>
  <c r="AE246" i="4"/>
  <c r="S246" i="3"/>
  <c r="Q251" i="3"/>
  <c r="P252" i="3"/>
  <c r="P246" i="2"/>
  <c r="O252" i="2"/>
  <c r="O118" i="2"/>
  <c r="AF246" i="4" l="1"/>
  <c r="AD247" i="4"/>
  <c r="AC252" i="4"/>
  <c r="R251" i="3"/>
  <c r="Q252" i="3"/>
  <c r="Q118" i="3"/>
  <c r="T246" i="3"/>
  <c r="Q246" i="2"/>
  <c r="P252" i="2"/>
  <c r="AE247" i="4" l="1"/>
  <c r="AD252" i="4"/>
  <c r="B246" i="4"/>
  <c r="B118" i="4" s="1"/>
  <c r="U246" i="3"/>
  <c r="S251" i="3"/>
  <c r="R252" i="3"/>
  <c r="R118" i="3"/>
  <c r="Q252" i="2"/>
  <c r="Q118" i="2"/>
  <c r="R246" i="2"/>
  <c r="AF247" i="4" l="1"/>
  <c r="AE252" i="4"/>
  <c r="T251" i="3"/>
  <c r="S118" i="3"/>
  <c r="S252" i="3"/>
  <c r="V246" i="3"/>
  <c r="R252" i="2"/>
  <c r="R118" i="2"/>
  <c r="S246" i="2"/>
  <c r="B247" i="4" l="1"/>
  <c r="B252" i="4" s="1"/>
  <c r="AF252" i="4"/>
  <c r="AI118" i="4"/>
  <c r="AH118" i="4"/>
  <c r="W246" i="3"/>
  <c r="U251" i="3"/>
  <c r="T252" i="3"/>
  <c r="T118" i="3"/>
  <c r="S252" i="2"/>
  <c r="S118" i="2"/>
  <c r="T246" i="2"/>
  <c r="V251" i="3" l="1"/>
  <c r="U118" i="3"/>
  <c r="U252" i="3"/>
  <c r="X246" i="3"/>
  <c r="T252" i="2"/>
  <c r="T118" i="2"/>
  <c r="U246" i="2"/>
  <c r="Y246" i="3" l="1"/>
  <c r="W251" i="3"/>
  <c r="V118" i="3"/>
  <c r="V252" i="3"/>
  <c r="U118" i="2"/>
  <c r="V246" i="2"/>
  <c r="U252" i="2"/>
  <c r="X251" i="3" l="1"/>
  <c r="W252" i="3"/>
  <c r="W118" i="3"/>
  <c r="Z246" i="3"/>
  <c r="W246" i="2"/>
  <c r="V118" i="2"/>
  <c r="V252" i="2"/>
  <c r="AA246" i="3" l="1"/>
  <c r="Y251" i="3"/>
  <c r="X252" i="3"/>
  <c r="X118" i="3"/>
  <c r="X246" i="2"/>
  <c r="W252" i="2"/>
  <c r="W118" i="2"/>
  <c r="Z251" i="3" l="1"/>
  <c r="Y252" i="3"/>
  <c r="AB246" i="3"/>
  <c r="Y246" i="2"/>
  <c r="X252" i="2"/>
  <c r="X118" i="2"/>
  <c r="AC246" i="3" l="1"/>
  <c r="AA251" i="3"/>
  <c r="Z252" i="3"/>
  <c r="Y252" i="2"/>
  <c r="Z246" i="2"/>
  <c r="AB251" i="3" l="1"/>
  <c r="AA252" i="3"/>
  <c r="AA118" i="3"/>
  <c r="AD246" i="3"/>
  <c r="Z252" i="2"/>
  <c r="AA246" i="2"/>
  <c r="AE246" i="3" l="1"/>
  <c r="AC251" i="3"/>
  <c r="AB252" i="3"/>
  <c r="AB118" i="3"/>
  <c r="AA252" i="2"/>
  <c r="AA118" i="2"/>
  <c r="AB246" i="2"/>
  <c r="AD251" i="3" l="1"/>
  <c r="AC118" i="3"/>
  <c r="AC252" i="3"/>
  <c r="AF246" i="3"/>
  <c r="AB252" i="2"/>
  <c r="AB118" i="2"/>
  <c r="AC246" i="2"/>
  <c r="B246" i="3" l="1"/>
  <c r="AE251" i="3"/>
  <c r="AD118" i="3"/>
  <c r="AD252" i="3"/>
  <c r="AC118" i="2"/>
  <c r="AD246" i="2"/>
  <c r="AC252" i="2"/>
  <c r="AF251" i="3" l="1"/>
  <c r="AE252" i="3"/>
  <c r="AE118" i="3"/>
  <c r="AE246" i="2"/>
  <c r="AD118" i="2"/>
  <c r="AD252" i="2"/>
  <c r="B251" i="3" l="1"/>
  <c r="AF252" i="3"/>
  <c r="AF118" i="3"/>
  <c r="AF246" i="2"/>
  <c r="AE252" i="2"/>
  <c r="AE118" i="2"/>
  <c r="B252" i="3" l="1"/>
  <c r="AF252" i="2"/>
  <c r="AF118" i="2"/>
  <c r="B246" i="2"/>
  <c r="AI118" i="3" l="1"/>
  <c r="AH118" i="3"/>
  <c r="B252" i="2"/>
  <c r="B118" i="2"/>
  <c r="AI118" i="2" l="1"/>
  <c r="AH1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8F03433-ACC8-4F59-9753-798E543FAFE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F5B60DA-EA39-4156-A276-072457C112D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AEB38F8-DE75-45ED-BBF6-F984CEBBBD6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57BE42C-1553-4971-9B3E-175639058DF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B1A2FBD-79F1-439A-9A46-5550B7EAD27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3E799CA-1006-4917-B3A9-89FB4B607BA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EFA6FBE-C678-4FD4-9D87-5DEDB447EE8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90C32C9-6325-4042-BE42-76D0A07FC1B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D10029F-C08B-4624-BA49-A739ADEB7EF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ADE0B73-AA5E-459B-8F1C-175BEC8F2B5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609454E-E5C6-4368-81F7-337705C9094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5463099-C032-4A0F-A557-D4C029140D2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0773F33-1E6A-4EAE-9B3F-7FA3796D400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68897F6-F6D3-4C29-9DBB-735905B6E86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6FB1DEA-E823-44A5-A385-641414B7476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D999769-4D48-4371-9774-B4E341BA759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4FE360E-8D7F-48BD-8DCE-6EFA373AEE4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DF3F35E-82E9-4D0D-9284-45E26AF9F19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D35764D-0FEE-4A04-9889-653A3C15B88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A5D031D-E15B-43FC-8FCD-9CD70BA0387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B90A319-5D14-4740-8C25-CDEA987741A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589CD0F-1289-4ED7-B6B2-EA384A150EF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A35A037-2D14-4B9E-B773-67FCB363A9D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A733727-B1CE-4294-87AF-D801870049B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EECA96E-52FB-4204-9840-F04EA2FDBD1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028531E-1D6E-404E-A2E9-C5134036FA6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F12EC9C-D532-420D-A91D-73F86EFAAE1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9DDB25F-367F-46CD-8EE0-612D59C5A72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45AE27B-578A-4F9B-ABDA-AFACC44FFFC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1A8C46F-C9BF-49BA-9E7F-13B8100FD41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7C6A3DE-E0DE-407E-9A96-6FE18309EC2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BDD0B30-609C-40BE-83FC-46BDBA954F9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0853558-96A2-4A3A-AE9A-68E3FB5AA7E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BA8F514-00F0-45BD-8A4A-5F55FF3C480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E6AA8A4-4199-4072-AB16-0282F338BED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7C3122B-0A27-46B6-8738-406CBD0A7E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<sst xmlns="http://schemas.openxmlformats.org/spreadsheetml/2006/main" count="10835" uniqueCount="325">
  <si>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</si>
  <si>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</si>
  <si>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</si>
  <si>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</si>
  <si>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</si>
  <si>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</si>
  <si>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</si>
  <si>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</si>
  <si>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</si>
  <si>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</si>
  <si>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</si>
  <si>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</si>
  <si>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</si>
  <si>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</si>
  <si>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</si>
  <si>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</si>
  <si>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</si>
  <si>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</si>
  <si>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</si>
  <si>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</si>
  <si>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Likhu-II(55)</t>
  </si>
  <si>
    <t>Super Dordi (54)</t>
  </si>
  <si>
    <t>Likhu-IV(52.4)</t>
  </si>
  <si>
    <t>Upper Marsyangdi "A"(50)</t>
  </si>
  <si>
    <t xml:space="preserve"> Hrs.</t>
  </si>
  <si>
    <t>Upper Bhotekoshi Khola(45)</t>
  </si>
  <si>
    <t>Super Madi ( 44 )</t>
  </si>
  <si>
    <t>NEA SUB</t>
  </si>
  <si>
    <t>Mistri Khola(42)</t>
  </si>
  <si>
    <t>NEA ROR PROR</t>
  </si>
  <si>
    <t>Upper Chameliya(40)</t>
  </si>
  <si>
    <t>IMPORT</t>
  </si>
  <si>
    <t>Upper Kalanga Gad(38.46)</t>
  </si>
  <si>
    <t>NEA STORAGE</t>
  </si>
  <si>
    <t>Upper Balefi (36)</t>
  </si>
  <si>
    <t>INTERRUPTION</t>
  </si>
  <si>
    <t>Nyadi(30)</t>
  </si>
  <si>
    <t>System_Load</t>
  </si>
  <si>
    <t>Likhu Khola A(29.04)</t>
  </si>
  <si>
    <t>Export</t>
  </si>
  <si>
    <t>Lower Likhu(28)</t>
  </si>
  <si>
    <t>National_Load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</si>
  <si>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</si>
  <si>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</si>
  <si>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</si>
  <si>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</si>
  <si>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</si>
  <si>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</si>
  <si>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</si>
  <si>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</si>
  <si>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</si>
  <si>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</si>
  <si>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</si>
  <si>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Mathilo Solu khola(19.8)</t>
  </si>
  <si>
    <t>Middle Modi (18)</t>
  </si>
  <si>
    <t>Kalanga Gad(15.33)</t>
  </si>
  <si>
    <t>Hewa Khola A(14.9)</t>
  </si>
  <si>
    <t>Sangen(14.8)</t>
  </si>
  <si>
    <t>Ghar khola(14)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</si>
  <si>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</si>
  <si>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</si>
  <si>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</si>
  <si>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</si>
  <si>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</si>
  <si>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</si>
  <si>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</si>
  <si>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</si>
  <si>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Upper Sanigad(10.7)</t>
  </si>
  <si>
    <t>Down Piluwa(10.3)</t>
  </si>
  <si>
    <t>Lower Modi 1(10)</t>
  </si>
  <si>
    <t>Makari Gad(10.0)</t>
  </si>
  <si>
    <t>Mithila Solar PV Electric Project(10)</t>
  </si>
  <si>
    <t>Pure-Solar(10)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</si>
  <si>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</si>
  <si>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</si>
  <si>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</si>
  <si>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</si>
  <si>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</si>
  <si>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</si>
  <si>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</si>
  <si>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</si>
  <si>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</si>
  <si>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</si>
  <si>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</si>
  <si>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</si>
  <si>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</si>
  <si>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Tanakpur</t>
  </si>
  <si>
    <t>TRI(24)</t>
  </si>
  <si>
    <t>Kat</t>
  </si>
  <si>
    <t>GDK(15)</t>
  </si>
  <si>
    <t>Muz</t>
  </si>
  <si>
    <t>DEVI(14.1)</t>
  </si>
  <si>
    <t>Ram</t>
  </si>
  <si>
    <t>MODI(14)</t>
  </si>
  <si>
    <t>Rax</t>
  </si>
  <si>
    <t>SUN(10.05)</t>
  </si>
  <si>
    <t>Sam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</si>
  <si>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</si>
  <si>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</si>
  <si>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</si>
  <si>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</si>
  <si>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</si>
  <si>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</si>
  <si>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</si>
  <si>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</si>
  <si>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</si>
  <si>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</si>
  <si>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</si>
  <si>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</si>
  <si>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</si>
  <si>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</si>
  <si>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</si>
  <si>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</si>
  <si>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</si>
  <si>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</si>
  <si>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</si>
  <si>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</si>
  <si>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SAMPATIYA 132 kV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</si>
  <si>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</si>
  <si>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</si>
  <si>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</si>
  <si>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</si>
  <si>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</si>
  <si>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</si>
  <si>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</si>
  <si>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</si>
  <si>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</si>
  <si>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</si>
  <si>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</si>
  <si>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</si>
  <si>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</si>
  <si>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</si>
  <si>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</si>
  <si>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</si>
  <si>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</si>
  <si>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</si>
  <si>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</si>
  <si>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</si>
  <si>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</si>
  <si>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</si>
  <si>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</si>
  <si>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</si>
  <si>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</si>
  <si>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</si>
  <si>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</si>
  <si>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</si>
  <si>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KHIMTI-LAMOSANGHU</t>
  </si>
  <si>
    <t>LAMOSHANGU-BHAKTAPUR</t>
  </si>
  <si>
    <t>BALAJU-SYUCHATAR</t>
  </si>
  <si>
    <t>DHALKE-NAWALPUR I</t>
  </si>
  <si>
    <t>DHALKE-KHIMTI I</t>
  </si>
  <si>
    <t>DAMAK-DUHABI</t>
  </si>
  <si>
    <t>DHALKE-MIRCHAIYA I</t>
  </si>
  <si>
    <t>MIRCHAIYA LAHAN 2</t>
  </si>
  <si>
    <t>Water Level</t>
  </si>
  <si>
    <t>UTK</t>
  </si>
  <si>
    <t>KGA</t>
  </si>
  <si>
    <t>MMRS</t>
  </si>
  <si>
    <t>MRS</t>
  </si>
  <si>
    <t>CHM</t>
  </si>
  <si>
    <t>KL 1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</si>
  <si>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</si>
  <si>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</si>
  <si>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</si>
  <si>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</si>
  <si>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</si>
  <si>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</si>
  <si>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</si>
  <si>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</si>
  <si>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</si>
  <si>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</si>
  <si>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</si>
  <si>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</si>
  <si>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</si>
  <si>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</si>
  <si>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</si>
  <si>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</si>
  <si>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</si>
  <si>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</si>
  <si>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</si>
  <si>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</si>
  <si>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</si>
  <si>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</si>
  <si>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</si>
  <si>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</si>
  <si>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</si>
  <si>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</si>
  <si>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</si>
  <si>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</si>
  <si>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</si>
  <si>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</si>
  <si>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</si>
  <si>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</si>
  <si>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</si>
  <si>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</si>
  <si>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</si>
  <si>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</si>
  <si>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</si>
  <si>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</si>
  <si>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</si>
  <si>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</si>
  <si>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</si>
  <si>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</si>
  <si>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</si>
  <si>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</si>
  <si>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</si>
  <si>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</si>
  <si>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</si>
  <si>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</si>
  <si>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</si>
  <si>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</si>
  <si>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</si>
  <si>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</si>
  <si>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</si>
  <si>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</si>
  <si>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</si>
  <si>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</si>
  <si>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</si>
  <si>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</si>
  <si>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</si>
  <si>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</si>
  <si>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</si>
  <si>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</si>
  <si>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</si>
  <si>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</si>
  <si>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</si>
  <si>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</si>
  <si>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</si>
  <si>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</si>
  <si>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</si>
  <si>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</si>
  <si>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</si>
  <si>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</si>
  <si>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</si>
  <si>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</si>
  <si>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</si>
  <si>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</si>
  <si>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</si>
  <si>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</si>
  <si>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</si>
  <si>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</si>
  <si>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</si>
  <si>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</si>
  <si>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</si>
  <si>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</si>
  <si>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</si>
  <si>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</si>
  <si>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</si>
  <si>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</si>
  <si>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</si>
  <si>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</si>
  <si>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</si>
  <si>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</si>
  <si>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</si>
  <si>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</si>
  <si>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</si>
  <si>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</si>
  <si>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</si>
  <si>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</si>
  <si>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</si>
  <si>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</si>
  <si>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</si>
  <si>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</si>
  <si>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</si>
  <si>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</si>
  <si>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</si>
  <si>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</si>
  <si>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</si>
  <si>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</si>
  <si>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</si>
  <si>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</si>
  <si>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</si>
  <si>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</si>
  <si>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</si>
  <si>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</si>
  <si>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Morning Peak</t>
  </si>
  <si>
    <t>PEAK SUMMARY</t>
  </si>
  <si>
    <t>NEA(RoR+PRoR)</t>
  </si>
  <si>
    <t>KL1+KL2+KL3</t>
  </si>
  <si>
    <t>Import</t>
  </si>
  <si>
    <t>Total</t>
  </si>
  <si>
    <t>Time</t>
  </si>
  <si>
    <t>Frequency</t>
  </si>
  <si>
    <t>.</t>
  </si>
  <si>
    <t>.38.9</t>
  </si>
  <si>
    <t>885.3.</t>
  </si>
  <si>
    <t>336.5.</t>
  </si>
  <si>
    <t>D</t>
  </si>
  <si>
    <t>A</t>
  </si>
  <si>
    <t>T</t>
  </si>
  <si>
    <t>G</t>
  </si>
  <si>
    <t>O</t>
  </si>
  <si>
    <t>N</t>
  </si>
  <si>
    <t>E</t>
  </si>
  <si>
    <t>88..6</t>
  </si>
  <si>
    <t>P</t>
  </si>
  <si>
    <t>S</t>
  </si>
  <si>
    <t>R</t>
  </si>
  <si>
    <t>B</t>
  </si>
  <si>
    <t>L</t>
  </si>
  <si>
    <t>I</t>
  </si>
  <si>
    <t>Y</t>
  </si>
  <si>
    <t>M</t>
  </si>
  <si>
    <t>C</t>
  </si>
  <si>
    <t>U</t>
  </si>
  <si>
    <t>Likhu 1  (77)</t>
  </si>
  <si>
    <t>Middle Tamor  (73)</t>
  </si>
  <si>
    <t>Nilgiri  (71)</t>
  </si>
  <si>
    <t>Maya Khola (14.9)</t>
  </si>
  <si>
    <t>Mathilo Mailung (14.3)</t>
  </si>
  <si>
    <t>53..7</t>
  </si>
  <si>
    <t>system Disturbed</t>
  </si>
  <si>
    <t>p</t>
  </si>
  <si>
    <t>a</t>
  </si>
  <si>
    <t>r</t>
  </si>
  <si>
    <t>t</t>
  </si>
  <si>
    <t>o</t>
  </si>
  <si>
    <t>i</t>
  </si>
  <si>
    <t>l</t>
  </si>
  <si>
    <t>c</t>
  </si>
  <si>
    <t>s</t>
  </si>
  <si>
    <t>e</t>
  </si>
  <si>
    <t>44.3.</t>
  </si>
  <si>
    <t>1986..33</t>
  </si>
  <si>
    <t>Date: 3081/02/30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</si>
</sst>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13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2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4" fontId="19" fillId="0" borderId="0" xfId="1" applyFont="1" applyAlignment="1">
      <alignment horizontal="center"/>
    </xf>
    <xf numFmtId="164" fontId="19" fillId="0" borderId="0" xfId="1" applyFont="1"/>
    <xf numFmtId="165" fontId="4" fillId="0" borderId="0" xfId="1" applyNumberFormat="1" applyFont="1"/>
    <xf numFmtId="164" fontId="19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3" fillId="0" borderId="24" xfId="1" applyFont="1" applyBorder="1" applyAlignment="1">
      <alignment horizontal="right" vertical="center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6" fontId="13" fillId="9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9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9" fontId="26" fillId="0" borderId="29" xfId="1" applyNumberFormat="1" applyFont="1" applyBorder="1" applyAlignment="1">
      <alignment horizontal="center" vertical="center"/>
    </xf>
    <xf numFmtId="164" fontId="2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2" fontId="26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6" fillId="0" borderId="31" xfId="1" applyNumberFormat="1" applyFont="1" applyBorder="1" applyAlignment="1">
      <alignment horizontal="center" vertical="center"/>
    </xf>
    <xf numFmtId="164" fontId="27" fillId="0" borderId="30" xfId="1" applyFont="1" applyBorder="1" applyAlignment="1">
      <alignment horizontal="right" vertical="center"/>
    </xf>
    <xf numFmtId="166" fontId="13" fillId="10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9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6" fontId="13" fillId="11" borderId="25" xfId="1" applyNumberFormat="1" applyFont="1" applyFill="1" applyBorder="1" applyAlignment="1" applyProtection="1">
      <alignment horizontal="center" vertical="center"/>
      <protection locked="0"/>
    </xf>
    <xf numFmtId="164" fontId="13" fillId="0" borderId="35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4" fontId="13" fillId="0" borderId="36" xfId="1" applyFont="1" applyBorder="1" applyAlignment="1">
      <alignment horizontal="right" vertical="center"/>
    </xf>
    <xf numFmtId="166" fontId="13" fillId="0" borderId="18" xfId="1" applyNumberFormat="1" applyFont="1" applyBorder="1" applyAlignment="1" applyProtection="1">
      <alignment horizontal="center" vertical="center"/>
      <protection locked="0"/>
    </xf>
    <xf numFmtId="169" fontId="26" fillId="0" borderId="23" xfId="1" applyNumberFormat="1" applyFont="1" applyBorder="1" applyAlignment="1">
      <alignment horizontal="center" vertical="center"/>
    </xf>
    <xf numFmtId="164" fontId="17" fillId="0" borderId="37" xfId="1" applyFont="1" applyBorder="1" applyAlignment="1">
      <alignment horizontal="left" vertical="center"/>
    </xf>
    <xf numFmtId="0" fontId="1" fillId="0" borderId="0" xfId="1" applyNumberFormat="1"/>
    <xf numFmtId="166" fontId="1" fillId="0" borderId="0" xfId="1" applyNumberFormat="1"/>
    <xf numFmtId="164" fontId="28" fillId="0" borderId="0" xfId="1" applyFont="1"/>
    <xf numFmtId="164" fontId="13" fillId="0" borderId="38" xfId="1" applyFont="1" applyBorder="1" applyAlignment="1">
      <alignment horizontal="right" vertical="center"/>
    </xf>
    <xf numFmtId="2" fontId="27" fillId="0" borderId="27" xfId="1" applyNumberFormat="1" applyFont="1" applyBorder="1" applyAlignment="1">
      <alignment horizontal="center" vertical="center"/>
    </xf>
    <xf numFmtId="169" fontId="27" fillId="0" borderId="27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left" vertical="center"/>
    </xf>
    <xf numFmtId="169" fontId="13" fillId="0" borderId="31" xfId="1" applyNumberFormat="1" applyFont="1" applyBorder="1" applyAlignment="1">
      <alignment horizontal="center" vertical="center"/>
    </xf>
    <xf numFmtId="166" fontId="13" fillId="0" borderId="25" xfId="1" applyNumberFormat="1" applyFont="1" applyBorder="1" applyAlignment="1">
      <alignment horizontal="center" vertical="center"/>
    </xf>
    <xf numFmtId="166" fontId="13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40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3" fillId="0" borderId="41" xfId="1" applyNumberFormat="1" applyFont="1" applyBorder="1" applyAlignment="1" applyProtection="1">
      <alignment horizontal="center" vertical="center"/>
      <protection locked="0"/>
    </xf>
    <xf numFmtId="164" fontId="13" fillId="0" borderId="42" xfId="1" applyFont="1" applyBorder="1" applyAlignment="1">
      <alignment horizontal="right" vertical="center"/>
    </xf>
    <xf numFmtId="169" fontId="13" fillId="0" borderId="43" xfId="1" applyNumberFormat="1" applyFont="1" applyBorder="1" applyAlignment="1">
      <alignment horizontal="center" vertical="center"/>
    </xf>
    <xf numFmtId="164" fontId="1" fillId="0" borderId="5" xfId="1" applyBorder="1"/>
    <xf numFmtId="166" fontId="13" fillId="12" borderId="44" xfId="1" applyNumberFormat="1" applyFont="1" applyFill="1" applyBorder="1" applyAlignment="1" applyProtection="1">
      <alignment horizontal="center" vertical="center"/>
      <protection locked="0"/>
    </xf>
    <xf numFmtId="169" fontId="17" fillId="0" borderId="45" xfId="1" applyNumberFormat="1" applyFont="1" applyBorder="1" applyAlignment="1">
      <alignment horizontal="center" vertical="center"/>
    </xf>
    <xf numFmtId="166" fontId="13" fillId="0" borderId="46" xfId="1" applyNumberFormat="1" applyFont="1" applyBorder="1" applyAlignment="1">
      <alignment horizontal="center" vertical="center"/>
    </xf>
    <xf numFmtId="169" fontId="13" fillId="0" borderId="29" xfId="1" applyNumberFormat="1" applyFont="1" applyBorder="1" applyAlignment="1">
      <alignment horizontal="center" vertical="center"/>
    </xf>
    <xf numFmtId="164" fontId="1" fillId="0" borderId="49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2" borderId="39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6" fillId="0" borderId="43" xfId="1" applyNumberFormat="1" applyFont="1" applyBorder="1" applyAlignment="1">
      <alignment horizontal="center" vertical="center"/>
    </xf>
    <xf numFmtId="164" fontId="17" fillId="0" borderId="39" xfId="1" applyFont="1" applyBorder="1" applyAlignment="1">
      <alignment horizontal="center" vertical="center"/>
    </xf>
    <xf numFmtId="164" fontId="13" fillId="0" borderId="50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1" xfId="1" applyNumberFormat="1" applyFont="1" applyBorder="1" applyAlignment="1">
      <alignment horizontal="center" vertical="center"/>
    </xf>
    <xf numFmtId="164" fontId="13" fillId="0" borderId="52" xfId="1" applyFont="1" applyBorder="1" applyAlignment="1">
      <alignment horizontal="right" vertical="center"/>
    </xf>
    <xf numFmtId="169" fontId="13" fillId="0" borderId="53" xfId="1" applyNumberFormat="1" applyFont="1" applyBorder="1" applyAlignment="1">
      <alignment horizontal="center" vertical="center"/>
    </xf>
    <xf numFmtId="164" fontId="13" fillId="0" borderId="5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3" xfId="1" applyNumberFormat="1" applyFont="1" applyBorder="1" applyAlignment="1">
      <alignment horizontal="center"/>
    </xf>
    <xf numFmtId="169" fontId="13" fillId="0" borderId="55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6" fontId="17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4" fontId="13" fillId="0" borderId="50" xfId="1" applyFont="1" applyBorder="1" applyAlignment="1">
      <alignment horizontal="right" vertical="center" indent="1"/>
    </xf>
    <xf numFmtId="166" fontId="13" fillId="0" borderId="56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52" xfId="1" applyFont="1" applyBorder="1" applyAlignment="1">
      <alignment horizontal="right" vertical="center" indent="1"/>
    </xf>
    <xf numFmtId="166" fontId="13" fillId="0" borderId="46" xfId="1" applyNumberFormat="1" applyFont="1" applyBorder="1" applyAlignment="1" applyProtection="1">
      <alignment horizontal="center" vertical="center"/>
      <protection locked="0"/>
    </xf>
    <xf numFmtId="166" fontId="13" fillId="0" borderId="57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7" fillId="0" borderId="50" xfId="1" applyFont="1" applyBorder="1" applyAlignment="1">
      <alignment vertical="center"/>
    </xf>
    <xf numFmtId="2" fontId="29" fillId="0" borderId="2" xfId="1" applyNumberFormat="1" applyFont="1" applyBorder="1" applyAlignment="1">
      <alignment horizontal="center" vertical="center"/>
    </xf>
    <xf numFmtId="2" fontId="29" fillId="0" borderId="4" xfId="1" applyNumberFormat="1" applyFont="1" applyBorder="1" applyAlignment="1">
      <alignment horizontal="center" vertical="center"/>
    </xf>
    <xf numFmtId="164" fontId="17" fillId="0" borderId="52" xfId="1" applyFont="1" applyBorder="1" applyAlignment="1">
      <alignment horizontal="right" vertical="center" indent="1"/>
    </xf>
    <xf numFmtId="2" fontId="29" fillId="0" borderId="25" xfId="1" applyNumberFormat="1" applyFont="1" applyBorder="1" applyAlignment="1">
      <alignment horizontal="center" vertical="center"/>
    </xf>
    <xf numFmtId="2" fontId="29" fillId="0" borderId="58" xfId="1" applyNumberFormat="1" applyFont="1" applyBorder="1" applyAlignment="1">
      <alignment horizontal="center" vertical="center"/>
    </xf>
    <xf numFmtId="164" fontId="1" fillId="0" borderId="59" xfId="1" applyBorder="1" applyAlignment="1">
      <alignment horizontal="center"/>
    </xf>
    <xf numFmtId="2" fontId="29" fillId="0" borderId="6" xfId="1" applyNumberFormat="1" applyFont="1" applyBorder="1" applyAlignment="1">
      <alignment horizontal="center" vertical="center"/>
    </xf>
    <xf numFmtId="2" fontId="29" fillId="0" borderId="41" xfId="1" applyNumberFormat="1" applyFont="1" applyBorder="1" applyAlignment="1">
      <alignment horizontal="center" vertical="center"/>
    </xf>
    <xf numFmtId="2" fontId="29" fillId="0" borderId="8" xfId="1" applyNumberFormat="1" applyFont="1" applyBorder="1" applyAlignment="1">
      <alignment horizontal="center" vertical="center"/>
    </xf>
    <xf numFmtId="2" fontId="29" fillId="0" borderId="10" xfId="1" applyNumberFormat="1" applyFont="1" applyBorder="1" applyAlignment="1">
      <alignment horizontal="center" vertical="center"/>
    </xf>
    <xf numFmtId="164" fontId="17" fillId="0" borderId="49" xfId="1" applyFont="1" applyBorder="1" applyAlignment="1">
      <alignment vertical="center"/>
    </xf>
    <xf numFmtId="164" fontId="1" fillId="0" borderId="60" xfId="1" applyBorder="1" applyAlignment="1">
      <alignment horizontal="center"/>
    </xf>
    <xf numFmtId="164" fontId="0" fillId="0" borderId="60" xfId="1" applyFont="1" applyBorder="1" applyAlignment="1">
      <alignment horizontal="center"/>
    </xf>
    <xf numFmtId="169" fontId="1" fillId="0" borderId="60" xfId="1" applyNumberFormat="1" applyBorder="1" applyAlignment="1">
      <alignment horizontal="center"/>
    </xf>
    <xf numFmtId="164" fontId="13" fillId="0" borderId="61" xfId="1" applyFont="1" applyBorder="1" applyAlignment="1">
      <alignment horizontal="right" vertical="center"/>
    </xf>
    <xf numFmtId="2" fontId="13" fillId="0" borderId="25" xfId="1" applyNumberFormat="1" applyFont="1" applyBorder="1" applyAlignment="1">
      <alignment horizontal="center" vertical="center"/>
    </xf>
    <xf numFmtId="2" fontId="13" fillId="0" borderId="25" xfId="1" applyNumberFormat="1" applyFont="1" applyBorder="1" applyAlignment="1" applyProtection="1">
      <alignment horizontal="center" vertical="center"/>
      <protection locked="0"/>
    </xf>
    <xf numFmtId="169" fontId="26" fillId="0" borderId="58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 applyProtection="1">
      <alignment horizontal="center" vertical="center"/>
      <protection locked="0"/>
    </xf>
    <xf numFmtId="169" fontId="26" fillId="0" borderId="41" xfId="1" applyNumberFormat="1" applyFont="1" applyBorder="1" applyAlignment="1">
      <alignment horizontal="center" vertical="center"/>
    </xf>
    <xf numFmtId="164" fontId="13" fillId="0" borderId="62" xfId="1" applyFont="1" applyBorder="1" applyAlignment="1">
      <alignment horizontal="right" vertical="center"/>
    </xf>
    <xf numFmtId="169" fontId="26" fillId="0" borderId="63" xfId="1" applyNumberFormat="1" applyFont="1" applyBorder="1" applyAlignment="1">
      <alignment horizontal="center" vertical="center"/>
    </xf>
    <xf numFmtId="2" fontId="13" fillId="0" borderId="27" xfId="1" applyNumberFormat="1" applyFont="1" applyBorder="1" applyAlignment="1">
      <alignment horizontal="center" vertical="center"/>
    </xf>
    <xf numFmtId="2" fontId="13" fillId="0" borderId="18" xfId="1" applyNumberFormat="1" applyFont="1" applyBorder="1" applyAlignment="1" applyProtection="1">
      <alignment horizontal="center" vertical="center"/>
      <protection locked="0"/>
    </xf>
    <xf numFmtId="164" fontId="13" fillId="0" borderId="37" xfId="1" applyFont="1" applyBorder="1" applyAlignment="1">
      <alignment vertical="center"/>
    </xf>
    <xf numFmtId="2" fontId="13" fillId="0" borderId="64" xfId="1" applyNumberFormat="1" applyFont="1" applyBorder="1" applyAlignment="1">
      <alignment horizontal="center" vertical="center"/>
    </xf>
    <xf numFmtId="2" fontId="13" fillId="0" borderId="33" xfId="1" applyNumberFormat="1" applyFont="1" applyBorder="1" applyAlignment="1">
      <alignment horizontal="center" vertical="center"/>
    </xf>
    <xf numFmtId="2" fontId="13" fillId="0" borderId="65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0" fillId="0" borderId="4" xfId="1" applyNumberFormat="1" applyFont="1" applyBorder="1" applyAlignment="1">
      <alignment horizontal="center" vertical="center"/>
    </xf>
    <xf numFmtId="169" fontId="30" fillId="0" borderId="41" xfId="1" applyNumberFormat="1" applyFont="1" applyBorder="1" applyAlignment="1">
      <alignment horizontal="center" vertical="center"/>
    </xf>
    <xf numFmtId="169" fontId="30" fillId="0" borderId="63" xfId="1" applyNumberFormat="1" applyFont="1" applyBorder="1" applyAlignment="1">
      <alignment horizontal="center" vertical="center"/>
    </xf>
    <xf numFmtId="164" fontId="13" fillId="0" borderId="64" xfId="1" applyFont="1" applyBorder="1" applyAlignment="1">
      <alignment horizontal="right" vertical="center"/>
    </xf>
    <xf numFmtId="169" fontId="1" fillId="0" borderId="66" xfId="1" applyNumberFormat="1" applyBorder="1" applyAlignment="1">
      <alignment horizontal="center"/>
    </xf>
    <xf numFmtId="164" fontId="13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1" fillId="13" borderId="6" xfId="1" applyNumberFormat="1" applyFont="1" applyFill="1" applyBorder="1" applyAlignment="1">
      <alignment horizontal="center"/>
    </xf>
    <xf numFmtId="164" fontId="32" fillId="15" borderId="0" xfId="1" applyFont="1" applyFill="1"/>
    <xf numFmtId="164" fontId="1" fillId="16" borderId="0" xfId="1" applyFill="1" applyProtection="1">
      <protection locked="0"/>
    </xf>
    <xf numFmtId="165" fontId="1" fillId="16" borderId="0" xfId="1" applyNumberFormat="1" applyFill="1" applyProtection="1">
      <protection locked="0"/>
    </xf>
    <xf numFmtId="166" fontId="17" fillId="0" borderId="25" xfId="1" applyNumberFormat="1" applyFont="1" applyBorder="1" applyAlignment="1" applyProtection="1">
      <alignment horizontal="center" vertical="center"/>
      <protection locked="0"/>
    </xf>
    <xf numFmtId="164" fontId="32" fillId="14" borderId="0" xfId="1" applyFont="1" applyFill="1" applyAlignment="1">
      <alignment horizont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4" fontId="17" fillId="0" borderId="17" xfId="1" applyFont="1" applyBorder="1" applyAlignment="1">
      <alignment horizontal="left" vertical="top" wrapText="1"/>
    </xf>
    <xf numFmtId="164" fontId="17" fillId="0" borderId="21" xfId="1" applyFont="1" applyBorder="1" applyAlignment="1">
      <alignment horizontal="left" vertical="top" wrapText="1"/>
    </xf>
    <xf numFmtId="167" fontId="13" fillId="0" borderId="18" xfId="1" applyNumberFormat="1" applyFont="1" applyBorder="1" applyAlignment="1">
      <alignment horizontal="center" vertical="center"/>
    </xf>
    <xf numFmtId="167" fontId="13" fillId="0" borderId="22" xfId="1" applyNumberFormat="1" applyFont="1" applyBorder="1" applyAlignment="1">
      <alignment horizontal="center" vertical="center"/>
    </xf>
    <xf numFmtId="167" fontId="13" fillId="7" borderId="19" xfId="1" applyNumberFormat="1" applyFont="1" applyFill="1" applyBorder="1" applyAlignment="1">
      <alignment horizontal="center" vertical="center"/>
    </xf>
    <xf numFmtId="167" fontId="13" fillId="7" borderId="22" xfId="1" applyNumberFormat="1" applyFont="1" applyFill="1" applyBorder="1" applyAlignment="1">
      <alignment horizontal="center" vertical="center"/>
    </xf>
    <xf numFmtId="167" fontId="13" fillId="0" borderId="19" xfId="1" applyNumberFormat="1" applyFont="1" applyBorder="1" applyAlignment="1">
      <alignment horizontal="center" vertical="center"/>
    </xf>
    <xf numFmtId="166" fontId="17" fillId="12" borderId="47" xfId="1" applyNumberFormat="1" applyFont="1" applyFill="1" applyBorder="1" applyAlignment="1">
      <alignment horizontal="center" vertical="center"/>
    </xf>
    <xf numFmtId="166" fontId="17" fillId="12" borderId="48" xfId="1" applyNumberFormat="1" applyFont="1" applyFill="1" applyBorder="1" applyAlignment="1">
      <alignment horizontal="center" vertical="center"/>
    </xf>
    <xf numFmtId="164" fontId="32" fillId="14" borderId="0" xfId="1" applyFont="1" applyFill="1" applyAlignment="1">
      <alignment horizontal="center"/>
    </xf>
    <xf numFmtId="168" fontId="25" fillId="8" borderId="20" xfId="1" applyNumberFormat="1" applyFont="1" applyFill="1" applyBorder="1" applyAlignment="1">
      <alignment horizontal="center" vertical="center" wrapText="1"/>
    </xf>
    <xf numFmtId="168" fontId="25" fillId="8" borderId="23" xfId="1" applyNumberFormat="1" applyFont="1" applyFill="1" applyBorder="1" applyAlignment="1">
      <alignment horizontal="center" vertical="center" wrapText="1"/>
    </xf>
    <xf numFmtId="166" fontId="35" fillId="0" borderId="67" xfId="1" applyNumberFormat="1" applyFont="1" applyBorder="1" applyAlignment="1" applyProtection="1">
      <alignment horizontal="center" vertical="center" wrapText="1"/>
      <protection locked="0"/>
    </xf>
    <xf numFmtId="166" fontId="35" fillId="0" borderId="68" xfId="1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/>
    <xf numFmtId="167" fontId="0" fillId="0" borderId="6" xfId="0" applyNumberFormat="1" applyBorder="1"/>
    <xf numFmtId="164" fontId="0" fillId="0" borderId="6" xfId="0" applyNumberFormat="1" applyBorder="1"/>
    <xf numFmtId="166" fontId="0" fillId="0" borderId="6" xfId="0" applyNumberFormat="1" applyBorder="1"/>
  </cellXfs>
  <cellStyles count="3">
    <cellStyle name="Comma 2" xfId="2" xr:uid="{BF4553A0-EC7F-4234-94F3-921D1B5C4024}"/>
    <cellStyle name="Normal" xfId="0" builtinId="0"/>
    <cellStyle name="Normal 2" xfId="1" xr:uid="{64DD5888-3AFC-4684-BB7D-F5B163922ED4}"/>
  </cellStyles>
  <dxfs count="4638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51-404C-875A-C0D1A40684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51-404C-875A-C0D1A40684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51-404C-875A-C0D1A40684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51-404C-875A-C0D1A40684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51-404C-875A-C0D1A40684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651-404C-875A-C0D1A40684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'01'!$AM$16:$BJ$16</c:f>
              <c:numCache>
                <c:formatCode>General</c:formatCode>
                <c:ptCount val="24"/>
                <c:pt idx="0">
                  <c:v>539.29999999999995</c:v>
                </c:pt>
                <c:pt idx="1">
                  <c:v>536.70000000000005</c:v>
                </c:pt>
                <c:pt idx="2">
                  <c:v>536.70000000000005</c:v>
                </c:pt>
                <c:pt idx="3">
                  <c:v>536.70000000000005</c:v>
                </c:pt>
                <c:pt idx="4">
                  <c:v>536.70000000000005</c:v>
                </c:pt>
                <c:pt idx="5">
                  <c:v>536.70000000000005</c:v>
                </c:pt>
                <c:pt idx="6">
                  <c:v>536.70000000000005</c:v>
                </c:pt>
                <c:pt idx="7">
                  <c:v>536.70000000000005</c:v>
                </c:pt>
                <c:pt idx="8">
                  <c:v>514.5</c:v>
                </c:pt>
                <c:pt idx="9">
                  <c:v>514.5</c:v>
                </c:pt>
                <c:pt idx="10">
                  <c:v>517</c:v>
                </c:pt>
                <c:pt idx="11">
                  <c:v>517</c:v>
                </c:pt>
                <c:pt idx="12">
                  <c:v>518.80000000000007</c:v>
                </c:pt>
                <c:pt idx="13">
                  <c:v>518.80000000000007</c:v>
                </c:pt>
                <c:pt idx="14">
                  <c:v>518.80000000000007</c:v>
                </c:pt>
                <c:pt idx="15">
                  <c:v>518.80000000000007</c:v>
                </c:pt>
                <c:pt idx="16">
                  <c:v>518.80000000000007</c:v>
                </c:pt>
                <c:pt idx="17">
                  <c:v>518.80000000000007</c:v>
                </c:pt>
                <c:pt idx="18" formatCode="0.0">
                  <c:v>518.80000000000007</c:v>
                </c:pt>
                <c:pt idx="19" formatCode="0.0">
                  <c:v>518.80000000000007</c:v>
                </c:pt>
                <c:pt idx="20" formatCode="0.0">
                  <c:v>515.5</c:v>
                </c:pt>
                <c:pt idx="21" formatCode="0.0">
                  <c:v>515.70000000000005</c:v>
                </c:pt>
                <c:pt idx="22" formatCode="0.0">
                  <c:v>527.10000000000014</c:v>
                </c:pt>
                <c:pt idx="23" formatCode="0.0">
                  <c:v>528.10000000000014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1-4DFD-8307-7CDF83377CC6}"/>
            </c:ext>
          </c:extLst>
        </c:ser>
        <c:ser>
          <c:idx val="2"/>
          <c:order val="1"/>
          <c:tx>
            <c:strRef>
              <c:f>'01'!$AL$17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'01'!$AM$17:$BJ$17</c:f>
              <c:numCache>
                <c:formatCode>General</c:formatCode>
                <c:ptCount val="24"/>
                <c:pt idx="0">
                  <c:v>200.60000000000002</c:v>
                </c:pt>
                <c:pt idx="1">
                  <c:v>147.80000000000001</c:v>
                </c:pt>
                <c:pt idx="2">
                  <c:v>147.80000000000001</c:v>
                </c:pt>
                <c:pt idx="3">
                  <c:v>178.5</c:v>
                </c:pt>
                <c:pt idx="4">
                  <c:v>124.1</c:v>
                </c:pt>
                <c:pt idx="5">
                  <c:v>138.30000000000001</c:v>
                </c:pt>
                <c:pt idx="6">
                  <c:v>158.30000000000001</c:v>
                </c:pt>
                <c:pt idx="7">
                  <c:v>88.4</c:v>
                </c:pt>
                <c:pt idx="8">
                  <c:v>46.3</c:v>
                </c:pt>
                <c:pt idx="9">
                  <c:v>38.9</c:v>
                </c:pt>
                <c:pt idx="10">
                  <c:v>111.60000000000001</c:v>
                </c:pt>
                <c:pt idx="11">
                  <c:v>111.60000000000001</c:v>
                </c:pt>
                <c:pt idx="12">
                  <c:v>40.700000000000003</c:v>
                </c:pt>
                <c:pt idx="13">
                  <c:v>40</c:v>
                </c:pt>
                <c:pt idx="14">
                  <c:v>55.099999999999994</c:v>
                </c:pt>
                <c:pt idx="15">
                  <c:v>37.4</c:v>
                </c:pt>
                <c:pt idx="16">
                  <c:v>37.4</c:v>
                </c:pt>
                <c:pt idx="17">
                  <c:v>37.4</c:v>
                </c:pt>
                <c:pt idx="18" formatCode="0.0">
                  <c:v>50.6</c:v>
                </c:pt>
                <c:pt idx="19" formatCode="0.0">
                  <c:v>344.3</c:v>
                </c:pt>
                <c:pt idx="20" formatCode="0.0">
                  <c:v>295.20000000000005</c:v>
                </c:pt>
                <c:pt idx="21" formatCode="0.0">
                  <c:v>255</c:v>
                </c:pt>
                <c:pt idx="22" formatCode="0.0">
                  <c:v>244</c:v>
                </c:pt>
                <c:pt idx="23" formatCode="0.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1-4DFD-8307-7CDF83377CC6}"/>
            </c:ext>
          </c:extLst>
        </c:ser>
        <c:ser>
          <c:idx val="3"/>
          <c:order val="2"/>
          <c:tx>
            <c:strRef>
              <c:f>'01'!$AL$18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'01'!$AM$18:$BJ$18</c:f>
              <c:numCache>
                <c:formatCode>General</c:formatCode>
                <c:ptCount val="24"/>
                <c:pt idx="0">
                  <c:v>332.64000000000004</c:v>
                </c:pt>
                <c:pt idx="1">
                  <c:v>268.24</c:v>
                </c:pt>
                <c:pt idx="2">
                  <c:v>262.54000000000002</c:v>
                </c:pt>
                <c:pt idx="3">
                  <c:v>258.24</c:v>
                </c:pt>
                <c:pt idx="4">
                  <c:v>258.24</c:v>
                </c:pt>
                <c:pt idx="5">
                  <c:v>267.83999999999997</c:v>
                </c:pt>
                <c:pt idx="6">
                  <c:v>278.34000000000003</c:v>
                </c:pt>
                <c:pt idx="7">
                  <c:v>293.54000000000002</c:v>
                </c:pt>
                <c:pt idx="8">
                  <c:v>326.34000000000003</c:v>
                </c:pt>
                <c:pt idx="9">
                  <c:v>293.04000000000002</c:v>
                </c:pt>
                <c:pt idx="10">
                  <c:v>291.14</c:v>
                </c:pt>
                <c:pt idx="11">
                  <c:v>270.74000000000007</c:v>
                </c:pt>
                <c:pt idx="12">
                  <c:v>272.44</c:v>
                </c:pt>
                <c:pt idx="13">
                  <c:v>303.44000000000005</c:v>
                </c:pt>
                <c:pt idx="14">
                  <c:v>286.24</c:v>
                </c:pt>
                <c:pt idx="15">
                  <c:v>295.54000000000008</c:v>
                </c:pt>
                <c:pt idx="16">
                  <c:v>289.54000000000008</c:v>
                </c:pt>
                <c:pt idx="17">
                  <c:v>259.04000000000002</c:v>
                </c:pt>
                <c:pt idx="18" formatCode="0.0">
                  <c:v>231.23999999999998</c:v>
                </c:pt>
                <c:pt idx="19" formatCode="0.0">
                  <c:v>353.40000000000009</c:v>
                </c:pt>
                <c:pt idx="20" formatCode="0.0">
                  <c:v>402.6400000000001</c:v>
                </c:pt>
                <c:pt idx="21" formatCode="0.0">
                  <c:v>402.84000000000003</c:v>
                </c:pt>
                <c:pt idx="22" formatCode="0.0">
                  <c:v>359.64000000000004</c:v>
                </c:pt>
                <c:pt idx="23" formatCode="0.0">
                  <c:v>354.74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1-4DFD-8307-7CDF83377CC6}"/>
            </c:ext>
          </c:extLst>
        </c:ser>
        <c:ser>
          <c:idx val="0"/>
          <c:order val="3"/>
          <c:tx>
            <c:strRef>
              <c:f>'01'!$AL$19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'01'!$AM$19:$BJ$19</c:f>
              <c:numCache>
                <c:formatCode>General</c:formatCode>
                <c:ptCount val="24"/>
                <c:pt idx="0">
                  <c:v>71.7</c:v>
                </c:pt>
                <c:pt idx="1">
                  <c:v>108.9</c:v>
                </c:pt>
                <c:pt idx="2">
                  <c:v>159</c:v>
                </c:pt>
                <c:pt idx="3">
                  <c:v>155.1</c:v>
                </c:pt>
                <c:pt idx="4">
                  <c:v>155.4</c:v>
                </c:pt>
                <c:pt idx="5">
                  <c:v>160.1</c:v>
                </c:pt>
                <c:pt idx="6">
                  <c:v>177.8</c:v>
                </c:pt>
                <c:pt idx="7">
                  <c:v>601.80000000000007</c:v>
                </c:pt>
                <c:pt idx="8">
                  <c:v>672.9</c:v>
                </c:pt>
                <c:pt idx="9">
                  <c:v>668.69999999999993</c:v>
                </c:pt>
                <c:pt idx="10">
                  <c:v>700.8</c:v>
                </c:pt>
                <c:pt idx="11">
                  <c:v>737.19999999999993</c:v>
                </c:pt>
                <c:pt idx="12">
                  <c:v>768.9</c:v>
                </c:pt>
                <c:pt idx="13">
                  <c:v>795.39999999999986</c:v>
                </c:pt>
                <c:pt idx="14">
                  <c:v>856.80000000000007</c:v>
                </c:pt>
                <c:pt idx="15">
                  <c:v>834</c:v>
                </c:pt>
                <c:pt idx="16">
                  <c:v>817.5</c:v>
                </c:pt>
                <c:pt idx="17">
                  <c:v>759.19999999999993</c:v>
                </c:pt>
                <c:pt idx="18" formatCode="0.0">
                  <c:v>630.9</c:v>
                </c:pt>
                <c:pt idx="19" formatCode="0.0">
                  <c:v>267.3</c:v>
                </c:pt>
                <c:pt idx="20" formatCode="0.0">
                  <c:v>267.5</c:v>
                </c:pt>
                <c:pt idx="21" formatCode="0.0">
                  <c:v>282.10000000000002</c:v>
                </c:pt>
                <c:pt idx="22" formatCode="0.0">
                  <c:v>239.1</c:v>
                </c:pt>
                <c:pt idx="23" formatCode="0.0">
                  <c:v>287.2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81-4DFD-8307-7CDF83377CC6}"/>
            </c:ext>
          </c:extLst>
        </c:ser>
        <c:ser>
          <c:idx val="4"/>
          <c:order val="4"/>
          <c:tx>
            <c:strRef>
              <c:f>'01'!$AL$20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'01'!$AM$20:$BJ$20</c:f>
              <c:numCache>
                <c:formatCode>General</c:formatCode>
                <c:ptCount val="24"/>
                <c:pt idx="0">
                  <c:v>96.100000000000009</c:v>
                </c:pt>
                <c:pt idx="1">
                  <c:v>96.100000000000009</c:v>
                </c:pt>
                <c:pt idx="2">
                  <c:v>97.2</c:v>
                </c:pt>
                <c:pt idx="3">
                  <c:v>62.199999999999996</c:v>
                </c:pt>
                <c:pt idx="4">
                  <c:v>96.9</c:v>
                </c:pt>
                <c:pt idx="5">
                  <c:v>96.9</c:v>
                </c:pt>
                <c:pt idx="6">
                  <c:v>96.9</c:v>
                </c:pt>
                <c:pt idx="7">
                  <c:v>42.1</c:v>
                </c:pt>
                <c:pt idx="8">
                  <c:v>62.9</c:v>
                </c:pt>
                <c:pt idx="9">
                  <c:v>97.5</c:v>
                </c:pt>
                <c:pt idx="10">
                  <c:v>48.300000000000004</c:v>
                </c:pt>
                <c:pt idx="11">
                  <c:v>72.8</c:v>
                </c:pt>
                <c:pt idx="12">
                  <c:v>86.100000000000009</c:v>
                </c:pt>
                <c:pt idx="13">
                  <c:v>96.8</c:v>
                </c:pt>
                <c:pt idx="14">
                  <c:v>98.2</c:v>
                </c:pt>
                <c:pt idx="15">
                  <c:v>98.2</c:v>
                </c:pt>
                <c:pt idx="16">
                  <c:v>98.2</c:v>
                </c:pt>
                <c:pt idx="17">
                  <c:v>98.2</c:v>
                </c:pt>
                <c:pt idx="18" formatCode="0.0">
                  <c:v>62.1</c:v>
                </c:pt>
                <c:pt idx="19" formatCode="0.0">
                  <c:v>97.1</c:v>
                </c:pt>
                <c:pt idx="20" formatCode="0.0">
                  <c:v>99</c:v>
                </c:pt>
                <c:pt idx="21" formatCode="0.0">
                  <c:v>98.9</c:v>
                </c:pt>
                <c:pt idx="22" formatCode="0.0">
                  <c:v>98.8</c:v>
                </c:pt>
                <c:pt idx="23" formatCode="0.0">
                  <c:v>98.8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1-4DFD-8307-7CDF83377CC6}"/>
            </c:ext>
          </c:extLst>
        </c:ser>
        <c:ser>
          <c:idx val="5"/>
          <c:order val="5"/>
          <c:tx>
            <c:strRef>
              <c:f>'01'!$AL$21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81-4DFD-8307-7CDF8337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81-4DFD-8307-7CDF8337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'01'!$AM$22:$BJ$22</c:f>
              <c:numCache>
                <c:formatCode>General</c:formatCode>
                <c:ptCount val="24"/>
                <c:pt idx="0">
                  <c:v>1440.34</c:v>
                </c:pt>
                <c:pt idx="1">
                  <c:v>1357.74</c:v>
                </c:pt>
                <c:pt idx="2">
                  <c:v>1403.24</c:v>
                </c:pt>
                <c:pt idx="3">
                  <c:v>1390.74</c:v>
                </c:pt>
                <c:pt idx="4">
                  <c:v>1371.3400000000001</c:v>
                </c:pt>
                <c:pt idx="5">
                  <c:v>1399.84</c:v>
                </c:pt>
                <c:pt idx="6">
                  <c:v>1468.0400000000002</c:v>
                </c:pt>
                <c:pt idx="7">
                  <c:v>1562.54</c:v>
                </c:pt>
                <c:pt idx="8">
                  <c:v>1622.94</c:v>
                </c:pt>
                <c:pt idx="9">
                  <c:v>1612.6399999999999</c:v>
                </c:pt>
                <c:pt idx="10">
                  <c:v>1668.84</c:v>
                </c:pt>
                <c:pt idx="11">
                  <c:v>1709.34</c:v>
                </c:pt>
                <c:pt idx="12">
                  <c:v>1686.94</c:v>
                </c:pt>
                <c:pt idx="13">
                  <c:v>1754.4399999999998</c:v>
                </c:pt>
                <c:pt idx="14">
                  <c:v>1815.14</c:v>
                </c:pt>
                <c:pt idx="15">
                  <c:v>1783.9400000000003</c:v>
                </c:pt>
                <c:pt idx="16">
                  <c:v>1761.4400000000003</c:v>
                </c:pt>
                <c:pt idx="17">
                  <c:v>1672.64</c:v>
                </c:pt>
                <c:pt idx="18">
                  <c:v>1693.6399999999999</c:v>
                </c:pt>
                <c:pt idx="19">
                  <c:v>1780.9</c:v>
                </c:pt>
                <c:pt idx="20">
                  <c:v>1779.8400000000001</c:v>
                </c:pt>
                <c:pt idx="21">
                  <c:v>1754.54</c:v>
                </c:pt>
                <c:pt idx="22">
                  <c:v>1818.64</c:v>
                </c:pt>
                <c:pt idx="23">
                  <c:v>1782.8400000000001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281-4DFD-8307-7CDF83377CC6}"/>
            </c:ext>
          </c:extLst>
        </c:ser>
        <c:ser>
          <c:idx val="8"/>
          <c:order val="8"/>
          <c:tx>
            <c:strRef>
              <c:f>'01'!$AL$24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'01'!$AM$24:$BJ$24</c:f>
              <c:numCache>
                <c:formatCode>General</c:formatCode>
                <c:ptCount val="24"/>
                <c:pt idx="0">
                  <c:v>1440.34</c:v>
                </c:pt>
                <c:pt idx="1">
                  <c:v>1357.74</c:v>
                </c:pt>
                <c:pt idx="2">
                  <c:v>1403.24</c:v>
                </c:pt>
                <c:pt idx="3">
                  <c:v>1390.74</c:v>
                </c:pt>
                <c:pt idx="4">
                  <c:v>1371.3400000000001</c:v>
                </c:pt>
                <c:pt idx="5">
                  <c:v>1399.84</c:v>
                </c:pt>
                <c:pt idx="6">
                  <c:v>1468.0400000000002</c:v>
                </c:pt>
                <c:pt idx="7">
                  <c:v>1562.54</c:v>
                </c:pt>
                <c:pt idx="8">
                  <c:v>1622.94</c:v>
                </c:pt>
                <c:pt idx="9">
                  <c:v>1612.6399999999999</c:v>
                </c:pt>
                <c:pt idx="10">
                  <c:v>1668.84</c:v>
                </c:pt>
                <c:pt idx="11">
                  <c:v>1709.34</c:v>
                </c:pt>
                <c:pt idx="12">
                  <c:v>1686.94</c:v>
                </c:pt>
                <c:pt idx="13">
                  <c:v>1754.4399999999998</c:v>
                </c:pt>
                <c:pt idx="14">
                  <c:v>1815.14</c:v>
                </c:pt>
                <c:pt idx="15">
                  <c:v>1783.9400000000003</c:v>
                </c:pt>
                <c:pt idx="16">
                  <c:v>1761.4400000000003</c:v>
                </c:pt>
                <c:pt idx="17">
                  <c:v>1672.64</c:v>
                </c:pt>
                <c:pt idx="18">
                  <c:v>1693.6399999999999</c:v>
                </c:pt>
                <c:pt idx="19">
                  <c:v>1780.9</c:v>
                </c:pt>
                <c:pt idx="20">
                  <c:v>1779.8400000000001</c:v>
                </c:pt>
                <c:pt idx="21">
                  <c:v>1754.54</c:v>
                </c:pt>
                <c:pt idx="22">
                  <c:v>1818.64</c:v>
                </c:pt>
                <c:pt idx="23">
                  <c:v>1782.8400000000001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81-4DFD-8307-7CDF8337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BE-4ECC-88BE-8D4AD0FA77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BE-4ECC-88BE-8D4AD0FA77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BE-4ECC-88BE-8D4AD0FA77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BE-4ECC-88BE-8D4AD0FA77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BE-4ECC-88BE-8D4AD0FA77F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1BE-4ECC-88BE-8D4AD0FA77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'02'!$AM$16:$BJ$16</c:f>
              <c:numCache>
                <c:formatCode>General</c:formatCode>
                <c:ptCount val="24"/>
                <c:pt idx="0">
                  <c:v>528.10000000000014</c:v>
                </c:pt>
                <c:pt idx="1">
                  <c:v>528.10000000000014</c:v>
                </c:pt>
                <c:pt idx="2">
                  <c:v>529.30000000000007</c:v>
                </c:pt>
                <c:pt idx="3">
                  <c:v>529.30000000000007</c:v>
                </c:pt>
                <c:pt idx="4">
                  <c:v>529.30000000000007</c:v>
                </c:pt>
                <c:pt idx="5">
                  <c:v>528.70000000000005</c:v>
                </c:pt>
                <c:pt idx="6">
                  <c:v>524.70000000000005</c:v>
                </c:pt>
                <c:pt idx="7">
                  <c:v>524.70000000000005</c:v>
                </c:pt>
                <c:pt idx="8">
                  <c:v>524.70000000000005</c:v>
                </c:pt>
                <c:pt idx="9">
                  <c:v>524.70000000000005</c:v>
                </c:pt>
                <c:pt idx="10">
                  <c:v>524.70000000000005</c:v>
                </c:pt>
                <c:pt idx="11">
                  <c:v>524.70000000000005</c:v>
                </c:pt>
                <c:pt idx="12">
                  <c:v>524.70000000000005</c:v>
                </c:pt>
                <c:pt idx="13">
                  <c:v>474.90000000000003</c:v>
                </c:pt>
                <c:pt idx="14">
                  <c:v>502.34000000000009</c:v>
                </c:pt>
                <c:pt idx="15">
                  <c:v>503.44000000000005</c:v>
                </c:pt>
                <c:pt idx="16">
                  <c:v>504.64000000000004</c:v>
                </c:pt>
                <c:pt idx="17">
                  <c:v>504.64000000000004</c:v>
                </c:pt>
                <c:pt idx="18" formatCode="0.0">
                  <c:v>516.1400000000001</c:v>
                </c:pt>
                <c:pt idx="19" formatCode="0.0">
                  <c:v>515.6400000000001</c:v>
                </c:pt>
                <c:pt idx="20" formatCode="0.0">
                  <c:v>556.1</c:v>
                </c:pt>
                <c:pt idx="21" formatCode="0.0">
                  <c:v>556.1</c:v>
                </c:pt>
                <c:pt idx="22" formatCode="0.0">
                  <c:v>556.1</c:v>
                </c:pt>
                <c:pt idx="23" formatCode="0.0">
                  <c:v>556.1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0-4B38-890A-9F32FE1EBF88}"/>
            </c:ext>
          </c:extLst>
        </c:ser>
        <c:ser>
          <c:idx val="2"/>
          <c:order val="1"/>
          <c:tx>
            <c:strRef>
              <c:f>'02'!$AL$17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'02'!$AM$17:$BJ$17</c:f>
              <c:numCache>
                <c:formatCode>General</c:formatCode>
                <c:ptCount val="24"/>
                <c:pt idx="0">
                  <c:v>164.2</c:v>
                </c:pt>
                <c:pt idx="1">
                  <c:v>143.69999999999999</c:v>
                </c:pt>
                <c:pt idx="2">
                  <c:v>105.30000000000001</c:v>
                </c:pt>
                <c:pt idx="3">
                  <c:v>126.10000000000001</c:v>
                </c:pt>
                <c:pt idx="4">
                  <c:v>126.10000000000001</c:v>
                </c:pt>
                <c:pt idx="5">
                  <c:v>125.10000000000001</c:v>
                </c:pt>
                <c:pt idx="6">
                  <c:v>196.4</c:v>
                </c:pt>
                <c:pt idx="7">
                  <c:v>40.200000000000003</c:v>
                </c:pt>
                <c:pt idx="8">
                  <c:v>39.5</c:v>
                </c:pt>
                <c:pt idx="9">
                  <c:v>39.5</c:v>
                </c:pt>
                <c:pt idx="10">
                  <c:v>39.5</c:v>
                </c:pt>
                <c:pt idx="11">
                  <c:v>39.5</c:v>
                </c:pt>
                <c:pt idx="12">
                  <c:v>39.5</c:v>
                </c:pt>
                <c:pt idx="13">
                  <c:v>36.9</c:v>
                </c:pt>
                <c:pt idx="14">
                  <c:v>36.6</c:v>
                </c:pt>
                <c:pt idx="15">
                  <c:v>36.5</c:v>
                </c:pt>
                <c:pt idx="16">
                  <c:v>37.400000000000006</c:v>
                </c:pt>
                <c:pt idx="17">
                  <c:v>38.799999999999997</c:v>
                </c:pt>
                <c:pt idx="18" formatCode="0.0">
                  <c:v>42.7</c:v>
                </c:pt>
                <c:pt idx="19" formatCode="0.0">
                  <c:v>350.5</c:v>
                </c:pt>
                <c:pt idx="20" formatCode="0.0">
                  <c:v>400.1</c:v>
                </c:pt>
                <c:pt idx="21" formatCode="0.0">
                  <c:v>351.1</c:v>
                </c:pt>
                <c:pt idx="22" formatCode="0.0">
                  <c:v>261.10000000000002</c:v>
                </c:pt>
                <c:pt idx="23" formatCode="0.0">
                  <c:v>261.10000000000002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0-4B38-890A-9F32FE1EBF88}"/>
            </c:ext>
          </c:extLst>
        </c:ser>
        <c:ser>
          <c:idx val="3"/>
          <c:order val="2"/>
          <c:tx>
            <c:strRef>
              <c:f>'02'!$AL$18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'02'!$AM$18:$BJ$18</c:f>
              <c:numCache>
                <c:formatCode>General</c:formatCode>
                <c:ptCount val="24"/>
                <c:pt idx="0">
                  <c:v>348.73999999999995</c:v>
                </c:pt>
                <c:pt idx="1">
                  <c:v>301.14000000000004</c:v>
                </c:pt>
                <c:pt idx="2">
                  <c:v>278.44000000000005</c:v>
                </c:pt>
                <c:pt idx="3">
                  <c:v>277.74</c:v>
                </c:pt>
                <c:pt idx="4">
                  <c:v>271.64000000000004</c:v>
                </c:pt>
                <c:pt idx="5">
                  <c:v>266.44</c:v>
                </c:pt>
                <c:pt idx="6">
                  <c:v>329.34000000000003</c:v>
                </c:pt>
                <c:pt idx="7">
                  <c:v>302.74000000000007</c:v>
                </c:pt>
                <c:pt idx="8">
                  <c:v>329.34000000000003</c:v>
                </c:pt>
                <c:pt idx="9">
                  <c:v>331.54</c:v>
                </c:pt>
                <c:pt idx="10">
                  <c:v>292.54000000000002</c:v>
                </c:pt>
                <c:pt idx="11">
                  <c:v>331.54</c:v>
                </c:pt>
                <c:pt idx="12">
                  <c:v>343.54</c:v>
                </c:pt>
                <c:pt idx="13">
                  <c:v>218.64</c:v>
                </c:pt>
                <c:pt idx="14">
                  <c:v>288.74</c:v>
                </c:pt>
                <c:pt idx="15">
                  <c:v>280.53999999999996</c:v>
                </c:pt>
                <c:pt idx="16">
                  <c:v>261.83999999999997</c:v>
                </c:pt>
                <c:pt idx="17">
                  <c:v>217.64</c:v>
                </c:pt>
                <c:pt idx="18" formatCode="0.0">
                  <c:v>197.73999999999995</c:v>
                </c:pt>
                <c:pt idx="19" formatCode="0.0">
                  <c:v>334.49999999999994</c:v>
                </c:pt>
                <c:pt idx="20" formatCode="0.0">
                  <c:v>347.23999999999995</c:v>
                </c:pt>
                <c:pt idx="21" formatCode="0.0">
                  <c:v>330.34</c:v>
                </c:pt>
                <c:pt idx="22" formatCode="0.0">
                  <c:v>330.34</c:v>
                </c:pt>
                <c:pt idx="23" formatCode="0.0">
                  <c:v>306.33999999999997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0-4B38-890A-9F32FE1EBF88}"/>
            </c:ext>
          </c:extLst>
        </c:ser>
        <c:ser>
          <c:idx val="0"/>
          <c:order val="3"/>
          <c:tx>
            <c:strRef>
              <c:f>'02'!$AL$19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'02'!$AM$19:$BJ$19</c:f>
              <c:numCache>
                <c:formatCode>General</c:formatCode>
                <c:ptCount val="24"/>
                <c:pt idx="0">
                  <c:v>190.7</c:v>
                </c:pt>
                <c:pt idx="1">
                  <c:v>193.5</c:v>
                </c:pt>
                <c:pt idx="2">
                  <c:v>212.9</c:v>
                </c:pt>
                <c:pt idx="3">
                  <c:v>168.7</c:v>
                </c:pt>
                <c:pt idx="4">
                  <c:v>157.1</c:v>
                </c:pt>
                <c:pt idx="5">
                  <c:v>160.5</c:v>
                </c:pt>
                <c:pt idx="6">
                  <c:v>159</c:v>
                </c:pt>
                <c:pt idx="7">
                  <c:v>645</c:v>
                </c:pt>
                <c:pt idx="8">
                  <c:v>705.5</c:v>
                </c:pt>
                <c:pt idx="9">
                  <c:v>748</c:v>
                </c:pt>
                <c:pt idx="10">
                  <c:v>792</c:v>
                </c:pt>
                <c:pt idx="11">
                  <c:v>744</c:v>
                </c:pt>
                <c:pt idx="12">
                  <c:v>746</c:v>
                </c:pt>
                <c:pt idx="13">
                  <c:v>808.69999999999993</c:v>
                </c:pt>
                <c:pt idx="14">
                  <c:v>870.8</c:v>
                </c:pt>
                <c:pt idx="15">
                  <c:v>879.19999999999993</c:v>
                </c:pt>
                <c:pt idx="16">
                  <c:v>894</c:v>
                </c:pt>
                <c:pt idx="17">
                  <c:v>830.19999999999993</c:v>
                </c:pt>
                <c:pt idx="18" formatCode="0.0">
                  <c:v>659.7</c:v>
                </c:pt>
                <c:pt idx="19" formatCode="0.0">
                  <c:v>180.1</c:v>
                </c:pt>
                <c:pt idx="20" formatCode="0.0">
                  <c:v>137.4</c:v>
                </c:pt>
                <c:pt idx="21" formatCode="0.0">
                  <c:v>149.4</c:v>
                </c:pt>
                <c:pt idx="22" formatCode="0.0">
                  <c:v>149.4</c:v>
                </c:pt>
                <c:pt idx="23" formatCode="0.0">
                  <c:v>85.6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10-4B38-890A-9F32FE1EBF88}"/>
            </c:ext>
          </c:extLst>
        </c:ser>
        <c:ser>
          <c:idx val="4"/>
          <c:order val="4"/>
          <c:tx>
            <c:strRef>
              <c:f>'02'!$AL$20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'02'!$AM$20:$BJ$20</c:f>
              <c:numCache>
                <c:formatCode>General</c:formatCode>
                <c:ptCount val="24"/>
                <c:pt idx="0">
                  <c:v>98.8</c:v>
                </c:pt>
                <c:pt idx="1">
                  <c:v>98.8</c:v>
                </c:pt>
                <c:pt idx="2">
                  <c:v>98.8</c:v>
                </c:pt>
                <c:pt idx="3">
                  <c:v>98.8</c:v>
                </c:pt>
                <c:pt idx="4">
                  <c:v>98.8</c:v>
                </c:pt>
                <c:pt idx="5">
                  <c:v>97.5</c:v>
                </c:pt>
                <c:pt idx="6">
                  <c:v>97.5</c:v>
                </c:pt>
                <c:pt idx="7">
                  <c:v>97.34</c:v>
                </c:pt>
                <c:pt idx="8">
                  <c:v>94.1</c:v>
                </c:pt>
                <c:pt idx="9">
                  <c:v>94.1</c:v>
                </c:pt>
                <c:pt idx="10">
                  <c:v>94.1</c:v>
                </c:pt>
                <c:pt idx="11">
                  <c:v>95.899999999999991</c:v>
                </c:pt>
                <c:pt idx="12">
                  <c:v>94.1</c:v>
                </c:pt>
                <c:pt idx="13">
                  <c:v>98</c:v>
                </c:pt>
                <c:pt idx="14">
                  <c:v>98</c:v>
                </c:pt>
                <c:pt idx="15">
                  <c:v>97.4</c:v>
                </c:pt>
                <c:pt idx="16">
                  <c:v>98</c:v>
                </c:pt>
                <c:pt idx="17">
                  <c:v>97</c:v>
                </c:pt>
                <c:pt idx="18" formatCode="0.0">
                  <c:v>60.7</c:v>
                </c:pt>
                <c:pt idx="19" formatCode="0.0">
                  <c:v>95.8</c:v>
                </c:pt>
                <c:pt idx="20" formatCode="0.0">
                  <c:v>96.300000000000011</c:v>
                </c:pt>
                <c:pt idx="21" formatCode="0.0">
                  <c:v>96.300000000000011</c:v>
                </c:pt>
                <c:pt idx="22" formatCode="0.0">
                  <c:v>96.300000000000011</c:v>
                </c:pt>
                <c:pt idx="23" formatCode="0.0">
                  <c:v>96.300000000000011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10-4B38-890A-9F32FE1EBF88}"/>
            </c:ext>
          </c:extLst>
        </c:ser>
        <c:ser>
          <c:idx val="5"/>
          <c:order val="5"/>
          <c:tx>
            <c:strRef>
              <c:f>'02'!$AL$21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10-4B38-890A-9F32FE1E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-3</c:v>
                </c:pt>
                <c:pt idx="12">
                  <c:v>-4</c:v>
                </c:pt>
                <c:pt idx="13">
                  <c:v>-5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10-4B38-890A-9F32FE1E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'02'!$AM$22:$BJ$22</c:f>
              <c:numCache>
                <c:formatCode>General</c:formatCode>
                <c:ptCount val="24"/>
                <c:pt idx="0">
                  <c:v>1680.5400000000002</c:v>
                </c:pt>
                <c:pt idx="1">
                  <c:v>1615.2400000000002</c:v>
                </c:pt>
                <c:pt idx="2">
                  <c:v>1574.7400000000002</c:v>
                </c:pt>
                <c:pt idx="3">
                  <c:v>1550.64</c:v>
                </c:pt>
                <c:pt idx="4">
                  <c:v>1532.94</c:v>
                </c:pt>
                <c:pt idx="5">
                  <c:v>1528.24</c:v>
                </c:pt>
                <c:pt idx="6">
                  <c:v>1506.94</c:v>
                </c:pt>
                <c:pt idx="7">
                  <c:v>1609.98</c:v>
                </c:pt>
                <c:pt idx="8">
                  <c:v>1693.1399999999999</c:v>
                </c:pt>
                <c:pt idx="9">
                  <c:v>1737.84</c:v>
                </c:pt>
                <c:pt idx="10">
                  <c:v>1742.84</c:v>
                </c:pt>
                <c:pt idx="11">
                  <c:v>1735.64</c:v>
                </c:pt>
                <c:pt idx="12">
                  <c:v>1747.84</c:v>
                </c:pt>
                <c:pt idx="13">
                  <c:v>1637.1399999999999</c:v>
                </c:pt>
                <c:pt idx="14">
                  <c:v>1796.48</c:v>
                </c:pt>
                <c:pt idx="15">
                  <c:v>1797.08</c:v>
                </c:pt>
                <c:pt idx="16">
                  <c:v>1795.88</c:v>
                </c:pt>
                <c:pt idx="17">
                  <c:v>1688.28</c:v>
                </c:pt>
                <c:pt idx="18">
                  <c:v>1476.9800000000002</c:v>
                </c:pt>
                <c:pt idx="19">
                  <c:v>1726.54</c:v>
                </c:pt>
                <c:pt idx="20">
                  <c:v>1787.14</c:v>
                </c:pt>
                <c:pt idx="21">
                  <c:v>1733.24</c:v>
                </c:pt>
                <c:pt idx="22">
                  <c:v>1643.24</c:v>
                </c:pt>
                <c:pt idx="23">
                  <c:v>1555.4399999999998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110-4B38-890A-9F32FE1EBF88}"/>
            </c:ext>
          </c:extLst>
        </c:ser>
        <c:ser>
          <c:idx val="8"/>
          <c:order val="8"/>
          <c:tx>
            <c:strRef>
              <c:f>'02'!$AL$24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'02'!$AM$24:$BJ$24</c:f>
              <c:numCache>
                <c:formatCode>General</c:formatCode>
                <c:ptCount val="24"/>
                <c:pt idx="0">
                  <c:v>1680.5400000000002</c:v>
                </c:pt>
                <c:pt idx="1">
                  <c:v>1615.2400000000002</c:v>
                </c:pt>
                <c:pt idx="2">
                  <c:v>1574.7400000000002</c:v>
                </c:pt>
                <c:pt idx="3">
                  <c:v>1550.64</c:v>
                </c:pt>
                <c:pt idx="4">
                  <c:v>1532.94</c:v>
                </c:pt>
                <c:pt idx="5">
                  <c:v>1528.24</c:v>
                </c:pt>
                <c:pt idx="6">
                  <c:v>1506.94</c:v>
                </c:pt>
                <c:pt idx="7">
                  <c:v>1609.98</c:v>
                </c:pt>
                <c:pt idx="8">
                  <c:v>1693.1399999999999</c:v>
                </c:pt>
                <c:pt idx="9">
                  <c:v>1736.84</c:v>
                </c:pt>
                <c:pt idx="10">
                  <c:v>1740.84</c:v>
                </c:pt>
                <c:pt idx="11">
                  <c:v>1732.64</c:v>
                </c:pt>
                <c:pt idx="12">
                  <c:v>1743.84</c:v>
                </c:pt>
                <c:pt idx="13">
                  <c:v>1632.1399999999999</c:v>
                </c:pt>
                <c:pt idx="14">
                  <c:v>1796.48</c:v>
                </c:pt>
                <c:pt idx="15">
                  <c:v>1797.08</c:v>
                </c:pt>
                <c:pt idx="16">
                  <c:v>1795.88</c:v>
                </c:pt>
                <c:pt idx="17">
                  <c:v>1688.28</c:v>
                </c:pt>
                <c:pt idx="18">
                  <c:v>1476.9800000000002</c:v>
                </c:pt>
                <c:pt idx="19">
                  <c:v>1726.54</c:v>
                </c:pt>
                <c:pt idx="20">
                  <c:v>1787.14</c:v>
                </c:pt>
                <c:pt idx="21">
                  <c:v>1733.24</c:v>
                </c:pt>
                <c:pt idx="22">
                  <c:v>1643.24</c:v>
                </c:pt>
                <c:pt idx="23">
                  <c:v>1555.4399999999998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10-4B38-890A-9F32FE1E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48-425D-AB45-6584906AB5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48-425D-AB45-6584906AB5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48-425D-AB45-6584906AB5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48-425D-AB45-6584906AB5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D48-425D-AB45-6584906AB5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D48-425D-AB45-6584906AB5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'03'!$AM$16:$BJ$16</c:f>
              <c:numCache>
                <c:formatCode>General</c:formatCode>
                <c:ptCount val="24"/>
                <c:pt idx="0">
                  <c:v>551</c:v>
                </c:pt>
                <c:pt idx="1">
                  <c:v>551</c:v>
                </c:pt>
                <c:pt idx="2">
                  <c:v>551</c:v>
                </c:pt>
                <c:pt idx="3">
                  <c:v>551</c:v>
                </c:pt>
                <c:pt idx="4">
                  <c:v>563</c:v>
                </c:pt>
                <c:pt idx="5">
                  <c:v>563</c:v>
                </c:pt>
                <c:pt idx="6">
                  <c:v>563</c:v>
                </c:pt>
                <c:pt idx="7">
                  <c:v>563</c:v>
                </c:pt>
                <c:pt idx="8">
                  <c:v>515.5</c:v>
                </c:pt>
                <c:pt idx="9">
                  <c:v>515.5</c:v>
                </c:pt>
                <c:pt idx="10">
                  <c:v>526.1</c:v>
                </c:pt>
                <c:pt idx="11">
                  <c:v>526.1</c:v>
                </c:pt>
                <c:pt idx="12">
                  <c:v>511.70000000000005</c:v>
                </c:pt>
                <c:pt idx="13">
                  <c:v>514.5</c:v>
                </c:pt>
                <c:pt idx="14">
                  <c:v>514.5</c:v>
                </c:pt>
                <c:pt idx="15">
                  <c:v>514.5</c:v>
                </c:pt>
                <c:pt idx="16">
                  <c:v>514.5</c:v>
                </c:pt>
                <c:pt idx="17">
                  <c:v>514.5</c:v>
                </c:pt>
                <c:pt idx="18" formatCode="0.0">
                  <c:v>514.5</c:v>
                </c:pt>
                <c:pt idx="19" formatCode="0.0">
                  <c:v>514.5</c:v>
                </c:pt>
                <c:pt idx="20" formatCode="0.0">
                  <c:v>512</c:v>
                </c:pt>
                <c:pt idx="21" formatCode="0.0">
                  <c:v>512</c:v>
                </c:pt>
                <c:pt idx="22" formatCode="0.0">
                  <c:v>512</c:v>
                </c:pt>
                <c:pt idx="23" formatCode="0.0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9-450F-933D-0DB4A49A64A7}"/>
            </c:ext>
          </c:extLst>
        </c:ser>
        <c:ser>
          <c:idx val="2"/>
          <c:order val="1"/>
          <c:tx>
            <c:strRef>
              <c:f>'03'!$AL$17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'03'!$AM$17:$BJ$17</c:f>
              <c:numCache>
                <c:formatCode>General</c:formatCode>
                <c:ptCount val="24"/>
                <c:pt idx="0">
                  <c:v>221.10000000000002</c:v>
                </c:pt>
                <c:pt idx="1">
                  <c:v>211.10000000000002</c:v>
                </c:pt>
                <c:pt idx="2">
                  <c:v>231.10000000000002</c:v>
                </c:pt>
                <c:pt idx="3">
                  <c:v>223.10000000000002</c:v>
                </c:pt>
                <c:pt idx="4">
                  <c:v>223.10000000000002</c:v>
                </c:pt>
                <c:pt idx="5">
                  <c:v>202.10000000000002</c:v>
                </c:pt>
                <c:pt idx="6">
                  <c:v>138.69999999999999</c:v>
                </c:pt>
                <c:pt idx="7">
                  <c:v>46</c:v>
                </c:pt>
                <c:pt idx="8">
                  <c:v>46</c:v>
                </c:pt>
                <c:pt idx="9">
                  <c:v>44.9</c:v>
                </c:pt>
                <c:pt idx="10">
                  <c:v>43.7</c:v>
                </c:pt>
                <c:pt idx="11">
                  <c:v>38.700000000000003</c:v>
                </c:pt>
                <c:pt idx="12">
                  <c:v>38.900000000000006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38.799999999999997</c:v>
                </c:pt>
                <c:pt idx="18" formatCode="0.0">
                  <c:v>71.400000000000006</c:v>
                </c:pt>
                <c:pt idx="19" formatCode="0.0">
                  <c:v>324</c:v>
                </c:pt>
                <c:pt idx="20" formatCode="0.0">
                  <c:v>502.8</c:v>
                </c:pt>
                <c:pt idx="21" formatCode="0.0">
                  <c:v>401.6</c:v>
                </c:pt>
                <c:pt idx="22" formatCode="0.0">
                  <c:v>345.5</c:v>
                </c:pt>
                <c:pt idx="23" formatCode="0.0">
                  <c:v>146.5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9-450F-933D-0DB4A49A64A7}"/>
            </c:ext>
          </c:extLst>
        </c:ser>
        <c:ser>
          <c:idx val="3"/>
          <c:order val="2"/>
          <c:tx>
            <c:strRef>
              <c:f>'03'!$AL$18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'03'!$AM$18:$BJ$18</c:f>
              <c:numCache>
                <c:formatCode>General</c:formatCode>
                <c:ptCount val="24"/>
                <c:pt idx="0">
                  <c:v>306.33999999999997</c:v>
                </c:pt>
                <c:pt idx="1">
                  <c:v>306.33999999999997</c:v>
                </c:pt>
                <c:pt idx="2">
                  <c:v>327.33999999999997</c:v>
                </c:pt>
                <c:pt idx="3">
                  <c:v>340.94</c:v>
                </c:pt>
                <c:pt idx="4">
                  <c:v>345.94000000000005</c:v>
                </c:pt>
                <c:pt idx="5">
                  <c:v>345.94000000000005</c:v>
                </c:pt>
                <c:pt idx="6">
                  <c:v>395.64000000000004</c:v>
                </c:pt>
                <c:pt idx="7">
                  <c:v>321.54000000000002</c:v>
                </c:pt>
                <c:pt idx="8">
                  <c:v>299.14000000000004</c:v>
                </c:pt>
                <c:pt idx="9">
                  <c:v>239.54</c:v>
                </c:pt>
                <c:pt idx="10">
                  <c:v>280.24</c:v>
                </c:pt>
                <c:pt idx="11">
                  <c:v>287.44</c:v>
                </c:pt>
                <c:pt idx="12">
                  <c:v>293.29000000000002</c:v>
                </c:pt>
                <c:pt idx="13">
                  <c:v>308.44000000000005</c:v>
                </c:pt>
                <c:pt idx="14">
                  <c:v>304.24</c:v>
                </c:pt>
                <c:pt idx="15">
                  <c:v>302.24</c:v>
                </c:pt>
                <c:pt idx="16">
                  <c:v>300.24</c:v>
                </c:pt>
                <c:pt idx="17">
                  <c:v>283.24</c:v>
                </c:pt>
                <c:pt idx="18" formatCode="0.0">
                  <c:v>312.54000000000002</c:v>
                </c:pt>
                <c:pt idx="19" formatCode="0.0">
                  <c:v>388.9</c:v>
                </c:pt>
                <c:pt idx="20" formatCode="0.0">
                  <c:v>394.53999999999996</c:v>
                </c:pt>
                <c:pt idx="21" formatCode="0.0">
                  <c:v>364.64</c:v>
                </c:pt>
                <c:pt idx="22" formatCode="0.0">
                  <c:v>364.64</c:v>
                </c:pt>
                <c:pt idx="23" formatCode="0.0">
                  <c:v>305.33999999999997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B9-450F-933D-0DB4A49A64A7}"/>
            </c:ext>
          </c:extLst>
        </c:ser>
        <c:ser>
          <c:idx val="0"/>
          <c:order val="3"/>
          <c:tx>
            <c:strRef>
              <c:f>'03'!$AL$19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'03'!$AM$19:$BJ$19</c:f>
              <c:numCache>
                <c:formatCode>General</c:formatCode>
                <c:ptCount val="24"/>
                <c:pt idx="0">
                  <c:v>87</c:v>
                </c:pt>
                <c:pt idx="1">
                  <c:v>92</c:v>
                </c:pt>
                <c:pt idx="2">
                  <c:v>67</c:v>
                </c:pt>
                <c:pt idx="3">
                  <c:v>77.3</c:v>
                </c:pt>
                <c:pt idx="4">
                  <c:v>66.5</c:v>
                </c:pt>
                <c:pt idx="5">
                  <c:v>98</c:v>
                </c:pt>
                <c:pt idx="6">
                  <c:v>148.30000000000001</c:v>
                </c:pt>
                <c:pt idx="7">
                  <c:v>615.70000000000005</c:v>
                </c:pt>
                <c:pt idx="8">
                  <c:v>732.8</c:v>
                </c:pt>
                <c:pt idx="9">
                  <c:v>822.70000000000016</c:v>
                </c:pt>
                <c:pt idx="10">
                  <c:v>856.19999999999993</c:v>
                </c:pt>
                <c:pt idx="11">
                  <c:v>873.2</c:v>
                </c:pt>
                <c:pt idx="12">
                  <c:v>891.3</c:v>
                </c:pt>
                <c:pt idx="13">
                  <c:v>907.19999999999993</c:v>
                </c:pt>
                <c:pt idx="14">
                  <c:v>895.19999999999993</c:v>
                </c:pt>
                <c:pt idx="15">
                  <c:v>891.1</c:v>
                </c:pt>
                <c:pt idx="16">
                  <c:v>867.2</c:v>
                </c:pt>
                <c:pt idx="17">
                  <c:v>841.9</c:v>
                </c:pt>
                <c:pt idx="18" formatCode="0.0">
                  <c:v>638.4</c:v>
                </c:pt>
                <c:pt idx="19" formatCode="0.0">
                  <c:v>191.5</c:v>
                </c:pt>
                <c:pt idx="20" formatCode="0.0">
                  <c:v>154.80000000000001</c:v>
                </c:pt>
                <c:pt idx="21" formatCode="0.0">
                  <c:v>222.70000000000002</c:v>
                </c:pt>
                <c:pt idx="22" formatCode="0.0">
                  <c:v>200.9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9-450F-933D-0DB4A49A64A7}"/>
            </c:ext>
          </c:extLst>
        </c:ser>
        <c:ser>
          <c:idx val="4"/>
          <c:order val="4"/>
          <c:tx>
            <c:strRef>
              <c:f>'03'!$AL$20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'03'!$AM$20:$BJ$20</c:f>
              <c:numCache>
                <c:formatCode>General</c:formatCode>
                <c:ptCount val="24"/>
                <c:pt idx="0">
                  <c:v>96.300000000000011</c:v>
                </c:pt>
                <c:pt idx="1">
                  <c:v>80</c:v>
                </c:pt>
                <c:pt idx="2">
                  <c:v>49</c:v>
                </c:pt>
                <c:pt idx="3">
                  <c:v>30.099999999999998</c:v>
                </c:pt>
                <c:pt idx="4">
                  <c:v>30.099999999999998</c:v>
                </c:pt>
                <c:pt idx="5">
                  <c:v>30.099999999999998</c:v>
                </c:pt>
                <c:pt idx="6">
                  <c:v>74.2</c:v>
                </c:pt>
                <c:pt idx="7">
                  <c:v>62.1</c:v>
                </c:pt>
                <c:pt idx="8">
                  <c:v>62.4</c:v>
                </c:pt>
                <c:pt idx="9">
                  <c:v>62.800000000000004</c:v>
                </c:pt>
                <c:pt idx="10">
                  <c:v>62.4</c:v>
                </c:pt>
                <c:pt idx="11">
                  <c:v>62.4</c:v>
                </c:pt>
                <c:pt idx="12">
                  <c:v>97.5</c:v>
                </c:pt>
                <c:pt idx="13">
                  <c:v>100.2</c:v>
                </c:pt>
                <c:pt idx="14">
                  <c:v>98.4</c:v>
                </c:pt>
                <c:pt idx="15">
                  <c:v>98.4</c:v>
                </c:pt>
                <c:pt idx="16">
                  <c:v>98.300000000000011</c:v>
                </c:pt>
                <c:pt idx="17">
                  <c:v>98.300000000000011</c:v>
                </c:pt>
                <c:pt idx="18" formatCode="0.0">
                  <c:v>99.199999999999989</c:v>
                </c:pt>
                <c:pt idx="19" formatCode="0.0">
                  <c:v>89.1</c:v>
                </c:pt>
                <c:pt idx="20" formatCode="0.0">
                  <c:v>93.4</c:v>
                </c:pt>
                <c:pt idx="21" formatCode="0.0">
                  <c:v>99.2</c:v>
                </c:pt>
                <c:pt idx="22" formatCode="0.0">
                  <c:v>95</c:v>
                </c:pt>
                <c:pt idx="23" formatCode="0.0">
                  <c:v>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B9-450F-933D-0DB4A49A64A7}"/>
            </c:ext>
          </c:extLst>
        </c:ser>
        <c:ser>
          <c:idx val="5"/>
          <c:order val="5"/>
          <c:tx>
            <c:strRef>
              <c:f>'03'!$AL$21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B9-450F-933D-0DB4A49A6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B9-450F-933D-0DB4A49A6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'03'!$AM$22:$BJ$22</c:f>
              <c:numCache>
                <c:formatCode>General</c:formatCode>
                <c:ptCount val="24"/>
                <c:pt idx="0">
                  <c:v>1511.74</c:v>
                </c:pt>
                <c:pt idx="1">
                  <c:v>1490.44</c:v>
                </c:pt>
                <c:pt idx="2">
                  <c:v>1475.44</c:v>
                </c:pt>
                <c:pt idx="3">
                  <c:v>1472.4399999999998</c:v>
                </c:pt>
                <c:pt idx="4">
                  <c:v>1478.6399999999999</c:v>
                </c:pt>
                <c:pt idx="5">
                  <c:v>1489.1399999999999</c:v>
                </c:pt>
                <c:pt idx="6">
                  <c:v>1569.8400000000001</c:v>
                </c:pt>
                <c:pt idx="7">
                  <c:v>1608.34</c:v>
                </c:pt>
                <c:pt idx="8">
                  <c:v>1655.8400000000001</c:v>
                </c:pt>
                <c:pt idx="9">
                  <c:v>1685.44</c:v>
                </c:pt>
                <c:pt idx="10">
                  <c:v>1768.64</c:v>
                </c:pt>
                <c:pt idx="11">
                  <c:v>1787.8400000000001</c:v>
                </c:pt>
                <c:pt idx="12">
                  <c:v>1832.69</c:v>
                </c:pt>
                <c:pt idx="13">
                  <c:v>1869.14</c:v>
                </c:pt>
                <c:pt idx="14">
                  <c:v>1851.1399999999999</c:v>
                </c:pt>
                <c:pt idx="15">
                  <c:v>1845.04</c:v>
                </c:pt>
                <c:pt idx="16">
                  <c:v>1819.04</c:v>
                </c:pt>
                <c:pt idx="17">
                  <c:v>1776.74</c:v>
                </c:pt>
                <c:pt idx="18">
                  <c:v>1636.0400000000002</c:v>
                </c:pt>
                <c:pt idx="19">
                  <c:v>1508</c:v>
                </c:pt>
                <c:pt idx="20">
                  <c:v>1907.54</c:v>
                </c:pt>
                <c:pt idx="21">
                  <c:v>1850.14</c:v>
                </c:pt>
                <c:pt idx="22">
                  <c:v>1768.04</c:v>
                </c:pt>
                <c:pt idx="23">
                  <c:v>1672.34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CB9-450F-933D-0DB4A49A64A7}"/>
            </c:ext>
          </c:extLst>
        </c:ser>
        <c:ser>
          <c:idx val="8"/>
          <c:order val="8"/>
          <c:tx>
            <c:strRef>
              <c:f>'03'!$AL$24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'03'!$AM$24:$BJ$24</c:f>
              <c:numCache>
                <c:formatCode>General</c:formatCode>
                <c:ptCount val="24"/>
                <c:pt idx="0">
                  <c:v>1511.74</c:v>
                </c:pt>
                <c:pt idx="1">
                  <c:v>1490.44</c:v>
                </c:pt>
                <c:pt idx="2">
                  <c:v>1475.44</c:v>
                </c:pt>
                <c:pt idx="3">
                  <c:v>1472.4399999999998</c:v>
                </c:pt>
                <c:pt idx="4">
                  <c:v>1478.6399999999999</c:v>
                </c:pt>
                <c:pt idx="5">
                  <c:v>1489.1399999999999</c:v>
                </c:pt>
                <c:pt idx="6">
                  <c:v>1569.8400000000001</c:v>
                </c:pt>
                <c:pt idx="7">
                  <c:v>1608.34</c:v>
                </c:pt>
                <c:pt idx="8">
                  <c:v>1655.8400000000001</c:v>
                </c:pt>
                <c:pt idx="9">
                  <c:v>1685.44</c:v>
                </c:pt>
                <c:pt idx="10">
                  <c:v>1768.64</c:v>
                </c:pt>
                <c:pt idx="11">
                  <c:v>1787.8400000000001</c:v>
                </c:pt>
                <c:pt idx="12">
                  <c:v>1832.69</c:v>
                </c:pt>
                <c:pt idx="13">
                  <c:v>1869.14</c:v>
                </c:pt>
                <c:pt idx="14">
                  <c:v>1851.1399999999999</c:v>
                </c:pt>
                <c:pt idx="15">
                  <c:v>1845.04</c:v>
                </c:pt>
                <c:pt idx="16">
                  <c:v>1819.04</c:v>
                </c:pt>
                <c:pt idx="17">
                  <c:v>1776.74</c:v>
                </c:pt>
                <c:pt idx="18">
                  <c:v>1636.0400000000002</c:v>
                </c:pt>
                <c:pt idx="19">
                  <c:v>1508</c:v>
                </c:pt>
                <c:pt idx="20">
                  <c:v>1907.54</c:v>
                </c:pt>
                <c:pt idx="21">
                  <c:v>1850.14</c:v>
                </c:pt>
                <c:pt idx="22">
                  <c:v>1768.04</c:v>
                </c:pt>
                <c:pt idx="23">
                  <c:v>1672.34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B9-450F-933D-0DB4A49A6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02-48E3-8B9A-8211CE8A1B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02-48E3-8B9A-8211CE8A1B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02-48E3-8B9A-8211CE8A1B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02-48E3-8B9A-8211CE8A1B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02-48E3-8B9A-8211CE8A1B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002-48E3-8B9A-8211CE8A1B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'04'!$AM$16:$BJ$16</c:f>
              <c:numCache>
                <c:formatCode>General</c:formatCode>
                <c:ptCount val="24"/>
                <c:pt idx="0">
                  <c:v>539</c:v>
                </c:pt>
                <c:pt idx="1">
                  <c:v>539.79999999999995</c:v>
                </c:pt>
                <c:pt idx="2">
                  <c:v>541.70000000000005</c:v>
                </c:pt>
                <c:pt idx="3">
                  <c:v>541.6</c:v>
                </c:pt>
                <c:pt idx="4">
                  <c:v>542.90000000000009</c:v>
                </c:pt>
                <c:pt idx="5">
                  <c:v>539.22</c:v>
                </c:pt>
                <c:pt idx="6">
                  <c:v>539.40000000000009</c:v>
                </c:pt>
                <c:pt idx="7">
                  <c:v>534.20000000000005</c:v>
                </c:pt>
                <c:pt idx="8">
                  <c:v>534.20000000000005</c:v>
                </c:pt>
                <c:pt idx="9">
                  <c:v>528.6</c:v>
                </c:pt>
                <c:pt idx="10">
                  <c:v>528.6</c:v>
                </c:pt>
                <c:pt idx="11">
                  <c:v>528.6</c:v>
                </c:pt>
                <c:pt idx="12">
                  <c:v>504.8</c:v>
                </c:pt>
                <c:pt idx="13">
                  <c:v>504.8</c:v>
                </c:pt>
                <c:pt idx="14">
                  <c:v>517.80000000000007</c:v>
                </c:pt>
                <c:pt idx="15">
                  <c:v>517.80000000000007</c:v>
                </c:pt>
                <c:pt idx="16">
                  <c:v>517.80000000000007</c:v>
                </c:pt>
                <c:pt idx="17">
                  <c:v>517.80000000000007</c:v>
                </c:pt>
                <c:pt idx="18" formatCode="0.0">
                  <c:v>517.80000000000007</c:v>
                </c:pt>
                <c:pt idx="19" formatCode="0.0">
                  <c:v>527.10000000000014</c:v>
                </c:pt>
                <c:pt idx="20" formatCode="0.0">
                  <c:v>561.79999999999995</c:v>
                </c:pt>
                <c:pt idx="21" formatCode="0.0">
                  <c:v>561.79999999999995</c:v>
                </c:pt>
                <c:pt idx="22" formatCode="0.0">
                  <c:v>561.79999999999995</c:v>
                </c:pt>
                <c:pt idx="23" formatCode="0.0">
                  <c:v>561.79999999999995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5-40ED-9248-D6ACDD17A5F7}"/>
            </c:ext>
          </c:extLst>
        </c:ser>
        <c:ser>
          <c:idx val="2"/>
          <c:order val="1"/>
          <c:tx>
            <c:strRef>
              <c:f>'04'!$AL$17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'04'!$AM$17:$BJ$17</c:f>
              <c:numCache>
                <c:formatCode>General</c:formatCode>
                <c:ptCount val="24"/>
                <c:pt idx="0">
                  <c:v>146</c:v>
                </c:pt>
                <c:pt idx="1">
                  <c:v>146.29999999999998</c:v>
                </c:pt>
                <c:pt idx="2">
                  <c:v>147</c:v>
                </c:pt>
                <c:pt idx="3">
                  <c:v>146.6</c:v>
                </c:pt>
                <c:pt idx="4">
                  <c:v>145.5</c:v>
                </c:pt>
                <c:pt idx="5">
                  <c:v>144.1</c:v>
                </c:pt>
                <c:pt idx="6">
                  <c:v>195.10000000000002</c:v>
                </c:pt>
                <c:pt idx="7">
                  <c:v>44.099999999999994</c:v>
                </c:pt>
                <c:pt idx="8">
                  <c:v>42.9</c:v>
                </c:pt>
                <c:pt idx="9">
                  <c:v>42.9</c:v>
                </c:pt>
                <c:pt idx="10">
                  <c:v>43.7</c:v>
                </c:pt>
                <c:pt idx="11">
                  <c:v>43.7</c:v>
                </c:pt>
                <c:pt idx="12">
                  <c:v>39.1</c:v>
                </c:pt>
                <c:pt idx="13">
                  <c:v>39.1</c:v>
                </c:pt>
                <c:pt idx="14">
                  <c:v>34.900000000000006</c:v>
                </c:pt>
                <c:pt idx="15">
                  <c:v>34.900000000000006</c:v>
                </c:pt>
                <c:pt idx="16">
                  <c:v>34.900000000000006</c:v>
                </c:pt>
                <c:pt idx="17">
                  <c:v>43.3</c:v>
                </c:pt>
                <c:pt idx="18" formatCode="0.0">
                  <c:v>74.900000000000006</c:v>
                </c:pt>
                <c:pt idx="19" formatCode="0.0">
                  <c:v>455</c:v>
                </c:pt>
                <c:pt idx="20" formatCode="0.0">
                  <c:v>470.5</c:v>
                </c:pt>
                <c:pt idx="21" formatCode="0.0">
                  <c:v>394.1</c:v>
                </c:pt>
                <c:pt idx="22" formatCode="0.0">
                  <c:v>195.1</c:v>
                </c:pt>
                <c:pt idx="23" formatCode="0.0">
                  <c:v>142.6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5-40ED-9248-D6ACDD17A5F7}"/>
            </c:ext>
          </c:extLst>
        </c:ser>
        <c:ser>
          <c:idx val="3"/>
          <c:order val="2"/>
          <c:tx>
            <c:strRef>
              <c:f>'04'!$AL$18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'04'!$AM$18:$BJ$18</c:f>
              <c:numCache>
                <c:formatCode>General</c:formatCode>
                <c:ptCount val="24"/>
                <c:pt idx="0">
                  <c:v>295.33999999999997</c:v>
                </c:pt>
                <c:pt idx="1">
                  <c:v>295.94</c:v>
                </c:pt>
                <c:pt idx="2">
                  <c:v>257.44000000000005</c:v>
                </c:pt>
                <c:pt idx="3">
                  <c:v>231.04</c:v>
                </c:pt>
                <c:pt idx="4">
                  <c:v>231.23999999999998</c:v>
                </c:pt>
                <c:pt idx="5">
                  <c:v>239.34000000000003</c:v>
                </c:pt>
                <c:pt idx="6">
                  <c:v>240.93999999999997</c:v>
                </c:pt>
                <c:pt idx="7">
                  <c:v>231.02999999999997</c:v>
                </c:pt>
                <c:pt idx="8">
                  <c:v>268.33999999999997</c:v>
                </c:pt>
                <c:pt idx="9">
                  <c:v>268.94000000000005</c:v>
                </c:pt>
                <c:pt idx="10">
                  <c:v>283.74000000000007</c:v>
                </c:pt>
                <c:pt idx="11">
                  <c:v>288.44000000000005</c:v>
                </c:pt>
                <c:pt idx="12">
                  <c:v>303.33999999999997</c:v>
                </c:pt>
                <c:pt idx="13">
                  <c:v>318.73999999999995</c:v>
                </c:pt>
                <c:pt idx="14">
                  <c:v>334.6400000000001</c:v>
                </c:pt>
                <c:pt idx="15">
                  <c:v>349.84000000000009</c:v>
                </c:pt>
                <c:pt idx="16">
                  <c:v>316.54000000000008</c:v>
                </c:pt>
                <c:pt idx="17">
                  <c:v>246.14</c:v>
                </c:pt>
                <c:pt idx="18" formatCode="0.0">
                  <c:v>254.74</c:v>
                </c:pt>
                <c:pt idx="19" formatCode="0.0">
                  <c:v>334.2000000000001</c:v>
                </c:pt>
                <c:pt idx="20" formatCode="0.0">
                  <c:v>364.74000000000007</c:v>
                </c:pt>
                <c:pt idx="21" formatCode="0.0">
                  <c:v>354.84000000000009</c:v>
                </c:pt>
                <c:pt idx="22" formatCode="0.0">
                  <c:v>354.84000000000009</c:v>
                </c:pt>
                <c:pt idx="23" formatCode="0.0">
                  <c:v>354.84000000000009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5-40ED-9248-D6ACDD17A5F7}"/>
            </c:ext>
          </c:extLst>
        </c:ser>
        <c:ser>
          <c:idx val="0"/>
          <c:order val="3"/>
          <c:tx>
            <c:strRef>
              <c:f>'04'!$AL$19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'04'!$AM$19:$BJ$19</c:f>
              <c:numCache>
                <c:formatCode>General</c:formatCode>
                <c:ptCount val="24"/>
                <c:pt idx="0">
                  <c:v>272.8</c:v>
                </c:pt>
                <c:pt idx="1">
                  <c:v>259.40000000000003</c:v>
                </c:pt>
                <c:pt idx="2">
                  <c:v>256.90000000000003</c:v>
                </c:pt>
                <c:pt idx="3">
                  <c:v>269.20000000000005</c:v>
                </c:pt>
                <c:pt idx="4">
                  <c:v>269</c:v>
                </c:pt>
                <c:pt idx="5">
                  <c:v>239.70000000000002</c:v>
                </c:pt>
                <c:pt idx="6">
                  <c:v>280.70000000000005</c:v>
                </c:pt>
                <c:pt idx="7">
                  <c:v>806.39999999999986</c:v>
                </c:pt>
                <c:pt idx="8">
                  <c:v>793.89999999999986</c:v>
                </c:pt>
                <c:pt idx="9">
                  <c:v>795.8</c:v>
                </c:pt>
                <c:pt idx="10">
                  <c:v>905.1</c:v>
                </c:pt>
                <c:pt idx="11">
                  <c:v>902.80000000000007</c:v>
                </c:pt>
                <c:pt idx="12">
                  <c:v>893.19999999999993</c:v>
                </c:pt>
                <c:pt idx="13">
                  <c:v>885.3</c:v>
                </c:pt>
                <c:pt idx="14">
                  <c:v>904.50000000000011</c:v>
                </c:pt>
                <c:pt idx="15">
                  <c:v>894.30000000000007</c:v>
                </c:pt>
                <c:pt idx="16">
                  <c:v>862</c:v>
                </c:pt>
                <c:pt idx="17">
                  <c:v>856.6</c:v>
                </c:pt>
                <c:pt idx="18" formatCode="0.0">
                  <c:v>641.70000000000005</c:v>
                </c:pt>
                <c:pt idx="19" formatCode="0.0">
                  <c:v>174</c:v>
                </c:pt>
                <c:pt idx="20" formatCode="0.0">
                  <c:v>176.9</c:v>
                </c:pt>
                <c:pt idx="21" formatCode="0.0">
                  <c:v>207</c:v>
                </c:pt>
                <c:pt idx="22" formatCode="0.0">
                  <c:v>194</c:v>
                </c:pt>
                <c:pt idx="23" formatCode="0.0">
                  <c:v>198.9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D5-40ED-9248-D6ACDD17A5F7}"/>
            </c:ext>
          </c:extLst>
        </c:ser>
        <c:ser>
          <c:idx val="4"/>
          <c:order val="4"/>
          <c:tx>
            <c:strRef>
              <c:f>'04'!$AL$20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'04'!$AM$20:$BJ$20</c:f>
              <c:numCache>
                <c:formatCode>General</c:formatCode>
                <c:ptCount val="24"/>
                <c:pt idx="0">
                  <c:v>98.5</c:v>
                </c:pt>
                <c:pt idx="1">
                  <c:v>98.5</c:v>
                </c:pt>
                <c:pt idx="2">
                  <c:v>97.7</c:v>
                </c:pt>
                <c:pt idx="3">
                  <c:v>98.5</c:v>
                </c:pt>
                <c:pt idx="4">
                  <c:v>98.5</c:v>
                </c:pt>
                <c:pt idx="5">
                  <c:v>98.5</c:v>
                </c:pt>
                <c:pt idx="6">
                  <c:v>99.100000000000009</c:v>
                </c:pt>
                <c:pt idx="7">
                  <c:v>40</c:v>
                </c:pt>
                <c:pt idx="8">
                  <c:v>98.6</c:v>
                </c:pt>
                <c:pt idx="9">
                  <c:v>98.6</c:v>
                </c:pt>
                <c:pt idx="10">
                  <c:v>98.6</c:v>
                </c:pt>
                <c:pt idx="11">
                  <c:v>98.6</c:v>
                </c:pt>
                <c:pt idx="12">
                  <c:v>98</c:v>
                </c:pt>
                <c:pt idx="13">
                  <c:v>98</c:v>
                </c:pt>
                <c:pt idx="14">
                  <c:v>98.300000000000011</c:v>
                </c:pt>
                <c:pt idx="15">
                  <c:v>98.300000000000011</c:v>
                </c:pt>
                <c:pt idx="16">
                  <c:v>98.300000000000011</c:v>
                </c:pt>
                <c:pt idx="17">
                  <c:v>78.8</c:v>
                </c:pt>
                <c:pt idx="18" formatCode="0.0">
                  <c:v>69.900000000000006</c:v>
                </c:pt>
                <c:pt idx="19" formatCode="0.0">
                  <c:v>91.899999999999991</c:v>
                </c:pt>
                <c:pt idx="20" formatCode="0.0">
                  <c:v>90.7</c:v>
                </c:pt>
                <c:pt idx="21" formatCode="0.0">
                  <c:v>94</c:v>
                </c:pt>
                <c:pt idx="22" formatCode="0.0">
                  <c:v>94</c:v>
                </c:pt>
                <c:pt idx="23" formatCode="0.0">
                  <c:v>93.4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5-40ED-9248-D6ACDD17A5F7}"/>
            </c:ext>
          </c:extLst>
        </c:ser>
        <c:ser>
          <c:idx val="5"/>
          <c:order val="5"/>
          <c:tx>
            <c:strRef>
              <c:f>'04'!$AL$21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150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270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D5-40ED-9248-D6ACDD17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5-40ED-9248-D6ACDD17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'04'!$AM$22:$BJ$22</c:f>
              <c:numCache>
                <c:formatCode>General</c:formatCode>
                <c:ptCount val="24"/>
                <c:pt idx="0">
                  <c:v>1601.6399999999999</c:v>
                </c:pt>
                <c:pt idx="1">
                  <c:v>1589.94</c:v>
                </c:pt>
                <c:pt idx="2">
                  <c:v>1550.7400000000002</c:v>
                </c:pt>
                <c:pt idx="3">
                  <c:v>1536.94</c:v>
                </c:pt>
                <c:pt idx="4">
                  <c:v>1537.14</c:v>
                </c:pt>
                <c:pt idx="5">
                  <c:v>1510.8600000000001</c:v>
                </c:pt>
                <c:pt idx="6">
                  <c:v>1355.24</c:v>
                </c:pt>
                <c:pt idx="7">
                  <c:v>1655.73</c:v>
                </c:pt>
                <c:pt idx="8">
                  <c:v>1737.9399999999998</c:v>
                </c:pt>
                <c:pt idx="9">
                  <c:v>1734.84</c:v>
                </c:pt>
                <c:pt idx="10">
                  <c:v>1859.7400000000002</c:v>
                </c:pt>
                <c:pt idx="11">
                  <c:v>1862.14</c:v>
                </c:pt>
                <c:pt idx="12">
                  <c:v>1838.44</c:v>
                </c:pt>
                <c:pt idx="13">
                  <c:v>1845.9399999999998</c:v>
                </c:pt>
                <c:pt idx="14">
                  <c:v>1890.14</c:v>
                </c:pt>
                <c:pt idx="15">
                  <c:v>1895.14</c:v>
                </c:pt>
                <c:pt idx="16">
                  <c:v>1829.5400000000002</c:v>
                </c:pt>
                <c:pt idx="17">
                  <c:v>1742.64</c:v>
                </c:pt>
                <c:pt idx="18">
                  <c:v>1709.0400000000002</c:v>
                </c:pt>
                <c:pt idx="19">
                  <c:v>1832.2000000000003</c:v>
                </c:pt>
                <c:pt idx="20">
                  <c:v>1914.64</c:v>
                </c:pt>
                <c:pt idx="21">
                  <c:v>1861.74</c:v>
                </c:pt>
                <c:pt idx="22">
                  <c:v>1669.74</c:v>
                </c:pt>
                <c:pt idx="23">
                  <c:v>1701.5400000000002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CD5-40ED-9248-D6ACDD17A5F7}"/>
            </c:ext>
          </c:extLst>
        </c:ser>
        <c:ser>
          <c:idx val="8"/>
          <c:order val="8"/>
          <c:tx>
            <c:strRef>
              <c:f>'04'!$AL$24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'04'!$AM$24:$BJ$24</c:f>
              <c:numCache>
                <c:formatCode>General</c:formatCode>
                <c:ptCount val="24"/>
                <c:pt idx="0">
                  <c:v>1601.6399999999999</c:v>
                </c:pt>
                <c:pt idx="1">
                  <c:v>1589.94</c:v>
                </c:pt>
                <c:pt idx="2">
                  <c:v>1550.7400000000002</c:v>
                </c:pt>
                <c:pt idx="3">
                  <c:v>1536.94</c:v>
                </c:pt>
                <c:pt idx="4">
                  <c:v>1536.14</c:v>
                </c:pt>
                <c:pt idx="5">
                  <c:v>1508.8600000000001</c:v>
                </c:pt>
                <c:pt idx="6">
                  <c:v>1355.24</c:v>
                </c:pt>
                <c:pt idx="7">
                  <c:v>1655.73</c:v>
                </c:pt>
                <c:pt idx="8">
                  <c:v>1737.9399999999998</c:v>
                </c:pt>
                <c:pt idx="9">
                  <c:v>1734.84</c:v>
                </c:pt>
                <c:pt idx="10">
                  <c:v>1859.7400000000002</c:v>
                </c:pt>
                <c:pt idx="11">
                  <c:v>1862.14</c:v>
                </c:pt>
                <c:pt idx="12">
                  <c:v>1838.44</c:v>
                </c:pt>
                <c:pt idx="13">
                  <c:v>1845.9399999999998</c:v>
                </c:pt>
                <c:pt idx="14">
                  <c:v>1890.14</c:v>
                </c:pt>
                <c:pt idx="15">
                  <c:v>1895.14</c:v>
                </c:pt>
                <c:pt idx="16">
                  <c:v>1829.5400000000002</c:v>
                </c:pt>
                <c:pt idx="17">
                  <c:v>1742.64</c:v>
                </c:pt>
                <c:pt idx="18">
                  <c:v>1709.0400000000002</c:v>
                </c:pt>
                <c:pt idx="19">
                  <c:v>1832.2000000000003</c:v>
                </c:pt>
                <c:pt idx="20">
                  <c:v>1914.64</c:v>
                </c:pt>
                <c:pt idx="21">
                  <c:v>1861.74</c:v>
                </c:pt>
                <c:pt idx="22">
                  <c:v>1669.74</c:v>
                </c:pt>
                <c:pt idx="23">
                  <c:v>1701.5400000000002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D5-40ED-9248-D6ACDD17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11-4D0D-9E62-D39240EEE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11-4D0D-9E62-D39240EEE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11-4D0D-9E62-D39240EEEB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11-4D0D-9E62-D39240EEEB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11-4D0D-9E62-D39240EEEB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B11-4D0D-9E62-D39240EEEB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'05'!$AM$16:$BJ$16</c:f>
              <c:numCache>
                <c:formatCode>General</c:formatCode>
                <c:ptCount val="24"/>
                <c:pt idx="0">
                  <c:v>561.79999999999995</c:v>
                </c:pt>
                <c:pt idx="1">
                  <c:v>561.79999999999995</c:v>
                </c:pt>
                <c:pt idx="2">
                  <c:v>562.20000000000005</c:v>
                </c:pt>
                <c:pt idx="3">
                  <c:v>549.10000000000014</c:v>
                </c:pt>
                <c:pt idx="4">
                  <c:v>549.10000000000014</c:v>
                </c:pt>
                <c:pt idx="5">
                  <c:v>550.40000000000009</c:v>
                </c:pt>
                <c:pt idx="6">
                  <c:v>533.79999999999995</c:v>
                </c:pt>
                <c:pt idx="7">
                  <c:v>537.99</c:v>
                </c:pt>
                <c:pt idx="8">
                  <c:v>534.13000000000011</c:v>
                </c:pt>
                <c:pt idx="9">
                  <c:v>538.93000000000006</c:v>
                </c:pt>
                <c:pt idx="10">
                  <c:v>538.93000000000006</c:v>
                </c:pt>
                <c:pt idx="11">
                  <c:v>538.93000000000006</c:v>
                </c:pt>
                <c:pt idx="12">
                  <c:v>538.93000000000006</c:v>
                </c:pt>
                <c:pt idx="13">
                  <c:v>537.33000000000004</c:v>
                </c:pt>
                <c:pt idx="14">
                  <c:v>537.13000000000011</c:v>
                </c:pt>
                <c:pt idx="15">
                  <c:v>536.03000000000009</c:v>
                </c:pt>
                <c:pt idx="16">
                  <c:v>536.03000000000009</c:v>
                </c:pt>
                <c:pt idx="17">
                  <c:v>504.93000000000006</c:v>
                </c:pt>
                <c:pt idx="18" formatCode="0.0">
                  <c:v>550.33000000000004</c:v>
                </c:pt>
                <c:pt idx="19" formatCode="0.0">
                  <c:v>550.73</c:v>
                </c:pt>
                <c:pt idx="20" formatCode="0.0">
                  <c:v>550.73</c:v>
                </c:pt>
                <c:pt idx="21" formatCode="0.0">
                  <c:v>550.73</c:v>
                </c:pt>
                <c:pt idx="22" formatCode="0.0">
                  <c:v>550.73</c:v>
                </c:pt>
                <c:pt idx="23" formatCode="0.0">
                  <c:v>550.73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FF4-9801-1B0A120B5A57}"/>
            </c:ext>
          </c:extLst>
        </c:ser>
        <c:ser>
          <c:idx val="2"/>
          <c:order val="1"/>
          <c:tx>
            <c:strRef>
              <c:f>'05'!$AL$17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'05'!$AM$17:$BJ$17</c:f>
              <c:numCache>
                <c:formatCode>General</c:formatCode>
                <c:ptCount val="24"/>
                <c:pt idx="0">
                  <c:v>142.6</c:v>
                </c:pt>
                <c:pt idx="1">
                  <c:v>142.6</c:v>
                </c:pt>
                <c:pt idx="2">
                  <c:v>142.6</c:v>
                </c:pt>
                <c:pt idx="3">
                  <c:v>141.6</c:v>
                </c:pt>
                <c:pt idx="4">
                  <c:v>141.6</c:v>
                </c:pt>
                <c:pt idx="5">
                  <c:v>143.80000000000001</c:v>
                </c:pt>
                <c:pt idx="6">
                  <c:v>143.4</c:v>
                </c:pt>
                <c:pt idx="7">
                  <c:v>94.5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43.2</c:v>
                </c:pt>
                <c:pt idx="12">
                  <c:v>43.2</c:v>
                </c:pt>
                <c:pt idx="13">
                  <c:v>43.2</c:v>
                </c:pt>
                <c:pt idx="14">
                  <c:v>42.7</c:v>
                </c:pt>
                <c:pt idx="15">
                  <c:v>42.3</c:v>
                </c:pt>
                <c:pt idx="16">
                  <c:v>42.3</c:v>
                </c:pt>
                <c:pt idx="17">
                  <c:v>53.8</c:v>
                </c:pt>
                <c:pt idx="18" formatCode="0.0">
                  <c:v>195.3</c:v>
                </c:pt>
                <c:pt idx="19" formatCode="0.0">
                  <c:v>404.1</c:v>
                </c:pt>
                <c:pt idx="20" formatCode="0.0">
                  <c:v>414.9</c:v>
                </c:pt>
                <c:pt idx="21" formatCode="0.0">
                  <c:v>391.2</c:v>
                </c:pt>
                <c:pt idx="22" formatCode="0.0">
                  <c:v>302.5</c:v>
                </c:pt>
                <c:pt idx="23" formatCode="0.0">
                  <c:v>262.39999999999998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6-4FF4-9801-1B0A120B5A57}"/>
            </c:ext>
          </c:extLst>
        </c:ser>
        <c:ser>
          <c:idx val="3"/>
          <c:order val="2"/>
          <c:tx>
            <c:strRef>
              <c:f>'05'!$AL$18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'05'!$AM$18:$BJ$18</c:f>
              <c:numCache>
                <c:formatCode>General</c:formatCode>
                <c:ptCount val="24"/>
                <c:pt idx="0">
                  <c:v>323.44000000000005</c:v>
                </c:pt>
                <c:pt idx="1">
                  <c:v>324.44000000000005</c:v>
                </c:pt>
                <c:pt idx="2">
                  <c:v>301.44000000000005</c:v>
                </c:pt>
                <c:pt idx="3">
                  <c:v>239.64</c:v>
                </c:pt>
                <c:pt idx="4">
                  <c:v>242.44</c:v>
                </c:pt>
                <c:pt idx="5">
                  <c:v>237.64</c:v>
                </c:pt>
                <c:pt idx="6">
                  <c:v>238.74</c:v>
                </c:pt>
                <c:pt idx="7">
                  <c:v>285.54000000000002</c:v>
                </c:pt>
                <c:pt idx="8">
                  <c:v>266.23900000000003</c:v>
                </c:pt>
                <c:pt idx="9">
                  <c:v>266.23900000000003</c:v>
                </c:pt>
                <c:pt idx="10">
                  <c:v>275.33900000000006</c:v>
                </c:pt>
                <c:pt idx="11">
                  <c:v>247.24</c:v>
                </c:pt>
                <c:pt idx="12">
                  <c:v>221.64000000000001</c:v>
                </c:pt>
                <c:pt idx="13">
                  <c:v>240.24</c:v>
                </c:pt>
                <c:pt idx="14">
                  <c:v>246.14</c:v>
                </c:pt>
                <c:pt idx="15">
                  <c:v>243.04</c:v>
                </c:pt>
                <c:pt idx="16">
                  <c:v>243.44</c:v>
                </c:pt>
                <c:pt idx="17">
                  <c:v>290.44000000000005</c:v>
                </c:pt>
                <c:pt idx="18" formatCode="0.0">
                  <c:v>289.64000000000004</c:v>
                </c:pt>
                <c:pt idx="19" formatCode="0.0">
                  <c:v>344.09999999999997</c:v>
                </c:pt>
                <c:pt idx="20" formatCode="0.0">
                  <c:v>404.14</c:v>
                </c:pt>
                <c:pt idx="21" formatCode="0.0">
                  <c:v>404.14</c:v>
                </c:pt>
                <c:pt idx="22" formatCode="0.0">
                  <c:v>397.74</c:v>
                </c:pt>
                <c:pt idx="23" formatCode="0.0">
                  <c:v>388.94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6-4FF4-9801-1B0A120B5A57}"/>
            </c:ext>
          </c:extLst>
        </c:ser>
        <c:ser>
          <c:idx val="0"/>
          <c:order val="3"/>
          <c:tx>
            <c:strRef>
              <c:f>'05'!$AL$19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'05'!$AM$19:$BJ$19</c:f>
              <c:numCache>
                <c:formatCode>General</c:formatCode>
                <c:ptCount val="24"/>
                <c:pt idx="0">
                  <c:v>264</c:v>
                </c:pt>
                <c:pt idx="1">
                  <c:v>257.2</c:v>
                </c:pt>
                <c:pt idx="2">
                  <c:v>270.89999999999998</c:v>
                </c:pt>
                <c:pt idx="3">
                  <c:v>261.60000000000002</c:v>
                </c:pt>
                <c:pt idx="4">
                  <c:v>271.13</c:v>
                </c:pt>
                <c:pt idx="5">
                  <c:v>252.3</c:v>
                </c:pt>
                <c:pt idx="6">
                  <c:v>151</c:v>
                </c:pt>
                <c:pt idx="7">
                  <c:v>556</c:v>
                </c:pt>
                <c:pt idx="8">
                  <c:v>710.50000000000011</c:v>
                </c:pt>
                <c:pt idx="9">
                  <c:v>756.4</c:v>
                </c:pt>
                <c:pt idx="10">
                  <c:v>707.7</c:v>
                </c:pt>
                <c:pt idx="11">
                  <c:v>729.99999999999989</c:v>
                </c:pt>
                <c:pt idx="12">
                  <c:v>782.99999999999989</c:v>
                </c:pt>
                <c:pt idx="13">
                  <c:v>797.3</c:v>
                </c:pt>
                <c:pt idx="14">
                  <c:v>771.40000000000009</c:v>
                </c:pt>
                <c:pt idx="15">
                  <c:v>805.40000000000009</c:v>
                </c:pt>
                <c:pt idx="16">
                  <c:v>796.5</c:v>
                </c:pt>
                <c:pt idx="17">
                  <c:v>722</c:v>
                </c:pt>
                <c:pt idx="18" formatCode="0.0">
                  <c:v>453.99999999999994</c:v>
                </c:pt>
                <c:pt idx="19" formatCode="0.0">
                  <c:v>123.3</c:v>
                </c:pt>
                <c:pt idx="20" formatCode="0.0">
                  <c:v>84.4</c:v>
                </c:pt>
                <c:pt idx="21" formatCode="0.0">
                  <c:v>88.6</c:v>
                </c:pt>
                <c:pt idx="22" formatCode="0.0">
                  <c:v>62.3</c:v>
                </c:pt>
                <c:pt idx="23" formatCode="0.0">
                  <c:v>57.4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C6-4FF4-9801-1B0A120B5A57}"/>
            </c:ext>
          </c:extLst>
        </c:ser>
        <c:ser>
          <c:idx val="4"/>
          <c:order val="4"/>
          <c:tx>
            <c:strRef>
              <c:f>'05'!$AL$20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'05'!$AM$20:$BJ$20</c:f>
              <c:numCache>
                <c:formatCode>General</c:formatCode>
                <c:ptCount val="24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96.300000000000011</c:v>
                </c:pt>
                <c:pt idx="7">
                  <c:v>40</c:v>
                </c:pt>
                <c:pt idx="8">
                  <c:v>51.300000000000004</c:v>
                </c:pt>
                <c:pt idx="9">
                  <c:v>51.300000000000004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22.300000000000004</c:v>
                </c:pt>
                <c:pt idx="20" formatCode="0.0">
                  <c:v>48.8</c:v>
                </c:pt>
                <c:pt idx="21" formatCode="0.0">
                  <c:v>81.8</c:v>
                </c:pt>
                <c:pt idx="22" formatCode="0.0">
                  <c:v>81.8</c:v>
                </c:pt>
                <c:pt idx="23" formatCode="0.0">
                  <c:v>81.8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C6-4FF4-9801-1B0A120B5A57}"/>
            </c:ext>
          </c:extLst>
        </c:ser>
        <c:ser>
          <c:idx val="5"/>
          <c:order val="5"/>
          <c:tx>
            <c:strRef>
              <c:f>'05'!$AL$21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210</c:v>
                </c:pt>
                <c:pt idx="21" formatCode="0.0">
                  <c:v>210</c:v>
                </c:pt>
                <c:pt idx="22" formatCode="0.0">
                  <c:v>210</c:v>
                </c:pt>
                <c:pt idx="23" formatCode="0.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C6-4FF4-9801-1B0A120B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C6-4FF4-9801-1B0A120B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'05'!$AM$22:$BJ$22</c:f>
              <c:numCache>
                <c:formatCode>General</c:formatCode>
                <c:ptCount val="24"/>
                <c:pt idx="0">
                  <c:v>1639.8400000000001</c:v>
                </c:pt>
                <c:pt idx="1">
                  <c:v>1634.0400000000002</c:v>
                </c:pt>
                <c:pt idx="2">
                  <c:v>1625.14</c:v>
                </c:pt>
                <c:pt idx="3">
                  <c:v>1289.94</c:v>
                </c:pt>
                <c:pt idx="4">
                  <c:v>1302.27</c:v>
                </c:pt>
                <c:pt idx="5">
                  <c:v>1282.1400000000001</c:v>
                </c:pt>
                <c:pt idx="6">
                  <c:v>1163.24</c:v>
                </c:pt>
                <c:pt idx="7">
                  <c:v>1514.03</c:v>
                </c:pt>
                <c:pt idx="8">
                  <c:v>1603.1690000000001</c:v>
                </c:pt>
                <c:pt idx="9">
                  <c:v>1653.8689999999999</c:v>
                </c:pt>
                <c:pt idx="10">
                  <c:v>1562.9690000000001</c:v>
                </c:pt>
                <c:pt idx="11">
                  <c:v>1559.37</c:v>
                </c:pt>
                <c:pt idx="12">
                  <c:v>1586.77</c:v>
                </c:pt>
                <c:pt idx="13">
                  <c:v>1618.0700000000002</c:v>
                </c:pt>
                <c:pt idx="14">
                  <c:v>1597.3700000000003</c:v>
                </c:pt>
                <c:pt idx="15">
                  <c:v>1626.77</c:v>
                </c:pt>
                <c:pt idx="16">
                  <c:v>1618.27</c:v>
                </c:pt>
                <c:pt idx="17">
                  <c:v>1571.17</c:v>
                </c:pt>
                <c:pt idx="18">
                  <c:v>1489.2700000000002</c:v>
                </c:pt>
                <c:pt idx="19">
                  <c:v>1594.53</c:v>
                </c:pt>
                <c:pt idx="20">
                  <c:v>1712.97</c:v>
                </c:pt>
                <c:pt idx="21">
                  <c:v>1726.47</c:v>
                </c:pt>
                <c:pt idx="22">
                  <c:v>1605.07</c:v>
                </c:pt>
                <c:pt idx="23">
                  <c:v>1551.27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8C6-4FF4-9801-1B0A120B5A57}"/>
            </c:ext>
          </c:extLst>
        </c:ser>
        <c:ser>
          <c:idx val="8"/>
          <c:order val="8"/>
          <c:tx>
            <c:strRef>
              <c:f>'05'!$AL$24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'05'!$AM$24:$BJ$24</c:f>
              <c:numCache>
                <c:formatCode>General</c:formatCode>
                <c:ptCount val="24"/>
                <c:pt idx="0">
                  <c:v>1639.8400000000001</c:v>
                </c:pt>
                <c:pt idx="1">
                  <c:v>1634.0400000000002</c:v>
                </c:pt>
                <c:pt idx="2">
                  <c:v>1625.14</c:v>
                </c:pt>
                <c:pt idx="3">
                  <c:v>1289.94</c:v>
                </c:pt>
                <c:pt idx="4">
                  <c:v>1302.27</c:v>
                </c:pt>
                <c:pt idx="5">
                  <c:v>1282.1400000000001</c:v>
                </c:pt>
                <c:pt idx="6">
                  <c:v>1163.24</c:v>
                </c:pt>
                <c:pt idx="7">
                  <c:v>1514.03</c:v>
                </c:pt>
                <c:pt idx="8">
                  <c:v>1603.1690000000001</c:v>
                </c:pt>
                <c:pt idx="9">
                  <c:v>1653.8689999999999</c:v>
                </c:pt>
                <c:pt idx="10">
                  <c:v>1562.9690000000001</c:v>
                </c:pt>
                <c:pt idx="11">
                  <c:v>1559.37</c:v>
                </c:pt>
                <c:pt idx="12">
                  <c:v>1586.77</c:v>
                </c:pt>
                <c:pt idx="13">
                  <c:v>1618.0700000000002</c:v>
                </c:pt>
                <c:pt idx="14">
                  <c:v>1597.3700000000003</c:v>
                </c:pt>
                <c:pt idx="15">
                  <c:v>1626.77</c:v>
                </c:pt>
                <c:pt idx="16">
                  <c:v>1618.27</c:v>
                </c:pt>
                <c:pt idx="17">
                  <c:v>1571.17</c:v>
                </c:pt>
                <c:pt idx="18">
                  <c:v>1489.2700000000002</c:v>
                </c:pt>
                <c:pt idx="19">
                  <c:v>1594.53</c:v>
                </c:pt>
                <c:pt idx="20">
                  <c:v>1712.97</c:v>
                </c:pt>
                <c:pt idx="21">
                  <c:v>1726.47</c:v>
                </c:pt>
                <c:pt idx="22">
                  <c:v>1605.07</c:v>
                </c:pt>
                <c:pt idx="23">
                  <c:v>1551.27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C6-4FF4-9801-1B0A120B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90-4F42-B941-837E6E1C1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90-4F42-B941-837E6E1C1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90-4F42-B941-837E6E1C1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90-4F42-B941-837E6E1C1E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90-4F42-B941-837E6E1C1E2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A90-4F42-B941-837E6E1C1E2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'06'!$AM$16:$BJ$16</c:f>
              <c:numCache>
                <c:formatCode>General</c:formatCode>
                <c:ptCount val="24"/>
                <c:pt idx="0">
                  <c:v>550.73</c:v>
                </c:pt>
                <c:pt idx="1">
                  <c:v>550.73</c:v>
                </c:pt>
                <c:pt idx="2">
                  <c:v>550.73</c:v>
                </c:pt>
                <c:pt idx="3">
                  <c:v>550.73</c:v>
                </c:pt>
                <c:pt idx="4">
                  <c:v>487.73</c:v>
                </c:pt>
                <c:pt idx="5">
                  <c:v>550.73</c:v>
                </c:pt>
                <c:pt idx="6">
                  <c:v>550.73</c:v>
                </c:pt>
                <c:pt idx="7">
                  <c:v>550.73</c:v>
                </c:pt>
                <c:pt idx="8">
                  <c:v>548.53</c:v>
                </c:pt>
                <c:pt idx="9">
                  <c:v>576.43000000000006</c:v>
                </c:pt>
                <c:pt idx="10">
                  <c:v>576.43000000000006</c:v>
                </c:pt>
                <c:pt idx="11">
                  <c:v>576.43000000000006</c:v>
                </c:pt>
                <c:pt idx="12">
                  <c:v>576.43000000000006</c:v>
                </c:pt>
                <c:pt idx="13">
                  <c:v>576.43000000000006</c:v>
                </c:pt>
                <c:pt idx="14">
                  <c:v>545.1</c:v>
                </c:pt>
                <c:pt idx="15">
                  <c:v>537.39900000000011</c:v>
                </c:pt>
                <c:pt idx="16">
                  <c:v>537.39900000000011</c:v>
                </c:pt>
                <c:pt idx="17">
                  <c:v>537.39900000000011</c:v>
                </c:pt>
                <c:pt idx="18" formatCode="0.0">
                  <c:v>547</c:v>
                </c:pt>
                <c:pt idx="19" formatCode="0.0">
                  <c:v>547</c:v>
                </c:pt>
                <c:pt idx="20" formatCode="0.0">
                  <c:v>555.80000000000007</c:v>
                </c:pt>
                <c:pt idx="21" formatCode="0.0">
                  <c:v>560.90000000000009</c:v>
                </c:pt>
                <c:pt idx="22" formatCode="0.0">
                  <c:v>586.60000000000014</c:v>
                </c:pt>
                <c:pt idx="23" formatCode="0.0">
                  <c:v>590.1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5-4276-B175-24201CF33052}"/>
            </c:ext>
          </c:extLst>
        </c:ser>
        <c:ser>
          <c:idx val="2"/>
          <c:order val="1"/>
          <c:tx>
            <c:strRef>
              <c:f>'06'!$AL$17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'06'!$AM$17:$BJ$17</c:f>
              <c:numCache>
                <c:formatCode>General</c:formatCode>
                <c:ptCount val="24"/>
                <c:pt idx="0">
                  <c:v>234.20000000000002</c:v>
                </c:pt>
                <c:pt idx="1">
                  <c:v>213.20000000000002</c:v>
                </c:pt>
                <c:pt idx="2">
                  <c:v>121.8</c:v>
                </c:pt>
                <c:pt idx="3">
                  <c:v>153.6</c:v>
                </c:pt>
                <c:pt idx="4">
                  <c:v>203.10000000000002</c:v>
                </c:pt>
                <c:pt idx="5">
                  <c:v>176.3</c:v>
                </c:pt>
                <c:pt idx="6">
                  <c:v>275.39999999999998</c:v>
                </c:pt>
                <c:pt idx="7">
                  <c:v>50.5</c:v>
                </c:pt>
                <c:pt idx="8">
                  <c:v>53.5</c:v>
                </c:pt>
                <c:pt idx="9">
                  <c:v>58.4</c:v>
                </c:pt>
                <c:pt idx="10">
                  <c:v>66.7</c:v>
                </c:pt>
                <c:pt idx="11">
                  <c:v>62.7</c:v>
                </c:pt>
                <c:pt idx="12">
                  <c:v>62.7</c:v>
                </c:pt>
                <c:pt idx="13">
                  <c:v>71.199999999999989</c:v>
                </c:pt>
                <c:pt idx="14">
                  <c:v>54.4</c:v>
                </c:pt>
                <c:pt idx="15">
                  <c:v>52.3</c:v>
                </c:pt>
                <c:pt idx="16">
                  <c:v>152.30000000000001</c:v>
                </c:pt>
                <c:pt idx="17">
                  <c:v>102.3</c:v>
                </c:pt>
                <c:pt idx="18" formatCode="0.0">
                  <c:v>212.5</c:v>
                </c:pt>
                <c:pt idx="19" formatCode="0.0">
                  <c:v>248.3</c:v>
                </c:pt>
                <c:pt idx="20" formatCode="0.0">
                  <c:v>392.4</c:v>
                </c:pt>
                <c:pt idx="21" formatCode="0.0">
                  <c:v>352.9</c:v>
                </c:pt>
                <c:pt idx="22" formatCode="0.0">
                  <c:v>360.9</c:v>
                </c:pt>
                <c:pt idx="23" formatCode="0.0">
                  <c:v>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5-4276-B175-24201CF33052}"/>
            </c:ext>
          </c:extLst>
        </c:ser>
        <c:ser>
          <c:idx val="3"/>
          <c:order val="2"/>
          <c:tx>
            <c:strRef>
              <c:f>'06'!$AL$18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'06'!$AM$18:$BJ$18</c:f>
              <c:numCache>
                <c:formatCode>General</c:formatCode>
                <c:ptCount val="24"/>
                <c:pt idx="0">
                  <c:v>388.94</c:v>
                </c:pt>
                <c:pt idx="1">
                  <c:v>388.94</c:v>
                </c:pt>
                <c:pt idx="2">
                  <c:v>394.34</c:v>
                </c:pt>
                <c:pt idx="3">
                  <c:v>312.64000000000004</c:v>
                </c:pt>
                <c:pt idx="4">
                  <c:v>283.64</c:v>
                </c:pt>
                <c:pt idx="5">
                  <c:v>268.24</c:v>
                </c:pt>
                <c:pt idx="6">
                  <c:v>289.03999999999996</c:v>
                </c:pt>
                <c:pt idx="7">
                  <c:v>248.14000000000004</c:v>
                </c:pt>
                <c:pt idx="8">
                  <c:v>279.74</c:v>
                </c:pt>
                <c:pt idx="9">
                  <c:v>296.93999999999994</c:v>
                </c:pt>
                <c:pt idx="10">
                  <c:v>296.93999999999994</c:v>
                </c:pt>
                <c:pt idx="11">
                  <c:v>342.94000000000005</c:v>
                </c:pt>
                <c:pt idx="12">
                  <c:v>342.94000000000005</c:v>
                </c:pt>
                <c:pt idx="13">
                  <c:v>338.54</c:v>
                </c:pt>
                <c:pt idx="14">
                  <c:v>337.44000000000005</c:v>
                </c:pt>
                <c:pt idx="15">
                  <c:v>336.64000000000004</c:v>
                </c:pt>
                <c:pt idx="16">
                  <c:v>314.84000000000003</c:v>
                </c:pt>
                <c:pt idx="17">
                  <c:v>311.74</c:v>
                </c:pt>
                <c:pt idx="18" formatCode="0.0">
                  <c:v>263.24</c:v>
                </c:pt>
                <c:pt idx="19" formatCode="0.0">
                  <c:v>305.5</c:v>
                </c:pt>
                <c:pt idx="20" formatCode="0.0">
                  <c:v>311.44</c:v>
                </c:pt>
                <c:pt idx="21" formatCode="0.0">
                  <c:v>311.54000000000002</c:v>
                </c:pt>
                <c:pt idx="22" formatCode="0.0">
                  <c:v>317.44000000000011</c:v>
                </c:pt>
                <c:pt idx="23" formatCode="0.0">
                  <c:v>318.54000000000008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5-4276-B175-24201CF33052}"/>
            </c:ext>
          </c:extLst>
        </c:ser>
        <c:ser>
          <c:idx val="0"/>
          <c:order val="3"/>
          <c:tx>
            <c:strRef>
              <c:f>'06'!$AL$19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'06'!$AM$19:$BJ$19</c:f>
              <c:numCache>
                <c:formatCode>General</c:formatCode>
                <c:ptCount val="24"/>
                <c:pt idx="0">
                  <c:v>50.900000000000006</c:v>
                </c:pt>
                <c:pt idx="1">
                  <c:v>54.6</c:v>
                </c:pt>
                <c:pt idx="2">
                  <c:v>49.1</c:v>
                </c:pt>
                <c:pt idx="3">
                  <c:v>57.900000000000006</c:v>
                </c:pt>
                <c:pt idx="4">
                  <c:v>113</c:v>
                </c:pt>
                <c:pt idx="5">
                  <c:v>60.300000000000004</c:v>
                </c:pt>
                <c:pt idx="6">
                  <c:v>61.6</c:v>
                </c:pt>
                <c:pt idx="7">
                  <c:v>568.9</c:v>
                </c:pt>
                <c:pt idx="8">
                  <c:v>585.5</c:v>
                </c:pt>
                <c:pt idx="9">
                  <c:v>607.20000000000005</c:v>
                </c:pt>
                <c:pt idx="10">
                  <c:v>668.9</c:v>
                </c:pt>
                <c:pt idx="11">
                  <c:v>700.7</c:v>
                </c:pt>
                <c:pt idx="12">
                  <c:v>699</c:v>
                </c:pt>
                <c:pt idx="13">
                  <c:v>726.80000000000007</c:v>
                </c:pt>
                <c:pt idx="14">
                  <c:v>757.3</c:v>
                </c:pt>
                <c:pt idx="15">
                  <c:v>805.6</c:v>
                </c:pt>
                <c:pt idx="16">
                  <c:v>680.9</c:v>
                </c:pt>
                <c:pt idx="17">
                  <c:v>606</c:v>
                </c:pt>
                <c:pt idx="18" formatCode="0.0">
                  <c:v>540.20000000000005</c:v>
                </c:pt>
                <c:pt idx="19" formatCode="0.0">
                  <c:v>200.8</c:v>
                </c:pt>
                <c:pt idx="20" formatCode="0.0">
                  <c:v>187.3</c:v>
                </c:pt>
                <c:pt idx="21" formatCode="0.0">
                  <c:v>174.10000000000002</c:v>
                </c:pt>
                <c:pt idx="22" formatCode="0.0">
                  <c:v>86.1</c:v>
                </c:pt>
                <c:pt idx="23" formatCode="0.0">
                  <c:v>132.70000000000002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5-4276-B175-24201CF33052}"/>
            </c:ext>
          </c:extLst>
        </c:ser>
        <c:ser>
          <c:idx val="4"/>
          <c:order val="4"/>
          <c:tx>
            <c:strRef>
              <c:f>'06'!$AL$20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'06'!$AM$20:$BJ$20</c:f>
              <c:numCache>
                <c:formatCode>General</c:formatCode>
                <c:ptCount val="24"/>
                <c:pt idx="0">
                  <c:v>81.8</c:v>
                </c:pt>
                <c:pt idx="1">
                  <c:v>41.7</c:v>
                </c:pt>
                <c:pt idx="2">
                  <c:v>80.399999999999991</c:v>
                </c:pt>
                <c:pt idx="3">
                  <c:v>33.1</c:v>
                </c:pt>
                <c:pt idx="4">
                  <c:v>34.6</c:v>
                </c:pt>
                <c:pt idx="5">
                  <c:v>0</c:v>
                </c:pt>
                <c:pt idx="6">
                  <c:v>28.5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21.3</c:v>
                </c:pt>
                <c:pt idx="13">
                  <c:v>19.399999999999999</c:v>
                </c:pt>
                <c:pt idx="14">
                  <c:v>21.099999999999998</c:v>
                </c:pt>
                <c:pt idx="15">
                  <c:v>48.9</c:v>
                </c:pt>
                <c:pt idx="16">
                  <c:v>52.4</c:v>
                </c:pt>
                <c:pt idx="17">
                  <c:v>48</c:v>
                </c:pt>
                <c:pt idx="18" formatCode="0.0">
                  <c:v>0</c:v>
                </c:pt>
                <c:pt idx="19" formatCode="0.0">
                  <c:v>46.8</c:v>
                </c:pt>
                <c:pt idx="20" formatCode="0.0">
                  <c:v>66.599999999999994</c:v>
                </c:pt>
                <c:pt idx="21" formatCode="0.0">
                  <c:v>67.699999999999989</c:v>
                </c:pt>
                <c:pt idx="22" formatCode="0.0">
                  <c:v>67.100000000000009</c:v>
                </c:pt>
                <c:pt idx="23" formatCode="0.0">
                  <c:v>61.4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85-4276-B175-24201CF33052}"/>
            </c:ext>
          </c:extLst>
        </c:ser>
        <c:ser>
          <c:idx val="5"/>
          <c:order val="5"/>
          <c:tx>
            <c:strRef>
              <c:f>'06'!$AL$21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'06'!$AM$21:$BJ$21</c:f>
              <c:numCache>
                <c:formatCode>General</c:formatCode>
                <c:ptCount val="24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200</c:v>
                </c:pt>
                <c:pt idx="6">
                  <c:v>160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85-4276-B175-24201CF33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85-4276-B175-24201CF33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'06'!$AM$22:$BJ$22</c:f>
              <c:numCache>
                <c:formatCode>General</c:formatCode>
                <c:ptCount val="24"/>
                <c:pt idx="0">
                  <c:v>1516.5700000000002</c:v>
                </c:pt>
                <c:pt idx="1">
                  <c:v>1459.17</c:v>
                </c:pt>
                <c:pt idx="2">
                  <c:v>1406.37</c:v>
                </c:pt>
                <c:pt idx="3">
                  <c:v>1317.97</c:v>
                </c:pt>
                <c:pt idx="4">
                  <c:v>1332.07</c:v>
                </c:pt>
                <c:pt idx="5">
                  <c:v>1255.57</c:v>
                </c:pt>
                <c:pt idx="6">
                  <c:v>1365.27</c:v>
                </c:pt>
                <c:pt idx="7">
                  <c:v>1418.27</c:v>
                </c:pt>
                <c:pt idx="8">
                  <c:v>1467.27</c:v>
                </c:pt>
                <c:pt idx="9">
                  <c:v>1538.97</c:v>
                </c:pt>
                <c:pt idx="10">
                  <c:v>1608.97</c:v>
                </c:pt>
                <c:pt idx="11">
                  <c:v>1682.7700000000002</c:v>
                </c:pt>
                <c:pt idx="12">
                  <c:v>1702.3700000000001</c:v>
                </c:pt>
                <c:pt idx="13">
                  <c:v>1732.3700000000003</c:v>
                </c:pt>
                <c:pt idx="14">
                  <c:v>1715.34</c:v>
                </c:pt>
                <c:pt idx="15">
                  <c:v>1780.8390000000004</c:v>
                </c:pt>
                <c:pt idx="16">
                  <c:v>1737.8390000000002</c:v>
                </c:pt>
                <c:pt idx="17">
                  <c:v>1605.4390000000001</c:v>
                </c:pt>
                <c:pt idx="18">
                  <c:v>1562.94</c:v>
                </c:pt>
                <c:pt idx="19">
                  <c:v>1648.3999999999999</c:v>
                </c:pt>
                <c:pt idx="20">
                  <c:v>1813.54</c:v>
                </c:pt>
                <c:pt idx="21">
                  <c:v>1767.14</c:v>
                </c:pt>
                <c:pt idx="22">
                  <c:v>1718.14</c:v>
                </c:pt>
                <c:pt idx="23">
                  <c:v>1665.2400000000002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D85-4276-B175-24201CF33052}"/>
            </c:ext>
          </c:extLst>
        </c:ser>
        <c:ser>
          <c:idx val="8"/>
          <c:order val="8"/>
          <c:tx>
            <c:strRef>
              <c:f>'06'!$AL$24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'06'!$AM$24:$BJ$24</c:f>
              <c:numCache>
                <c:formatCode>General</c:formatCode>
                <c:ptCount val="24"/>
                <c:pt idx="0">
                  <c:v>1516.5700000000002</c:v>
                </c:pt>
                <c:pt idx="1">
                  <c:v>1459.17</c:v>
                </c:pt>
                <c:pt idx="2">
                  <c:v>1406.37</c:v>
                </c:pt>
                <c:pt idx="3">
                  <c:v>1317.97</c:v>
                </c:pt>
                <c:pt idx="4">
                  <c:v>1332.07</c:v>
                </c:pt>
                <c:pt idx="5">
                  <c:v>1255.57</c:v>
                </c:pt>
                <c:pt idx="6">
                  <c:v>1365.27</c:v>
                </c:pt>
                <c:pt idx="7">
                  <c:v>1418.27</c:v>
                </c:pt>
                <c:pt idx="8">
                  <c:v>1467.27</c:v>
                </c:pt>
                <c:pt idx="9">
                  <c:v>1538.97</c:v>
                </c:pt>
                <c:pt idx="10">
                  <c:v>1608.97</c:v>
                </c:pt>
                <c:pt idx="11">
                  <c:v>1682.7700000000002</c:v>
                </c:pt>
                <c:pt idx="12">
                  <c:v>1702.3700000000001</c:v>
                </c:pt>
                <c:pt idx="13">
                  <c:v>1732.3700000000003</c:v>
                </c:pt>
                <c:pt idx="14">
                  <c:v>1715.34</c:v>
                </c:pt>
                <c:pt idx="15">
                  <c:v>1780.8390000000004</c:v>
                </c:pt>
                <c:pt idx="16">
                  <c:v>1737.8390000000002</c:v>
                </c:pt>
                <c:pt idx="17">
                  <c:v>1605.4390000000001</c:v>
                </c:pt>
                <c:pt idx="18">
                  <c:v>1562.94</c:v>
                </c:pt>
                <c:pt idx="19">
                  <c:v>1648.3999999999999</c:v>
                </c:pt>
                <c:pt idx="20">
                  <c:v>1813.54</c:v>
                </c:pt>
                <c:pt idx="21">
                  <c:v>1767.14</c:v>
                </c:pt>
                <c:pt idx="22">
                  <c:v>1718.14</c:v>
                </c:pt>
                <c:pt idx="23">
                  <c:v>1665.2400000000002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85-4276-B175-24201CF33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7C-448A-99E1-D4C57EECC0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7C-448A-99E1-D4C57EECC0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7C-448A-99E1-D4C57EECC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B7C-448A-99E1-D4C57EECC0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B7C-448A-99E1-D4C57EECC0D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B7C-448A-99E1-D4C57EECC0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'07'!$AM$16:$BJ$16</c:f>
              <c:numCache>
                <c:formatCode>General</c:formatCode>
                <c:ptCount val="24"/>
                <c:pt idx="0">
                  <c:v>592.10000000000014</c:v>
                </c:pt>
                <c:pt idx="1">
                  <c:v>592.10000000000014</c:v>
                </c:pt>
                <c:pt idx="2">
                  <c:v>584.40000000000009</c:v>
                </c:pt>
                <c:pt idx="3">
                  <c:v>584.40000000000009</c:v>
                </c:pt>
                <c:pt idx="4">
                  <c:v>580.10000000000014</c:v>
                </c:pt>
                <c:pt idx="5">
                  <c:v>576.80000000000018</c:v>
                </c:pt>
                <c:pt idx="6">
                  <c:v>577.00000000000011</c:v>
                </c:pt>
                <c:pt idx="7">
                  <c:v>580.70000000000005</c:v>
                </c:pt>
                <c:pt idx="8">
                  <c:v>580.70000000000005</c:v>
                </c:pt>
                <c:pt idx="9">
                  <c:v>579.70000000000005</c:v>
                </c:pt>
                <c:pt idx="10">
                  <c:v>579.70000000000005</c:v>
                </c:pt>
                <c:pt idx="11">
                  <c:v>579.70000000000005</c:v>
                </c:pt>
                <c:pt idx="12">
                  <c:v>579.70000000000005</c:v>
                </c:pt>
                <c:pt idx="13">
                  <c:v>579.70000000000005</c:v>
                </c:pt>
                <c:pt idx="14">
                  <c:v>557.19000000000005</c:v>
                </c:pt>
                <c:pt idx="15">
                  <c:v>562.29</c:v>
                </c:pt>
                <c:pt idx="16">
                  <c:v>562.29</c:v>
                </c:pt>
                <c:pt idx="17">
                  <c:v>573.79000000000008</c:v>
                </c:pt>
                <c:pt idx="18" formatCode="0.0">
                  <c:v>580.29</c:v>
                </c:pt>
                <c:pt idx="19" formatCode="0.0">
                  <c:v>583.13999999999987</c:v>
                </c:pt>
                <c:pt idx="20" formatCode="0.0">
                  <c:v>584.94000000000005</c:v>
                </c:pt>
                <c:pt idx="21" formatCode="0.0">
                  <c:v>584.94000000000005</c:v>
                </c:pt>
                <c:pt idx="22" formatCode="0.0">
                  <c:v>584.94000000000005</c:v>
                </c:pt>
                <c:pt idx="23" formatCode="0.0">
                  <c:v>584.94000000000005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2-4AD9-AE4D-C36204FCD909}"/>
            </c:ext>
          </c:extLst>
        </c:ser>
        <c:ser>
          <c:idx val="2"/>
          <c:order val="1"/>
          <c:tx>
            <c:strRef>
              <c:f>'07'!$AL$17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'07'!$AM$17:$BJ$17</c:f>
              <c:numCache>
                <c:formatCode>General</c:formatCode>
                <c:ptCount val="24"/>
                <c:pt idx="0">
                  <c:v>216.20000000000002</c:v>
                </c:pt>
                <c:pt idx="1">
                  <c:v>203.9</c:v>
                </c:pt>
                <c:pt idx="2">
                  <c:v>192.4</c:v>
                </c:pt>
                <c:pt idx="3">
                  <c:v>178</c:v>
                </c:pt>
                <c:pt idx="4">
                  <c:v>197.6</c:v>
                </c:pt>
                <c:pt idx="5">
                  <c:v>230.8</c:v>
                </c:pt>
                <c:pt idx="6">
                  <c:v>272.2</c:v>
                </c:pt>
                <c:pt idx="7">
                  <c:v>43.5</c:v>
                </c:pt>
                <c:pt idx="8">
                  <c:v>41.6</c:v>
                </c:pt>
                <c:pt idx="9">
                  <c:v>41</c:v>
                </c:pt>
                <c:pt idx="10">
                  <c:v>41</c:v>
                </c:pt>
                <c:pt idx="11">
                  <c:v>40.4</c:v>
                </c:pt>
                <c:pt idx="12">
                  <c:v>41.1</c:v>
                </c:pt>
                <c:pt idx="13">
                  <c:v>41.4</c:v>
                </c:pt>
                <c:pt idx="14">
                  <c:v>41</c:v>
                </c:pt>
                <c:pt idx="15">
                  <c:v>40.4</c:v>
                </c:pt>
                <c:pt idx="16">
                  <c:v>90.6</c:v>
                </c:pt>
                <c:pt idx="17">
                  <c:v>90.5</c:v>
                </c:pt>
                <c:pt idx="18" formatCode="0.0">
                  <c:v>100</c:v>
                </c:pt>
                <c:pt idx="19" formatCode="0.0">
                  <c:v>322.39999999999998</c:v>
                </c:pt>
                <c:pt idx="20" formatCode="0.0">
                  <c:v>419.4</c:v>
                </c:pt>
                <c:pt idx="21" formatCode="0.0">
                  <c:v>449.4</c:v>
                </c:pt>
                <c:pt idx="22" formatCode="0.0">
                  <c:v>383.4</c:v>
                </c:pt>
                <c:pt idx="23" formatCode="0.0">
                  <c:v>312.39999999999998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2-4AD9-AE4D-C36204FCD909}"/>
            </c:ext>
          </c:extLst>
        </c:ser>
        <c:ser>
          <c:idx val="3"/>
          <c:order val="2"/>
          <c:tx>
            <c:strRef>
              <c:f>'07'!$AL$18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'07'!$AM$18:$BJ$18</c:f>
              <c:numCache>
                <c:formatCode>General</c:formatCode>
                <c:ptCount val="24"/>
                <c:pt idx="0">
                  <c:v>320.54000000000008</c:v>
                </c:pt>
                <c:pt idx="1">
                  <c:v>318.54000000000008</c:v>
                </c:pt>
                <c:pt idx="2">
                  <c:v>336.44000000000005</c:v>
                </c:pt>
                <c:pt idx="3">
                  <c:v>312.84000000000003</c:v>
                </c:pt>
                <c:pt idx="4">
                  <c:v>305.34000000000003</c:v>
                </c:pt>
                <c:pt idx="5">
                  <c:v>338.64000000000004</c:v>
                </c:pt>
                <c:pt idx="6">
                  <c:v>365.64000000000004</c:v>
                </c:pt>
                <c:pt idx="7">
                  <c:v>380.94000000000005</c:v>
                </c:pt>
                <c:pt idx="8">
                  <c:v>354.74</c:v>
                </c:pt>
                <c:pt idx="9">
                  <c:v>289.53999999999996</c:v>
                </c:pt>
                <c:pt idx="10">
                  <c:v>323.03999999999996</c:v>
                </c:pt>
                <c:pt idx="11">
                  <c:v>288.44000000000005</c:v>
                </c:pt>
                <c:pt idx="12">
                  <c:v>288.44000000000005</c:v>
                </c:pt>
                <c:pt idx="13">
                  <c:v>315.34000000000003</c:v>
                </c:pt>
                <c:pt idx="14">
                  <c:v>288.24000000000007</c:v>
                </c:pt>
                <c:pt idx="15">
                  <c:v>304.63900000000007</c:v>
                </c:pt>
                <c:pt idx="16">
                  <c:v>300.63900000000007</c:v>
                </c:pt>
                <c:pt idx="17">
                  <c:v>200.93899999999999</c:v>
                </c:pt>
                <c:pt idx="18" formatCode="0.0">
                  <c:v>199.43899999999999</c:v>
                </c:pt>
                <c:pt idx="19" formatCode="0.0">
                  <c:v>316.10000000000002</c:v>
                </c:pt>
                <c:pt idx="20" formatCode="0.0">
                  <c:v>337.84000000000003</c:v>
                </c:pt>
                <c:pt idx="21" formatCode="0.0">
                  <c:v>318.64000000000004</c:v>
                </c:pt>
                <c:pt idx="22" formatCode="0.0">
                  <c:v>355.04</c:v>
                </c:pt>
                <c:pt idx="23" formatCode="0.0">
                  <c:v>355.04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2-4AD9-AE4D-C36204FCD909}"/>
            </c:ext>
          </c:extLst>
        </c:ser>
        <c:ser>
          <c:idx val="0"/>
          <c:order val="3"/>
          <c:tx>
            <c:strRef>
              <c:f>'07'!$AL$19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'07'!$AM$19:$BJ$19</c:f>
              <c:numCache>
                <c:formatCode>General</c:formatCode>
                <c:ptCount val="24"/>
                <c:pt idx="0">
                  <c:v>148.80000000000001</c:v>
                </c:pt>
                <c:pt idx="1">
                  <c:v>148.80000000000001</c:v>
                </c:pt>
                <c:pt idx="2">
                  <c:v>26</c:v>
                </c:pt>
                <c:pt idx="3">
                  <c:v>57.8</c:v>
                </c:pt>
                <c:pt idx="4">
                  <c:v>58</c:v>
                </c:pt>
                <c:pt idx="5">
                  <c:v>32</c:v>
                </c:pt>
                <c:pt idx="6">
                  <c:v>45</c:v>
                </c:pt>
                <c:pt idx="7">
                  <c:v>468</c:v>
                </c:pt>
                <c:pt idx="8">
                  <c:v>528.5</c:v>
                </c:pt>
                <c:pt idx="9">
                  <c:v>625.20000000000005</c:v>
                </c:pt>
                <c:pt idx="10">
                  <c:v>642.79999999999995</c:v>
                </c:pt>
                <c:pt idx="11">
                  <c:v>718.30000000000007</c:v>
                </c:pt>
                <c:pt idx="12">
                  <c:v>708</c:v>
                </c:pt>
                <c:pt idx="13">
                  <c:v>711.59999999999991</c:v>
                </c:pt>
                <c:pt idx="14">
                  <c:v>764.4</c:v>
                </c:pt>
                <c:pt idx="15">
                  <c:v>717.2</c:v>
                </c:pt>
                <c:pt idx="16">
                  <c:v>633.30000000000007</c:v>
                </c:pt>
                <c:pt idx="17">
                  <c:v>633.30000000000007</c:v>
                </c:pt>
                <c:pt idx="18" formatCode="0.0">
                  <c:v>388.70000000000005</c:v>
                </c:pt>
                <c:pt idx="19" formatCode="0.0">
                  <c:v>85.5</c:v>
                </c:pt>
                <c:pt idx="20" formatCode="0.0">
                  <c:v>102.1</c:v>
                </c:pt>
                <c:pt idx="21" formatCode="0.0">
                  <c:v>36</c:v>
                </c:pt>
                <c:pt idx="22" formatCode="0.0">
                  <c:v>0</c:v>
                </c:pt>
                <c:pt idx="23" formatCode="0.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2-4AD9-AE4D-C36204FCD909}"/>
            </c:ext>
          </c:extLst>
        </c:ser>
        <c:ser>
          <c:idx val="4"/>
          <c:order val="4"/>
          <c:tx>
            <c:strRef>
              <c:f>'07'!$AL$20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'07'!$AM$20:$BJ$20</c:f>
              <c:numCache>
                <c:formatCode>General</c:formatCode>
                <c:ptCount val="24"/>
                <c:pt idx="0">
                  <c:v>61.4</c:v>
                </c:pt>
                <c:pt idx="1">
                  <c:v>61.4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16.100000000000001</c:v>
                </c:pt>
                <c:pt idx="20" formatCode="0.0">
                  <c:v>15.000000000000002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2-4AD9-AE4D-C36204FCD909}"/>
            </c:ext>
          </c:extLst>
        </c:ser>
        <c:ser>
          <c:idx val="5"/>
          <c:order val="5"/>
          <c:tx>
            <c:strRef>
              <c:f>'07'!$AL$21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100</c:v>
                </c:pt>
                <c:pt idx="22" formatCode="0.0">
                  <c:v>100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E2-4AD9-AE4D-C36204FC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-4.7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E2-4AD9-AE4D-C36204FC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'07'!$AM$22:$BJ$22</c:f>
              <c:numCache>
                <c:formatCode>General</c:formatCode>
                <c:ptCount val="24"/>
                <c:pt idx="0">
                  <c:v>1639.0400000000002</c:v>
                </c:pt>
                <c:pt idx="1">
                  <c:v>1624.7400000000002</c:v>
                </c:pt>
                <c:pt idx="2">
                  <c:v>1439.2400000000002</c:v>
                </c:pt>
                <c:pt idx="3">
                  <c:v>1233.0400000000002</c:v>
                </c:pt>
                <c:pt idx="4">
                  <c:v>1241.0400000000002</c:v>
                </c:pt>
                <c:pt idx="5">
                  <c:v>1278.2400000000002</c:v>
                </c:pt>
                <c:pt idx="6">
                  <c:v>1259.8400000000001</c:v>
                </c:pt>
                <c:pt idx="7">
                  <c:v>1473.14</c:v>
                </c:pt>
                <c:pt idx="8">
                  <c:v>1505.54</c:v>
                </c:pt>
                <c:pt idx="9">
                  <c:v>1535.44</c:v>
                </c:pt>
                <c:pt idx="10">
                  <c:v>1586.54</c:v>
                </c:pt>
                <c:pt idx="11">
                  <c:v>1626.8400000000001</c:v>
                </c:pt>
                <c:pt idx="12">
                  <c:v>1617.2400000000002</c:v>
                </c:pt>
                <c:pt idx="13">
                  <c:v>1648.04</c:v>
                </c:pt>
                <c:pt idx="14">
                  <c:v>1650.83</c:v>
                </c:pt>
                <c:pt idx="15">
                  <c:v>1624.529</c:v>
                </c:pt>
                <c:pt idx="16">
                  <c:v>1586.8290000000002</c:v>
                </c:pt>
                <c:pt idx="17">
                  <c:v>1498.529</c:v>
                </c:pt>
                <c:pt idx="18">
                  <c:v>1268.4290000000001</c:v>
                </c:pt>
                <c:pt idx="19">
                  <c:v>1323.2399999999998</c:v>
                </c:pt>
                <c:pt idx="20">
                  <c:v>1709.28</c:v>
                </c:pt>
                <c:pt idx="21">
                  <c:v>1488.9800000000002</c:v>
                </c:pt>
                <c:pt idx="22">
                  <c:v>1423.38</c:v>
                </c:pt>
                <c:pt idx="23">
                  <c:v>1357.38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5E2-4AD9-AE4D-C36204FCD909}"/>
            </c:ext>
          </c:extLst>
        </c:ser>
        <c:ser>
          <c:idx val="8"/>
          <c:order val="8"/>
          <c:tx>
            <c:strRef>
              <c:f>'07'!$AL$24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'07'!$AM$24:$BJ$24</c:f>
              <c:numCache>
                <c:formatCode>General</c:formatCode>
                <c:ptCount val="24"/>
                <c:pt idx="0">
                  <c:v>1639.0400000000002</c:v>
                </c:pt>
                <c:pt idx="1">
                  <c:v>1624.7400000000002</c:v>
                </c:pt>
                <c:pt idx="2">
                  <c:v>1439.2400000000002</c:v>
                </c:pt>
                <c:pt idx="3">
                  <c:v>1233.0400000000002</c:v>
                </c:pt>
                <c:pt idx="4">
                  <c:v>1241.0400000000002</c:v>
                </c:pt>
                <c:pt idx="5">
                  <c:v>1278.2400000000002</c:v>
                </c:pt>
                <c:pt idx="6">
                  <c:v>1259.8400000000001</c:v>
                </c:pt>
                <c:pt idx="7">
                  <c:v>1473.14</c:v>
                </c:pt>
                <c:pt idx="8">
                  <c:v>1505.54</c:v>
                </c:pt>
                <c:pt idx="9">
                  <c:v>1535.44</c:v>
                </c:pt>
                <c:pt idx="10">
                  <c:v>1586.54</c:v>
                </c:pt>
                <c:pt idx="11">
                  <c:v>1626.8400000000001</c:v>
                </c:pt>
                <c:pt idx="12">
                  <c:v>1617.2400000000002</c:v>
                </c:pt>
                <c:pt idx="13">
                  <c:v>1648.04</c:v>
                </c:pt>
                <c:pt idx="14">
                  <c:v>1650.83</c:v>
                </c:pt>
                <c:pt idx="15">
                  <c:v>1624.529</c:v>
                </c:pt>
                <c:pt idx="16">
                  <c:v>1586.8290000000002</c:v>
                </c:pt>
                <c:pt idx="17">
                  <c:v>1498.529</c:v>
                </c:pt>
                <c:pt idx="18">
                  <c:v>1266.4290000000001</c:v>
                </c:pt>
                <c:pt idx="19">
                  <c:v>1318.5399999999997</c:v>
                </c:pt>
                <c:pt idx="20">
                  <c:v>1709.28</c:v>
                </c:pt>
                <c:pt idx="21">
                  <c:v>1488.9800000000002</c:v>
                </c:pt>
                <c:pt idx="22">
                  <c:v>1423.38</c:v>
                </c:pt>
                <c:pt idx="23">
                  <c:v>1357.38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E2-4AD9-AE4D-C36204FC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AD-4F58-BCBF-A396F32203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AD-4F58-BCBF-A396F32203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AD-4F58-BCBF-A396F32203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AD-4F58-BCBF-A396F32203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AD-4F58-BCBF-A396F32203A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5AD-4F58-BCBF-A396F32203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'08'!$AM$16:$BJ$16</c:f>
              <c:numCache>
                <c:formatCode>General</c:formatCode>
                <c:ptCount val="24"/>
                <c:pt idx="0">
                  <c:v>584.94000000000005</c:v>
                </c:pt>
                <c:pt idx="1">
                  <c:v>584.94000000000005</c:v>
                </c:pt>
                <c:pt idx="2">
                  <c:v>584.94000000000005</c:v>
                </c:pt>
                <c:pt idx="3">
                  <c:v>579.34</c:v>
                </c:pt>
                <c:pt idx="4">
                  <c:v>576.94000000000005</c:v>
                </c:pt>
                <c:pt idx="5">
                  <c:v>579.29</c:v>
                </c:pt>
                <c:pt idx="6">
                  <c:v>579.29</c:v>
                </c:pt>
                <c:pt idx="7">
                  <c:v>572.59</c:v>
                </c:pt>
                <c:pt idx="8">
                  <c:v>569.69000000000005</c:v>
                </c:pt>
                <c:pt idx="9">
                  <c:v>569.69000000000005</c:v>
                </c:pt>
                <c:pt idx="10">
                  <c:v>569.69000000000005</c:v>
                </c:pt>
                <c:pt idx="11">
                  <c:v>569.69000000000005</c:v>
                </c:pt>
                <c:pt idx="12">
                  <c:v>569.69000000000005</c:v>
                </c:pt>
                <c:pt idx="13">
                  <c:v>569.69000000000005</c:v>
                </c:pt>
                <c:pt idx="14">
                  <c:v>569.69000000000005</c:v>
                </c:pt>
                <c:pt idx="15">
                  <c:v>569.69000000000005</c:v>
                </c:pt>
                <c:pt idx="16">
                  <c:v>569.69000000000005</c:v>
                </c:pt>
                <c:pt idx="17">
                  <c:v>569.69000000000005</c:v>
                </c:pt>
                <c:pt idx="18" formatCode="0.0">
                  <c:v>569.69000000000005</c:v>
                </c:pt>
                <c:pt idx="19" formatCode="0.0">
                  <c:v>569.69000000000005</c:v>
                </c:pt>
                <c:pt idx="20" formatCode="0.0">
                  <c:v>557.69000000000005</c:v>
                </c:pt>
                <c:pt idx="21" formatCode="0.0">
                  <c:v>557.69000000000005</c:v>
                </c:pt>
                <c:pt idx="22" formatCode="0.0">
                  <c:v>557.69000000000005</c:v>
                </c:pt>
                <c:pt idx="23" formatCode="0.0">
                  <c:v>557.69000000000005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5-4707-ADD5-96FDC69B511C}"/>
            </c:ext>
          </c:extLst>
        </c:ser>
        <c:ser>
          <c:idx val="2"/>
          <c:order val="1"/>
          <c:tx>
            <c:strRef>
              <c:f>'08'!$AL$17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'08'!$AM$17:$BJ$17</c:f>
              <c:numCache>
                <c:formatCode>General</c:formatCode>
                <c:ptCount val="24"/>
                <c:pt idx="0">
                  <c:v>272.39999999999998</c:v>
                </c:pt>
                <c:pt idx="1">
                  <c:v>219.4</c:v>
                </c:pt>
                <c:pt idx="2">
                  <c:v>159.4</c:v>
                </c:pt>
                <c:pt idx="3">
                  <c:v>168.8</c:v>
                </c:pt>
                <c:pt idx="4">
                  <c:v>168.8</c:v>
                </c:pt>
                <c:pt idx="5">
                  <c:v>167.9</c:v>
                </c:pt>
                <c:pt idx="6">
                  <c:v>187.8</c:v>
                </c:pt>
                <c:pt idx="7">
                  <c:v>48.4</c:v>
                </c:pt>
                <c:pt idx="8">
                  <c:v>47.3</c:v>
                </c:pt>
                <c:pt idx="9">
                  <c:v>47.3</c:v>
                </c:pt>
                <c:pt idx="10">
                  <c:v>47.3</c:v>
                </c:pt>
                <c:pt idx="11">
                  <c:v>47.3</c:v>
                </c:pt>
                <c:pt idx="12">
                  <c:v>62.3</c:v>
                </c:pt>
                <c:pt idx="13">
                  <c:v>62.3</c:v>
                </c:pt>
                <c:pt idx="14">
                  <c:v>47.3</c:v>
                </c:pt>
                <c:pt idx="15">
                  <c:v>47.3</c:v>
                </c:pt>
                <c:pt idx="16">
                  <c:v>47.3</c:v>
                </c:pt>
                <c:pt idx="17">
                  <c:v>47.3</c:v>
                </c:pt>
                <c:pt idx="18" formatCode="0.0">
                  <c:v>47.3</c:v>
                </c:pt>
                <c:pt idx="19" formatCode="0.0">
                  <c:v>391.29999999999995</c:v>
                </c:pt>
                <c:pt idx="20" formatCode="0.0">
                  <c:v>419.70000000000005</c:v>
                </c:pt>
                <c:pt idx="21" formatCode="0.0">
                  <c:v>345.70000000000005</c:v>
                </c:pt>
                <c:pt idx="22" formatCode="0.0">
                  <c:v>325.70000000000005</c:v>
                </c:pt>
                <c:pt idx="23" formatCode="0.0">
                  <c:v>278.70000000000005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35-4707-ADD5-96FDC69B511C}"/>
            </c:ext>
          </c:extLst>
        </c:ser>
        <c:ser>
          <c:idx val="3"/>
          <c:order val="2"/>
          <c:tx>
            <c:strRef>
              <c:f>'08'!$AL$18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'08'!$AM$18:$BJ$18</c:f>
              <c:numCache>
                <c:formatCode>General</c:formatCode>
                <c:ptCount val="24"/>
                <c:pt idx="0">
                  <c:v>347.04</c:v>
                </c:pt>
                <c:pt idx="1">
                  <c:v>347.04</c:v>
                </c:pt>
                <c:pt idx="2">
                  <c:v>345.64000000000004</c:v>
                </c:pt>
                <c:pt idx="3">
                  <c:v>345.64000000000004</c:v>
                </c:pt>
                <c:pt idx="4">
                  <c:v>333.14000000000004</c:v>
                </c:pt>
                <c:pt idx="5">
                  <c:v>341.94000000000005</c:v>
                </c:pt>
                <c:pt idx="6">
                  <c:v>401.04</c:v>
                </c:pt>
                <c:pt idx="7">
                  <c:v>383.34000000000003</c:v>
                </c:pt>
                <c:pt idx="8">
                  <c:v>337.23999999999995</c:v>
                </c:pt>
                <c:pt idx="9">
                  <c:v>337.14</c:v>
                </c:pt>
                <c:pt idx="10">
                  <c:v>338.53999999999996</c:v>
                </c:pt>
                <c:pt idx="11">
                  <c:v>338.53999999999996</c:v>
                </c:pt>
                <c:pt idx="12">
                  <c:v>338.53999999999996</c:v>
                </c:pt>
                <c:pt idx="13">
                  <c:v>338.53999999999996</c:v>
                </c:pt>
                <c:pt idx="14">
                  <c:v>316.74000000000007</c:v>
                </c:pt>
                <c:pt idx="15">
                  <c:v>324.04000000000008</c:v>
                </c:pt>
                <c:pt idx="16">
                  <c:v>306.94000000000005</c:v>
                </c:pt>
                <c:pt idx="17">
                  <c:v>306.94000000000005</c:v>
                </c:pt>
                <c:pt idx="18" formatCode="0.0">
                  <c:v>304.74</c:v>
                </c:pt>
                <c:pt idx="19" formatCode="0.0">
                  <c:v>370.64</c:v>
                </c:pt>
                <c:pt idx="20" formatCode="0.0">
                  <c:v>409.23999999999995</c:v>
                </c:pt>
                <c:pt idx="21" formatCode="0.0">
                  <c:v>402.73999999999995</c:v>
                </c:pt>
                <c:pt idx="22" formatCode="0.0">
                  <c:v>380.73999999999995</c:v>
                </c:pt>
                <c:pt idx="23" formatCode="0.0">
                  <c:v>312.73999999999995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5-4707-ADD5-96FDC69B511C}"/>
            </c:ext>
          </c:extLst>
        </c:ser>
        <c:ser>
          <c:idx val="0"/>
          <c:order val="3"/>
          <c:tx>
            <c:strRef>
              <c:f>'08'!$AL$19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33</c:v>
                </c:pt>
                <c:pt idx="2">
                  <c:v>35</c:v>
                </c:pt>
                <c:pt idx="3">
                  <c:v>45</c:v>
                </c:pt>
                <c:pt idx="4">
                  <c:v>62</c:v>
                </c:pt>
                <c:pt idx="5">
                  <c:v>69.5</c:v>
                </c:pt>
                <c:pt idx="6">
                  <c:v>78</c:v>
                </c:pt>
                <c:pt idx="7">
                  <c:v>475</c:v>
                </c:pt>
                <c:pt idx="8">
                  <c:v>608.50000000000011</c:v>
                </c:pt>
                <c:pt idx="9">
                  <c:v>688.9</c:v>
                </c:pt>
                <c:pt idx="10">
                  <c:v>649.9</c:v>
                </c:pt>
                <c:pt idx="11">
                  <c:v>689.9</c:v>
                </c:pt>
                <c:pt idx="12">
                  <c:v>700</c:v>
                </c:pt>
                <c:pt idx="13">
                  <c:v>658</c:v>
                </c:pt>
                <c:pt idx="14">
                  <c:v>750.5</c:v>
                </c:pt>
                <c:pt idx="15">
                  <c:v>782.84</c:v>
                </c:pt>
                <c:pt idx="16">
                  <c:v>743.69999999999993</c:v>
                </c:pt>
                <c:pt idx="17">
                  <c:v>757.59999999999991</c:v>
                </c:pt>
                <c:pt idx="18" formatCode="0.0">
                  <c:v>528.79999999999995</c:v>
                </c:pt>
                <c:pt idx="19" formatCode="0.0">
                  <c:v>118.5</c:v>
                </c:pt>
                <c:pt idx="20" formatCode="0.0">
                  <c:v>102.5</c:v>
                </c:pt>
                <c:pt idx="21" formatCode="0.0">
                  <c:v>114.8</c:v>
                </c:pt>
                <c:pt idx="22" formatCode="0.0">
                  <c:v>106.8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35-4707-ADD5-96FDC69B511C}"/>
            </c:ext>
          </c:extLst>
        </c:ser>
        <c:ser>
          <c:idx val="4"/>
          <c:order val="4"/>
          <c:tx>
            <c:strRef>
              <c:f>'08'!$AL$20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6.1</c:v>
                </c:pt>
                <c:pt idx="9">
                  <c:v>49.5</c:v>
                </c:pt>
                <c:pt idx="10">
                  <c:v>0</c:v>
                </c:pt>
                <c:pt idx="11">
                  <c:v>0</c:v>
                </c:pt>
                <c:pt idx="12">
                  <c:v>26</c:v>
                </c:pt>
                <c:pt idx="13">
                  <c:v>36.400000000000006</c:v>
                </c:pt>
                <c:pt idx="14">
                  <c:v>51.099999999999994</c:v>
                </c:pt>
                <c:pt idx="15">
                  <c:v>38.5</c:v>
                </c:pt>
                <c:pt idx="16">
                  <c:v>49.8</c:v>
                </c:pt>
                <c:pt idx="17">
                  <c:v>49.8</c:v>
                </c:pt>
                <c:pt idx="18" formatCode="0.0">
                  <c:v>31.9</c:v>
                </c:pt>
                <c:pt idx="19" formatCode="0.0">
                  <c:v>68.099999999999994</c:v>
                </c:pt>
                <c:pt idx="20" formatCode="0.0">
                  <c:v>90.2</c:v>
                </c:pt>
                <c:pt idx="21" formatCode="0.0">
                  <c:v>98.3</c:v>
                </c:pt>
                <c:pt idx="22" formatCode="0.0">
                  <c:v>98.3</c:v>
                </c:pt>
                <c:pt idx="23" formatCode="0.0">
                  <c:v>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5-4707-ADD5-96FDC69B511C}"/>
            </c:ext>
          </c:extLst>
        </c:ser>
        <c:ser>
          <c:idx val="5"/>
          <c:order val="5"/>
          <c:tx>
            <c:strRef>
              <c:f>'08'!$AL$21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35-4707-ADD5-96FDC69B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5-4707-ADD5-96FDC69B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'08'!$AM$22:$BJ$22</c:f>
              <c:numCache>
                <c:formatCode>General</c:formatCode>
                <c:ptCount val="24"/>
                <c:pt idx="0">
                  <c:v>1304.3800000000001</c:v>
                </c:pt>
                <c:pt idx="1">
                  <c:v>1284.3800000000001</c:v>
                </c:pt>
                <c:pt idx="2">
                  <c:v>1224.98</c:v>
                </c:pt>
                <c:pt idx="3">
                  <c:v>1238.7800000000002</c:v>
                </c:pt>
                <c:pt idx="4">
                  <c:v>1240.8800000000001</c:v>
                </c:pt>
                <c:pt idx="5">
                  <c:v>1258.6300000000001</c:v>
                </c:pt>
                <c:pt idx="6">
                  <c:v>1246.1299999999999</c:v>
                </c:pt>
                <c:pt idx="7">
                  <c:v>1479.33</c:v>
                </c:pt>
                <c:pt idx="8">
                  <c:v>1568.83</c:v>
                </c:pt>
                <c:pt idx="9">
                  <c:v>1692.53</c:v>
                </c:pt>
                <c:pt idx="10">
                  <c:v>1605.4299999999998</c:v>
                </c:pt>
                <c:pt idx="11">
                  <c:v>1645.4299999999998</c:v>
                </c:pt>
                <c:pt idx="12">
                  <c:v>1696.53</c:v>
                </c:pt>
                <c:pt idx="13">
                  <c:v>1664.93</c:v>
                </c:pt>
                <c:pt idx="14">
                  <c:v>1735.33</c:v>
                </c:pt>
                <c:pt idx="15">
                  <c:v>1762.3700000000001</c:v>
                </c:pt>
                <c:pt idx="16">
                  <c:v>1717.43</c:v>
                </c:pt>
                <c:pt idx="17">
                  <c:v>1731.33</c:v>
                </c:pt>
                <c:pt idx="18">
                  <c:v>1482.43</c:v>
                </c:pt>
                <c:pt idx="19">
                  <c:v>1518.23</c:v>
                </c:pt>
                <c:pt idx="20">
                  <c:v>1829.3300000000002</c:v>
                </c:pt>
                <c:pt idx="21">
                  <c:v>1769.23</c:v>
                </c:pt>
                <c:pt idx="22">
                  <c:v>1719.23</c:v>
                </c:pt>
                <c:pt idx="23">
                  <c:v>1597.43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A35-4707-ADD5-96FDC69B511C}"/>
            </c:ext>
          </c:extLst>
        </c:ser>
        <c:ser>
          <c:idx val="8"/>
          <c:order val="8"/>
          <c:tx>
            <c:strRef>
              <c:f>'08'!$AL$24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'08'!$AM$24:$BJ$24</c:f>
              <c:numCache>
                <c:formatCode>General</c:formatCode>
                <c:ptCount val="24"/>
                <c:pt idx="0">
                  <c:v>1304.3800000000001</c:v>
                </c:pt>
                <c:pt idx="1">
                  <c:v>1284.3800000000001</c:v>
                </c:pt>
                <c:pt idx="2">
                  <c:v>1224.98</c:v>
                </c:pt>
                <c:pt idx="3">
                  <c:v>1236.7800000000002</c:v>
                </c:pt>
                <c:pt idx="4">
                  <c:v>1240.8800000000001</c:v>
                </c:pt>
                <c:pt idx="5">
                  <c:v>1258.6300000000001</c:v>
                </c:pt>
                <c:pt idx="6">
                  <c:v>1246.1299999999999</c:v>
                </c:pt>
                <c:pt idx="7">
                  <c:v>1479.33</c:v>
                </c:pt>
                <c:pt idx="8">
                  <c:v>1568.83</c:v>
                </c:pt>
                <c:pt idx="9">
                  <c:v>1692.53</c:v>
                </c:pt>
                <c:pt idx="10">
                  <c:v>1605.4299999999998</c:v>
                </c:pt>
                <c:pt idx="11">
                  <c:v>1645.4299999999998</c:v>
                </c:pt>
                <c:pt idx="12">
                  <c:v>1696.53</c:v>
                </c:pt>
                <c:pt idx="13">
                  <c:v>1664.93</c:v>
                </c:pt>
                <c:pt idx="14">
                  <c:v>1735.33</c:v>
                </c:pt>
                <c:pt idx="15">
                  <c:v>1762.3700000000001</c:v>
                </c:pt>
                <c:pt idx="16">
                  <c:v>1717.43</c:v>
                </c:pt>
                <c:pt idx="17">
                  <c:v>1731.33</c:v>
                </c:pt>
                <c:pt idx="18">
                  <c:v>1482.43</c:v>
                </c:pt>
                <c:pt idx="19">
                  <c:v>1518.23</c:v>
                </c:pt>
                <c:pt idx="20">
                  <c:v>1829.3300000000002</c:v>
                </c:pt>
                <c:pt idx="21">
                  <c:v>1769.23</c:v>
                </c:pt>
                <c:pt idx="22">
                  <c:v>1719.23</c:v>
                </c:pt>
                <c:pt idx="23">
                  <c:v>1597.43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35-4707-ADD5-96FDC69B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4F-4458-95D2-B614D97E2B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4F-4458-95D2-B614D97E2B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4F-4458-95D2-B614D97E2B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4F-4458-95D2-B614D97E2B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4F-4458-95D2-B614D97E2BE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04F-4458-95D2-B614D97E2BE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'09'!$AM$16:$BJ$16</c:f>
              <c:numCache>
                <c:formatCode>General</c:formatCode>
                <c:ptCount val="24"/>
                <c:pt idx="0">
                  <c:v>557.69000000000005</c:v>
                </c:pt>
                <c:pt idx="1">
                  <c:v>557.69000000000005</c:v>
                </c:pt>
                <c:pt idx="2">
                  <c:v>557.69000000000005</c:v>
                </c:pt>
                <c:pt idx="3">
                  <c:v>559.19000000000005</c:v>
                </c:pt>
                <c:pt idx="4">
                  <c:v>559.19000000000005</c:v>
                </c:pt>
                <c:pt idx="5">
                  <c:v>559.19000000000005</c:v>
                </c:pt>
                <c:pt idx="6">
                  <c:v>559.19000000000005</c:v>
                </c:pt>
                <c:pt idx="7">
                  <c:v>559.19000000000005</c:v>
                </c:pt>
                <c:pt idx="8">
                  <c:v>558.09</c:v>
                </c:pt>
                <c:pt idx="9">
                  <c:v>558.14</c:v>
                </c:pt>
                <c:pt idx="10">
                  <c:v>551.08999999999992</c:v>
                </c:pt>
                <c:pt idx="11">
                  <c:v>557.79</c:v>
                </c:pt>
                <c:pt idx="12">
                  <c:v>557.09</c:v>
                </c:pt>
                <c:pt idx="13">
                  <c:v>556.59</c:v>
                </c:pt>
                <c:pt idx="14">
                  <c:v>0</c:v>
                </c:pt>
                <c:pt idx="15">
                  <c:v>556.59</c:v>
                </c:pt>
                <c:pt idx="16">
                  <c:v>150</c:v>
                </c:pt>
                <c:pt idx="17">
                  <c:v>564.59</c:v>
                </c:pt>
                <c:pt idx="18" formatCode="0.0">
                  <c:v>564.59</c:v>
                </c:pt>
                <c:pt idx="19" formatCode="0.0">
                  <c:v>564.59</c:v>
                </c:pt>
                <c:pt idx="20" formatCode="0.0">
                  <c:v>631.19000000000005</c:v>
                </c:pt>
                <c:pt idx="21" formatCode="0.0">
                  <c:v>642.89</c:v>
                </c:pt>
                <c:pt idx="22" formatCode="0.0">
                  <c:v>642.89</c:v>
                </c:pt>
                <c:pt idx="23" formatCode="0.0">
                  <c:v>642.89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9-4AF2-ABD4-C875F54FE144}"/>
            </c:ext>
          </c:extLst>
        </c:ser>
        <c:ser>
          <c:idx val="2"/>
          <c:order val="1"/>
          <c:tx>
            <c:strRef>
              <c:f>'09'!$AL$17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'09'!$AM$17:$BJ$17</c:f>
              <c:numCache>
                <c:formatCode>General</c:formatCode>
                <c:ptCount val="24"/>
                <c:pt idx="0">
                  <c:v>278.70000000000005</c:v>
                </c:pt>
                <c:pt idx="1">
                  <c:v>215.7</c:v>
                </c:pt>
                <c:pt idx="2">
                  <c:v>205.7</c:v>
                </c:pt>
                <c:pt idx="3">
                  <c:v>216.5</c:v>
                </c:pt>
                <c:pt idx="4">
                  <c:v>214.4</c:v>
                </c:pt>
                <c:pt idx="5">
                  <c:v>213.4</c:v>
                </c:pt>
                <c:pt idx="6">
                  <c:v>213.1</c:v>
                </c:pt>
                <c:pt idx="7">
                  <c:v>52</c:v>
                </c:pt>
                <c:pt idx="8">
                  <c:v>51.7</c:v>
                </c:pt>
                <c:pt idx="9">
                  <c:v>50.8</c:v>
                </c:pt>
                <c:pt idx="10">
                  <c:v>50.8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0</c:v>
                </c:pt>
                <c:pt idx="15">
                  <c:v>50</c:v>
                </c:pt>
                <c:pt idx="16">
                  <c:v>0</c:v>
                </c:pt>
                <c:pt idx="17">
                  <c:v>152.6</c:v>
                </c:pt>
                <c:pt idx="18" formatCode="0.0">
                  <c:v>206</c:v>
                </c:pt>
                <c:pt idx="19" formatCode="0.0">
                  <c:v>281.59999999999997</c:v>
                </c:pt>
                <c:pt idx="20" formatCode="0.0">
                  <c:v>384.70000000000005</c:v>
                </c:pt>
                <c:pt idx="21" formatCode="0.0">
                  <c:v>350</c:v>
                </c:pt>
                <c:pt idx="22" formatCode="0.0">
                  <c:v>343.59999999999997</c:v>
                </c:pt>
                <c:pt idx="23" formatCode="0.0">
                  <c:v>276.60000000000002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9-4AF2-ABD4-C875F54FE144}"/>
            </c:ext>
          </c:extLst>
        </c:ser>
        <c:ser>
          <c:idx val="3"/>
          <c:order val="2"/>
          <c:tx>
            <c:strRef>
              <c:f>'09'!$AL$18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'09'!$AM$18:$BJ$18</c:f>
              <c:numCache>
                <c:formatCode>General</c:formatCode>
                <c:ptCount val="24"/>
                <c:pt idx="0">
                  <c:v>312.73999999999995</c:v>
                </c:pt>
                <c:pt idx="1">
                  <c:v>342.73999999999995</c:v>
                </c:pt>
                <c:pt idx="2">
                  <c:v>342.73999999999995</c:v>
                </c:pt>
                <c:pt idx="3">
                  <c:v>332.73999999999995</c:v>
                </c:pt>
                <c:pt idx="4">
                  <c:v>343.24</c:v>
                </c:pt>
                <c:pt idx="5">
                  <c:v>316.24</c:v>
                </c:pt>
                <c:pt idx="6">
                  <c:v>317.34000000000009</c:v>
                </c:pt>
                <c:pt idx="7">
                  <c:v>328.84000000000003</c:v>
                </c:pt>
                <c:pt idx="8">
                  <c:v>285.44000000000005</c:v>
                </c:pt>
                <c:pt idx="9">
                  <c:v>267.54000000000002</c:v>
                </c:pt>
                <c:pt idx="10">
                  <c:v>296.04000000000002</c:v>
                </c:pt>
                <c:pt idx="11">
                  <c:v>346.04</c:v>
                </c:pt>
                <c:pt idx="12">
                  <c:v>346.04</c:v>
                </c:pt>
                <c:pt idx="13">
                  <c:v>235.94</c:v>
                </c:pt>
                <c:pt idx="14">
                  <c:v>3.54</c:v>
                </c:pt>
                <c:pt idx="15">
                  <c:v>335.24</c:v>
                </c:pt>
                <c:pt idx="16">
                  <c:v>331.54</c:v>
                </c:pt>
                <c:pt idx="17">
                  <c:v>276.64</c:v>
                </c:pt>
                <c:pt idx="18" formatCode="0.0">
                  <c:v>234.14000000000001</c:v>
                </c:pt>
                <c:pt idx="19" formatCode="0.0">
                  <c:v>335.54</c:v>
                </c:pt>
                <c:pt idx="20" formatCode="0.0">
                  <c:v>312.74</c:v>
                </c:pt>
                <c:pt idx="21" formatCode="0.0">
                  <c:v>314.03999999999996</c:v>
                </c:pt>
                <c:pt idx="22" formatCode="0.0">
                  <c:v>331.53999999999996</c:v>
                </c:pt>
                <c:pt idx="23" formatCode="0.0">
                  <c:v>304.33999999999997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9-4AF2-ABD4-C875F54FE144}"/>
            </c:ext>
          </c:extLst>
        </c:ser>
        <c:ser>
          <c:idx val="0"/>
          <c:order val="3"/>
          <c:tx>
            <c:strRef>
              <c:f>'09'!$AL$19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'09'!$AM$19:$BJ$19</c:f>
              <c:numCache>
                <c:formatCode>General</c:formatCode>
                <c:ptCount val="24"/>
                <c:pt idx="0">
                  <c:v>102</c:v>
                </c:pt>
                <c:pt idx="1">
                  <c:v>112</c:v>
                </c:pt>
                <c:pt idx="2">
                  <c:v>102</c:v>
                </c:pt>
                <c:pt idx="3">
                  <c:v>110.1</c:v>
                </c:pt>
                <c:pt idx="4">
                  <c:v>113.99999999999999</c:v>
                </c:pt>
                <c:pt idx="5">
                  <c:v>105.2</c:v>
                </c:pt>
                <c:pt idx="6">
                  <c:v>187.9</c:v>
                </c:pt>
                <c:pt idx="7">
                  <c:v>613.49999999999989</c:v>
                </c:pt>
                <c:pt idx="8">
                  <c:v>668</c:v>
                </c:pt>
                <c:pt idx="9">
                  <c:v>659.69999999999993</c:v>
                </c:pt>
                <c:pt idx="10">
                  <c:v>697.2</c:v>
                </c:pt>
                <c:pt idx="11">
                  <c:v>726.69999999999993</c:v>
                </c:pt>
                <c:pt idx="12">
                  <c:v>679.8</c:v>
                </c:pt>
                <c:pt idx="13">
                  <c:v>661.80000000000007</c:v>
                </c:pt>
                <c:pt idx="14">
                  <c:v>0</c:v>
                </c:pt>
                <c:pt idx="15">
                  <c:v>635.30000000000007</c:v>
                </c:pt>
                <c:pt idx="16">
                  <c:v>0</c:v>
                </c:pt>
                <c:pt idx="17">
                  <c:v>432.4</c:v>
                </c:pt>
                <c:pt idx="18" formatCode="0.0">
                  <c:v>355.59999999999997</c:v>
                </c:pt>
                <c:pt idx="19" formatCode="0.0">
                  <c:v>104.6</c:v>
                </c:pt>
                <c:pt idx="20" formatCode="0.0">
                  <c:v>71</c:v>
                </c:pt>
                <c:pt idx="21" formatCode="0.0">
                  <c:v>87.5</c:v>
                </c:pt>
                <c:pt idx="22" formatCode="0.0">
                  <c:v>72</c:v>
                </c:pt>
                <c:pt idx="23" formatCode="0.0">
                  <c:v>87.1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9-4AF2-ABD4-C875F54FE144}"/>
            </c:ext>
          </c:extLst>
        </c:ser>
        <c:ser>
          <c:idx val="4"/>
          <c:order val="4"/>
          <c:tx>
            <c:strRef>
              <c:f>'09'!$AL$20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'09'!$AM$20:$BJ$20</c:f>
              <c:numCache>
                <c:formatCode>General</c:formatCode>
                <c:ptCount val="24"/>
                <c:pt idx="0">
                  <c:v>98.3</c:v>
                </c:pt>
                <c:pt idx="1">
                  <c:v>78</c:v>
                </c:pt>
                <c:pt idx="2">
                  <c:v>78</c:v>
                </c:pt>
                <c:pt idx="3">
                  <c:v>35.5</c:v>
                </c:pt>
                <c:pt idx="4">
                  <c:v>21.9</c:v>
                </c:pt>
                <c:pt idx="5">
                  <c:v>48.7</c:v>
                </c:pt>
                <c:pt idx="6">
                  <c:v>49.4</c:v>
                </c:pt>
                <c:pt idx="7">
                  <c:v>48.5</c:v>
                </c:pt>
                <c:pt idx="8">
                  <c:v>99.7</c:v>
                </c:pt>
                <c:pt idx="9">
                  <c:v>79.3</c:v>
                </c:pt>
                <c:pt idx="10">
                  <c:v>90</c:v>
                </c:pt>
                <c:pt idx="11">
                  <c:v>68</c:v>
                </c:pt>
                <c:pt idx="12">
                  <c:v>85.6</c:v>
                </c:pt>
                <c:pt idx="13">
                  <c:v>33.299999999999997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9-4AF2-ABD4-C875F54FE144}"/>
            </c:ext>
          </c:extLst>
        </c:ser>
        <c:ser>
          <c:idx val="5"/>
          <c:order val="5"/>
          <c:tx>
            <c:strRef>
              <c:f>'09'!$AL$21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9-4AF2-ABD4-C875F54F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9-4AF2-ABD4-C875F54F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'09'!$AM$22:$BJ$22</c:f>
              <c:numCache>
                <c:formatCode>General</c:formatCode>
                <c:ptCount val="24"/>
                <c:pt idx="0">
                  <c:v>1599.43</c:v>
                </c:pt>
                <c:pt idx="1">
                  <c:v>1556.13</c:v>
                </c:pt>
                <c:pt idx="2">
                  <c:v>1536.13</c:v>
                </c:pt>
                <c:pt idx="3">
                  <c:v>1504.03</c:v>
                </c:pt>
                <c:pt idx="4">
                  <c:v>1502.73</c:v>
                </c:pt>
                <c:pt idx="5">
                  <c:v>1492.73</c:v>
                </c:pt>
                <c:pt idx="6">
                  <c:v>1556.9300000000003</c:v>
                </c:pt>
                <c:pt idx="7">
                  <c:v>1602.03</c:v>
                </c:pt>
                <c:pt idx="8">
                  <c:v>1662.93</c:v>
                </c:pt>
                <c:pt idx="9">
                  <c:v>1615.4799999999998</c:v>
                </c:pt>
                <c:pt idx="10">
                  <c:v>1685.1299999999999</c:v>
                </c:pt>
                <c:pt idx="11">
                  <c:v>1748.5299999999997</c:v>
                </c:pt>
                <c:pt idx="12">
                  <c:v>1718.53</c:v>
                </c:pt>
                <c:pt idx="13">
                  <c:v>1537.6299999999999</c:v>
                </c:pt>
                <c:pt idx="14">
                  <c:v>3.54</c:v>
                </c:pt>
                <c:pt idx="15">
                  <c:v>1577.13</c:v>
                </c:pt>
                <c:pt idx="16">
                  <c:v>481.54</c:v>
                </c:pt>
                <c:pt idx="17">
                  <c:v>1426.23</c:v>
                </c:pt>
                <c:pt idx="18">
                  <c:v>1360.33</c:v>
                </c:pt>
                <c:pt idx="19">
                  <c:v>1536.33</c:v>
                </c:pt>
                <c:pt idx="20">
                  <c:v>1649.63</c:v>
                </c:pt>
                <c:pt idx="21">
                  <c:v>1644.4299999999998</c:v>
                </c:pt>
                <c:pt idx="22">
                  <c:v>1640.03</c:v>
                </c:pt>
                <c:pt idx="23">
                  <c:v>1560.9299999999998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C09-4AF2-ABD4-C875F54FE144}"/>
            </c:ext>
          </c:extLst>
        </c:ser>
        <c:ser>
          <c:idx val="8"/>
          <c:order val="8"/>
          <c:tx>
            <c:strRef>
              <c:f>'09'!$AL$24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'09'!$AM$24:$BJ$24</c:f>
              <c:numCache>
                <c:formatCode>General</c:formatCode>
                <c:ptCount val="24"/>
                <c:pt idx="0">
                  <c:v>1599.43</c:v>
                </c:pt>
                <c:pt idx="1">
                  <c:v>1556.13</c:v>
                </c:pt>
                <c:pt idx="2">
                  <c:v>1536.13</c:v>
                </c:pt>
                <c:pt idx="3">
                  <c:v>1504.03</c:v>
                </c:pt>
                <c:pt idx="4">
                  <c:v>1502.73</c:v>
                </c:pt>
                <c:pt idx="5">
                  <c:v>1492.73</c:v>
                </c:pt>
                <c:pt idx="6">
                  <c:v>1556.9300000000003</c:v>
                </c:pt>
                <c:pt idx="7">
                  <c:v>1602.03</c:v>
                </c:pt>
                <c:pt idx="8">
                  <c:v>1662.93</c:v>
                </c:pt>
                <c:pt idx="9">
                  <c:v>1615.4799999999998</c:v>
                </c:pt>
                <c:pt idx="10">
                  <c:v>1685.1299999999999</c:v>
                </c:pt>
                <c:pt idx="11">
                  <c:v>1748.5299999999997</c:v>
                </c:pt>
                <c:pt idx="12">
                  <c:v>1718.53</c:v>
                </c:pt>
                <c:pt idx="13">
                  <c:v>1537.6299999999999</c:v>
                </c:pt>
                <c:pt idx="14">
                  <c:v>2.54</c:v>
                </c:pt>
                <c:pt idx="15">
                  <c:v>1577.13</c:v>
                </c:pt>
                <c:pt idx="16">
                  <c:v>481.54</c:v>
                </c:pt>
                <c:pt idx="17">
                  <c:v>1426.23</c:v>
                </c:pt>
                <c:pt idx="18">
                  <c:v>1360.33</c:v>
                </c:pt>
                <c:pt idx="19">
                  <c:v>1536.33</c:v>
                </c:pt>
                <c:pt idx="20">
                  <c:v>1649.63</c:v>
                </c:pt>
                <c:pt idx="21">
                  <c:v>1644.4299999999998</c:v>
                </c:pt>
                <c:pt idx="22">
                  <c:v>1640.03</c:v>
                </c:pt>
                <c:pt idx="23">
                  <c:v>1560.9299999999998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09-4AF2-ABD4-C875F54F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F4-4CD6-A80B-881BA56362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F4-4CD6-A80B-881BA56362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F4-4CD6-A80B-881BA56362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F4-4CD6-A80B-881BA56362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F4-4CD6-A80B-881BA56362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9F4-4CD6-A80B-881BA56362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644.89</c:v>
                </c:pt>
                <c:pt idx="1">
                  <c:v>644.89</c:v>
                </c:pt>
                <c:pt idx="2">
                  <c:v>644.89</c:v>
                </c:pt>
                <c:pt idx="3">
                  <c:v>628.07999999999993</c:v>
                </c:pt>
                <c:pt idx="4">
                  <c:v>628.07999999999993</c:v>
                </c:pt>
                <c:pt idx="5">
                  <c:v>628.07999999999993</c:v>
                </c:pt>
                <c:pt idx="6">
                  <c:v>603</c:v>
                </c:pt>
                <c:pt idx="7">
                  <c:v>601.4</c:v>
                </c:pt>
                <c:pt idx="8">
                  <c:v>601.79999999999995</c:v>
                </c:pt>
                <c:pt idx="9">
                  <c:v>601.79999999999995</c:v>
                </c:pt>
                <c:pt idx="10">
                  <c:v>595.29999999999995</c:v>
                </c:pt>
                <c:pt idx="11">
                  <c:v>595.29999999999995</c:v>
                </c:pt>
                <c:pt idx="12">
                  <c:v>592.59999999999991</c:v>
                </c:pt>
                <c:pt idx="13">
                  <c:v>595.4</c:v>
                </c:pt>
                <c:pt idx="14">
                  <c:v>585</c:v>
                </c:pt>
                <c:pt idx="15">
                  <c:v>585</c:v>
                </c:pt>
                <c:pt idx="16">
                  <c:v>583.79999999999995</c:v>
                </c:pt>
                <c:pt idx="17">
                  <c:v>583.79999999999995</c:v>
                </c:pt>
                <c:pt idx="18" formatCode="0.0">
                  <c:v>583.79999999999995</c:v>
                </c:pt>
                <c:pt idx="19" formatCode="0.0">
                  <c:v>581.79999999999995</c:v>
                </c:pt>
                <c:pt idx="20" formatCode="0.0">
                  <c:v>584.09999999999991</c:v>
                </c:pt>
                <c:pt idx="21" formatCode="0.0">
                  <c:v>584.09999999999991</c:v>
                </c:pt>
                <c:pt idx="22" formatCode="0.0">
                  <c:v>584.09999999999991</c:v>
                </c:pt>
                <c:pt idx="23" formatCode="0.0">
                  <c:v>584.09999999999991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975-8175-DE36FF3F968C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276.60000000000002</c:v>
                </c:pt>
                <c:pt idx="1">
                  <c:v>276.60000000000002</c:v>
                </c:pt>
                <c:pt idx="2">
                  <c:v>257.60000000000002</c:v>
                </c:pt>
                <c:pt idx="3">
                  <c:v>215.79999999999998</c:v>
                </c:pt>
                <c:pt idx="4">
                  <c:v>215.79999999999998</c:v>
                </c:pt>
                <c:pt idx="5">
                  <c:v>215.79999999999998</c:v>
                </c:pt>
                <c:pt idx="6">
                  <c:v>304.8</c:v>
                </c:pt>
                <c:pt idx="7">
                  <c:v>107.6</c:v>
                </c:pt>
                <c:pt idx="8">
                  <c:v>108.5</c:v>
                </c:pt>
                <c:pt idx="9">
                  <c:v>108.6</c:v>
                </c:pt>
                <c:pt idx="10">
                  <c:v>125.7</c:v>
                </c:pt>
                <c:pt idx="11">
                  <c:v>135.69999999999999</c:v>
                </c:pt>
                <c:pt idx="12">
                  <c:v>207.7</c:v>
                </c:pt>
                <c:pt idx="13">
                  <c:v>208.60000000000002</c:v>
                </c:pt>
                <c:pt idx="14">
                  <c:v>208.60000000000002</c:v>
                </c:pt>
                <c:pt idx="15">
                  <c:v>205.70000000000002</c:v>
                </c:pt>
                <c:pt idx="16">
                  <c:v>205.10000000000002</c:v>
                </c:pt>
                <c:pt idx="17">
                  <c:v>152.30000000000001</c:v>
                </c:pt>
                <c:pt idx="18" formatCode="0.0">
                  <c:v>144.9</c:v>
                </c:pt>
                <c:pt idx="19" formatCode="0.0">
                  <c:v>401.2</c:v>
                </c:pt>
                <c:pt idx="20" formatCode="0.0">
                  <c:v>510.2</c:v>
                </c:pt>
                <c:pt idx="21" formatCode="0.0">
                  <c:v>442.2</c:v>
                </c:pt>
                <c:pt idx="22" formatCode="0.0">
                  <c:v>347.2</c:v>
                </c:pt>
                <c:pt idx="23" formatCode="0.0">
                  <c:v>332.2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5-4975-8175-DE36FF3F968C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304.33999999999997</c:v>
                </c:pt>
                <c:pt idx="1">
                  <c:v>304.33999999999997</c:v>
                </c:pt>
                <c:pt idx="2">
                  <c:v>281.14</c:v>
                </c:pt>
                <c:pt idx="3">
                  <c:v>283.64</c:v>
                </c:pt>
                <c:pt idx="4">
                  <c:v>273.64</c:v>
                </c:pt>
                <c:pt idx="5">
                  <c:v>263.64</c:v>
                </c:pt>
                <c:pt idx="6">
                  <c:v>287.64000000000004</c:v>
                </c:pt>
                <c:pt idx="7">
                  <c:v>296.34000000000009</c:v>
                </c:pt>
                <c:pt idx="8">
                  <c:v>309.54000000000008</c:v>
                </c:pt>
                <c:pt idx="9">
                  <c:v>320.24000000000007</c:v>
                </c:pt>
                <c:pt idx="10">
                  <c:v>324.34000000000003</c:v>
                </c:pt>
                <c:pt idx="11">
                  <c:v>316.94000000000005</c:v>
                </c:pt>
                <c:pt idx="12">
                  <c:v>310.1400000000001</c:v>
                </c:pt>
                <c:pt idx="13">
                  <c:v>326.34000000000015</c:v>
                </c:pt>
                <c:pt idx="14">
                  <c:v>320.24000000000012</c:v>
                </c:pt>
                <c:pt idx="15">
                  <c:v>339.74000000000007</c:v>
                </c:pt>
                <c:pt idx="16">
                  <c:v>338.94000000000005</c:v>
                </c:pt>
                <c:pt idx="17">
                  <c:v>322.94000000000005</c:v>
                </c:pt>
                <c:pt idx="18" formatCode="0.0">
                  <c:v>289.73999999999995</c:v>
                </c:pt>
                <c:pt idx="19" formatCode="0.0">
                  <c:v>318.8</c:v>
                </c:pt>
                <c:pt idx="20" formatCode="0.0">
                  <c:v>367.84000000000003</c:v>
                </c:pt>
                <c:pt idx="21" formatCode="0.0">
                  <c:v>368.84000000000003</c:v>
                </c:pt>
                <c:pt idx="22" formatCode="0.0">
                  <c:v>355.84</c:v>
                </c:pt>
                <c:pt idx="23" formatCode="0.0">
                  <c:v>355.84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5-4975-8175-DE36FF3F968C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80</c:v>
                </c:pt>
                <c:pt idx="1">
                  <c:v>83</c:v>
                </c:pt>
                <c:pt idx="2">
                  <c:v>66.599999999999994</c:v>
                </c:pt>
                <c:pt idx="3">
                  <c:v>66.099999999999994</c:v>
                </c:pt>
                <c:pt idx="4">
                  <c:v>70.8</c:v>
                </c:pt>
                <c:pt idx="5">
                  <c:v>58.7</c:v>
                </c:pt>
                <c:pt idx="6">
                  <c:v>76.5</c:v>
                </c:pt>
                <c:pt idx="7">
                  <c:v>474.8</c:v>
                </c:pt>
                <c:pt idx="8">
                  <c:v>507.69999999999993</c:v>
                </c:pt>
                <c:pt idx="9">
                  <c:v>585</c:v>
                </c:pt>
                <c:pt idx="10">
                  <c:v>585.59999999999991</c:v>
                </c:pt>
                <c:pt idx="11">
                  <c:v>596.40000000000009</c:v>
                </c:pt>
                <c:pt idx="12">
                  <c:v>557</c:v>
                </c:pt>
                <c:pt idx="13">
                  <c:v>521.70000000000005</c:v>
                </c:pt>
                <c:pt idx="14">
                  <c:v>595</c:v>
                </c:pt>
                <c:pt idx="15">
                  <c:v>569.20000000000005</c:v>
                </c:pt>
                <c:pt idx="16">
                  <c:v>571.4</c:v>
                </c:pt>
                <c:pt idx="17">
                  <c:v>551</c:v>
                </c:pt>
                <c:pt idx="18" formatCode="0.0">
                  <c:v>477.30000000000007</c:v>
                </c:pt>
                <c:pt idx="19" formatCode="0.0">
                  <c:v>225.3</c:v>
                </c:pt>
                <c:pt idx="20" formatCode="0.0">
                  <c:v>109.19999999999999</c:v>
                </c:pt>
                <c:pt idx="21" formatCode="0.0">
                  <c:v>128</c:v>
                </c:pt>
                <c:pt idx="22" formatCode="0.0">
                  <c:v>129.19999999999999</c:v>
                </c:pt>
                <c:pt idx="23" formatCode="0.0">
                  <c:v>129.19999999999999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5-4975-8175-DE36FF3F968C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</c:v>
                </c:pt>
                <c:pt idx="15">
                  <c:v>20.7</c:v>
                </c:pt>
                <c:pt idx="16">
                  <c:v>19.999999999999996</c:v>
                </c:pt>
                <c:pt idx="17">
                  <c:v>19.999999999999996</c:v>
                </c:pt>
                <c:pt idx="18" formatCode="0.0">
                  <c:v>19.899999999999999</c:v>
                </c:pt>
                <c:pt idx="19" formatCode="0.0">
                  <c:v>21.8</c:v>
                </c:pt>
                <c:pt idx="20" formatCode="0.0">
                  <c:v>97.600000000000009</c:v>
                </c:pt>
                <c:pt idx="21" formatCode="0.0">
                  <c:v>97.600000000000009</c:v>
                </c:pt>
                <c:pt idx="22" formatCode="0.0">
                  <c:v>97.600000000000009</c:v>
                </c:pt>
                <c:pt idx="23" formatCode="0.0">
                  <c:v>97.600000000000009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5-4975-8175-DE36FF3F968C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202</c:v>
                </c:pt>
                <c:pt idx="22" formatCode="0.0">
                  <c:v>200</c:v>
                </c:pt>
                <c:pt idx="23" formatCode="0.0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95-4975-8175-DE36FF3F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95-4975-8175-DE36FF3F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1555.83</c:v>
                </c:pt>
                <c:pt idx="1">
                  <c:v>1538.83</c:v>
                </c:pt>
                <c:pt idx="2">
                  <c:v>1480.23</c:v>
                </c:pt>
                <c:pt idx="3">
                  <c:v>1423.62</c:v>
                </c:pt>
                <c:pt idx="4">
                  <c:v>1418.32</c:v>
                </c:pt>
                <c:pt idx="5">
                  <c:v>1396.22</c:v>
                </c:pt>
                <c:pt idx="6">
                  <c:v>1421.94</c:v>
                </c:pt>
                <c:pt idx="7">
                  <c:v>1480.14</c:v>
                </c:pt>
                <c:pt idx="8">
                  <c:v>1527.54</c:v>
                </c:pt>
                <c:pt idx="9">
                  <c:v>1615.64</c:v>
                </c:pt>
                <c:pt idx="10">
                  <c:v>1630.94</c:v>
                </c:pt>
                <c:pt idx="11">
                  <c:v>1644.3400000000001</c:v>
                </c:pt>
                <c:pt idx="12">
                  <c:v>1667.44</c:v>
                </c:pt>
                <c:pt idx="13">
                  <c:v>1652.0400000000002</c:v>
                </c:pt>
                <c:pt idx="14">
                  <c:v>1729.8400000000001</c:v>
                </c:pt>
                <c:pt idx="15">
                  <c:v>1720.3400000000001</c:v>
                </c:pt>
                <c:pt idx="16">
                  <c:v>1719.2400000000002</c:v>
                </c:pt>
                <c:pt idx="17">
                  <c:v>1630.04</c:v>
                </c:pt>
                <c:pt idx="18">
                  <c:v>1515.6399999999999</c:v>
                </c:pt>
                <c:pt idx="19">
                  <c:v>1748.8999999999999</c:v>
                </c:pt>
                <c:pt idx="20">
                  <c:v>1868.9399999999998</c:v>
                </c:pt>
                <c:pt idx="21">
                  <c:v>1822.7399999999998</c:v>
                </c:pt>
                <c:pt idx="22">
                  <c:v>1713.9399999999998</c:v>
                </c:pt>
                <c:pt idx="23">
                  <c:v>1699.9399999999998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A95-4975-8175-DE36FF3F968C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1555.83</c:v>
                </c:pt>
                <c:pt idx="1">
                  <c:v>1538.83</c:v>
                </c:pt>
                <c:pt idx="2">
                  <c:v>1480.23</c:v>
                </c:pt>
                <c:pt idx="3">
                  <c:v>1423.62</c:v>
                </c:pt>
                <c:pt idx="4">
                  <c:v>1418.32</c:v>
                </c:pt>
                <c:pt idx="5">
                  <c:v>1390.22</c:v>
                </c:pt>
                <c:pt idx="6">
                  <c:v>1421.94</c:v>
                </c:pt>
                <c:pt idx="7">
                  <c:v>1480.14</c:v>
                </c:pt>
                <c:pt idx="8">
                  <c:v>1527.54</c:v>
                </c:pt>
                <c:pt idx="9">
                  <c:v>1615.64</c:v>
                </c:pt>
                <c:pt idx="10">
                  <c:v>1630.94</c:v>
                </c:pt>
                <c:pt idx="11">
                  <c:v>1644.3400000000001</c:v>
                </c:pt>
                <c:pt idx="12">
                  <c:v>1667.44</c:v>
                </c:pt>
                <c:pt idx="13">
                  <c:v>1652.0400000000002</c:v>
                </c:pt>
                <c:pt idx="14">
                  <c:v>1729.8400000000001</c:v>
                </c:pt>
                <c:pt idx="15">
                  <c:v>1720.3400000000001</c:v>
                </c:pt>
                <c:pt idx="16">
                  <c:v>1719.2400000000002</c:v>
                </c:pt>
                <c:pt idx="17">
                  <c:v>1630.04</c:v>
                </c:pt>
                <c:pt idx="18">
                  <c:v>1515.6399999999999</c:v>
                </c:pt>
                <c:pt idx="19">
                  <c:v>1748.8999999999999</c:v>
                </c:pt>
                <c:pt idx="20">
                  <c:v>1868.9399999999998</c:v>
                </c:pt>
                <c:pt idx="21">
                  <c:v>1822.7399999999998</c:v>
                </c:pt>
                <c:pt idx="22">
                  <c:v>1713.9399999999998</c:v>
                </c:pt>
                <c:pt idx="23">
                  <c:v>1699.9399999999998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95-4975-8175-DE36FF3F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E5-4FA2-B409-24F1AB8E6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E5-4FA2-B409-24F1AB8E6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E5-4FA2-B409-24F1AB8E6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E5-4FA2-B409-24F1AB8E69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E5-4FA2-B409-24F1AB8E695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FE5-4FA2-B409-24F1AB8E69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'11'!$AM$16:$BJ$16</c:f>
              <c:numCache>
                <c:formatCode>General</c:formatCode>
                <c:ptCount val="24"/>
                <c:pt idx="0">
                  <c:v>584.09999999999991</c:v>
                </c:pt>
                <c:pt idx="1">
                  <c:v>584.09999999999991</c:v>
                </c:pt>
                <c:pt idx="2">
                  <c:v>584.09999999999991</c:v>
                </c:pt>
                <c:pt idx="3">
                  <c:v>581.09999999999991</c:v>
                </c:pt>
                <c:pt idx="4">
                  <c:v>581.09999999999991</c:v>
                </c:pt>
                <c:pt idx="5">
                  <c:v>581.09999999999991</c:v>
                </c:pt>
                <c:pt idx="6">
                  <c:v>581.09999999999991</c:v>
                </c:pt>
                <c:pt idx="7">
                  <c:v>581.09999999999991</c:v>
                </c:pt>
                <c:pt idx="8">
                  <c:v>581.09999999999991</c:v>
                </c:pt>
                <c:pt idx="9">
                  <c:v>581.09999999999991</c:v>
                </c:pt>
                <c:pt idx="10">
                  <c:v>581.09999999999991</c:v>
                </c:pt>
                <c:pt idx="11">
                  <c:v>581.09999999999991</c:v>
                </c:pt>
                <c:pt idx="12">
                  <c:v>581.09999999999991</c:v>
                </c:pt>
                <c:pt idx="13">
                  <c:v>581.09999999999991</c:v>
                </c:pt>
                <c:pt idx="14">
                  <c:v>581.09999999999991</c:v>
                </c:pt>
                <c:pt idx="15">
                  <c:v>581.09999999999991</c:v>
                </c:pt>
                <c:pt idx="16">
                  <c:v>581.09999999999991</c:v>
                </c:pt>
                <c:pt idx="17">
                  <c:v>581.09999999999991</c:v>
                </c:pt>
                <c:pt idx="18" formatCode="0.0">
                  <c:v>581.09999999999991</c:v>
                </c:pt>
                <c:pt idx="19" formatCode="0.0">
                  <c:v>581.09999999999991</c:v>
                </c:pt>
                <c:pt idx="20" formatCode="0.0">
                  <c:v>584.29999999999995</c:v>
                </c:pt>
                <c:pt idx="21" formatCode="0.0">
                  <c:v>584.9</c:v>
                </c:pt>
                <c:pt idx="22" formatCode="0.0">
                  <c:v>592.20000000000005</c:v>
                </c:pt>
                <c:pt idx="23" formatCode="0.0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7-4E20-B87F-010B6B13ED93}"/>
            </c:ext>
          </c:extLst>
        </c:ser>
        <c:ser>
          <c:idx val="2"/>
          <c:order val="1"/>
          <c:tx>
            <c:strRef>
              <c:f>'11'!$AL$17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'11'!$AM$17:$BJ$17</c:f>
              <c:numCache>
                <c:formatCode>General</c:formatCode>
                <c:ptCount val="24"/>
                <c:pt idx="0">
                  <c:v>252.2</c:v>
                </c:pt>
                <c:pt idx="1">
                  <c:v>252.2</c:v>
                </c:pt>
                <c:pt idx="2">
                  <c:v>202.2</c:v>
                </c:pt>
                <c:pt idx="3">
                  <c:v>200</c:v>
                </c:pt>
                <c:pt idx="4">
                  <c:v>199.2</c:v>
                </c:pt>
                <c:pt idx="5">
                  <c:v>199.4</c:v>
                </c:pt>
                <c:pt idx="6">
                  <c:v>199.6</c:v>
                </c:pt>
                <c:pt idx="7">
                  <c:v>49.1</c:v>
                </c:pt>
                <c:pt idx="8">
                  <c:v>149.1</c:v>
                </c:pt>
                <c:pt idx="9">
                  <c:v>99.2</c:v>
                </c:pt>
                <c:pt idx="10">
                  <c:v>107.6</c:v>
                </c:pt>
                <c:pt idx="11">
                  <c:v>107.4</c:v>
                </c:pt>
                <c:pt idx="12">
                  <c:v>90.399999999999991</c:v>
                </c:pt>
                <c:pt idx="13">
                  <c:v>87.3</c:v>
                </c:pt>
                <c:pt idx="14">
                  <c:v>37.299999999999997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37.299999999999997</c:v>
                </c:pt>
                <c:pt idx="18" formatCode="0.0">
                  <c:v>37.299999999999997</c:v>
                </c:pt>
                <c:pt idx="19" formatCode="0.0">
                  <c:v>410.3</c:v>
                </c:pt>
                <c:pt idx="20" formatCode="0.0">
                  <c:v>453.8</c:v>
                </c:pt>
                <c:pt idx="21" formatCode="0.0">
                  <c:v>456.09999999999997</c:v>
                </c:pt>
                <c:pt idx="22" formatCode="0.0">
                  <c:v>405.7</c:v>
                </c:pt>
                <c:pt idx="23" formatCode="0.0">
                  <c:v>332.6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7-4E20-B87F-010B6B13ED93}"/>
            </c:ext>
          </c:extLst>
        </c:ser>
        <c:ser>
          <c:idx val="3"/>
          <c:order val="2"/>
          <c:tx>
            <c:strRef>
              <c:f>'11'!$AL$18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'11'!$AM$18:$BJ$18</c:f>
              <c:numCache>
                <c:formatCode>General</c:formatCode>
                <c:ptCount val="24"/>
                <c:pt idx="0">
                  <c:v>355.84</c:v>
                </c:pt>
                <c:pt idx="1">
                  <c:v>350.64</c:v>
                </c:pt>
                <c:pt idx="2">
                  <c:v>350.64</c:v>
                </c:pt>
                <c:pt idx="3">
                  <c:v>319.84000000000003</c:v>
                </c:pt>
                <c:pt idx="4">
                  <c:v>289.54000000000002</c:v>
                </c:pt>
                <c:pt idx="5">
                  <c:v>298.14</c:v>
                </c:pt>
                <c:pt idx="6">
                  <c:v>313.34000000000003</c:v>
                </c:pt>
                <c:pt idx="7">
                  <c:v>308.28999999999996</c:v>
                </c:pt>
                <c:pt idx="8">
                  <c:v>330.04</c:v>
                </c:pt>
                <c:pt idx="9">
                  <c:v>290.14000000000004</c:v>
                </c:pt>
                <c:pt idx="10">
                  <c:v>310.14</c:v>
                </c:pt>
                <c:pt idx="11">
                  <c:v>317.94</c:v>
                </c:pt>
                <c:pt idx="12">
                  <c:v>325.14000000000004</c:v>
                </c:pt>
                <c:pt idx="13">
                  <c:v>320.64000000000004</c:v>
                </c:pt>
                <c:pt idx="14">
                  <c:v>320.64000000000004</c:v>
                </c:pt>
                <c:pt idx="15">
                  <c:v>320.64000000000004</c:v>
                </c:pt>
                <c:pt idx="16">
                  <c:v>312.24</c:v>
                </c:pt>
                <c:pt idx="17">
                  <c:v>272.44</c:v>
                </c:pt>
                <c:pt idx="18" formatCode="0.0">
                  <c:v>259.24</c:v>
                </c:pt>
                <c:pt idx="19" formatCode="0.0">
                  <c:v>280.7</c:v>
                </c:pt>
                <c:pt idx="20" formatCode="0.0">
                  <c:v>304.43999999999994</c:v>
                </c:pt>
                <c:pt idx="21" formatCode="0.0">
                  <c:v>295.64</c:v>
                </c:pt>
                <c:pt idx="22" formatCode="0.0">
                  <c:v>297.14</c:v>
                </c:pt>
                <c:pt idx="23" formatCode="0.0">
                  <c:v>297.04000000000002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7-4E20-B87F-010B6B13ED93}"/>
            </c:ext>
          </c:extLst>
        </c:ser>
        <c:ser>
          <c:idx val="0"/>
          <c:order val="3"/>
          <c:tx>
            <c:strRef>
              <c:f>'11'!$AL$19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'11'!$AM$19:$BJ$19</c:f>
              <c:numCache>
                <c:formatCode>General</c:formatCode>
                <c:ptCount val="24"/>
                <c:pt idx="0">
                  <c:v>140.9</c:v>
                </c:pt>
                <c:pt idx="1">
                  <c:v>99.72999999999999</c:v>
                </c:pt>
                <c:pt idx="2">
                  <c:v>151.4</c:v>
                </c:pt>
                <c:pt idx="3">
                  <c:v>137.4</c:v>
                </c:pt>
                <c:pt idx="4">
                  <c:v>147.30000000000001</c:v>
                </c:pt>
                <c:pt idx="5">
                  <c:v>154.69999999999999</c:v>
                </c:pt>
                <c:pt idx="6">
                  <c:v>178.39999999999998</c:v>
                </c:pt>
                <c:pt idx="7">
                  <c:v>589.09999999999991</c:v>
                </c:pt>
                <c:pt idx="8">
                  <c:v>542.79999999999995</c:v>
                </c:pt>
                <c:pt idx="9">
                  <c:v>710.4</c:v>
                </c:pt>
                <c:pt idx="10">
                  <c:v>764.5</c:v>
                </c:pt>
                <c:pt idx="11">
                  <c:v>799.50000000000011</c:v>
                </c:pt>
                <c:pt idx="12">
                  <c:v>680.4</c:v>
                </c:pt>
                <c:pt idx="13">
                  <c:v>747.9</c:v>
                </c:pt>
                <c:pt idx="14">
                  <c:v>654</c:v>
                </c:pt>
                <c:pt idx="15">
                  <c:v>783.3</c:v>
                </c:pt>
                <c:pt idx="16">
                  <c:v>798.3</c:v>
                </c:pt>
                <c:pt idx="17">
                  <c:v>709.69999999999993</c:v>
                </c:pt>
                <c:pt idx="18" formatCode="0.0">
                  <c:v>569</c:v>
                </c:pt>
                <c:pt idx="19" formatCode="0.0">
                  <c:v>250.1</c:v>
                </c:pt>
                <c:pt idx="20" formatCode="0.0">
                  <c:v>121.5</c:v>
                </c:pt>
                <c:pt idx="21" formatCode="0.0">
                  <c:v>97.2</c:v>
                </c:pt>
                <c:pt idx="22" formatCode="0.0">
                  <c:v>105.8</c:v>
                </c:pt>
                <c:pt idx="23" formatCode="0.0">
                  <c:v>100.19999999999999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7-4E20-B87F-010B6B13ED93}"/>
            </c:ext>
          </c:extLst>
        </c:ser>
        <c:ser>
          <c:idx val="4"/>
          <c:order val="4"/>
          <c:tx>
            <c:strRef>
              <c:f>'11'!$AL$20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'11'!$AM$20:$BJ$20</c:f>
              <c:numCache>
                <c:formatCode>General</c:formatCode>
                <c:ptCount val="24"/>
                <c:pt idx="0">
                  <c:v>97.600000000000009</c:v>
                </c:pt>
                <c:pt idx="1">
                  <c:v>97.600000000000009</c:v>
                </c:pt>
                <c:pt idx="2">
                  <c:v>97.600000000000009</c:v>
                </c:pt>
                <c:pt idx="3">
                  <c:v>98.1</c:v>
                </c:pt>
                <c:pt idx="4">
                  <c:v>98.2</c:v>
                </c:pt>
                <c:pt idx="5">
                  <c:v>98.3</c:v>
                </c:pt>
                <c:pt idx="6">
                  <c:v>98.2</c:v>
                </c:pt>
                <c:pt idx="7">
                  <c:v>97.9</c:v>
                </c:pt>
                <c:pt idx="8">
                  <c:v>99.2</c:v>
                </c:pt>
                <c:pt idx="9">
                  <c:v>61.699999999999996</c:v>
                </c:pt>
                <c:pt idx="10">
                  <c:v>81.2</c:v>
                </c:pt>
                <c:pt idx="11">
                  <c:v>100.10000000000001</c:v>
                </c:pt>
                <c:pt idx="12">
                  <c:v>100.39999999999999</c:v>
                </c:pt>
                <c:pt idx="13">
                  <c:v>100.39999999999999</c:v>
                </c:pt>
                <c:pt idx="14">
                  <c:v>100.39999999999999</c:v>
                </c:pt>
                <c:pt idx="15">
                  <c:v>100.39999999999999</c:v>
                </c:pt>
                <c:pt idx="16">
                  <c:v>100.39999999999999</c:v>
                </c:pt>
                <c:pt idx="17">
                  <c:v>100.39999999999999</c:v>
                </c:pt>
                <c:pt idx="18" formatCode="0.0">
                  <c:v>49.199999999999996</c:v>
                </c:pt>
                <c:pt idx="19" formatCode="0.0">
                  <c:v>61.9</c:v>
                </c:pt>
                <c:pt idx="20" formatCode="0.0">
                  <c:v>80.600000000000009</c:v>
                </c:pt>
                <c:pt idx="21" formatCode="0.0">
                  <c:v>78.2</c:v>
                </c:pt>
                <c:pt idx="22" formatCode="0.0">
                  <c:v>65.5</c:v>
                </c:pt>
                <c:pt idx="23" formatCode="0.0">
                  <c:v>61.400000000000006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7-4E20-B87F-010B6B13ED93}"/>
            </c:ext>
          </c:extLst>
        </c:ser>
        <c:ser>
          <c:idx val="5"/>
          <c:order val="5"/>
          <c:tx>
            <c:strRef>
              <c:f>'11'!$AL$21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170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60</c:v>
                </c:pt>
                <c:pt idx="13">
                  <c:v>60</c:v>
                </c:pt>
                <c:pt idx="14">
                  <c:v>80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7-4E20-B87F-010B6B13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47-4E20-B87F-010B6B13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'11'!$AM$22:$BJ$22</c:f>
              <c:numCache>
                <c:formatCode>General</c:formatCode>
                <c:ptCount val="24"/>
                <c:pt idx="0">
                  <c:v>1630.6399999999999</c:v>
                </c:pt>
                <c:pt idx="1">
                  <c:v>1584.27</c:v>
                </c:pt>
                <c:pt idx="2">
                  <c:v>1585.94</c:v>
                </c:pt>
                <c:pt idx="3">
                  <c:v>1536.44</c:v>
                </c:pt>
                <c:pt idx="4">
                  <c:v>1515.34</c:v>
                </c:pt>
                <c:pt idx="5">
                  <c:v>1531.6399999999999</c:v>
                </c:pt>
                <c:pt idx="6">
                  <c:v>1540.64</c:v>
                </c:pt>
                <c:pt idx="7">
                  <c:v>1625.4899999999998</c:v>
                </c:pt>
                <c:pt idx="8">
                  <c:v>1702.24</c:v>
                </c:pt>
                <c:pt idx="9">
                  <c:v>1742.5400000000002</c:v>
                </c:pt>
                <c:pt idx="10">
                  <c:v>1844.54</c:v>
                </c:pt>
                <c:pt idx="11">
                  <c:v>1906.04</c:v>
                </c:pt>
                <c:pt idx="12">
                  <c:v>1837.44</c:v>
                </c:pt>
                <c:pt idx="13">
                  <c:v>1897.3400000000001</c:v>
                </c:pt>
                <c:pt idx="14">
                  <c:v>1773.44</c:v>
                </c:pt>
                <c:pt idx="15">
                  <c:v>1902.74</c:v>
                </c:pt>
                <c:pt idx="16">
                  <c:v>1829.34</c:v>
                </c:pt>
                <c:pt idx="17">
                  <c:v>1700.94</c:v>
                </c:pt>
                <c:pt idx="18">
                  <c:v>1495.84</c:v>
                </c:pt>
                <c:pt idx="19">
                  <c:v>1834.1</c:v>
                </c:pt>
                <c:pt idx="20">
                  <c:v>1794.6399999999999</c:v>
                </c:pt>
                <c:pt idx="21">
                  <c:v>1762.04</c:v>
                </c:pt>
                <c:pt idx="22">
                  <c:v>1716.34</c:v>
                </c:pt>
                <c:pt idx="23">
                  <c:v>1634.2400000000002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A47-4E20-B87F-010B6B13ED93}"/>
            </c:ext>
          </c:extLst>
        </c:ser>
        <c:ser>
          <c:idx val="8"/>
          <c:order val="8"/>
          <c:tx>
            <c:strRef>
              <c:f>'11'!$AL$24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'11'!$AM$24:$BJ$24</c:f>
              <c:numCache>
                <c:formatCode>General</c:formatCode>
                <c:ptCount val="24"/>
                <c:pt idx="0">
                  <c:v>1630.6399999999999</c:v>
                </c:pt>
                <c:pt idx="1">
                  <c:v>1583.27</c:v>
                </c:pt>
                <c:pt idx="2">
                  <c:v>1583.94</c:v>
                </c:pt>
                <c:pt idx="3">
                  <c:v>1536.44</c:v>
                </c:pt>
                <c:pt idx="4">
                  <c:v>1515.34</c:v>
                </c:pt>
                <c:pt idx="5">
                  <c:v>1531.6399999999999</c:v>
                </c:pt>
                <c:pt idx="6">
                  <c:v>1540.64</c:v>
                </c:pt>
                <c:pt idx="7">
                  <c:v>1625.4899999999998</c:v>
                </c:pt>
                <c:pt idx="8">
                  <c:v>1702.24</c:v>
                </c:pt>
                <c:pt idx="9">
                  <c:v>1742.5400000000002</c:v>
                </c:pt>
                <c:pt idx="10">
                  <c:v>1844.54</c:v>
                </c:pt>
                <c:pt idx="11">
                  <c:v>1906.04</c:v>
                </c:pt>
                <c:pt idx="12">
                  <c:v>1837.44</c:v>
                </c:pt>
                <c:pt idx="13">
                  <c:v>1897.3400000000001</c:v>
                </c:pt>
                <c:pt idx="14">
                  <c:v>1773.44</c:v>
                </c:pt>
                <c:pt idx="15">
                  <c:v>1902.74</c:v>
                </c:pt>
                <c:pt idx="16">
                  <c:v>1829.34</c:v>
                </c:pt>
                <c:pt idx="17">
                  <c:v>1700.94</c:v>
                </c:pt>
                <c:pt idx="18">
                  <c:v>1495.84</c:v>
                </c:pt>
                <c:pt idx="19">
                  <c:v>1834.1</c:v>
                </c:pt>
                <c:pt idx="20">
                  <c:v>1794.6399999999999</c:v>
                </c:pt>
                <c:pt idx="21">
                  <c:v>1762.04</c:v>
                </c:pt>
                <c:pt idx="22">
                  <c:v>1716.34</c:v>
                </c:pt>
                <c:pt idx="23">
                  <c:v>1634.2400000000002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47-4E20-B87F-010B6B13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67-4A3C-8A84-BF7B436C8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67-4A3C-8A84-BF7B436C82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67-4A3C-8A84-BF7B436C82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67-4A3C-8A84-BF7B436C82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67-4A3C-8A84-BF7B436C827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367-4A3C-8A84-BF7B436C82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0</c:v>
                </c:pt>
                <c:pt idx="1">
                  <c:v>593</c:v>
                </c:pt>
                <c:pt idx="2">
                  <c:v>593</c:v>
                </c:pt>
                <c:pt idx="3">
                  <c:v>591.79999999999995</c:v>
                </c:pt>
                <c:pt idx="4">
                  <c:v>590.29999999999995</c:v>
                </c:pt>
                <c:pt idx="5">
                  <c:v>590.29999999999995</c:v>
                </c:pt>
                <c:pt idx="6">
                  <c:v>591.79999999999995</c:v>
                </c:pt>
                <c:pt idx="7">
                  <c:v>591.1</c:v>
                </c:pt>
                <c:pt idx="8">
                  <c:v>591.79999999999995</c:v>
                </c:pt>
                <c:pt idx="9">
                  <c:v>591.79999999999995</c:v>
                </c:pt>
                <c:pt idx="10">
                  <c:v>591.79999999999995</c:v>
                </c:pt>
                <c:pt idx="11">
                  <c:v>591.79999999999995</c:v>
                </c:pt>
                <c:pt idx="12">
                  <c:v>591.79999999999995</c:v>
                </c:pt>
                <c:pt idx="13">
                  <c:v>591.79999999999995</c:v>
                </c:pt>
                <c:pt idx="14">
                  <c:v>569.09999999999991</c:v>
                </c:pt>
                <c:pt idx="15">
                  <c:v>567.09999999999991</c:v>
                </c:pt>
                <c:pt idx="16">
                  <c:v>581.59999999999991</c:v>
                </c:pt>
                <c:pt idx="17">
                  <c:v>581.59999999999991</c:v>
                </c:pt>
                <c:pt idx="18" formatCode="0.0">
                  <c:v>589.09999999999991</c:v>
                </c:pt>
                <c:pt idx="19" formatCode="0.0">
                  <c:v>591.39999999999986</c:v>
                </c:pt>
                <c:pt idx="20" formatCode="0.0">
                  <c:v>613.29999999999995</c:v>
                </c:pt>
                <c:pt idx="21" formatCode="0.0">
                  <c:v>613.29999999999995</c:v>
                </c:pt>
                <c:pt idx="22" formatCode="0.0">
                  <c:v>613.29999999999995</c:v>
                </c:pt>
                <c:pt idx="23" formatCode="0.0">
                  <c:v>613.29999999999995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3-429E-B124-A89CD23244F8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280.39999999999998</c:v>
                </c:pt>
                <c:pt idx="1">
                  <c:v>240.4</c:v>
                </c:pt>
                <c:pt idx="2">
                  <c:v>210.4</c:v>
                </c:pt>
                <c:pt idx="3">
                  <c:v>206.5</c:v>
                </c:pt>
                <c:pt idx="4">
                  <c:v>205.3</c:v>
                </c:pt>
                <c:pt idx="5">
                  <c:v>205.3</c:v>
                </c:pt>
                <c:pt idx="6">
                  <c:v>255.1</c:v>
                </c:pt>
                <c:pt idx="7">
                  <c:v>54.400000000000006</c:v>
                </c:pt>
                <c:pt idx="8">
                  <c:v>55.3</c:v>
                </c:pt>
                <c:pt idx="9">
                  <c:v>55.3</c:v>
                </c:pt>
                <c:pt idx="10">
                  <c:v>52.5</c:v>
                </c:pt>
                <c:pt idx="11">
                  <c:v>52.5</c:v>
                </c:pt>
                <c:pt idx="12">
                  <c:v>102.5</c:v>
                </c:pt>
                <c:pt idx="13">
                  <c:v>112.5</c:v>
                </c:pt>
                <c:pt idx="14">
                  <c:v>91.3</c:v>
                </c:pt>
                <c:pt idx="15">
                  <c:v>80.2</c:v>
                </c:pt>
                <c:pt idx="16">
                  <c:v>119.8</c:v>
                </c:pt>
                <c:pt idx="17">
                  <c:v>79.900000000000006</c:v>
                </c:pt>
                <c:pt idx="18" formatCode="0.0">
                  <c:v>149.6</c:v>
                </c:pt>
                <c:pt idx="19" formatCode="0.0">
                  <c:v>388.70000000000005</c:v>
                </c:pt>
                <c:pt idx="20" formatCode="0.0">
                  <c:v>389.6</c:v>
                </c:pt>
                <c:pt idx="21" formatCode="0.0">
                  <c:v>349.6</c:v>
                </c:pt>
                <c:pt idx="22" formatCode="0.0">
                  <c:v>0</c:v>
                </c:pt>
                <c:pt idx="23" formatCode="0.0">
                  <c:v>269.5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3-429E-B124-A89CD23244F8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296.64000000000004</c:v>
                </c:pt>
                <c:pt idx="1">
                  <c:v>269.94</c:v>
                </c:pt>
                <c:pt idx="2">
                  <c:v>270.64</c:v>
                </c:pt>
                <c:pt idx="3">
                  <c:v>264.14</c:v>
                </c:pt>
                <c:pt idx="4">
                  <c:v>249.33999999999997</c:v>
                </c:pt>
                <c:pt idx="5">
                  <c:v>249.93999999999997</c:v>
                </c:pt>
                <c:pt idx="6">
                  <c:v>261.33999999999997</c:v>
                </c:pt>
                <c:pt idx="7">
                  <c:v>316.84000000000003</c:v>
                </c:pt>
                <c:pt idx="8">
                  <c:v>271.74000000000007</c:v>
                </c:pt>
                <c:pt idx="9">
                  <c:v>302.74</c:v>
                </c:pt>
                <c:pt idx="10">
                  <c:v>295.04000000000008</c:v>
                </c:pt>
                <c:pt idx="11">
                  <c:v>321.84000000000003</c:v>
                </c:pt>
                <c:pt idx="12">
                  <c:v>321.84000000000003</c:v>
                </c:pt>
                <c:pt idx="13">
                  <c:v>315.84000000000003</c:v>
                </c:pt>
                <c:pt idx="14">
                  <c:v>317.04000000000008</c:v>
                </c:pt>
                <c:pt idx="15">
                  <c:v>358.94000000000005</c:v>
                </c:pt>
                <c:pt idx="16">
                  <c:v>326.74000000000012</c:v>
                </c:pt>
                <c:pt idx="17">
                  <c:v>292.6400000000001</c:v>
                </c:pt>
                <c:pt idx="18" formatCode="0.0">
                  <c:v>269.64</c:v>
                </c:pt>
                <c:pt idx="19" formatCode="0.0">
                  <c:v>403.60000000000008</c:v>
                </c:pt>
                <c:pt idx="20" formatCode="0.0">
                  <c:v>396.84000000000009</c:v>
                </c:pt>
                <c:pt idx="21" formatCode="0.0">
                  <c:v>385.44000000000011</c:v>
                </c:pt>
                <c:pt idx="22" formatCode="0.0">
                  <c:v>131.03999999999996</c:v>
                </c:pt>
                <c:pt idx="23" formatCode="0.0">
                  <c:v>344.04000000000008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3-429E-B124-A89CD23244F8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97.2</c:v>
                </c:pt>
                <c:pt idx="1">
                  <c:v>94.5</c:v>
                </c:pt>
                <c:pt idx="2">
                  <c:v>96.2</c:v>
                </c:pt>
                <c:pt idx="3">
                  <c:v>97.6</c:v>
                </c:pt>
                <c:pt idx="4">
                  <c:v>86.2</c:v>
                </c:pt>
                <c:pt idx="5">
                  <c:v>82.9</c:v>
                </c:pt>
                <c:pt idx="6">
                  <c:v>81</c:v>
                </c:pt>
                <c:pt idx="7">
                  <c:v>490.9</c:v>
                </c:pt>
                <c:pt idx="8">
                  <c:v>619.9</c:v>
                </c:pt>
                <c:pt idx="9">
                  <c:v>593</c:v>
                </c:pt>
                <c:pt idx="10">
                  <c:v>642.09999999999991</c:v>
                </c:pt>
                <c:pt idx="11">
                  <c:v>568.29999999999995</c:v>
                </c:pt>
                <c:pt idx="12">
                  <c:v>669</c:v>
                </c:pt>
                <c:pt idx="13">
                  <c:v>666</c:v>
                </c:pt>
                <c:pt idx="14">
                  <c:v>625.30000000000007</c:v>
                </c:pt>
                <c:pt idx="15">
                  <c:v>614.39999999999986</c:v>
                </c:pt>
                <c:pt idx="16">
                  <c:v>549.9</c:v>
                </c:pt>
                <c:pt idx="17">
                  <c:v>528.70000000000005</c:v>
                </c:pt>
                <c:pt idx="18" formatCode="0.0">
                  <c:v>349.9</c:v>
                </c:pt>
                <c:pt idx="19" formatCode="0.0">
                  <c:v>71.400000000000006</c:v>
                </c:pt>
                <c:pt idx="20" formatCode="0.0">
                  <c:v>80</c:v>
                </c:pt>
                <c:pt idx="21" formatCode="0.0">
                  <c:v>73</c:v>
                </c:pt>
                <c:pt idx="22" formatCode="0.0">
                  <c:v>0</c:v>
                </c:pt>
                <c:pt idx="23" formatCode="0.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E3-429E-B124-A89CD23244F8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72.3</c:v>
                </c:pt>
                <c:pt idx="1">
                  <c:v>72.3</c:v>
                </c:pt>
                <c:pt idx="2">
                  <c:v>99.1</c:v>
                </c:pt>
                <c:pt idx="3">
                  <c:v>99.1</c:v>
                </c:pt>
                <c:pt idx="4">
                  <c:v>72.3</c:v>
                </c:pt>
                <c:pt idx="5">
                  <c:v>61.199999999999996</c:v>
                </c:pt>
                <c:pt idx="6">
                  <c:v>80.7</c:v>
                </c:pt>
                <c:pt idx="7">
                  <c:v>51.1</c:v>
                </c:pt>
                <c:pt idx="8">
                  <c:v>50.1</c:v>
                </c:pt>
                <c:pt idx="9">
                  <c:v>36.200000000000003</c:v>
                </c:pt>
                <c:pt idx="10">
                  <c:v>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22.599999999999998</c:v>
                </c:pt>
                <c:pt idx="20" formatCode="0.0">
                  <c:v>78.599999999999994</c:v>
                </c:pt>
                <c:pt idx="21" formatCode="0.0">
                  <c:v>99.7</c:v>
                </c:pt>
                <c:pt idx="22" formatCode="0.0">
                  <c:v>0</c:v>
                </c:pt>
                <c:pt idx="23" formatCode="0.0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E3-429E-B124-A89CD23244F8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180</c:v>
                </c:pt>
                <c:pt idx="21" formatCode="0.0">
                  <c:v>180</c:v>
                </c:pt>
                <c:pt idx="22" formatCode="0.0">
                  <c:v>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E3-429E-B124-A89CD232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E3-429E-B124-A89CD232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996.54</c:v>
                </c:pt>
                <c:pt idx="1">
                  <c:v>1520.1399999999999</c:v>
                </c:pt>
                <c:pt idx="2">
                  <c:v>1519.34</c:v>
                </c:pt>
                <c:pt idx="3">
                  <c:v>1509.1399999999999</c:v>
                </c:pt>
                <c:pt idx="4">
                  <c:v>1453.4399999999998</c:v>
                </c:pt>
                <c:pt idx="5">
                  <c:v>1439.64</c:v>
                </c:pt>
                <c:pt idx="6">
                  <c:v>1449.94</c:v>
                </c:pt>
                <c:pt idx="7">
                  <c:v>1504.34</c:v>
                </c:pt>
                <c:pt idx="8">
                  <c:v>1588.8399999999997</c:v>
                </c:pt>
                <c:pt idx="9">
                  <c:v>1579.04</c:v>
                </c:pt>
                <c:pt idx="10">
                  <c:v>1617.44</c:v>
                </c:pt>
                <c:pt idx="11">
                  <c:v>1534.44</c:v>
                </c:pt>
                <c:pt idx="12">
                  <c:v>1685.1399999999999</c:v>
                </c:pt>
                <c:pt idx="13">
                  <c:v>1686.1399999999999</c:v>
                </c:pt>
                <c:pt idx="14">
                  <c:v>1602.74</c:v>
                </c:pt>
                <c:pt idx="15">
                  <c:v>1620.6399999999999</c:v>
                </c:pt>
                <c:pt idx="16">
                  <c:v>1578.04</c:v>
                </c:pt>
                <c:pt idx="17">
                  <c:v>1482.8400000000001</c:v>
                </c:pt>
                <c:pt idx="18">
                  <c:v>1358.2399999999998</c:v>
                </c:pt>
                <c:pt idx="19">
                  <c:v>1627.7</c:v>
                </c:pt>
                <c:pt idx="20">
                  <c:v>1738.34</c:v>
                </c:pt>
                <c:pt idx="21">
                  <c:v>1701.0400000000002</c:v>
                </c:pt>
                <c:pt idx="22">
                  <c:v>744.33999999999992</c:v>
                </c:pt>
                <c:pt idx="23">
                  <c:v>1513.3400000000001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BE3-429E-B124-A89CD23244F8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996.54</c:v>
                </c:pt>
                <c:pt idx="1">
                  <c:v>1520.1399999999999</c:v>
                </c:pt>
                <c:pt idx="2">
                  <c:v>1519.34</c:v>
                </c:pt>
                <c:pt idx="3">
                  <c:v>1509.1399999999999</c:v>
                </c:pt>
                <c:pt idx="4">
                  <c:v>1453.4399999999998</c:v>
                </c:pt>
                <c:pt idx="5">
                  <c:v>1439.64</c:v>
                </c:pt>
                <c:pt idx="6">
                  <c:v>1449.94</c:v>
                </c:pt>
                <c:pt idx="7">
                  <c:v>1504.34</c:v>
                </c:pt>
                <c:pt idx="8">
                  <c:v>1588.8399999999997</c:v>
                </c:pt>
                <c:pt idx="9">
                  <c:v>1579.04</c:v>
                </c:pt>
                <c:pt idx="10">
                  <c:v>1617.44</c:v>
                </c:pt>
                <c:pt idx="11">
                  <c:v>1534.44</c:v>
                </c:pt>
                <c:pt idx="12">
                  <c:v>1685.1399999999999</c:v>
                </c:pt>
                <c:pt idx="13">
                  <c:v>1686.1399999999999</c:v>
                </c:pt>
                <c:pt idx="14">
                  <c:v>1602.74</c:v>
                </c:pt>
                <c:pt idx="15">
                  <c:v>1620.6399999999999</c:v>
                </c:pt>
                <c:pt idx="16">
                  <c:v>1578.04</c:v>
                </c:pt>
                <c:pt idx="17">
                  <c:v>1482.8400000000001</c:v>
                </c:pt>
                <c:pt idx="18">
                  <c:v>1358.2399999999998</c:v>
                </c:pt>
                <c:pt idx="19">
                  <c:v>1627.7</c:v>
                </c:pt>
                <c:pt idx="20">
                  <c:v>1738.34</c:v>
                </c:pt>
                <c:pt idx="21">
                  <c:v>1701.0400000000002</c:v>
                </c:pt>
                <c:pt idx="22">
                  <c:v>744.33999999999992</c:v>
                </c:pt>
                <c:pt idx="23">
                  <c:v>1513.3400000000001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E3-429E-B124-A89CD232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E2-41DB-9CAC-B9760C5B5B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E2-41DB-9CAC-B9760C5B5B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E2-41DB-9CAC-B9760C5B5B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E2-41DB-9CAC-B9760C5B5B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E2-41DB-9CAC-B9760C5B5B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AE2-41DB-9CAC-B9760C5B5B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713.3</c:v>
                </c:pt>
                <c:pt idx="1">
                  <c:v>713.3</c:v>
                </c:pt>
                <c:pt idx="2">
                  <c:v>741.2</c:v>
                </c:pt>
                <c:pt idx="3">
                  <c:v>767.2</c:v>
                </c:pt>
                <c:pt idx="4">
                  <c:v>789.09999999999991</c:v>
                </c:pt>
                <c:pt idx="5">
                  <c:v>789.09999999999991</c:v>
                </c:pt>
                <c:pt idx="6">
                  <c:v>789.09999999999991</c:v>
                </c:pt>
                <c:pt idx="7">
                  <c:v>807.8</c:v>
                </c:pt>
                <c:pt idx="8">
                  <c:v>807.8</c:v>
                </c:pt>
                <c:pt idx="9">
                  <c:v>807.8</c:v>
                </c:pt>
                <c:pt idx="10">
                  <c:v>807.8</c:v>
                </c:pt>
                <c:pt idx="11">
                  <c:v>807.8</c:v>
                </c:pt>
                <c:pt idx="12">
                  <c:v>807.8</c:v>
                </c:pt>
                <c:pt idx="13">
                  <c:v>807.8</c:v>
                </c:pt>
                <c:pt idx="14">
                  <c:v>807.8</c:v>
                </c:pt>
                <c:pt idx="15">
                  <c:v>807.8</c:v>
                </c:pt>
                <c:pt idx="16">
                  <c:v>807.8</c:v>
                </c:pt>
                <c:pt idx="17">
                  <c:v>807.8</c:v>
                </c:pt>
                <c:pt idx="18" formatCode="0.0">
                  <c:v>807.8</c:v>
                </c:pt>
                <c:pt idx="19" formatCode="0.0">
                  <c:v>807.8</c:v>
                </c:pt>
                <c:pt idx="20" formatCode="0.0">
                  <c:v>801.8</c:v>
                </c:pt>
                <c:pt idx="21" formatCode="0.0">
                  <c:v>801.8</c:v>
                </c:pt>
                <c:pt idx="22" formatCode="0.0">
                  <c:v>761.59999999999991</c:v>
                </c:pt>
                <c:pt idx="23" formatCode="0.0">
                  <c:v>761.59999999999991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98F-93B1-CE7E4F920E40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229.5</c:v>
                </c:pt>
                <c:pt idx="1">
                  <c:v>201.5</c:v>
                </c:pt>
                <c:pt idx="2">
                  <c:v>290.5</c:v>
                </c:pt>
                <c:pt idx="3">
                  <c:v>247.5</c:v>
                </c:pt>
                <c:pt idx="4">
                  <c:v>389.5</c:v>
                </c:pt>
                <c:pt idx="5">
                  <c:v>389.5</c:v>
                </c:pt>
                <c:pt idx="6">
                  <c:v>504.5</c:v>
                </c:pt>
                <c:pt idx="7">
                  <c:v>540.5</c:v>
                </c:pt>
                <c:pt idx="8">
                  <c:v>336.6</c:v>
                </c:pt>
                <c:pt idx="9">
                  <c:v>336.2</c:v>
                </c:pt>
                <c:pt idx="10">
                  <c:v>424.2</c:v>
                </c:pt>
                <c:pt idx="11">
                  <c:v>424.2</c:v>
                </c:pt>
                <c:pt idx="12">
                  <c:v>235.2</c:v>
                </c:pt>
                <c:pt idx="13">
                  <c:v>235.2</c:v>
                </c:pt>
                <c:pt idx="14">
                  <c:v>235.2</c:v>
                </c:pt>
                <c:pt idx="15">
                  <c:v>427.2</c:v>
                </c:pt>
                <c:pt idx="16">
                  <c:v>376.7</c:v>
                </c:pt>
                <c:pt idx="17">
                  <c:v>312.39999999999998</c:v>
                </c:pt>
                <c:pt idx="18" formatCode="0.0">
                  <c:v>175.8</c:v>
                </c:pt>
                <c:pt idx="19" formatCode="0.0">
                  <c:v>183.8</c:v>
                </c:pt>
                <c:pt idx="20" formatCode="0.0">
                  <c:v>363.49999999999994</c:v>
                </c:pt>
                <c:pt idx="21" formatCode="0.0">
                  <c:v>403.59999999999997</c:v>
                </c:pt>
                <c:pt idx="22" formatCode="0.0">
                  <c:v>359</c:v>
                </c:pt>
                <c:pt idx="23" formatCode="0.0">
                  <c:v>310.7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8-498F-93B1-CE7E4F920E40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345.84000000000009</c:v>
                </c:pt>
                <c:pt idx="1">
                  <c:v>331.84000000000009</c:v>
                </c:pt>
                <c:pt idx="2">
                  <c:v>338.53999999999996</c:v>
                </c:pt>
                <c:pt idx="3">
                  <c:v>344.23999999999995</c:v>
                </c:pt>
                <c:pt idx="4">
                  <c:v>337.24</c:v>
                </c:pt>
                <c:pt idx="5">
                  <c:v>336.13999999999993</c:v>
                </c:pt>
                <c:pt idx="6">
                  <c:v>382.13999999999993</c:v>
                </c:pt>
                <c:pt idx="7">
                  <c:v>388.13999999999993</c:v>
                </c:pt>
                <c:pt idx="8">
                  <c:v>417.14</c:v>
                </c:pt>
                <c:pt idx="9">
                  <c:v>279.73999999999995</c:v>
                </c:pt>
                <c:pt idx="10">
                  <c:v>298.24</c:v>
                </c:pt>
                <c:pt idx="11">
                  <c:v>298.24</c:v>
                </c:pt>
                <c:pt idx="12">
                  <c:v>285.23999999999995</c:v>
                </c:pt>
                <c:pt idx="13">
                  <c:v>285.23999999999995</c:v>
                </c:pt>
                <c:pt idx="14">
                  <c:v>283.23999999999995</c:v>
                </c:pt>
                <c:pt idx="15">
                  <c:v>282.03999999999996</c:v>
                </c:pt>
                <c:pt idx="16">
                  <c:v>281.83999999999997</c:v>
                </c:pt>
                <c:pt idx="17">
                  <c:v>263.54000000000002</c:v>
                </c:pt>
                <c:pt idx="18" formatCode="0.0">
                  <c:v>267.33999999999997</c:v>
                </c:pt>
                <c:pt idx="19" formatCode="0.0">
                  <c:v>304.64</c:v>
                </c:pt>
                <c:pt idx="20" formatCode="0.0">
                  <c:v>341.73999999999995</c:v>
                </c:pt>
                <c:pt idx="21" formatCode="0.0">
                  <c:v>387.63999999999993</c:v>
                </c:pt>
                <c:pt idx="22" formatCode="0.0">
                  <c:v>394.93999999999994</c:v>
                </c:pt>
                <c:pt idx="23" formatCode="0.0">
                  <c:v>411.94000000000005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8-498F-93B1-CE7E4F920E40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59</c:v>
                </c:pt>
                <c:pt idx="1">
                  <c:v>65</c:v>
                </c:pt>
                <c:pt idx="2">
                  <c:v>67</c:v>
                </c:pt>
                <c:pt idx="3">
                  <c:v>64.2</c:v>
                </c:pt>
                <c:pt idx="4">
                  <c:v>64.8</c:v>
                </c:pt>
                <c:pt idx="5">
                  <c:v>55.5</c:v>
                </c:pt>
                <c:pt idx="6">
                  <c:v>61</c:v>
                </c:pt>
                <c:pt idx="7">
                  <c:v>150</c:v>
                </c:pt>
                <c:pt idx="8">
                  <c:v>289</c:v>
                </c:pt>
                <c:pt idx="9">
                  <c:v>335</c:v>
                </c:pt>
                <c:pt idx="10">
                  <c:v>334</c:v>
                </c:pt>
                <c:pt idx="11">
                  <c:v>481</c:v>
                </c:pt>
                <c:pt idx="12">
                  <c:v>488</c:v>
                </c:pt>
                <c:pt idx="13">
                  <c:v>466</c:v>
                </c:pt>
                <c:pt idx="14">
                  <c:v>374</c:v>
                </c:pt>
                <c:pt idx="15">
                  <c:v>279.39999999999998</c:v>
                </c:pt>
                <c:pt idx="16">
                  <c:v>413.6</c:v>
                </c:pt>
                <c:pt idx="17">
                  <c:v>399.8</c:v>
                </c:pt>
                <c:pt idx="18" formatCode="0.0">
                  <c:v>411.2</c:v>
                </c:pt>
                <c:pt idx="19" formatCode="0.0">
                  <c:v>34.799999999999997</c:v>
                </c:pt>
                <c:pt idx="20" formatCode="0.0">
                  <c:v>76.099999999999994</c:v>
                </c:pt>
                <c:pt idx="21" formatCode="0.0">
                  <c:v>78.8</c:v>
                </c:pt>
                <c:pt idx="22" formatCode="0.0">
                  <c:v>80.3</c:v>
                </c:pt>
                <c:pt idx="23" formatCode="0.0">
                  <c:v>108.1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8-498F-93B1-CE7E4F920E40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20.5</c:v>
                </c:pt>
                <c:pt idx="15">
                  <c:v>20.5</c:v>
                </c:pt>
                <c:pt idx="16">
                  <c:v>20.5</c:v>
                </c:pt>
                <c:pt idx="17">
                  <c:v>26.5</c:v>
                </c:pt>
                <c:pt idx="18" formatCode="0.0">
                  <c:v>35.699999999999996</c:v>
                </c:pt>
                <c:pt idx="19" formatCode="0.0">
                  <c:v>81</c:v>
                </c:pt>
                <c:pt idx="20" formatCode="0.0">
                  <c:v>101</c:v>
                </c:pt>
                <c:pt idx="21" formatCode="0.0">
                  <c:v>100.5</c:v>
                </c:pt>
                <c:pt idx="22" formatCode="0.0">
                  <c:v>36.299999999999997</c:v>
                </c:pt>
                <c:pt idx="23" formatCode="0.0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58-498F-93B1-CE7E4F920E40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 formatCode="0.0">
                  <c:v>100</c:v>
                </c:pt>
                <c:pt idx="19" formatCode="0.0">
                  <c:v>0</c:v>
                </c:pt>
                <c:pt idx="20" formatCode="0.0">
                  <c:v>280</c:v>
                </c:pt>
                <c:pt idx="21" formatCode="0.0">
                  <c:v>260</c:v>
                </c:pt>
                <c:pt idx="22" formatCode="0.0">
                  <c:v>250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58-498F-93B1-CE7E4F92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-97</c:v>
                </c:pt>
                <c:pt idx="4">
                  <c:v>-180</c:v>
                </c:pt>
                <c:pt idx="5">
                  <c:v>-284</c:v>
                </c:pt>
                <c:pt idx="6">
                  <c:v>-345</c:v>
                </c:pt>
                <c:pt idx="7">
                  <c:v>-260</c:v>
                </c:pt>
                <c:pt idx="8">
                  <c:v>-158</c:v>
                </c:pt>
                <c:pt idx="9">
                  <c:v>-188</c:v>
                </c:pt>
                <c:pt idx="10">
                  <c:v>-86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-89</c:v>
                </c:pt>
                <c:pt idx="15">
                  <c:v>-80.599999999999994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58-498F-93B1-CE7E4F92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1497.64</c:v>
                </c:pt>
                <c:pt idx="1">
                  <c:v>1461.64</c:v>
                </c:pt>
                <c:pt idx="2">
                  <c:v>1587.24</c:v>
                </c:pt>
                <c:pt idx="3">
                  <c:v>1573.14</c:v>
                </c:pt>
                <c:pt idx="4">
                  <c:v>1730.6399999999999</c:v>
                </c:pt>
                <c:pt idx="5">
                  <c:v>1710.2399999999998</c:v>
                </c:pt>
                <c:pt idx="6">
                  <c:v>1736.7399999999998</c:v>
                </c:pt>
                <c:pt idx="7">
                  <c:v>1886.4399999999998</c:v>
                </c:pt>
                <c:pt idx="8">
                  <c:v>1850.54</c:v>
                </c:pt>
                <c:pt idx="9">
                  <c:v>1758.74</c:v>
                </c:pt>
                <c:pt idx="10">
                  <c:v>1964.24</c:v>
                </c:pt>
                <c:pt idx="11">
                  <c:v>2111.2399999999998</c:v>
                </c:pt>
                <c:pt idx="12">
                  <c:v>1916.24</c:v>
                </c:pt>
                <c:pt idx="13">
                  <c:v>1894.24</c:v>
                </c:pt>
                <c:pt idx="14">
                  <c:v>1820.74</c:v>
                </c:pt>
                <c:pt idx="15">
                  <c:v>1916.94</c:v>
                </c:pt>
                <c:pt idx="16">
                  <c:v>2000.44</c:v>
                </c:pt>
                <c:pt idx="17">
                  <c:v>1910.0399999999997</c:v>
                </c:pt>
                <c:pt idx="18">
                  <c:v>1797.84</c:v>
                </c:pt>
                <c:pt idx="19">
                  <c:v>1412.0399999999997</c:v>
                </c:pt>
                <c:pt idx="20">
                  <c:v>1964.1399999999999</c:v>
                </c:pt>
                <c:pt idx="21">
                  <c:v>2032.3399999999997</c:v>
                </c:pt>
                <c:pt idx="22">
                  <c:v>1882.1399999999999</c:v>
                </c:pt>
                <c:pt idx="23">
                  <c:v>1782.04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558-498F-93B1-CE7E4F920E40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1497.64</c:v>
                </c:pt>
                <c:pt idx="1">
                  <c:v>1461.64</c:v>
                </c:pt>
                <c:pt idx="2">
                  <c:v>1587.24</c:v>
                </c:pt>
                <c:pt idx="3">
                  <c:v>1476.14</c:v>
                </c:pt>
                <c:pt idx="4">
                  <c:v>1550.6399999999999</c:v>
                </c:pt>
                <c:pt idx="5">
                  <c:v>1426.2399999999998</c:v>
                </c:pt>
                <c:pt idx="6">
                  <c:v>1391.7399999999998</c:v>
                </c:pt>
                <c:pt idx="7">
                  <c:v>1626.4399999999998</c:v>
                </c:pt>
                <c:pt idx="8">
                  <c:v>1692.54</c:v>
                </c:pt>
                <c:pt idx="9">
                  <c:v>1570.74</c:v>
                </c:pt>
                <c:pt idx="10">
                  <c:v>1878.24</c:v>
                </c:pt>
                <c:pt idx="11">
                  <c:v>2111.2399999999998</c:v>
                </c:pt>
                <c:pt idx="12">
                  <c:v>1916.24</c:v>
                </c:pt>
                <c:pt idx="13">
                  <c:v>1894.24</c:v>
                </c:pt>
                <c:pt idx="14">
                  <c:v>1731.74</c:v>
                </c:pt>
                <c:pt idx="15">
                  <c:v>1836.3400000000001</c:v>
                </c:pt>
                <c:pt idx="16">
                  <c:v>2000.44</c:v>
                </c:pt>
                <c:pt idx="17">
                  <c:v>1910.0399999999997</c:v>
                </c:pt>
                <c:pt idx="18">
                  <c:v>1797.84</c:v>
                </c:pt>
                <c:pt idx="19">
                  <c:v>1412.0399999999997</c:v>
                </c:pt>
                <c:pt idx="20">
                  <c:v>1964.1399999999999</c:v>
                </c:pt>
                <c:pt idx="21">
                  <c:v>2032.3399999999997</c:v>
                </c:pt>
                <c:pt idx="22">
                  <c:v>1882.1399999999999</c:v>
                </c:pt>
                <c:pt idx="23">
                  <c:v>1782.04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58-498F-93B1-CE7E4F92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68-44D1-BF51-3015AE3D3D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68-44D1-BF51-3015AE3D3D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68-44D1-BF51-3015AE3D3D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68-44D1-BF51-3015AE3D3D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68-44D1-BF51-3015AE3D3DF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068-44D1-BF51-3015AE3D3D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756.59999999999991</c:v>
                </c:pt>
                <c:pt idx="1">
                  <c:v>756.59999999999991</c:v>
                </c:pt>
                <c:pt idx="2">
                  <c:v>756.59999999999991</c:v>
                </c:pt>
                <c:pt idx="3">
                  <c:v>758.3</c:v>
                </c:pt>
                <c:pt idx="4">
                  <c:v>758.3</c:v>
                </c:pt>
                <c:pt idx="5">
                  <c:v>320.5</c:v>
                </c:pt>
                <c:pt idx="6">
                  <c:v>766</c:v>
                </c:pt>
                <c:pt idx="7">
                  <c:v>817.59999999999991</c:v>
                </c:pt>
                <c:pt idx="8">
                  <c:v>829.2</c:v>
                </c:pt>
                <c:pt idx="9">
                  <c:v>829.2</c:v>
                </c:pt>
                <c:pt idx="10">
                  <c:v>829.2</c:v>
                </c:pt>
                <c:pt idx="11">
                  <c:v>818</c:v>
                </c:pt>
                <c:pt idx="12">
                  <c:v>822.59999999999991</c:v>
                </c:pt>
                <c:pt idx="13">
                  <c:v>757.13</c:v>
                </c:pt>
                <c:pt idx="14">
                  <c:v>757.13</c:v>
                </c:pt>
                <c:pt idx="15">
                  <c:v>757.13</c:v>
                </c:pt>
                <c:pt idx="16">
                  <c:v>786.03</c:v>
                </c:pt>
                <c:pt idx="17">
                  <c:v>786.03</c:v>
                </c:pt>
                <c:pt idx="18" formatCode="0.0">
                  <c:v>786.03</c:v>
                </c:pt>
                <c:pt idx="19" formatCode="0.0">
                  <c:v>808.82999999999993</c:v>
                </c:pt>
                <c:pt idx="20" formatCode="0.0">
                  <c:v>808.82999999999993</c:v>
                </c:pt>
                <c:pt idx="21" formatCode="0.0">
                  <c:v>808.82999999999993</c:v>
                </c:pt>
                <c:pt idx="22" formatCode="0.0">
                  <c:v>808.82999999999993</c:v>
                </c:pt>
                <c:pt idx="23" formatCode="0.0">
                  <c:v>801.43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5-495F-9CAD-6B83C251D2EB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341.19999999999993</c:v>
                </c:pt>
                <c:pt idx="1">
                  <c:v>320.29999999999995</c:v>
                </c:pt>
                <c:pt idx="2">
                  <c:v>290</c:v>
                </c:pt>
                <c:pt idx="3">
                  <c:v>248.4</c:v>
                </c:pt>
                <c:pt idx="4">
                  <c:v>184.9</c:v>
                </c:pt>
                <c:pt idx="5">
                  <c:v>314.09999999999997</c:v>
                </c:pt>
                <c:pt idx="6">
                  <c:v>330.4</c:v>
                </c:pt>
                <c:pt idx="7">
                  <c:v>353.4</c:v>
                </c:pt>
                <c:pt idx="8">
                  <c:v>427.4</c:v>
                </c:pt>
                <c:pt idx="9">
                  <c:v>432.4</c:v>
                </c:pt>
                <c:pt idx="10">
                  <c:v>432.4</c:v>
                </c:pt>
                <c:pt idx="11">
                  <c:v>531.4</c:v>
                </c:pt>
                <c:pt idx="12">
                  <c:v>473.79999999999995</c:v>
                </c:pt>
                <c:pt idx="13">
                  <c:v>419</c:v>
                </c:pt>
                <c:pt idx="14">
                  <c:v>328.4</c:v>
                </c:pt>
                <c:pt idx="15">
                  <c:v>198.9</c:v>
                </c:pt>
                <c:pt idx="16">
                  <c:v>195.6</c:v>
                </c:pt>
                <c:pt idx="17">
                  <c:v>101.4</c:v>
                </c:pt>
                <c:pt idx="18" formatCode="0.0">
                  <c:v>76.2</c:v>
                </c:pt>
                <c:pt idx="19" formatCode="0.0">
                  <c:v>182</c:v>
                </c:pt>
                <c:pt idx="20" formatCode="0.0">
                  <c:v>262.10000000000002</c:v>
                </c:pt>
                <c:pt idx="21" formatCode="0.0">
                  <c:v>262.10000000000002</c:v>
                </c:pt>
                <c:pt idx="22" formatCode="0.0">
                  <c:v>432.1</c:v>
                </c:pt>
                <c:pt idx="23" formatCode="0.0">
                  <c:v>432.1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5-495F-9CAD-6B83C251D2EB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412.84000000000003</c:v>
                </c:pt>
                <c:pt idx="1">
                  <c:v>412.54000000000008</c:v>
                </c:pt>
                <c:pt idx="2">
                  <c:v>412.54000000000008</c:v>
                </c:pt>
                <c:pt idx="3">
                  <c:v>403.04000000000008</c:v>
                </c:pt>
                <c:pt idx="4">
                  <c:v>403.04000000000008</c:v>
                </c:pt>
                <c:pt idx="5">
                  <c:v>55.54</c:v>
                </c:pt>
                <c:pt idx="6">
                  <c:v>368.6400000000001</c:v>
                </c:pt>
                <c:pt idx="7">
                  <c:v>400.84000000000003</c:v>
                </c:pt>
                <c:pt idx="8">
                  <c:v>422.44</c:v>
                </c:pt>
                <c:pt idx="9">
                  <c:v>419.74</c:v>
                </c:pt>
                <c:pt idx="10">
                  <c:v>424.64</c:v>
                </c:pt>
                <c:pt idx="11">
                  <c:v>430.94000000000005</c:v>
                </c:pt>
                <c:pt idx="12">
                  <c:v>427.14</c:v>
                </c:pt>
                <c:pt idx="13">
                  <c:v>411.54</c:v>
                </c:pt>
                <c:pt idx="14">
                  <c:v>411.24</c:v>
                </c:pt>
                <c:pt idx="15">
                  <c:v>353.04</c:v>
                </c:pt>
                <c:pt idx="16">
                  <c:v>301.14000000000004</c:v>
                </c:pt>
                <c:pt idx="17">
                  <c:v>339.34000000000003</c:v>
                </c:pt>
                <c:pt idx="18" formatCode="0.0">
                  <c:v>320.94000000000005</c:v>
                </c:pt>
                <c:pt idx="19" formatCode="0.0">
                  <c:v>386.34</c:v>
                </c:pt>
                <c:pt idx="20" formatCode="0.0">
                  <c:v>388.14</c:v>
                </c:pt>
                <c:pt idx="21" formatCode="0.0">
                  <c:v>328.84000000000003</c:v>
                </c:pt>
                <c:pt idx="22" formatCode="0.0">
                  <c:v>373.44</c:v>
                </c:pt>
                <c:pt idx="23" formatCode="0.0">
                  <c:v>373.44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15-495F-9CAD-6B83C251D2EB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79.5</c:v>
                </c:pt>
                <c:pt idx="1">
                  <c:v>77</c:v>
                </c:pt>
                <c:pt idx="2">
                  <c:v>78.5</c:v>
                </c:pt>
                <c:pt idx="3">
                  <c:v>70.2</c:v>
                </c:pt>
                <c:pt idx="4">
                  <c:v>68.400000000000006</c:v>
                </c:pt>
                <c:pt idx="5">
                  <c:v>64.400000000000006</c:v>
                </c:pt>
                <c:pt idx="6">
                  <c:v>64.400000000000006</c:v>
                </c:pt>
                <c:pt idx="7">
                  <c:v>244</c:v>
                </c:pt>
                <c:pt idx="8">
                  <c:v>231.6</c:v>
                </c:pt>
                <c:pt idx="9">
                  <c:v>253.60000000000002</c:v>
                </c:pt>
                <c:pt idx="10">
                  <c:v>241.1</c:v>
                </c:pt>
                <c:pt idx="11">
                  <c:v>238.8</c:v>
                </c:pt>
                <c:pt idx="12">
                  <c:v>255.2</c:v>
                </c:pt>
                <c:pt idx="13">
                  <c:v>283.7</c:v>
                </c:pt>
                <c:pt idx="14">
                  <c:v>298.7</c:v>
                </c:pt>
                <c:pt idx="15">
                  <c:v>455</c:v>
                </c:pt>
                <c:pt idx="16">
                  <c:v>443.19999999999993</c:v>
                </c:pt>
                <c:pt idx="17">
                  <c:v>425.09999999999997</c:v>
                </c:pt>
                <c:pt idx="18" formatCode="0.0">
                  <c:v>306.39999999999998</c:v>
                </c:pt>
                <c:pt idx="19" formatCode="0.0">
                  <c:v>88.800000000000011</c:v>
                </c:pt>
                <c:pt idx="20" formatCode="0.0">
                  <c:v>4.8</c:v>
                </c:pt>
                <c:pt idx="21" formatCode="0.0">
                  <c:v>3.6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15-495F-9CAD-6B83C251D2EB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23.200000000000003</c:v>
                </c:pt>
                <c:pt idx="1">
                  <c:v>7.8000000000000007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</c:v>
                </c:pt>
                <c:pt idx="12">
                  <c:v>22.700000000000003</c:v>
                </c:pt>
                <c:pt idx="13">
                  <c:v>21</c:v>
                </c:pt>
                <c:pt idx="14">
                  <c:v>21</c:v>
                </c:pt>
                <c:pt idx="15">
                  <c:v>21.200000000000003</c:v>
                </c:pt>
                <c:pt idx="16">
                  <c:v>21.200000000000003</c:v>
                </c:pt>
                <c:pt idx="17">
                  <c:v>40.5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15-495F-9CAD-6B83C251D2EB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15-495F-9CAD-6B83C251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-7</c:v>
                </c:pt>
                <c:pt idx="4">
                  <c:v>-28</c:v>
                </c:pt>
                <c:pt idx="5">
                  <c:v>-70</c:v>
                </c:pt>
                <c:pt idx="6">
                  <c:v>-57.6</c:v>
                </c:pt>
                <c:pt idx="7">
                  <c:v>-84</c:v>
                </c:pt>
                <c:pt idx="8">
                  <c:v>-80</c:v>
                </c:pt>
                <c:pt idx="9">
                  <c:v>-88.8</c:v>
                </c:pt>
                <c:pt idx="10">
                  <c:v>0</c:v>
                </c:pt>
                <c:pt idx="11">
                  <c:v>-128</c:v>
                </c:pt>
                <c:pt idx="12">
                  <c:v>-80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-20</c:v>
                </c:pt>
                <c:pt idx="21">
                  <c:v>-2.7</c:v>
                </c:pt>
                <c:pt idx="22">
                  <c:v>-330.3</c:v>
                </c:pt>
                <c:pt idx="23">
                  <c:v>-332.4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15-495F-9CAD-6B83C251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1763.34</c:v>
                </c:pt>
                <c:pt idx="1">
                  <c:v>1724.24</c:v>
                </c:pt>
                <c:pt idx="2">
                  <c:v>1687.6399999999999</c:v>
                </c:pt>
                <c:pt idx="3">
                  <c:v>1629.94</c:v>
                </c:pt>
                <c:pt idx="4">
                  <c:v>1564.64</c:v>
                </c:pt>
                <c:pt idx="5">
                  <c:v>904.53999999999985</c:v>
                </c:pt>
                <c:pt idx="6">
                  <c:v>1694.5400000000002</c:v>
                </c:pt>
                <c:pt idx="7">
                  <c:v>1815.8400000000001</c:v>
                </c:pt>
                <c:pt idx="8">
                  <c:v>1910.6399999999999</c:v>
                </c:pt>
                <c:pt idx="9">
                  <c:v>1934.94</c:v>
                </c:pt>
                <c:pt idx="10">
                  <c:v>1927.3399999999997</c:v>
                </c:pt>
                <c:pt idx="11">
                  <c:v>2067.1400000000003</c:v>
                </c:pt>
                <c:pt idx="12">
                  <c:v>2001.44</c:v>
                </c:pt>
                <c:pt idx="13">
                  <c:v>1892.3700000000001</c:v>
                </c:pt>
                <c:pt idx="14">
                  <c:v>1816.47</c:v>
                </c:pt>
                <c:pt idx="15">
                  <c:v>1785.27</c:v>
                </c:pt>
                <c:pt idx="16">
                  <c:v>1747.1699999999998</c:v>
                </c:pt>
                <c:pt idx="17">
                  <c:v>1692.37</c:v>
                </c:pt>
                <c:pt idx="18">
                  <c:v>1489.5700000000002</c:v>
                </c:pt>
                <c:pt idx="19">
                  <c:v>1765.9699999999998</c:v>
                </c:pt>
                <c:pt idx="20">
                  <c:v>1663.8699999999997</c:v>
                </c:pt>
                <c:pt idx="21">
                  <c:v>1603.37</c:v>
                </c:pt>
                <c:pt idx="22">
                  <c:v>1614.37</c:v>
                </c:pt>
                <c:pt idx="23">
                  <c:v>1606.97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915-495F-9CAD-6B83C251D2EB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1763.34</c:v>
                </c:pt>
                <c:pt idx="1">
                  <c:v>1718.24</c:v>
                </c:pt>
                <c:pt idx="2">
                  <c:v>1687.6399999999999</c:v>
                </c:pt>
                <c:pt idx="3">
                  <c:v>1622.94</c:v>
                </c:pt>
                <c:pt idx="4">
                  <c:v>1536.64</c:v>
                </c:pt>
                <c:pt idx="5">
                  <c:v>834.53999999999985</c:v>
                </c:pt>
                <c:pt idx="6">
                  <c:v>1636.9400000000003</c:v>
                </c:pt>
                <c:pt idx="7">
                  <c:v>1731.8400000000001</c:v>
                </c:pt>
                <c:pt idx="8">
                  <c:v>1830.6399999999999</c:v>
                </c:pt>
                <c:pt idx="9">
                  <c:v>1846.14</c:v>
                </c:pt>
                <c:pt idx="10">
                  <c:v>1927.3399999999997</c:v>
                </c:pt>
                <c:pt idx="11">
                  <c:v>1939.1400000000003</c:v>
                </c:pt>
                <c:pt idx="12">
                  <c:v>1921.44</c:v>
                </c:pt>
                <c:pt idx="13">
                  <c:v>1892.3700000000001</c:v>
                </c:pt>
                <c:pt idx="14">
                  <c:v>1816.47</c:v>
                </c:pt>
                <c:pt idx="15">
                  <c:v>1785.27</c:v>
                </c:pt>
                <c:pt idx="16">
                  <c:v>1747.1699999999998</c:v>
                </c:pt>
                <c:pt idx="17">
                  <c:v>1692.37</c:v>
                </c:pt>
                <c:pt idx="18">
                  <c:v>1489.5700000000002</c:v>
                </c:pt>
                <c:pt idx="19">
                  <c:v>1765.9699999999998</c:v>
                </c:pt>
                <c:pt idx="20">
                  <c:v>1643.8699999999997</c:v>
                </c:pt>
                <c:pt idx="21">
                  <c:v>1600.6699999999998</c:v>
                </c:pt>
                <c:pt idx="22">
                  <c:v>1284.07</c:v>
                </c:pt>
                <c:pt idx="23">
                  <c:v>1274.5700000000002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15-495F-9CAD-6B83C251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D5-40E7-ADA5-D21CEBC4F9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D5-40E7-ADA5-D21CEBC4F9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D5-40E7-ADA5-D21CEBC4F9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D5-40E7-ADA5-D21CEBC4F9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D5-40E7-ADA5-D21CEBC4F98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DD5-40E7-ADA5-D21CEBC4F9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839.43</c:v>
                </c:pt>
                <c:pt idx="1">
                  <c:v>853.43</c:v>
                </c:pt>
                <c:pt idx="2">
                  <c:v>850.43</c:v>
                </c:pt>
                <c:pt idx="3">
                  <c:v>940.59999999999991</c:v>
                </c:pt>
                <c:pt idx="4">
                  <c:v>940.59999999999991</c:v>
                </c:pt>
                <c:pt idx="5">
                  <c:v>945.59999999999991</c:v>
                </c:pt>
                <c:pt idx="6">
                  <c:v>945.59999999999991</c:v>
                </c:pt>
                <c:pt idx="7">
                  <c:v>481.59999999999997</c:v>
                </c:pt>
                <c:pt idx="8">
                  <c:v>846.0999999999998</c:v>
                </c:pt>
                <c:pt idx="9">
                  <c:v>846.0999999999998</c:v>
                </c:pt>
                <c:pt idx="10">
                  <c:v>846.0999999999998</c:v>
                </c:pt>
                <c:pt idx="11">
                  <c:v>843.39999999999986</c:v>
                </c:pt>
                <c:pt idx="12">
                  <c:v>846.0999999999998</c:v>
                </c:pt>
                <c:pt idx="13">
                  <c:v>822.09999999999991</c:v>
                </c:pt>
                <c:pt idx="14">
                  <c:v>835.99999999999989</c:v>
                </c:pt>
                <c:pt idx="15">
                  <c:v>817.99999999999989</c:v>
                </c:pt>
                <c:pt idx="16">
                  <c:v>840.99999999999989</c:v>
                </c:pt>
                <c:pt idx="17">
                  <c:v>869.99999999999989</c:v>
                </c:pt>
                <c:pt idx="18" formatCode="0.0">
                  <c:v>864.49999999999989</c:v>
                </c:pt>
                <c:pt idx="19" formatCode="0.0">
                  <c:v>864.79999999999984</c:v>
                </c:pt>
                <c:pt idx="20" formatCode="0.0">
                  <c:v>864.79999999999984</c:v>
                </c:pt>
                <c:pt idx="21" formatCode="0.0">
                  <c:v>822.79999999999984</c:v>
                </c:pt>
                <c:pt idx="22" formatCode="0.0">
                  <c:v>849.79999999999984</c:v>
                </c:pt>
                <c:pt idx="23" formatCode="0.0">
                  <c:v>849.79999999999984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C7B-BB14-AF47998C00B6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440.1</c:v>
                </c:pt>
                <c:pt idx="1">
                  <c:v>491.1</c:v>
                </c:pt>
                <c:pt idx="2">
                  <c:v>461.1</c:v>
                </c:pt>
                <c:pt idx="3">
                  <c:v>538.5</c:v>
                </c:pt>
                <c:pt idx="4">
                  <c:v>510.5</c:v>
                </c:pt>
                <c:pt idx="5">
                  <c:v>510.5</c:v>
                </c:pt>
                <c:pt idx="6">
                  <c:v>488</c:v>
                </c:pt>
                <c:pt idx="7">
                  <c:v>510.5</c:v>
                </c:pt>
                <c:pt idx="8">
                  <c:v>540.5</c:v>
                </c:pt>
                <c:pt idx="9">
                  <c:v>540.5</c:v>
                </c:pt>
                <c:pt idx="10">
                  <c:v>540.5</c:v>
                </c:pt>
                <c:pt idx="11">
                  <c:v>427.6</c:v>
                </c:pt>
                <c:pt idx="12">
                  <c:v>426.6</c:v>
                </c:pt>
                <c:pt idx="13">
                  <c:v>463.6</c:v>
                </c:pt>
                <c:pt idx="14">
                  <c:v>523.5</c:v>
                </c:pt>
                <c:pt idx="15">
                  <c:v>505.5</c:v>
                </c:pt>
                <c:pt idx="16">
                  <c:v>535.5</c:v>
                </c:pt>
                <c:pt idx="17">
                  <c:v>283.60000000000002</c:v>
                </c:pt>
                <c:pt idx="18" formatCode="0.0">
                  <c:v>168.6</c:v>
                </c:pt>
                <c:pt idx="19" formatCode="0.0">
                  <c:v>283.60000000000002</c:v>
                </c:pt>
                <c:pt idx="20" formatCode="0.0">
                  <c:v>345.3</c:v>
                </c:pt>
                <c:pt idx="21" formatCode="0.0">
                  <c:v>314.60000000000002</c:v>
                </c:pt>
                <c:pt idx="22" formatCode="0.0">
                  <c:v>254.5</c:v>
                </c:pt>
                <c:pt idx="23" formatCode="0.0">
                  <c:v>193.6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9-4C7B-BB14-AF47998C00B6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345.44</c:v>
                </c:pt>
                <c:pt idx="1">
                  <c:v>384.44</c:v>
                </c:pt>
                <c:pt idx="2">
                  <c:v>345.44</c:v>
                </c:pt>
                <c:pt idx="3">
                  <c:v>409.34000000000003</c:v>
                </c:pt>
                <c:pt idx="4">
                  <c:v>409.34000000000003</c:v>
                </c:pt>
                <c:pt idx="5">
                  <c:v>370.34000000000003</c:v>
                </c:pt>
                <c:pt idx="6">
                  <c:v>370.34000000000003</c:v>
                </c:pt>
                <c:pt idx="7">
                  <c:v>80.64</c:v>
                </c:pt>
                <c:pt idx="8">
                  <c:v>415.24</c:v>
                </c:pt>
                <c:pt idx="9">
                  <c:v>414.84000000000003</c:v>
                </c:pt>
                <c:pt idx="10">
                  <c:v>372.44</c:v>
                </c:pt>
                <c:pt idx="11">
                  <c:v>420.04000000000008</c:v>
                </c:pt>
                <c:pt idx="12">
                  <c:v>422.74000000000007</c:v>
                </c:pt>
                <c:pt idx="13">
                  <c:v>410.14</c:v>
                </c:pt>
                <c:pt idx="14">
                  <c:v>421.53999999999996</c:v>
                </c:pt>
                <c:pt idx="15">
                  <c:v>413.93999999999994</c:v>
                </c:pt>
                <c:pt idx="16">
                  <c:v>409.83999999999992</c:v>
                </c:pt>
                <c:pt idx="17">
                  <c:v>382.94</c:v>
                </c:pt>
                <c:pt idx="18" formatCode="0.0">
                  <c:v>331.93999999999994</c:v>
                </c:pt>
                <c:pt idx="19" formatCode="0.0">
                  <c:v>359.7999999999999</c:v>
                </c:pt>
                <c:pt idx="20" formatCode="0.0">
                  <c:v>362.33999999999992</c:v>
                </c:pt>
                <c:pt idx="21" formatCode="0.0">
                  <c:v>407.14</c:v>
                </c:pt>
                <c:pt idx="22" formatCode="0.0">
                  <c:v>407.14</c:v>
                </c:pt>
                <c:pt idx="23" formatCode="0.0">
                  <c:v>407.14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9-4C7B-BB14-AF47998C00B6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</c:v>
                </c:pt>
                <c:pt idx="8">
                  <c:v>126.8</c:v>
                </c:pt>
                <c:pt idx="9">
                  <c:v>135.69999999999999</c:v>
                </c:pt>
                <c:pt idx="10">
                  <c:v>223.8</c:v>
                </c:pt>
                <c:pt idx="11">
                  <c:v>257.89999999999998</c:v>
                </c:pt>
                <c:pt idx="12">
                  <c:v>166.5</c:v>
                </c:pt>
                <c:pt idx="13">
                  <c:v>196.70000000000002</c:v>
                </c:pt>
                <c:pt idx="14">
                  <c:v>195.3</c:v>
                </c:pt>
                <c:pt idx="15">
                  <c:v>190</c:v>
                </c:pt>
                <c:pt idx="16">
                  <c:v>193.3</c:v>
                </c:pt>
                <c:pt idx="17">
                  <c:v>161.60000000000002</c:v>
                </c:pt>
                <c:pt idx="18" formatCode="0.0">
                  <c:v>152.9</c:v>
                </c:pt>
                <c:pt idx="19" formatCode="0.0">
                  <c:v>21.400000000000002</c:v>
                </c:pt>
                <c:pt idx="20" formatCode="0.0">
                  <c:v>27.6</c:v>
                </c:pt>
                <c:pt idx="21" formatCode="0.0">
                  <c:v>32.1</c:v>
                </c:pt>
                <c:pt idx="22" formatCode="0.0">
                  <c:v>17.5</c:v>
                </c:pt>
                <c:pt idx="23" formatCode="0.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9-4C7B-BB14-AF47998C00B6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44.699999999999996</c:v>
                </c:pt>
                <c:pt idx="9">
                  <c:v>44.699999999999996</c:v>
                </c:pt>
                <c:pt idx="10">
                  <c:v>44.699999999999996</c:v>
                </c:pt>
                <c:pt idx="11">
                  <c:v>31.3</c:v>
                </c:pt>
                <c:pt idx="12">
                  <c:v>15.200000000000001</c:v>
                </c:pt>
                <c:pt idx="13">
                  <c:v>15</c:v>
                </c:pt>
                <c:pt idx="14">
                  <c:v>47.699999999999996</c:v>
                </c:pt>
                <c:pt idx="15">
                  <c:v>88.3</c:v>
                </c:pt>
                <c:pt idx="16">
                  <c:v>90</c:v>
                </c:pt>
                <c:pt idx="17">
                  <c:v>22</c:v>
                </c:pt>
                <c:pt idx="18" formatCode="0.0">
                  <c:v>19.600000000000001</c:v>
                </c:pt>
                <c:pt idx="19" formatCode="0.0">
                  <c:v>47.9</c:v>
                </c:pt>
                <c:pt idx="20" formatCode="0.0">
                  <c:v>95.2</c:v>
                </c:pt>
                <c:pt idx="21" formatCode="0.0">
                  <c:v>95.2</c:v>
                </c:pt>
                <c:pt idx="22" formatCode="0.0">
                  <c:v>60</c:v>
                </c:pt>
                <c:pt idx="23" formatCode="0.0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9-4C7B-BB14-AF47998C00B6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100</c:v>
                </c:pt>
                <c:pt idx="20" formatCode="0.0">
                  <c:v>100</c:v>
                </c:pt>
                <c:pt idx="21" formatCode="0.0">
                  <c:v>100</c:v>
                </c:pt>
                <c:pt idx="22" formatCode="0.0">
                  <c:v>100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19-4C7B-BB14-AF47998C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-312</c:v>
                </c:pt>
                <c:pt idx="1">
                  <c:v>-401</c:v>
                </c:pt>
                <c:pt idx="2">
                  <c:v>-403</c:v>
                </c:pt>
                <c:pt idx="3">
                  <c:v>-489</c:v>
                </c:pt>
                <c:pt idx="4">
                  <c:v>-465</c:v>
                </c:pt>
                <c:pt idx="5">
                  <c:v>-469</c:v>
                </c:pt>
                <c:pt idx="6">
                  <c:v>0</c:v>
                </c:pt>
                <c:pt idx="7">
                  <c:v>-198</c:v>
                </c:pt>
                <c:pt idx="8">
                  <c:v>-422</c:v>
                </c:pt>
                <c:pt idx="9">
                  <c:v>-390</c:v>
                </c:pt>
                <c:pt idx="10">
                  <c:v>-357</c:v>
                </c:pt>
                <c:pt idx="11">
                  <c:v>-316</c:v>
                </c:pt>
                <c:pt idx="12">
                  <c:v>-225</c:v>
                </c:pt>
                <c:pt idx="13">
                  <c:v>-220</c:v>
                </c:pt>
                <c:pt idx="14">
                  <c:v>-170</c:v>
                </c:pt>
                <c:pt idx="15">
                  <c:v>-222</c:v>
                </c:pt>
                <c:pt idx="16">
                  <c:v>-225.3</c:v>
                </c:pt>
                <c:pt idx="17">
                  <c:v>-5</c:v>
                </c:pt>
                <c:pt idx="18">
                  <c:v>-4</c:v>
                </c:pt>
                <c:pt idx="19">
                  <c:v>0</c:v>
                </c:pt>
                <c:pt idx="20">
                  <c:v>-8.6</c:v>
                </c:pt>
                <c:pt idx="21">
                  <c:v>0</c:v>
                </c:pt>
                <c:pt idx="22">
                  <c:v>0</c:v>
                </c:pt>
                <c:pt idx="23">
                  <c:v>-8.6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9-4C7B-BB14-AF47998C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1624.97</c:v>
                </c:pt>
                <c:pt idx="1">
                  <c:v>1728.97</c:v>
                </c:pt>
                <c:pt idx="2">
                  <c:v>1656.97</c:v>
                </c:pt>
                <c:pt idx="3">
                  <c:v>1888.44</c:v>
                </c:pt>
                <c:pt idx="4">
                  <c:v>1860.44</c:v>
                </c:pt>
                <c:pt idx="5">
                  <c:v>1826.44</c:v>
                </c:pt>
                <c:pt idx="6">
                  <c:v>1803.94</c:v>
                </c:pt>
                <c:pt idx="7">
                  <c:v>1104.74</c:v>
                </c:pt>
                <c:pt idx="8">
                  <c:v>1973.34</c:v>
                </c:pt>
                <c:pt idx="9">
                  <c:v>1981.8400000000001</c:v>
                </c:pt>
                <c:pt idx="10">
                  <c:v>2027.54</c:v>
                </c:pt>
                <c:pt idx="11">
                  <c:v>1980.24</c:v>
                </c:pt>
                <c:pt idx="12">
                  <c:v>1877.1399999999999</c:v>
                </c:pt>
                <c:pt idx="13">
                  <c:v>1907.5399999999997</c:v>
                </c:pt>
                <c:pt idx="14">
                  <c:v>2024.04</c:v>
                </c:pt>
                <c:pt idx="15">
                  <c:v>2015.74</c:v>
                </c:pt>
                <c:pt idx="16">
                  <c:v>2069.64</c:v>
                </c:pt>
                <c:pt idx="17">
                  <c:v>1720.1399999999999</c:v>
                </c:pt>
                <c:pt idx="18">
                  <c:v>1537.54</c:v>
                </c:pt>
                <c:pt idx="19">
                  <c:v>1677.5</c:v>
                </c:pt>
                <c:pt idx="20">
                  <c:v>1795.2399999999998</c:v>
                </c:pt>
                <c:pt idx="21">
                  <c:v>1771.84</c:v>
                </c:pt>
                <c:pt idx="22">
                  <c:v>1688.9399999999996</c:v>
                </c:pt>
                <c:pt idx="23">
                  <c:v>1602.84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419-4C7B-BB14-AF47998C00B6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1312.97</c:v>
                </c:pt>
                <c:pt idx="1">
                  <c:v>1327.97</c:v>
                </c:pt>
                <c:pt idx="2">
                  <c:v>1253.97</c:v>
                </c:pt>
                <c:pt idx="3">
                  <c:v>1399.44</c:v>
                </c:pt>
                <c:pt idx="4">
                  <c:v>1395.44</c:v>
                </c:pt>
                <c:pt idx="5">
                  <c:v>1357.44</c:v>
                </c:pt>
                <c:pt idx="6">
                  <c:v>1803.94</c:v>
                </c:pt>
                <c:pt idx="7">
                  <c:v>906.74</c:v>
                </c:pt>
                <c:pt idx="8">
                  <c:v>1551.34</c:v>
                </c:pt>
                <c:pt idx="9">
                  <c:v>1591.8400000000001</c:v>
                </c:pt>
                <c:pt idx="10">
                  <c:v>1670.54</c:v>
                </c:pt>
                <c:pt idx="11">
                  <c:v>1664.24</c:v>
                </c:pt>
                <c:pt idx="12">
                  <c:v>1652.1399999999999</c:v>
                </c:pt>
                <c:pt idx="13">
                  <c:v>1687.5399999999997</c:v>
                </c:pt>
                <c:pt idx="14">
                  <c:v>1854.04</c:v>
                </c:pt>
                <c:pt idx="15">
                  <c:v>1793.74</c:v>
                </c:pt>
                <c:pt idx="16">
                  <c:v>1844.34</c:v>
                </c:pt>
                <c:pt idx="17">
                  <c:v>1715.1399999999999</c:v>
                </c:pt>
                <c:pt idx="18">
                  <c:v>1533.54</c:v>
                </c:pt>
                <c:pt idx="19">
                  <c:v>1677.5</c:v>
                </c:pt>
                <c:pt idx="20">
                  <c:v>1786.6399999999999</c:v>
                </c:pt>
                <c:pt idx="21">
                  <c:v>1771.84</c:v>
                </c:pt>
                <c:pt idx="22">
                  <c:v>1688.9399999999996</c:v>
                </c:pt>
                <c:pt idx="23">
                  <c:v>1594.24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19-4C7B-BB14-AF47998C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E2-4886-9C2A-84A41B77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E2-4886-9C2A-84A41B77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E2-4886-9C2A-84A41B779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E2-4886-9C2A-84A41B779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E2-4886-9C2A-84A41B779F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2E2-4886-9C2A-84A41B779F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'016'!$AM$16:$BJ$16</c:f>
              <c:numCache>
                <c:formatCode>General</c:formatCode>
                <c:ptCount val="24"/>
                <c:pt idx="0">
                  <c:v>899.79999999999984</c:v>
                </c:pt>
                <c:pt idx="1">
                  <c:v>899.79999999999984</c:v>
                </c:pt>
                <c:pt idx="2">
                  <c:v>899.79999999999984</c:v>
                </c:pt>
                <c:pt idx="3">
                  <c:v>899.79999999999984</c:v>
                </c:pt>
                <c:pt idx="4">
                  <c:v>899.79999999999984</c:v>
                </c:pt>
                <c:pt idx="5">
                  <c:v>899.79999999999984</c:v>
                </c:pt>
                <c:pt idx="6">
                  <c:v>899.79999999999984</c:v>
                </c:pt>
                <c:pt idx="7">
                  <c:v>899.79999999999984</c:v>
                </c:pt>
                <c:pt idx="8">
                  <c:v>894.4</c:v>
                </c:pt>
                <c:pt idx="9">
                  <c:v>894.4</c:v>
                </c:pt>
                <c:pt idx="10">
                  <c:v>894.4</c:v>
                </c:pt>
                <c:pt idx="11">
                  <c:v>894.4</c:v>
                </c:pt>
                <c:pt idx="12">
                  <c:v>894.4</c:v>
                </c:pt>
                <c:pt idx="13">
                  <c:v>894.4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 formatCode="0.0">
                  <c:v>250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E-4E8D-BAA9-D1C9D715FE5A}"/>
            </c:ext>
          </c:extLst>
        </c:ser>
        <c:ser>
          <c:idx val="2"/>
          <c:order val="1"/>
          <c:tx>
            <c:strRef>
              <c:f>'016'!$AL$17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'016'!$AM$17:$BJ$17</c:f>
              <c:numCache>
                <c:formatCode>General</c:formatCode>
                <c:ptCount val="24"/>
                <c:pt idx="0">
                  <c:v>204.29999999999998</c:v>
                </c:pt>
                <c:pt idx="1">
                  <c:v>528.70000000000005</c:v>
                </c:pt>
                <c:pt idx="2">
                  <c:v>528.70000000000005</c:v>
                </c:pt>
                <c:pt idx="3">
                  <c:v>537.20000000000005</c:v>
                </c:pt>
                <c:pt idx="4">
                  <c:v>511.90000000000003</c:v>
                </c:pt>
                <c:pt idx="5">
                  <c:v>522.9</c:v>
                </c:pt>
                <c:pt idx="6">
                  <c:v>534.1</c:v>
                </c:pt>
                <c:pt idx="7">
                  <c:v>478.80000000000007</c:v>
                </c:pt>
                <c:pt idx="8">
                  <c:v>528.6</c:v>
                </c:pt>
                <c:pt idx="9">
                  <c:v>339.3</c:v>
                </c:pt>
                <c:pt idx="10">
                  <c:v>404.40000000000003</c:v>
                </c:pt>
                <c:pt idx="11">
                  <c:v>188.5</c:v>
                </c:pt>
                <c:pt idx="12">
                  <c:v>223</c:v>
                </c:pt>
                <c:pt idx="13">
                  <c:v>170.1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E-4E8D-BAA9-D1C9D715FE5A}"/>
            </c:ext>
          </c:extLst>
        </c:ser>
        <c:ser>
          <c:idx val="3"/>
          <c:order val="2"/>
          <c:tx>
            <c:strRef>
              <c:f>'016'!$AL$18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'016'!$AM$18:$BJ$18</c:f>
              <c:numCache>
                <c:formatCode>General</c:formatCode>
                <c:ptCount val="24"/>
                <c:pt idx="0">
                  <c:v>397.43999999999994</c:v>
                </c:pt>
                <c:pt idx="1">
                  <c:v>404.43999999999994</c:v>
                </c:pt>
                <c:pt idx="2">
                  <c:v>404.43999999999994</c:v>
                </c:pt>
                <c:pt idx="3">
                  <c:v>404.93999999999994</c:v>
                </c:pt>
                <c:pt idx="4">
                  <c:v>403.77</c:v>
                </c:pt>
                <c:pt idx="5">
                  <c:v>400.46999999999997</c:v>
                </c:pt>
                <c:pt idx="6">
                  <c:v>400.73999999999995</c:v>
                </c:pt>
                <c:pt idx="7">
                  <c:v>400.93999999999994</c:v>
                </c:pt>
                <c:pt idx="8">
                  <c:v>399.74</c:v>
                </c:pt>
                <c:pt idx="9">
                  <c:v>412.94</c:v>
                </c:pt>
                <c:pt idx="10">
                  <c:v>423.24</c:v>
                </c:pt>
                <c:pt idx="11">
                  <c:v>378.24</c:v>
                </c:pt>
                <c:pt idx="12">
                  <c:v>377.74</c:v>
                </c:pt>
                <c:pt idx="13">
                  <c:v>421.24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E-4E8D-BAA9-D1C9D715FE5A}"/>
            </c:ext>
          </c:extLst>
        </c:ser>
        <c:ser>
          <c:idx val="0"/>
          <c:order val="3"/>
          <c:tx>
            <c:strRef>
              <c:f>'016'!$AL$19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'016'!$AM$19:$BJ$19</c:f>
              <c:numCache>
                <c:formatCode>General</c:formatCode>
                <c:ptCount val="24"/>
                <c:pt idx="0">
                  <c:v>16.100000000000001</c:v>
                </c:pt>
                <c:pt idx="1">
                  <c:v>30.9</c:v>
                </c:pt>
                <c:pt idx="2">
                  <c:v>30.9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139.10000000000002</c:v>
                </c:pt>
                <c:pt idx="8">
                  <c:v>162.60000000000002</c:v>
                </c:pt>
                <c:pt idx="9">
                  <c:v>149.5</c:v>
                </c:pt>
                <c:pt idx="10">
                  <c:v>179.7</c:v>
                </c:pt>
                <c:pt idx="11">
                  <c:v>322.7</c:v>
                </c:pt>
                <c:pt idx="12">
                  <c:v>391.1</c:v>
                </c:pt>
                <c:pt idx="13">
                  <c:v>343.4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6E-4E8D-BAA9-D1C9D715FE5A}"/>
            </c:ext>
          </c:extLst>
        </c:ser>
        <c:ser>
          <c:idx val="4"/>
          <c:order val="4"/>
          <c:tx>
            <c:strRef>
              <c:f>'016'!$AL$20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'016'!$AM$20:$BJ$20</c:f>
              <c:numCache>
                <c:formatCode>General</c:formatCode>
                <c:ptCount val="24"/>
                <c:pt idx="0">
                  <c:v>36.599999999999994</c:v>
                </c:pt>
                <c:pt idx="1">
                  <c:v>50.8</c:v>
                </c:pt>
                <c:pt idx="2">
                  <c:v>50.8</c:v>
                </c:pt>
                <c:pt idx="3">
                  <c:v>41.3</c:v>
                </c:pt>
                <c:pt idx="4">
                  <c:v>23.099999999999998</c:v>
                </c:pt>
                <c:pt idx="5">
                  <c:v>29.599999999999998</c:v>
                </c:pt>
                <c:pt idx="6">
                  <c:v>61.3</c:v>
                </c:pt>
                <c:pt idx="7">
                  <c:v>100.9</c:v>
                </c:pt>
                <c:pt idx="8">
                  <c:v>98.800000000000011</c:v>
                </c:pt>
                <c:pt idx="9">
                  <c:v>61.800000000000004</c:v>
                </c:pt>
                <c:pt idx="10">
                  <c:v>98.9</c:v>
                </c:pt>
                <c:pt idx="11">
                  <c:v>90.8</c:v>
                </c:pt>
                <c:pt idx="12">
                  <c:v>98.2</c:v>
                </c:pt>
                <c:pt idx="13">
                  <c:v>98.2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6E-4E8D-BAA9-D1C9D715FE5A}"/>
            </c:ext>
          </c:extLst>
        </c:ser>
        <c:ser>
          <c:idx val="5"/>
          <c:order val="5"/>
          <c:tx>
            <c:strRef>
              <c:f>'016'!$AL$21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6E-4E8D-BAA9-D1C9D715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-409</c:v>
                </c:pt>
                <c:pt idx="2">
                  <c:v>-410</c:v>
                </c:pt>
                <c:pt idx="3">
                  <c:v>-404.6</c:v>
                </c:pt>
                <c:pt idx="4">
                  <c:v>-409.6</c:v>
                </c:pt>
                <c:pt idx="5">
                  <c:v>-426.3</c:v>
                </c:pt>
                <c:pt idx="6">
                  <c:v>-419.7</c:v>
                </c:pt>
                <c:pt idx="7">
                  <c:v>-312</c:v>
                </c:pt>
                <c:pt idx="8">
                  <c:v>-292.2</c:v>
                </c:pt>
                <c:pt idx="9">
                  <c:v>-68</c:v>
                </c:pt>
                <c:pt idx="10">
                  <c:v>-66.7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6E-4E8D-BAA9-D1C9D715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'016'!$AM$22:$BJ$22</c:f>
              <c:numCache>
                <c:formatCode>General</c:formatCode>
                <c:ptCount val="24"/>
                <c:pt idx="0">
                  <c:v>1654.2399999999998</c:v>
                </c:pt>
                <c:pt idx="1">
                  <c:v>2014.64</c:v>
                </c:pt>
                <c:pt idx="2">
                  <c:v>2014.64</c:v>
                </c:pt>
                <c:pt idx="3">
                  <c:v>1983.24</c:v>
                </c:pt>
                <c:pt idx="4">
                  <c:v>1938.5699999999997</c:v>
                </c:pt>
                <c:pt idx="5">
                  <c:v>1952.7699999999998</c:v>
                </c:pt>
                <c:pt idx="6">
                  <c:v>1995.9399999999998</c:v>
                </c:pt>
                <c:pt idx="7">
                  <c:v>2019.54</c:v>
                </c:pt>
                <c:pt idx="8">
                  <c:v>2084.1400000000003</c:v>
                </c:pt>
                <c:pt idx="9">
                  <c:v>1857.94</c:v>
                </c:pt>
                <c:pt idx="10">
                  <c:v>2000.64</c:v>
                </c:pt>
                <c:pt idx="11">
                  <c:v>1874.64</c:v>
                </c:pt>
                <c:pt idx="12">
                  <c:v>1984.4400000000003</c:v>
                </c:pt>
                <c:pt idx="13">
                  <c:v>1927.34</c:v>
                </c:pt>
                <c:pt idx="14">
                  <c:v>253.54</c:v>
                </c:pt>
                <c:pt idx="15">
                  <c:v>253.54</c:v>
                </c:pt>
                <c:pt idx="16">
                  <c:v>253.54</c:v>
                </c:pt>
                <c:pt idx="17">
                  <c:v>253.54</c:v>
                </c:pt>
                <c:pt idx="18">
                  <c:v>253.54</c:v>
                </c:pt>
                <c:pt idx="19">
                  <c:v>255.5</c:v>
                </c:pt>
                <c:pt idx="20">
                  <c:v>253.54</c:v>
                </c:pt>
                <c:pt idx="21">
                  <c:v>253.54</c:v>
                </c:pt>
                <c:pt idx="22">
                  <c:v>253.54</c:v>
                </c:pt>
                <c:pt idx="23">
                  <c:v>253.54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66E-4E8D-BAA9-D1C9D715FE5A}"/>
            </c:ext>
          </c:extLst>
        </c:ser>
        <c:ser>
          <c:idx val="8"/>
          <c:order val="8"/>
          <c:tx>
            <c:strRef>
              <c:f>'016'!$AL$24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'016'!$AM$24:$BJ$24</c:f>
              <c:numCache>
                <c:formatCode>General</c:formatCode>
                <c:ptCount val="24"/>
                <c:pt idx="0">
                  <c:v>1654.2399999999998</c:v>
                </c:pt>
                <c:pt idx="1">
                  <c:v>1605.64</c:v>
                </c:pt>
                <c:pt idx="2">
                  <c:v>1604.64</c:v>
                </c:pt>
                <c:pt idx="3">
                  <c:v>1578.6399999999999</c:v>
                </c:pt>
                <c:pt idx="4">
                  <c:v>1528.9699999999998</c:v>
                </c:pt>
                <c:pt idx="5">
                  <c:v>1526.4699999999998</c:v>
                </c:pt>
                <c:pt idx="6">
                  <c:v>1576.2399999999998</c:v>
                </c:pt>
                <c:pt idx="7">
                  <c:v>1707.54</c:v>
                </c:pt>
                <c:pt idx="8">
                  <c:v>1791.9400000000003</c:v>
                </c:pt>
                <c:pt idx="9">
                  <c:v>1789.94</c:v>
                </c:pt>
                <c:pt idx="10">
                  <c:v>1933.94</c:v>
                </c:pt>
                <c:pt idx="11">
                  <c:v>1874.64</c:v>
                </c:pt>
                <c:pt idx="12">
                  <c:v>1984.4400000000003</c:v>
                </c:pt>
                <c:pt idx="13">
                  <c:v>1927.34</c:v>
                </c:pt>
                <c:pt idx="14">
                  <c:v>253.54</c:v>
                </c:pt>
                <c:pt idx="15">
                  <c:v>253.54</c:v>
                </c:pt>
                <c:pt idx="16">
                  <c:v>253.54</c:v>
                </c:pt>
                <c:pt idx="17">
                  <c:v>253.54</c:v>
                </c:pt>
                <c:pt idx="18">
                  <c:v>253.54</c:v>
                </c:pt>
                <c:pt idx="19">
                  <c:v>255.5</c:v>
                </c:pt>
                <c:pt idx="20">
                  <c:v>253.54</c:v>
                </c:pt>
                <c:pt idx="21">
                  <c:v>253.54</c:v>
                </c:pt>
                <c:pt idx="22">
                  <c:v>253.54</c:v>
                </c:pt>
                <c:pt idx="23">
                  <c:v>253.54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6E-4E8D-BAA9-D1C9D715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03-4FB2-9778-2FC7E0CDD5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03-4FB2-9778-2FC7E0CDD5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03-4FB2-9778-2FC7E0CDD5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03-4FB2-9778-2FC7E0CDD5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03-4FB2-9778-2FC7E0CDD5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703-4FB2-9778-2FC7E0CDD5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'16'!$AM$16:$BJ$16</c:f>
              <c:numCache>
                <c:formatCode>General</c:formatCode>
                <c:ptCount val="24"/>
                <c:pt idx="0">
                  <c:v>936.6</c:v>
                </c:pt>
                <c:pt idx="1">
                  <c:v>936.6</c:v>
                </c:pt>
                <c:pt idx="2">
                  <c:v>936.6</c:v>
                </c:pt>
                <c:pt idx="3">
                  <c:v>936.6</c:v>
                </c:pt>
                <c:pt idx="4">
                  <c:v>936.6</c:v>
                </c:pt>
                <c:pt idx="5">
                  <c:v>936.6</c:v>
                </c:pt>
                <c:pt idx="6">
                  <c:v>936.6</c:v>
                </c:pt>
                <c:pt idx="7">
                  <c:v>936.6</c:v>
                </c:pt>
                <c:pt idx="8">
                  <c:v>931.19999999999993</c:v>
                </c:pt>
                <c:pt idx="9">
                  <c:v>931.19999999999993</c:v>
                </c:pt>
                <c:pt idx="10">
                  <c:v>931.19999999999993</c:v>
                </c:pt>
                <c:pt idx="11">
                  <c:v>931.19999999999993</c:v>
                </c:pt>
                <c:pt idx="12">
                  <c:v>931.19999999999993</c:v>
                </c:pt>
                <c:pt idx="13">
                  <c:v>865.99999999999989</c:v>
                </c:pt>
                <c:pt idx="14">
                  <c:v>865.99999999999989</c:v>
                </c:pt>
                <c:pt idx="15">
                  <c:v>865.99999999999989</c:v>
                </c:pt>
                <c:pt idx="16">
                  <c:v>865.99999999999989</c:v>
                </c:pt>
                <c:pt idx="17">
                  <c:v>865.99999999999989</c:v>
                </c:pt>
                <c:pt idx="18" formatCode="0.0">
                  <c:v>865.99999999999989</c:v>
                </c:pt>
                <c:pt idx="19" formatCode="0.0">
                  <c:v>865.99999999999989</c:v>
                </c:pt>
                <c:pt idx="20" formatCode="0.0">
                  <c:v>880.9</c:v>
                </c:pt>
                <c:pt idx="21" formatCode="0.0">
                  <c:v>871.5999999999998</c:v>
                </c:pt>
                <c:pt idx="22" formatCode="0.0">
                  <c:v>871.5999999999998</c:v>
                </c:pt>
                <c:pt idx="23" formatCode="0.0">
                  <c:v>871.5999999999998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7-419C-911B-C117B0A10E89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'16'!$AM$17:$BJ$17</c:f>
              <c:numCache>
                <c:formatCode>General</c:formatCode>
                <c:ptCount val="24"/>
                <c:pt idx="0">
                  <c:v>204.29999999999998</c:v>
                </c:pt>
                <c:pt idx="1">
                  <c:v>528.70000000000005</c:v>
                </c:pt>
                <c:pt idx="2">
                  <c:v>528.70000000000005</c:v>
                </c:pt>
                <c:pt idx="3">
                  <c:v>537.20000000000005</c:v>
                </c:pt>
                <c:pt idx="4">
                  <c:v>511.90000000000003</c:v>
                </c:pt>
                <c:pt idx="5">
                  <c:v>522.9</c:v>
                </c:pt>
                <c:pt idx="6">
                  <c:v>534.1</c:v>
                </c:pt>
                <c:pt idx="7">
                  <c:v>478.80000000000007</c:v>
                </c:pt>
                <c:pt idx="8">
                  <c:v>528.6</c:v>
                </c:pt>
                <c:pt idx="9">
                  <c:v>339.3</c:v>
                </c:pt>
                <c:pt idx="10">
                  <c:v>404.40000000000003</c:v>
                </c:pt>
                <c:pt idx="11">
                  <c:v>188.5</c:v>
                </c:pt>
                <c:pt idx="12">
                  <c:v>223</c:v>
                </c:pt>
                <c:pt idx="13">
                  <c:v>170.1</c:v>
                </c:pt>
                <c:pt idx="14">
                  <c:v>170.1</c:v>
                </c:pt>
                <c:pt idx="15">
                  <c:v>167.5</c:v>
                </c:pt>
                <c:pt idx="16">
                  <c:v>149</c:v>
                </c:pt>
                <c:pt idx="17">
                  <c:v>167.5</c:v>
                </c:pt>
                <c:pt idx="18" formatCode="0.0">
                  <c:v>127.5</c:v>
                </c:pt>
                <c:pt idx="19" formatCode="0.0">
                  <c:v>523.5</c:v>
                </c:pt>
                <c:pt idx="20" formatCode="0.0">
                  <c:v>521.5</c:v>
                </c:pt>
                <c:pt idx="21" formatCode="0.0">
                  <c:v>520.29999999999995</c:v>
                </c:pt>
                <c:pt idx="22" formatCode="0.0">
                  <c:v>521.1</c:v>
                </c:pt>
                <c:pt idx="23" formatCode="0.0">
                  <c:v>521.1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7-419C-911B-C117B0A10E89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'16'!$AM$18:$BJ$18</c:f>
              <c:numCache>
                <c:formatCode>General</c:formatCode>
                <c:ptCount val="24"/>
                <c:pt idx="0">
                  <c:v>397.43999999999994</c:v>
                </c:pt>
                <c:pt idx="1">
                  <c:v>404.43999999999994</c:v>
                </c:pt>
                <c:pt idx="2">
                  <c:v>404.43999999999994</c:v>
                </c:pt>
                <c:pt idx="3">
                  <c:v>404.93999999999994</c:v>
                </c:pt>
                <c:pt idx="4">
                  <c:v>403.77</c:v>
                </c:pt>
                <c:pt idx="5">
                  <c:v>400.46999999999997</c:v>
                </c:pt>
                <c:pt idx="6">
                  <c:v>400.73999999999995</c:v>
                </c:pt>
                <c:pt idx="7">
                  <c:v>400.93999999999994</c:v>
                </c:pt>
                <c:pt idx="8">
                  <c:v>399.74</c:v>
                </c:pt>
                <c:pt idx="9">
                  <c:v>412.94</c:v>
                </c:pt>
                <c:pt idx="10">
                  <c:v>423.24</c:v>
                </c:pt>
                <c:pt idx="11">
                  <c:v>378.24</c:v>
                </c:pt>
                <c:pt idx="12">
                  <c:v>377.74</c:v>
                </c:pt>
                <c:pt idx="13">
                  <c:v>421.24</c:v>
                </c:pt>
                <c:pt idx="14">
                  <c:v>421.24</c:v>
                </c:pt>
                <c:pt idx="15">
                  <c:v>414.53999999999996</c:v>
                </c:pt>
                <c:pt idx="16">
                  <c:v>404.14</c:v>
                </c:pt>
                <c:pt idx="17">
                  <c:v>392.44</c:v>
                </c:pt>
                <c:pt idx="18" formatCode="0.0">
                  <c:v>392.44</c:v>
                </c:pt>
                <c:pt idx="19" formatCode="0.0">
                  <c:v>388.7</c:v>
                </c:pt>
                <c:pt idx="20" formatCode="0.0">
                  <c:v>401.84000000000003</c:v>
                </c:pt>
                <c:pt idx="21" formatCode="0.0">
                  <c:v>399.84</c:v>
                </c:pt>
                <c:pt idx="22" formatCode="0.0">
                  <c:v>400.23999999999995</c:v>
                </c:pt>
                <c:pt idx="23" formatCode="0.0">
                  <c:v>400.23999999999995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7-419C-911B-C117B0A10E89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'16'!$AM$19:$BJ$19</c:f>
              <c:numCache>
                <c:formatCode>General</c:formatCode>
                <c:ptCount val="24"/>
                <c:pt idx="0">
                  <c:v>16.100000000000001</c:v>
                </c:pt>
                <c:pt idx="1">
                  <c:v>30.9</c:v>
                </c:pt>
                <c:pt idx="2">
                  <c:v>30.9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139.10000000000002</c:v>
                </c:pt>
                <c:pt idx="8">
                  <c:v>162.60000000000002</c:v>
                </c:pt>
                <c:pt idx="9">
                  <c:v>149.5</c:v>
                </c:pt>
                <c:pt idx="10">
                  <c:v>179.7</c:v>
                </c:pt>
                <c:pt idx="11">
                  <c:v>322.7</c:v>
                </c:pt>
                <c:pt idx="12">
                  <c:v>391.1</c:v>
                </c:pt>
                <c:pt idx="13">
                  <c:v>343.4</c:v>
                </c:pt>
                <c:pt idx="14">
                  <c:v>442.5</c:v>
                </c:pt>
                <c:pt idx="15">
                  <c:v>421.6</c:v>
                </c:pt>
                <c:pt idx="16">
                  <c:v>498</c:v>
                </c:pt>
                <c:pt idx="17">
                  <c:v>465.2</c:v>
                </c:pt>
                <c:pt idx="18" formatCode="0.0">
                  <c:v>407.3</c:v>
                </c:pt>
                <c:pt idx="19" formatCode="0.0">
                  <c:v>60.3</c:v>
                </c:pt>
                <c:pt idx="20" formatCode="0.0">
                  <c:v>50.1</c:v>
                </c:pt>
                <c:pt idx="21" formatCode="0.0">
                  <c:v>53.2</c:v>
                </c:pt>
                <c:pt idx="22" formatCode="0.0">
                  <c:v>61.9</c:v>
                </c:pt>
                <c:pt idx="23" formatCode="0.0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A7-419C-911B-C117B0A10E89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'16'!$AM$20:$BJ$20</c:f>
              <c:numCache>
                <c:formatCode>General</c:formatCode>
                <c:ptCount val="24"/>
                <c:pt idx="0">
                  <c:v>36.599999999999994</c:v>
                </c:pt>
                <c:pt idx="1">
                  <c:v>50.8</c:v>
                </c:pt>
                <c:pt idx="2">
                  <c:v>50.8</c:v>
                </c:pt>
                <c:pt idx="3">
                  <c:v>41.3</c:v>
                </c:pt>
                <c:pt idx="4">
                  <c:v>23.099999999999998</c:v>
                </c:pt>
                <c:pt idx="5">
                  <c:v>29.599999999999998</c:v>
                </c:pt>
                <c:pt idx="6">
                  <c:v>61.3</c:v>
                </c:pt>
                <c:pt idx="7">
                  <c:v>100.9</c:v>
                </c:pt>
                <c:pt idx="8">
                  <c:v>98.800000000000011</c:v>
                </c:pt>
                <c:pt idx="9">
                  <c:v>61.800000000000004</c:v>
                </c:pt>
                <c:pt idx="10">
                  <c:v>98.9</c:v>
                </c:pt>
                <c:pt idx="11">
                  <c:v>90.8</c:v>
                </c:pt>
                <c:pt idx="12">
                  <c:v>98.2</c:v>
                </c:pt>
                <c:pt idx="13">
                  <c:v>98.2</c:v>
                </c:pt>
                <c:pt idx="14">
                  <c:v>98.2</c:v>
                </c:pt>
                <c:pt idx="15">
                  <c:v>98.2</c:v>
                </c:pt>
                <c:pt idx="16">
                  <c:v>67</c:v>
                </c:pt>
                <c:pt idx="17">
                  <c:v>51.9</c:v>
                </c:pt>
                <c:pt idx="18" formatCode="0.0">
                  <c:v>22.200000000000003</c:v>
                </c:pt>
                <c:pt idx="19" formatCode="0.0">
                  <c:v>67.3</c:v>
                </c:pt>
                <c:pt idx="20" formatCode="0.0">
                  <c:v>100.10000000000001</c:v>
                </c:pt>
                <c:pt idx="21" formatCode="0.0">
                  <c:v>100.10000000000001</c:v>
                </c:pt>
                <c:pt idx="22" formatCode="0.0">
                  <c:v>100.10000000000001</c:v>
                </c:pt>
                <c:pt idx="23" formatCode="0.0">
                  <c:v>100.10000000000001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A7-419C-911B-C117B0A10E89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350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A7-419C-911B-C117B0A1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-408</c:v>
                </c:pt>
                <c:pt idx="2">
                  <c:v>-408</c:v>
                </c:pt>
                <c:pt idx="3">
                  <c:v>-404.6</c:v>
                </c:pt>
                <c:pt idx="4">
                  <c:v>-409.6</c:v>
                </c:pt>
                <c:pt idx="5">
                  <c:v>-426.3</c:v>
                </c:pt>
                <c:pt idx="6">
                  <c:v>-419.7</c:v>
                </c:pt>
                <c:pt idx="7">
                  <c:v>-312</c:v>
                </c:pt>
                <c:pt idx="8">
                  <c:v>-292.2</c:v>
                </c:pt>
                <c:pt idx="9">
                  <c:v>-68</c:v>
                </c:pt>
                <c:pt idx="10">
                  <c:v>-66.7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-290</c:v>
                </c:pt>
                <c:pt idx="20">
                  <c:v>-173</c:v>
                </c:pt>
                <c:pt idx="21">
                  <c:v>-215</c:v>
                </c:pt>
                <c:pt idx="22">
                  <c:v>-312</c:v>
                </c:pt>
                <c:pt idx="23">
                  <c:v>-420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7-419C-911B-C117B0A1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'16'!$AM$22:$BJ$22</c:f>
              <c:numCache>
                <c:formatCode>General</c:formatCode>
                <c:ptCount val="24"/>
                <c:pt idx="0">
                  <c:v>1591.04</c:v>
                </c:pt>
                <c:pt idx="1">
                  <c:v>1951.4400000000003</c:v>
                </c:pt>
                <c:pt idx="2">
                  <c:v>1951.4400000000003</c:v>
                </c:pt>
                <c:pt idx="3">
                  <c:v>1920.0400000000002</c:v>
                </c:pt>
                <c:pt idx="4">
                  <c:v>1875.37</c:v>
                </c:pt>
                <c:pt idx="5">
                  <c:v>1889.57</c:v>
                </c:pt>
                <c:pt idx="6">
                  <c:v>1932.74</c:v>
                </c:pt>
                <c:pt idx="7">
                  <c:v>2056.34</c:v>
                </c:pt>
                <c:pt idx="8">
                  <c:v>2120.94</c:v>
                </c:pt>
                <c:pt idx="9">
                  <c:v>1894.74</c:v>
                </c:pt>
                <c:pt idx="10">
                  <c:v>2037.44</c:v>
                </c:pt>
                <c:pt idx="11">
                  <c:v>1911.4399999999998</c:v>
                </c:pt>
                <c:pt idx="12">
                  <c:v>2021.24</c:v>
                </c:pt>
                <c:pt idx="13">
                  <c:v>1898.9399999999998</c:v>
                </c:pt>
                <c:pt idx="14">
                  <c:v>1998.04</c:v>
                </c:pt>
                <c:pt idx="15">
                  <c:v>1967.84</c:v>
                </c:pt>
                <c:pt idx="16">
                  <c:v>1984.1399999999999</c:v>
                </c:pt>
                <c:pt idx="17">
                  <c:v>1943.0400000000002</c:v>
                </c:pt>
                <c:pt idx="18">
                  <c:v>1815.4399999999998</c:v>
                </c:pt>
                <c:pt idx="19">
                  <c:v>1905.8</c:v>
                </c:pt>
                <c:pt idx="20">
                  <c:v>2304.44</c:v>
                </c:pt>
                <c:pt idx="21">
                  <c:v>2295.0399999999995</c:v>
                </c:pt>
                <c:pt idx="22">
                  <c:v>2304.9399999999996</c:v>
                </c:pt>
                <c:pt idx="23">
                  <c:v>2293.8399999999997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DA7-419C-911B-C117B0A10E89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'16'!$AM$24:$BJ$24</c:f>
              <c:numCache>
                <c:formatCode>General</c:formatCode>
                <c:ptCount val="24"/>
                <c:pt idx="0">
                  <c:v>1591.04</c:v>
                </c:pt>
                <c:pt idx="1">
                  <c:v>1543.4400000000003</c:v>
                </c:pt>
                <c:pt idx="2">
                  <c:v>1543.4400000000003</c:v>
                </c:pt>
                <c:pt idx="3">
                  <c:v>1515.44</c:v>
                </c:pt>
                <c:pt idx="4">
                  <c:v>1465.77</c:v>
                </c:pt>
                <c:pt idx="5">
                  <c:v>1463.27</c:v>
                </c:pt>
                <c:pt idx="6">
                  <c:v>1513.04</c:v>
                </c:pt>
                <c:pt idx="7">
                  <c:v>1744.3400000000001</c:v>
                </c:pt>
                <c:pt idx="8">
                  <c:v>1828.74</c:v>
                </c:pt>
                <c:pt idx="9">
                  <c:v>1826.74</c:v>
                </c:pt>
                <c:pt idx="10">
                  <c:v>1970.74</c:v>
                </c:pt>
                <c:pt idx="11">
                  <c:v>1911.4399999999998</c:v>
                </c:pt>
                <c:pt idx="12">
                  <c:v>2021.24</c:v>
                </c:pt>
                <c:pt idx="13">
                  <c:v>1898.9399999999998</c:v>
                </c:pt>
                <c:pt idx="14">
                  <c:v>1998.04</c:v>
                </c:pt>
                <c:pt idx="15">
                  <c:v>1967.84</c:v>
                </c:pt>
                <c:pt idx="16">
                  <c:v>1984.1399999999999</c:v>
                </c:pt>
                <c:pt idx="17">
                  <c:v>1943.0400000000002</c:v>
                </c:pt>
                <c:pt idx="18">
                  <c:v>1815.4399999999998</c:v>
                </c:pt>
                <c:pt idx="19">
                  <c:v>1615.8</c:v>
                </c:pt>
                <c:pt idx="20">
                  <c:v>2131.44</c:v>
                </c:pt>
                <c:pt idx="21">
                  <c:v>2080.0399999999995</c:v>
                </c:pt>
                <c:pt idx="22">
                  <c:v>1992.9399999999996</c:v>
                </c:pt>
                <c:pt idx="23">
                  <c:v>1873.8399999999997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A7-419C-911B-C117B0A10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30-4B88-88A4-A7BD42C04F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30-4B88-88A4-A7BD42C04F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30-4B88-88A4-A7BD42C04F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30-4B88-88A4-A7BD42C04F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30-4B88-88A4-A7BD42C04FC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C30-4B88-88A4-A7BD42C04F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871.6999999999997</c:v>
                </c:pt>
                <c:pt idx="1">
                  <c:v>871.6999999999997</c:v>
                </c:pt>
                <c:pt idx="2">
                  <c:v>871.6999999999997</c:v>
                </c:pt>
                <c:pt idx="3">
                  <c:v>870.79999999999973</c:v>
                </c:pt>
                <c:pt idx="4">
                  <c:v>970.79999999999973</c:v>
                </c:pt>
                <c:pt idx="5">
                  <c:v>869.39999999999975</c:v>
                </c:pt>
                <c:pt idx="6">
                  <c:v>869.89999999999975</c:v>
                </c:pt>
                <c:pt idx="7">
                  <c:v>875.59999999999968</c:v>
                </c:pt>
                <c:pt idx="8">
                  <c:v>869.40000000000009</c:v>
                </c:pt>
                <c:pt idx="9">
                  <c:v>869.40000000000009</c:v>
                </c:pt>
                <c:pt idx="10">
                  <c:v>869.40000000000009</c:v>
                </c:pt>
                <c:pt idx="11">
                  <c:v>869.40000000000009</c:v>
                </c:pt>
                <c:pt idx="12">
                  <c:v>869.40000000000009</c:v>
                </c:pt>
                <c:pt idx="13">
                  <c:v>869.40000000000009</c:v>
                </c:pt>
                <c:pt idx="14">
                  <c:v>792.39999999999986</c:v>
                </c:pt>
                <c:pt idx="15">
                  <c:v>792.39999999999986</c:v>
                </c:pt>
                <c:pt idx="16">
                  <c:v>763.59999999999991</c:v>
                </c:pt>
                <c:pt idx="17">
                  <c:v>770.5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784.3</c:v>
                </c:pt>
                <c:pt idx="21" formatCode="0.0">
                  <c:v>785.5</c:v>
                </c:pt>
                <c:pt idx="22" formatCode="0.0">
                  <c:v>785.5</c:v>
                </c:pt>
                <c:pt idx="23" formatCode="0.0">
                  <c:v>785.5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0-4CC8-9B28-33CC8E6C0F05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502.3</c:v>
                </c:pt>
                <c:pt idx="1">
                  <c:v>502.3</c:v>
                </c:pt>
                <c:pt idx="2">
                  <c:v>502.3</c:v>
                </c:pt>
                <c:pt idx="3">
                  <c:v>422.3</c:v>
                </c:pt>
                <c:pt idx="4">
                  <c:v>391</c:v>
                </c:pt>
                <c:pt idx="5">
                  <c:v>380.40000000000003</c:v>
                </c:pt>
                <c:pt idx="6">
                  <c:v>288.40000000000003</c:v>
                </c:pt>
                <c:pt idx="7">
                  <c:v>379.90000000000003</c:v>
                </c:pt>
                <c:pt idx="8">
                  <c:v>439.6</c:v>
                </c:pt>
                <c:pt idx="9">
                  <c:v>259.60000000000002</c:v>
                </c:pt>
                <c:pt idx="10">
                  <c:v>189.6</c:v>
                </c:pt>
                <c:pt idx="11">
                  <c:v>159.6</c:v>
                </c:pt>
                <c:pt idx="12">
                  <c:v>158.1</c:v>
                </c:pt>
                <c:pt idx="13">
                  <c:v>158.1</c:v>
                </c:pt>
                <c:pt idx="14">
                  <c:v>158.4</c:v>
                </c:pt>
                <c:pt idx="15">
                  <c:v>156.5</c:v>
                </c:pt>
                <c:pt idx="16">
                  <c:v>209.5</c:v>
                </c:pt>
                <c:pt idx="17">
                  <c:v>495.5</c:v>
                </c:pt>
                <c:pt idx="18" formatCode="0.0">
                  <c:v>495.5</c:v>
                </c:pt>
                <c:pt idx="19" formatCode="0.0">
                  <c:v>0</c:v>
                </c:pt>
                <c:pt idx="20" formatCode="0.0">
                  <c:v>355.5</c:v>
                </c:pt>
                <c:pt idx="21" formatCode="0.0">
                  <c:v>285.5</c:v>
                </c:pt>
                <c:pt idx="22" formatCode="0.0">
                  <c:v>494.9</c:v>
                </c:pt>
                <c:pt idx="23" formatCode="0.0">
                  <c:v>454.7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0-4CC8-9B28-33CC8E6C0F05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401.84</c:v>
                </c:pt>
                <c:pt idx="1">
                  <c:v>401.84</c:v>
                </c:pt>
                <c:pt idx="2">
                  <c:v>401.84</c:v>
                </c:pt>
                <c:pt idx="3">
                  <c:v>401.84</c:v>
                </c:pt>
                <c:pt idx="4">
                  <c:v>401.84</c:v>
                </c:pt>
                <c:pt idx="5">
                  <c:v>397.23999999999995</c:v>
                </c:pt>
                <c:pt idx="6">
                  <c:v>397.23999999999995</c:v>
                </c:pt>
                <c:pt idx="7">
                  <c:v>397.13999999999993</c:v>
                </c:pt>
                <c:pt idx="8">
                  <c:v>362.53999999999996</c:v>
                </c:pt>
                <c:pt idx="9">
                  <c:v>362.53999999999996</c:v>
                </c:pt>
                <c:pt idx="10">
                  <c:v>362.53999999999996</c:v>
                </c:pt>
                <c:pt idx="11">
                  <c:v>412.63999999999993</c:v>
                </c:pt>
                <c:pt idx="12">
                  <c:v>412.63999999999993</c:v>
                </c:pt>
                <c:pt idx="13">
                  <c:v>412.63999999999993</c:v>
                </c:pt>
                <c:pt idx="14">
                  <c:v>412.63999999999993</c:v>
                </c:pt>
                <c:pt idx="15">
                  <c:v>393.53999999999996</c:v>
                </c:pt>
                <c:pt idx="16">
                  <c:v>374.04</c:v>
                </c:pt>
                <c:pt idx="17">
                  <c:v>383.73999999999995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395.14</c:v>
                </c:pt>
                <c:pt idx="21" formatCode="0.0">
                  <c:v>404.94</c:v>
                </c:pt>
                <c:pt idx="22" formatCode="0.0">
                  <c:v>404.94</c:v>
                </c:pt>
                <c:pt idx="23" formatCode="0.0">
                  <c:v>404.94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0-4CC8-9B28-33CC8E6C0F05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47.2</c:v>
                </c:pt>
                <c:pt idx="1">
                  <c:v>47.2</c:v>
                </c:pt>
                <c:pt idx="2">
                  <c:v>47.2</c:v>
                </c:pt>
                <c:pt idx="3">
                  <c:v>49.8</c:v>
                </c:pt>
                <c:pt idx="4">
                  <c:v>49</c:v>
                </c:pt>
                <c:pt idx="5">
                  <c:v>40</c:v>
                </c:pt>
                <c:pt idx="6">
                  <c:v>42.4</c:v>
                </c:pt>
                <c:pt idx="7">
                  <c:v>188.9</c:v>
                </c:pt>
                <c:pt idx="8">
                  <c:v>185.7</c:v>
                </c:pt>
                <c:pt idx="9">
                  <c:v>368</c:v>
                </c:pt>
                <c:pt idx="10">
                  <c:v>368</c:v>
                </c:pt>
                <c:pt idx="11">
                  <c:v>484.1</c:v>
                </c:pt>
                <c:pt idx="12">
                  <c:v>491.8</c:v>
                </c:pt>
                <c:pt idx="13">
                  <c:v>520.29999999999995</c:v>
                </c:pt>
                <c:pt idx="14">
                  <c:v>611.79999999999995</c:v>
                </c:pt>
                <c:pt idx="15">
                  <c:v>560</c:v>
                </c:pt>
                <c:pt idx="16">
                  <c:v>478.9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25.1</c:v>
                </c:pt>
                <c:pt idx="21" formatCode="0.0">
                  <c:v>13</c:v>
                </c:pt>
                <c:pt idx="22" formatCode="0.0">
                  <c:v>32.700000000000003</c:v>
                </c:pt>
                <c:pt idx="23" formatCode="0.0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0-4CC8-9B28-33CC8E6C0F05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100.10000000000001</c:v>
                </c:pt>
                <c:pt idx="1">
                  <c:v>100.10000000000001</c:v>
                </c:pt>
                <c:pt idx="2">
                  <c:v>100.10000000000001</c:v>
                </c:pt>
                <c:pt idx="3">
                  <c:v>89.399999999999991</c:v>
                </c:pt>
                <c:pt idx="4">
                  <c:v>79.599999999999994</c:v>
                </c:pt>
                <c:pt idx="5">
                  <c:v>100</c:v>
                </c:pt>
                <c:pt idx="6">
                  <c:v>80</c:v>
                </c:pt>
                <c:pt idx="7">
                  <c:v>97.3</c:v>
                </c:pt>
                <c:pt idx="8">
                  <c:v>99.7</c:v>
                </c:pt>
                <c:pt idx="9">
                  <c:v>89.899999999999991</c:v>
                </c:pt>
                <c:pt idx="10">
                  <c:v>89.899999999999991</c:v>
                </c:pt>
                <c:pt idx="11">
                  <c:v>84.9</c:v>
                </c:pt>
                <c:pt idx="12">
                  <c:v>62.4</c:v>
                </c:pt>
                <c:pt idx="13">
                  <c:v>53.8</c:v>
                </c:pt>
                <c:pt idx="14">
                  <c:v>23.6</c:v>
                </c:pt>
                <c:pt idx="15">
                  <c:v>47</c:v>
                </c:pt>
                <c:pt idx="16">
                  <c:v>21.8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19.8</c:v>
                </c:pt>
                <c:pt idx="21" formatCode="0.0">
                  <c:v>0</c:v>
                </c:pt>
                <c:pt idx="22" formatCode="0.0">
                  <c:v>50.6</c:v>
                </c:pt>
                <c:pt idx="23" formatCode="0.0">
                  <c:v>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0-4CC8-9B28-33CC8E6C0F05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0-4CC8-9B28-33CC8E6C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-415</c:v>
                </c:pt>
                <c:pt idx="1">
                  <c:v>-415</c:v>
                </c:pt>
                <c:pt idx="2">
                  <c:v>-415</c:v>
                </c:pt>
                <c:pt idx="3">
                  <c:v>-375</c:v>
                </c:pt>
                <c:pt idx="4">
                  <c:v>-349</c:v>
                </c:pt>
                <c:pt idx="5">
                  <c:v>-355</c:v>
                </c:pt>
                <c:pt idx="6">
                  <c:v>-176</c:v>
                </c:pt>
                <c:pt idx="7">
                  <c:v>-129</c:v>
                </c:pt>
                <c:pt idx="8">
                  <c:v>-139.80000000000001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-160</c:v>
                </c:pt>
                <c:pt idx="21">
                  <c:v>-200</c:v>
                </c:pt>
                <c:pt idx="22">
                  <c:v>-424</c:v>
                </c:pt>
                <c:pt idx="23">
                  <c:v>-400.9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90-4CC8-9B28-33CC8E6C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2273.1399999999994</c:v>
                </c:pt>
                <c:pt idx="1">
                  <c:v>2274.1399999999994</c:v>
                </c:pt>
                <c:pt idx="2">
                  <c:v>2275.1399999999994</c:v>
                </c:pt>
                <c:pt idx="3">
                  <c:v>2184.1399999999994</c:v>
                </c:pt>
                <c:pt idx="4">
                  <c:v>2242.2399999999998</c:v>
                </c:pt>
                <c:pt idx="5">
                  <c:v>2137.04</c:v>
                </c:pt>
                <c:pt idx="6">
                  <c:v>1677.9399999999998</c:v>
                </c:pt>
                <c:pt idx="7">
                  <c:v>1938.8399999999997</c:v>
                </c:pt>
                <c:pt idx="8">
                  <c:v>1956.94</c:v>
                </c:pt>
                <c:pt idx="9">
                  <c:v>1949.44</c:v>
                </c:pt>
                <c:pt idx="10">
                  <c:v>1879.44</c:v>
                </c:pt>
                <c:pt idx="11">
                  <c:v>2010.6399999999999</c:v>
                </c:pt>
                <c:pt idx="12">
                  <c:v>1994.34</c:v>
                </c:pt>
                <c:pt idx="13">
                  <c:v>2014.2399999999998</c:v>
                </c:pt>
                <c:pt idx="14">
                  <c:v>1998.8399999999997</c:v>
                </c:pt>
                <c:pt idx="15">
                  <c:v>1949.4399999999998</c:v>
                </c:pt>
                <c:pt idx="16">
                  <c:v>1847.84</c:v>
                </c:pt>
                <c:pt idx="17">
                  <c:v>1649.74</c:v>
                </c:pt>
                <c:pt idx="18">
                  <c:v>649.04</c:v>
                </c:pt>
                <c:pt idx="19">
                  <c:v>155.5</c:v>
                </c:pt>
                <c:pt idx="20">
                  <c:v>1729.84</c:v>
                </c:pt>
                <c:pt idx="21">
                  <c:v>1638.94</c:v>
                </c:pt>
                <c:pt idx="22">
                  <c:v>1918.64</c:v>
                </c:pt>
                <c:pt idx="23">
                  <c:v>1863.14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90-4CC8-9B28-33CC8E6C0F05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1858.1399999999994</c:v>
                </c:pt>
                <c:pt idx="1">
                  <c:v>1859.1399999999994</c:v>
                </c:pt>
                <c:pt idx="2">
                  <c:v>1860.1399999999994</c:v>
                </c:pt>
                <c:pt idx="3">
                  <c:v>1809.1399999999994</c:v>
                </c:pt>
                <c:pt idx="4">
                  <c:v>1893.2399999999998</c:v>
                </c:pt>
                <c:pt idx="5">
                  <c:v>1782.04</c:v>
                </c:pt>
                <c:pt idx="6">
                  <c:v>1501.9399999999998</c:v>
                </c:pt>
                <c:pt idx="7">
                  <c:v>1809.8399999999997</c:v>
                </c:pt>
                <c:pt idx="8">
                  <c:v>1817.14</c:v>
                </c:pt>
                <c:pt idx="9">
                  <c:v>1949.44</c:v>
                </c:pt>
                <c:pt idx="10">
                  <c:v>1879.44</c:v>
                </c:pt>
                <c:pt idx="11">
                  <c:v>2010.6399999999999</c:v>
                </c:pt>
                <c:pt idx="12">
                  <c:v>1994.34</c:v>
                </c:pt>
                <c:pt idx="13">
                  <c:v>2014.2399999999998</c:v>
                </c:pt>
                <c:pt idx="14">
                  <c:v>1998.8399999999997</c:v>
                </c:pt>
                <c:pt idx="15">
                  <c:v>1949.4399999999998</c:v>
                </c:pt>
                <c:pt idx="16">
                  <c:v>1847.84</c:v>
                </c:pt>
                <c:pt idx="17">
                  <c:v>1649.74</c:v>
                </c:pt>
                <c:pt idx="18">
                  <c:v>649.04</c:v>
                </c:pt>
                <c:pt idx="19">
                  <c:v>155.5</c:v>
                </c:pt>
                <c:pt idx="20">
                  <c:v>1569.84</c:v>
                </c:pt>
                <c:pt idx="21">
                  <c:v>1438.94</c:v>
                </c:pt>
                <c:pt idx="22">
                  <c:v>1494.64</c:v>
                </c:pt>
                <c:pt idx="23">
                  <c:v>1462.2400000000002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90-4CC8-9B28-33CC8E6C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35-4226-87AE-A6EADC9E2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35-4226-87AE-A6EADC9E2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35-4226-87AE-A6EADC9E2A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35-4226-87AE-A6EADC9E2A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35-4226-87AE-A6EADC9E2A0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B35-4226-87AE-A6EADC9E2A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790.2</c:v>
                </c:pt>
                <c:pt idx="1">
                  <c:v>790.2</c:v>
                </c:pt>
                <c:pt idx="2">
                  <c:v>790.2</c:v>
                </c:pt>
                <c:pt idx="3">
                  <c:v>790.2</c:v>
                </c:pt>
                <c:pt idx="4">
                  <c:v>790.2</c:v>
                </c:pt>
                <c:pt idx="5">
                  <c:v>790.2</c:v>
                </c:pt>
                <c:pt idx="6">
                  <c:v>790.2</c:v>
                </c:pt>
                <c:pt idx="7">
                  <c:v>790.2</c:v>
                </c:pt>
                <c:pt idx="8">
                  <c:v>780</c:v>
                </c:pt>
                <c:pt idx="9">
                  <c:v>780</c:v>
                </c:pt>
                <c:pt idx="10">
                  <c:v>780</c:v>
                </c:pt>
                <c:pt idx="11">
                  <c:v>780</c:v>
                </c:pt>
                <c:pt idx="12">
                  <c:v>780</c:v>
                </c:pt>
                <c:pt idx="13">
                  <c:v>780</c:v>
                </c:pt>
                <c:pt idx="14">
                  <c:v>780</c:v>
                </c:pt>
                <c:pt idx="15">
                  <c:v>780</c:v>
                </c:pt>
                <c:pt idx="16">
                  <c:v>780</c:v>
                </c:pt>
                <c:pt idx="17">
                  <c:v>780</c:v>
                </c:pt>
                <c:pt idx="18" formatCode="0.0">
                  <c:v>150</c:v>
                </c:pt>
                <c:pt idx="19" formatCode="0.0">
                  <c:v>780</c:v>
                </c:pt>
                <c:pt idx="20" formatCode="0.0">
                  <c:v>780</c:v>
                </c:pt>
                <c:pt idx="21" formatCode="0.0">
                  <c:v>780</c:v>
                </c:pt>
                <c:pt idx="22" formatCode="0.0">
                  <c:v>780</c:v>
                </c:pt>
                <c:pt idx="23" formatCode="0.0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B-4E61-B031-9198DB6C26F6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513.20000000000005</c:v>
                </c:pt>
                <c:pt idx="1">
                  <c:v>464.6</c:v>
                </c:pt>
                <c:pt idx="2">
                  <c:v>464.9</c:v>
                </c:pt>
                <c:pt idx="3">
                  <c:v>478</c:v>
                </c:pt>
                <c:pt idx="4">
                  <c:v>435</c:v>
                </c:pt>
                <c:pt idx="5">
                  <c:v>425</c:v>
                </c:pt>
                <c:pt idx="6">
                  <c:v>511</c:v>
                </c:pt>
                <c:pt idx="7">
                  <c:v>255</c:v>
                </c:pt>
                <c:pt idx="8">
                  <c:v>227.5</c:v>
                </c:pt>
                <c:pt idx="9">
                  <c:v>275</c:v>
                </c:pt>
                <c:pt idx="10">
                  <c:v>196</c:v>
                </c:pt>
                <c:pt idx="11">
                  <c:v>175</c:v>
                </c:pt>
                <c:pt idx="12">
                  <c:v>105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110.3</c:v>
                </c:pt>
                <c:pt idx="17">
                  <c:v>110.3</c:v>
                </c:pt>
                <c:pt idx="18" formatCode="0.0">
                  <c:v>0</c:v>
                </c:pt>
                <c:pt idx="19" formatCode="0.0">
                  <c:v>399.1</c:v>
                </c:pt>
                <c:pt idx="20" formatCode="0.0">
                  <c:v>471</c:v>
                </c:pt>
                <c:pt idx="21" formatCode="0.0">
                  <c:v>435</c:v>
                </c:pt>
                <c:pt idx="22" formatCode="0.0">
                  <c:v>417</c:v>
                </c:pt>
                <c:pt idx="23" formatCode="0.0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B-4E61-B031-9198DB6C26F6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405.44</c:v>
                </c:pt>
                <c:pt idx="1">
                  <c:v>401.34000000000003</c:v>
                </c:pt>
                <c:pt idx="2">
                  <c:v>401.34000000000003</c:v>
                </c:pt>
                <c:pt idx="3">
                  <c:v>402.14</c:v>
                </c:pt>
                <c:pt idx="4">
                  <c:v>402.14</c:v>
                </c:pt>
                <c:pt idx="5">
                  <c:v>403.03999999999996</c:v>
                </c:pt>
                <c:pt idx="6">
                  <c:v>405.24</c:v>
                </c:pt>
                <c:pt idx="7">
                  <c:v>340.14</c:v>
                </c:pt>
                <c:pt idx="8">
                  <c:v>340.14</c:v>
                </c:pt>
                <c:pt idx="9">
                  <c:v>340.14</c:v>
                </c:pt>
                <c:pt idx="10">
                  <c:v>340.14</c:v>
                </c:pt>
                <c:pt idx="11">
                  <c:v>340.14</c:v>
                </c:pt>
                <c:pt idx="12">
                  <c:v>354.14</c:v>
                </c:pt>
                <c:pt idx="13">
                  <c:v>354.14</c:v>
                </c:pt>
                <c:pt idx="14">
                  <c:v>363.53999999999996</c:v>
                </c:pt>
                <c:pt idx="15">
                  <c:v>361.23999999999995</c:v>
                </c:pt>
                <c:pt idx="16">
                  <c:v>355.64</c:v>
                </c:pt>
                <c:pt idx="17">
                  <c:v>352.94</c:v>
                </c:pt>
                <c:pt idx="18" formatCode="0.0">
                  <c:v>3.54</c:v>
                </c:pt>
                <c:pt idx="19" formatCode="0.0">
                  <c:v>357.74</c:v>
                </c:pt>
                <c:pt idx="20" formatCode="0.0">
                  <c:v>407.73999999999995</c:v>
                </c:pt>
                <c:pt idx="21" formatCode="0.0">
                  <c:v>407.73999999999995</c:v>
                </c:pt>
                <c:pt idx="22" formatCode="0.0">
                  <c:v>407.73999999999995</c:v>
                </c:pt>
                <c:pt idx="23" formatCode="0.0">
                  <c:v>407.73999999999995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B-4E61-B031-9198DB6C26F6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16</c:v>
                </c:pt>
                <c:pt idx="3">
                  <c:v>21.9</c:v>
                </c:pt>
                <c:pt idx="4">
                  <c:v>19.7</c:v>
                </c:pt>
                <c:pt idx="5">
                  <c:v>13.5</c:v>
                </c:pt>
                <c:pt idx="6">
                  <c:v>10.7</c:v>
                </c:pt>
                <c:pt idx="7">
                  <c:v>13</c:v>
                </c:pt>
                <c:pt idx="8">
                  <c:v>118.4</c:v>
                </c:pt>
                <c:pt idx="9">
                  <c:v>172.4</c:v>
                </c:pt>
                <c:pt idx="10">
                  <c:v>365</c:v>
                </c:pt>
                <c:pt idx="11">
                  <c:v>405</c:v>
                </c:pt>
                <c:pt idx="12">
                  <c:v>507</c:v>
                </c:pt>
                <c:pt idx="13">
                  <c:v>599.6</c:v>
                </c:pt>
                <c:pt idx="14">
                  <c:v>625.20000000000005</c:v>
                </c:pt>
                <c:pt idx="15">
                  <c:v>587.5</c:v>
                </c:pt>
                <c:pt idx="16">
                  <c:v>530.08000000000004</c:v>
                </c:pt>
                <c:pt idx="17">
                  <c:v>209.70000000000002</c:v>
                </c:pt>
                <c:pt idx="18" formatCode="0.0">
                  <c:v>0</c:v>
                </c:pt>
                <c:pt idx="19" formatCode="0.0">
                  <c:v>272.89999999999998</c:v>
                </c:pt>
                <c:pt idx="20" formatCode="0.0">
                  <c:v>90</c:v>
                </c:pt>
                <c:pt idx="21" formatCode="0.0">
                  <c:v>104</c:v>
                </c:pt>
                <c:pt idx="22" formatCode="0.0">
                  <c:v>104</c:v>
                </c:pt>
                <c:pt idx="23" formatCode="0.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B-4E61-B031-9198DB6C26F6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38.199999999999996</c:v>
                </c:pt>
                <c:pt idx="8">
                  <c:v>47.8</c:v>
                </c:pt>
                <c:pt idx="9">
                  <c:v>101.4</c:v>
                </c:pt>
                <c:pt idx="10">
                  <c:v>61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 formatCode="0.0">
                  <c:v>0</c:v>
                </c:pt>
                <c:pt idx="19" formatCode="0.0">
                  <c:v>72</c:v>
                </c:pt>
                <c:pt idx="20" formatCode="0.0">
                  <c:v>59</c:v>
                </c:pt>
                <c:pt idx="21" formatCode="0.0">
                  <c:v>98</c:v>
                </c:pt>
                <c:pt idx="22" formatCode="0.0">
                  <c:v>98</c:v>
                </c:pt>
                <c:pt idx="23" formatCode="0.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B-4E61-B031-9198DB6C26F6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B-4E61-B031-9198DB6C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-430</c:v>
                </c:pt>
                <c:pt idx="1">
                  <c:v>-406.8</c:v>
                </c:pt>
                <c:pt idx="2">
                  <c:v>-402</c:v>
                </c:pt>
                <c:pt idx="3">
                  <c:v>-415</c:v>
                </c:pt>
                <c:pt idx="4">
                  <c:v>-399</c:v>
                </c:pt>
                <c:pt idx="5">
                  <c:v>-398</c:v>
                </c:pt>
                <c:pt idx="6">
                  <c:v>-415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-110</c:v>
                </c:pt>
                <c:pt idx="21">
                  <c:v>-162</c:v>
                </c:pt>
                <c:pt idx="22">
                  <c:v>-157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B-4E61-B031-9198DB6C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1873.8400000000001</c:v>
                </c:pt>
                <c:pt idx="1">
                  <c:v>1823.1400000000003</c:v>
                </c:pt>
                <c:pt idx="2">
                  <c:v>1822.44</c:v>
                </c:pt>
                <c:pt idx="3">
                  <c:v>1842.2400000000002</c:v>
                </c:pt>
                <c:pt idx="4">
                  <c:v>1797.0400000000002</c:v>
                </c:pt>
                <c:pt idx="5">
                  <c:v>1781.74</c:v>
                </c:pt>
                <c:pt idx="6">
                  <c:v>1867.14</c:v>
                </c:pt>
                <c:pt idx="7">
                  <c:v>1436.5400000000002</c:v>
                </c:pt>
                <c:pt idx="8">
                  <c:v>1513.84</c:v>
                </c:pt>
                <c:pt idx="9">
                  <c:v>1668.94</c:v>
                </c:pt>
                <c:pt idx="10">
                  <c:v>1742.1399999999999</c:v>
                </c:pt>
                <c:pt idx="11">
                  <c:v>1799.1399999999999</c:v>
                </c:pt>
                <c:pt idx="12">
                  <c:v>1845.1399999999999</c:v>
                </c:pt>
                <c:pt idx="13">
                  <c:v>1887.7399999999998</c:v>
                </c:pt>
                <c:pt idx="14">
                  <c:v>1922.74</c:v>
                </c:pt>
                <c:pt idx="15">
                  <c:v>1882.74</c:v>
                </c:pt>
                <c:pt idx="16">
                  <c:v>1875.02</c:v>
                </c:pt>
                <c:pt idx="17">
                  <c:v>1551.94</c:v>
                </c:pt>
                <c:pt idx="18">
                  <c:v>153.54</c:v>
                </c:pt>
                <c:pt idx="19">
                  <c:v>1881.7399999999998</c:v>
                </c:pt>
                <c:pt idx="20">
                  <c:v>2107.7399999999998</c:v>
                </c:pt>
                <c:pt idx="21">
                  <c:v>2124.7399999999998</c:v>
                </c:pt>
                <c:pt idx="22">
                  <c:v>2106.7399999999998</c:v>
                </c:pt>
                <c:pt idx="23">
                  <c:v>1881.74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E0B-4E61-B031-9198DB6C26F6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1443.8400000000001</c:v>
                </c:pt>
                <c:pt idx="1">
                  <c:v>1416.3400000000004</c:v>
                </c:pt>
                <c:pt idx="2">
                  <c:v>1420.44</c:v>
                </c:pt>
                <c:pt idx="3">
                  <c:v>1427.2400000000002</c:v>
                </c:pt>
                <c:pt idx="4">
                  <c:v>1398.0400000000002</c:v>
                </c:pt>
                <c:pt idx="5">
                  <c:v>1383.74</c:v>
                </c:pt>
                <c:pt idx="6">
                  <c:v>1452.14</c:v>
                </c:pt>
                <c:pt idx="7">
                  <c:v>1436.5400000000002</c:v>
                </c:pt>
                <c:pt idx="8">
                  <c:v>1513.84</c:v>
                </c:pt>
                <c:pt idx="9">
                  <c:v>1668.94</c:v>
                </c:pt>
                <c:pt idx="10">
                  <c:v>1742.1399999999999</c:v>
                </c:pt>
                <c:pt idx="11">
                  <c:v>1799.1399999999999</c:v>
                </c:pt>
                <c:pt idx="12">
                  <c:v>1845.1399999999999</c:v>
                </c:pt>
                <c:pt idx="13">
                  <c:v>1887.7399999999998</c:v>
                </c:pt>
                <c:pt idx="14">
                  <c:v>1922.74</c:v>
                </c:pt>
                <c:pt idx="15">
                  <c:v>1882.74</c:v>
                </c:pt>
                <c:pt idx="16">
                  <c:v>1875.02</c:v>
                </c:pt>
                <c:pt idx="17">
                  <c:v>1551.94</c:v>
                </c:pt>
                <c:pt idx="18">
                  <c:v>153.54</c:v>
                </c:pt>
                <c:pt idx="19">
                  <c:v>1881.7399999999998</c:v>
                </c:pt>
                <c:pt idx="20">
                  <c:v>1997.7399999999998</c:v>
                </c:pt>
                <c:pt idx="21">
                  <c:v>1962.7399999999998</c:v>
                </c:pt>
                <c:pt idx="22">
                  <c:v>1949.7399999999998</c:v>
                </c:pt>
                <c:pt idx="23">
                  <c:v>1881.74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0B-4E61-B031-9198DB6C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9E-4D3E-844E-9633C8632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9E-4D3E-844E-9633C8632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9E-4D3E-844E-9633C8632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9E-4D3E-844E-9633C8632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9E-4D3E-844E-9633C8632D3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99E-4D3E-844E-9633C8632D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783.39999999999986</c:v>
                </c:pt>
                <c:pt idx="1">
                  <c:v>798.4</c:v>
                </c:pt>
                <c:pt idx="2">
                  <c:v>797.5</c:v>
                </c:pt>
                <c:pt idx="3">
                  <c:v>769.4</c:v>
                </c:pt>
                <c:pt idx="4">
                  <c:v>774.3</c:v>
                </c:pt>
                <c:pt idx="5">
                  <c:v>774.3</c:v>
                </c:pt>
                <c:pt idx="6">
                  <c:v>784.3</c:v>
                </c:pt>
                <c:pt idx="7">
                  <c:v>809.30000000000007</c:v>
                </c:pt>
                <c:pt idx="8">
                  <c:v>766.6</c:v>
                </c:pt>
                <c:pt idx="9">
                  <c:v>768.6</c:v>
                </c:pt>
                <c:pt idx="10">
                  <c:v>769</c:v>
                </c:pt>
                <c:pt idx="11">
                  <c:v>769</c:v>
                </c:pt>
                <c:pt idx="12">
                  <c:v>767.6</c:v>
                </c:pt>
                <c:pt idx="13">
                  <c:v>772.3</c:v>
                </c:pt>
                <c:pt idx="14">
                  <c:v>772.3</c:v>
                </c:pt>
                <c:pt idx="15">
                  <c:v>772.3</c:v>
                </c:pt>
                <c:pt idx="16">
                  <c:v>772.3</c:v>
                </c:pt>
                <c:pt idx="17">
                  <c:v>772.3</c:v>
                </c:pt>
                <c:pt idx="18" formatCode="0.0">
                  <c:v>772.3</c:v>
                </c:pt>
                <c:pt idx="19" formatCode="0.0">
                  <c:v>772.3</c:v>
                </c:pt>
                <c:pt idx="20" formatCode="0.0">
                  <c:v>751.09899999999993</c:v>
                </c:pt>
                <c:pt idx="21" formatCode="0.0">
                  <c:v>751.09899999999993</c:v>
                </c:pt>
                <c:pt idx="22" formatCode="0.0">
                  <c:v>751.09899999999993</c:v>
                </c:pt>
                <c:pt idx="23" formatCode="0.0">
                  <c:v>751.09899999999993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F-4F43-8E3C-0F4132526B55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226</c:v>
                </c:pt>
                <c:pt idx="1">
                  <c:v>466</c:v>
                </c:pt>
                <c:pt idx="2">
                  <c:v>474.5</c:v>
                </c:pt>
                <c:pt idx="3">
                  <c:v>434.5</c:v>
                </c:pt>
                <c:pt idx="4">
                  <c:v>432.5</c:v>
                </c:pt>
                <c:pt idx="5">
                  <c:v>326.5</c:v>
                </c:pt>
                <c:pt idx="6">
                  <c:v>456.5</c:v>
                </c:pt>
                <c:pt idx="7">
                  <c:v>52.5</c:v>
                </c:pt>
                <c:pt idx="8">
                  <c:v>52.5</c:v>
                </c:pt>
                <c:pt idx="9">
                  <c:v>97.7</c:v>
                </c:pt>
                <c:pt idx="10">
                  <c:v>118.8</c:v>
                </c:pt>
                <c:pt idx="11">
                  <c:v>388.7</c:v>
                </c:pt>
                <c:pt idx="12">
                  <c:v>376</c:v>
                </c:pt>
                <c:pt idx="13">
                  <c:v>395.7</c:v>
                </c:pt>
                <c:pt idx="14">
                  <c:v>397.1</c:v>
                </c:pt>
                <c:pt idx="15">
                  <c:v>412.1</c:v>
                </c:pt>
                <c:pt idx="16">
                  <c:v>342.1</c:v>
                </c:pt>
                <c:pt idx="17">
                  <c:v>202.1</c:v>
                </c:pt>
                <c:pt idx="18" formatCode="0.0">
                  <c:v>275.10000000000002</c:v>
                </c:pt>
                <c:pt idx="19" formatCode="0.0">
                  <c:v>312.10000000000002</c:v>
                </c:pt>
                <c:pt idx="20" formatCode="0.0">
                  <c:v>382.5</c:v>
                </c:pt>
                <c:pt idx="21" formatCode="0.0">
                  <c:v>293.89999999999998</c:v>
                </c:pt>
                <c:pt idx="22" formatCode="0.0">
                  <c:v>265.7</c:v>
                </c:pt>
                <c:pt idx="23" formatCode="0.0">
                  <c:v>216.60000000000002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F-4F43-8E3C-0F4132526B55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400.64000000000004</c:v>
                </c:pt>
                <c:pt idx="1">
                  <c:v>400.64000000000004</c:v>
                </c:pt>
                <c:pt idx="2">
                  <c:v>399.64000000000004</c:v>
                </c:pt>
                <c:pt idx="3">
                  <c:v>401.84000000000003</c:v>
                </c:pt>
                <c:pt idx="4">
                  <c:v>401.84000000000003</c:v>
                </c:pt>
                <c:pt idx="5">
                  <c:v>401.84000000000003</c:v>
                </c:pt>
                <c:pt idx="6">
                  <c:v>403.24000000000007</c:v>
                </c:pt>
                <c:pt idx="7">
                  <c:v>403.24000000000007</c:v>
                </c:pt>
                <c:pt idx="8">
                  <c:v>409.04000000000008</c:v>
                </c:pt>
                <c:pt idx="9">
                  <c:v>414.34000000000009</c:v>
                </c:pt>
                <c:pt idx="10">
                  <c:v>420.24</c:v>
                </c:pt>
                <c:pt idx="11">
                  <c:v>416.54</c:v>
                </c:pt>
                <c:pt idx="12">
                  <c:v>416.64000000000004</c:v>
                </c:pt>
                <c:pt idx="13">
                  <c:v>393.24</c:v>
                </c:pt>
                <c:pt idx="14">
                  <c:v>407.14000000000004</c:v>
                </c:pt>
                <c:pt idx="15">
                  <c:v>406.54</c:v>
                </c:pt>
                <c:pt idx="16">
                  <c:v>406.84000000000003</c:v>
                </c:pt>
                <c:pt idx="17">
                  <c:v>403.24000000000007</c:v>
                </c:pt>
                <c:pt idx="18" formatCode="0.0">
                  <c:v>403.24000000000007</c:v>
                </c:pt>
                <c:pt idx="19" formatCode="0.0">
                  <c:v>360</c:v>
                </c:pt>
                <c:pt idx="20" formatCode="0.0">
                  <c:v>401.15999999999991</c:v>
                </c:pt>
                <c:pt idx="21" formatCode="0.0">
                  <c:v>380.45999999999992</c:v>
                </c:pt>
                <c:pt idx="22" formatCode="0.0">
                  <c:v>263.56</c:v>
                </c:pt>
                <c:pt idx="23" formatCode="0.0">
                  <c:v>342.85999999999996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BF-4F43-8E3C-0F4132526B55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66</c:v>
                </c:pt>
                <c:pt idx="1">
                  <c:v>69</c:v>
                </c:pt>
                <c:pt idx="2">
                  <c:v>69</c:v>
                </c:pt>
                <c:pt idx="3">
                  <c:v>68.900000000000006</c:v>
                </c:pt>
                <c:pt idx="4">
                  <c:v>52</c:v>
                </c:pt>
                <c:pt idx="5">
                  <c:v>55</c:v>
                </c:pt>
                <c:pt idx="6">
                  <c:v>48</c:v>
                </c:pt>
                <c:pt idx="7">
                  <c:v>273.5</c:v>
                </c:pt>
                <c:pt idx="8">
                  <c:v>320.39999999999998</c:v>
                </c:pt>
                <c:pt idx="9">
                  <c:v>347.20000000000005</c:v>
                </c:pt>
                <c:pt idx="10">
                  <c:v>343.9</c:v>
                </c:pt>
                <c:pt idx="11">
                  <c:v>173.9</c:v>
                </c:pt>
                <c:pt idx="12">
                  <c:v>184.3</c:v>
                </c:pt>
                <c:pt idx="13">
                  <c:v>181.3</c:v>
                </c:pt>
                <c:pt idx="14">
                  <c:v>177</c:v>
                </c:pt>
                <c:pt idx="15">
                  <c:v>172.6</c:v>
                </c:pt>
                <c:pt idx="16">
                  <c:v>192.4</c:v>
                </c:pt>
                <c:pt idx="17">
                  <c:v>203.2</c:v>
                </c:pt>
                <c:pt idx="18" formatCode="0.0">
                  <c:v>174</c:v>
                </c:pt>
                <c:pt idx="19" formatCode="0.0">
                  <c:v>7</c:v>
                </c:pt>
                <c:pt idx="20" formatCode="0.0">
                  <c:v>62</c:v>
                </c:pt>
                <c:pt idx="21" formatCode="0.0">
                  <c:v>62</c:v>
                </c:pt>
                <c:pt idx="22" formatCode="0.0">
                  <c:v>30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BF-4F43-8E3C-0F4132526B55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62.2</c:v>
                </c:pt>
                <c:pt idx="1">
                  <c:v>62.2</c:v>
                </c:pt>
                <c:pt idx="2">
                  <c:v>49.1</c:v>
                </c:pt>
                <c:pt idx="3">
                  <c:v>49.1</c:v>
                </c:pt>
                <c:pt idx="4">
                  <c:v>20.2</c:v>
                </c:pt>
                <c:pt idx="5">
                  <c:v>20.2</c:v>
                </c:pt>
                <c:pt idx="6">
                  <c:v>20.2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7.1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F-4F43-8E3C-0F4132526B55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50</c:v>
                </c:pt>
                <c:pt idx="22" formatCode="0.0">
                  <c:v>100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BF-4F43-8E3C-0F413252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-282</c:v>
                </c:pt>
                <c:pt idx="2">
                  <c:v>-281</c:v>
                </c:pt>
                <c:pt idx="3">
                  <c:v>-292</c:v>
                </c:pt>
                <c:pt idx="4">
                  <c:v>-290</c:v>
                </c:pt>
                <c:pt idx="5">
                  <c:v>-295</c:v>
                </c:pt>
                <c:pt idx="6">
                  <c:v>-292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-108</c:v>
                </c:pt>
                <c:pt idx="12">
                  <c:v>-19</c:v>
                </c:pt>
                <c:pt idx="13">
                  <c:v>-15</c:v>
                </c:pt>
                <c:pt idx="14">
                  <c:v>0</c:v>
                </c:pt>
                <c:pt idx="15">
                  <c:v>-15</c:v>
                </c:pt>
                <c:pt idx="16">
                  <c:v>-5</c:v>
                </c:pt>
                <c:pt idx="17">
                  <c:v>-26</c:v>
                </c:pt>
                <c:pt idx="18">
                  <c:v>-21</c:v>
                </c:pt>
                <c:pt idx="19">
                  <c:v>-119</c:v>
                </c:pt>
                <c:pt idx="20">
                  <c:v>-116</c:v>
                </c:pt>
                <c:pt idx="21">
                  <c:v>-125.1</c:v>
                </c:pt>
                <c:pt idx="22">
                  <c:v>-145</c:v>
                </c:pt>
                <c:pt idx="23">
                  <c:v>-108.1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BF-4F43-8E3C-0F413252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1838.24</c:v>
                </c:pt>
                <c:pt idx="1">
                  <c:v>2096.2400000000002</c:v>
                </c:pt>
                <c:pt idx="2">
                  <c:v>2089.7399999999998</c:v>
                </c:pt>
                <c:pt idx="3">
                  <c:v>2023.7400000000002</c:v>
                </c:pt>
                <c:pt idx="4">
                  <c:v>1980.84</c:v>
                </c:pt>
                <c:pt idx="5">
                  <c:v>1877.84</c:v>
                </c:pt>
                <c:pt idx="6">
                  <c:v>2012.24</c:v>
                </c:pt>
                <c:pt idx="7">
                  <c:v>1638.5400000000002</c:v>
                </c:pt>
                <c:pt idx="8">
                  <c:v>1648.54</c:v>
                </c:pt>
                <c:pt idx="9">
                  <c:v>1727.8400000000001</c:v>
                </c:pt>
                <c:pt idx="10">
                  <c:v>1651.94</c:v>
                </c:pt>
                <c:pt idx="11">
                  <c:v>1748.14</c:v>
                </c:pt>
                <c:pt idx="12">
                  <c:v>1744.54</c:v>
                </c:pt>
                <c:pt idx="13">
                  <c:v>1742.54</c:v>
                </c:pt>
                <c:pt idx="14">
                  <c:v>1753.5400000000002</c:v>
                </c:pt>
                <c:pt idx="15">
                  <c:v>1763.54</c:v>
                </c:pt>
                <c:pt idx="16">
                  <c:v>1713.6400000000003</c:v>
                </c:pt>
                <c:pt idx="17">
                  <c:v>1580.8400000000001</c:v>
                </c:pt>
                <c:pt idx="18">
                  <c:v>1624.64</c:v>
                </c:pt>
                <c:pt idx="19">
                  <c:v>1458.5</c:v>
                </c:pt>
                <c:pt idx="20">
                  <c:v>1596.7589999999998</c:v>
                </c:pt>
                <c:pt idx="21">
                  <c:v>1537.4589999999998</c:v>
                </c:pt>
                <c:pt idx="22">
                  <c:v>1410.3589999999999</c:v>
                </c:pt>
                <c:pt idx="23">
                  <c:v>1310.559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0BF-4F43-8E3C-0F4132526B55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1838.24</c:v>
                </c:pt>
                <c:pt idx="1">
                  <c:v>1814.2400000000002</c:v>
                </c:pt>
                <c:pt idx="2">
                  <c:v>1808.7399999999998</c:v>
                </c:pt>
                <c:pt idx="3">
                  <c:v>1731.7400000000002</c:v>
                </c:pt>
                <c:pt idx="4">
                  <c:v>1690.84</c:v>
                </c:pt>
                <c:pt idx="5">
                  <c:v>1582.84</c:v>
                </c:pt>
                <c:pt idx="6">
                  <c:v>1720.24</c:v>
                </c:pt>
                <c:pt idx="7">
                  <c:v>1638.5400000000002</c:v>
                </c:pt>
                <c:pt idx="8">
                  <c:v>1648.54</c:v>
                </c:pt>
                <c:pt idx="9">
                  <c:v>1727.8400000000001</c:v>
                </c:pt>
                <c:pt idx="10">
                  <c:v>1651.94</c:v>
                </c:pt>
                <c:pt idx="11">
                  <c:v>1640.14</c:v>
                </c:pt>
                <c:pt idx="12">
                  <c:v>1725.54</c:v>
                </c:pt>
                <c:pt idx="13">
                  <c:v>1727.54</c:v>
                </c:pt>
                <c:pt idx="14">
                  <c:v>1753.5400000000002</c:v>
                </c:pt>
                <c:pt idx="15">
                  <c:v>1748.54</c:v>
                </c:pt>
                <c:pt idx="16">
                  <c:v>1708.6400000000003</c:v>
                </c:pt>
                <c:pt idx="17">
                  <c:v>1554.8400000000001</c:v>
                </c:pt>
                <c:pt idx="18">
                  <c:v>1603.64</c:v>
                </c:pt>
                <c:pt idx="19">
                  <c:v>1339.5</c:v>
                </c:pt>
                <c:pt idx="20">
                  <c:v>1480.7589999999998</c:v>
                </c:pt>
                <c:pt idx="21">
                  <c:v>1412.3589999999999</c:v>
                </c:pt>
                <c:pt idx="22">
                  <c:v>1265.3589999999999</c:v>
                </c:pt>
                <c:pt idx="23">
                  <c:v>1202.4590000000001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BF-4F43-8E3C-0F413252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B-4AD0-B777-63E4D9D0E7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B-4AD0-B777-63E4D9D0E7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B-4AD0-B777-63E4D9D0E7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0B-4AD0-B777-63E4D9D0E7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0B-4AD0-B777-63E4D9D0E71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40B-4AD0-B777-63E4D9D0E7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810.4</c:v>
                </c:pt>
                <c:pt idx="1">
                  <c:v>810.4</c:v>
                </c:pt>
                <c:pt idx="2">
                  <c:v>824.4</c:v>
                </c:pt>
                <c:pt idx="3">
                  <c:v>805.30000000000007</c:v>
                </c:pt>
                <c:pt idx="4">
                  <c:v>805.7</c:v>
                </c:pt>
                <c:pt idx="5">
                  <c:v>803.90000000000009</c:v>
                </c:pt>
                <c:pt idx="6">
                  <c:v>813.6</c:v>
                </c:pt>
                <c:pt idx="7">
                  <c:v>813.6</c:v>
                </c:pt>
                <c:pt idx="8">
                  <c:v>787</c:v>
                </c:pt>
                <c:pt idx="9">
                  <c:v>785.50000000000011</c:v>
                </c:pt>
                <c:pt idx="10">
                  <c:v>785.50000000000011</c:v>
                </c:pt>
                <c:pt idx="11">
                  <c:v>785.50000000000011</c:v>
                </c:pt>
                <c:pt idx="12">
                  <c:v>785.50000000000011</c:v>
                </c:pt>
                <c:pt idx="13">
                  <c:v>754.7</c:v>
                </c:pt>
                <c:pt idx="14">
                  <c:v>751.90000000000009</c:v>
                </c:pt>
                <c:pt idx="15">
                  <c:v>751.90000000000009</c:v>
                </c:pt>
                <c:pt idx="16">
                  <c:v>751.90000000000009</c:v>
                </c:pt>
                <c:pt idx="17">
                  <c:v>757.00000000000011</c:v>
                </c:pt>
                <c:pt idx="18" formatCode="0.0">
                  <c:v>755.00000000000011</c:v>
                </c:pt>
                <c:pt idx="19" formatCode="0.0">
                  <c:v>755.00000000000011</c:v>
                </c:pt>
                <c:pt idx="20" formatCode="0.0">
                  <c:v>755.00000000000011</c:v>
                </c:pt>
                <c:pt idx="21" formatCode="0.0">
                  <c:v>753.7</c:v>
                </c:pt>
                <c:pt idx="22" formatCode="0.0">
                  <c:v>753.2</c:v>
                </c:pt>
                <c:pt idx="23" formatCode="0.0">
                  <c:v>753.2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7-41D9-9C78-6FF1D67EF703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304.5</c:v>
                </c:pt>
                <c:pt idx="1">
                  <c:v>303.5</c:v>
                </c:pt>
                <c:pt idx="2">
                  <c:v>344.1</c:v>
                </c:pt>
                <c:pt idx="3">
                  <c:v>334.4</c:v>
                </c:pt>
                <c:pt idx="4">
                  <c:v>277.5</c:v>
                </c:pt>
                <c:pt idx="5">
                  <c:v>273.7</c:v>
                </c:pt>
                <c:pt idx="6">
                  <c:v>273.7</c:v>
                </c:pt>
                <c:pt idx="7">
                  <c:v>273.7</c:v>
                </c:pt>
                <c:pt idx="8">
                  <c:v>518.6</c:v>
                </c:pt>
                <c:pt idx="9">
                  <c:v>357.6</c:v>
                </c:pt>
                <c:pt idx="10">
                  <c:v>386.5</c:v>
                </c:pt>
                <c:pt idx="11">
                  <c:v>362.5</c:v>
                </c:pt>
                <c:pt idx="12">
                  <c:v>333.5</c:v>
                </c:pt>
                <c:pt idx="13">
                  <c:v>519.5</c:v>
                </c:pt>
                <c:pt idx="14">
                  <c:v>243.4</c:v>
                </c:pt>
                <c:pt idx="15">
                  <c:v>138.80000000000001</c:v>
                </c:pt>
                <c:pt idx="16">
                  <c:v>92.7</c:v>
                </c:pt>
                <c:pt idx="17">
                  <c:v>62.5</c:v>
                </c:pt>
                <c:pt idx="18" formatCode="0.0">
                  <c:v>77.5</c:v>
                </c:pt>
                <c:pt idx="19" formatCode="0.0">
                  <c:v>413.5</c:v>
                </c:pt>
                <c:pt idx="20" formatCode="0.0">
                  <c:v>444</c:v>
                </c:pt>
                <c:pt idx="21" formatCode="0.0">
                  <c:v>441.9</c:v>
                </c:pt>
                <c:pt idx="22" formatCode="0.0">
                  <c:v>441.9</c:v>
                </c:pt>
                <c:pt idx="23" formatCode="0.0">
                  <c:v>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7-41D9-9C78-6FF1D67EF703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393.23999999999995</c:v>
                </c:pt>
                <c:pt idx="1">
                  <c:v>383.23999999999995</c:v>
                </c:pt>
                <c:pt idx="2">
                  <c:v>398.23999999999995</c:v>
                </c:pt>
                <c:pt idx="3">
                  <c:v>397.64000000000004</c:v>
                </c:pt>
                <c:pt idx="4">
                  <c:v>397.64000000000004</c:v>
                </c:pt>
                <c:pt idx="5">
                  <c:v>397.64000000000004</c:v>
                </c:pt>
                <c:pt idx="6">
                  <c:v>414.54</c:v>
                </c:pt>
                <c:pt idx="7">
                  <c:v>415.74</c:v>
                </c:pt>
                <c:pt idx="8">
                  <c:v>434.84000000000003</c:v>
                </c:pt>
                <c:pt idx="9">
                  <c:v>423.6</c:v>
                </c:pt>
                <c:pt idx="10">
                  <c:v>438.44</c:v>
                </c:pt>
                <c:pt idx="11">
                  <c:v>436.04</c:v>
                </c:pt>
                <c:pt idx="12">
                  <c:v>405.44</c:v>
                </c:pt>
                <c:pt idx="13">
                  <c:v>423.04</c:v>
                </c:pt>
                <c:pt idx="14">
                  <c:v>424.34000000000003</c:v>
                </c:pt>
                <c:pt idx="15">
                  <c:v>412.64</c:v>
                </c:pt>
                <c:pt idx="16">
                  <c:v>400.44</c:v>
                </c:pt>
                <c:pt idx="17">
                  <c:v>397.34</c:v>
                </c:pt>
                <c:pt idx="18" formatCode="0.0">
                  <c:v>394.74</c:v>
                </c:pt>
                <c:pt idx="19" formatCode="0.0">
                  <c:v>411.29999999999995</c:v>
                </c:pt>
                <c:pt idx="20" formatCode="0.0">
                  <c:v>396.04</c:v>
                </c:pt>
                <c:pt idx="21" formatCode="0.0">
                  <c:v>410.84000000000003</c:v>
                </c:pt>
                <c:pt idx="22" formatCode="0.0">
                  <c:v>419.04</c:v>
                </c:pt>
                <c:pt idx="23" formatCode="0.0">
                  <c:v>407.04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7-41D9-9C78-6FF1D67EF703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17.2</c:v>
                </c:pt>
                <c:pt idx="4">
                  <c:v>18.600000000000001</c:v>
                </c:pt>
                <c:pt idx="5">
                  <c:v>5.6</c:v>
                </c:pt>
                <c:pt idx="6">
                  <c:v>1</c:v>
                </c:pt>
                <c:pt idx="7">
                  <c:v>52</c:v>
                </c:pt>
                <c:pt idx="8">
                  <c:v>147.80000000000001</c:v>
                </c:pt>
                <c:pt idx="9">
                  <c:v>152.5</c:v>
                </c:pt>
                <c:pt idx="10">
                  <c:v>180.2</c:v>
                </c:pt>
                <c:pt idx="11">
                  <c:v>175</c:v>
                </c:pt>
                <c:pt idx="12">
                  <c:v>178.9</c:v>
                </c:pt>
                <c:pt idx="13">
                  <c:v>189.3</c:v>
                </c:pt>
                <c:pt idx="14">
                  <c:v>366.9</c:v>
                </c:pt>
                <c:pt idx="15">
                  <c:v>445.70000000000005</c:v>
                </c:pt>
                <c:pt idx="16">
                  <c:v>490</c:v>
                </c:pt>
                <c:pt idx="17">
                  <c:v>484</c:v>
                </c:pt>
                <c:pt idx="18" formatCode="0.0">
                  <c:v>342.4</c:v>
                </c:pt>
                <c:pt idx="19" formatCode="0.0">
                  <c:v>25.3</c:v>
                </c:pt>
                <c:pt idx="20" formatCode="0.0">
                  <c:v>67.8</c:v>
                </c:pt>
                <c:pt idx="21" formatCode="0.0">
                  <c:v>24</c:v>
                </c:pt>
                <c:pt idx="22" formatCode="0.0">
                  <c:v>20</c:v>
                </c:pt>
                <c:pt idx="23" formatCode="0.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7-41D9-9C78-6FF1D67EF703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15.5</c:v>
                </c:pt>
                <c:pt idx="9">
                  <c:v>14.399999999999999</c:v>
                </c:pt>
                <c:pt idx="10">
                  <c:v>48</c:v>
                </c:pt>
                <c:pt idx="11">
                  <c:v>48</c:v>
                </c:pt>
                <c:pt idx="12">
                  <c:v>50.6</c:v>
                </c:pt>
                <c:pt idx="13">
                  <c:v>50.300000000000004</c:v>
                </c:pt>
                <c:pt idx="14">
                  <c:v>33.5</c:v>
                </c:pt>
                <c:pt idx="15">
                  <c:v>101.5</c:v>
                </c:pt>
                <c:pt idx="16">
                  <c:v>61.3</c:v>
                </c:pt>
                <c:pt idx="17">
                  <c:v>83.600000000000009</c:v>
                </c:pt>
                <c:pt idx="18" formatCode="0.0">
                  <c:v>27.900000000000002</c:v>
                </c:pt>
                <c:pt idx="19" formatCode="0.0">
                  <c:v>98.6</c:v>
                </c:pt>
                <c:pt idx="20" formatCode="0.0">
                  <c:v>101.2</c:v>
                </c:pt>
                <c:pt idx="21" formatCode="0.0">
                  <c:v>98.300000000000011</c:v>
                </c:pt>
                <c:pt idx="22" formatCode="0.0">
                  <c:v>88.800000000000011</c:v>
                </c:pt>
                <c:pt idx="23" formatCode="0.0">
                  <c:v>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7-41D9-9C78-6FF1D67EF703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100</c:v>
                </c:pt>
                <c:pt idx="19" formatCode="0.0">
                  <c:v>150</c:v>
                </c:pt>
                <c:pt idx="20" formatCode="0.0">
                  <c:v>180</c:v>
                </c:pt>
                <c:pt idx="21" formatCode="0.0">
                  <c:v>180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77-41D9-9C78-6FF1D67E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-249.4</c:v>
                </c:pt>
                <c:pt idx="1">
                  <c:v>-286</c:v>
                </c:pt>
                <c:pt idx="2">
                  <c:v>-297.89999999999998</c:v>
                </c:pt>
                <c:pt idx="3">
                  <c:v>-310</c:v>
                </c:pt>
                <c:pt idx="4">
                  <c:v>-256</c:v>
                </c:pt>
                <c:pt idx="5">
                  <c:v>-247</c:v>
                </c:pt>
                <c:pt idx="6">
                  <c:v>-265</c:v>
                </c:pt>
                <c:pt idx="7">
                  <c:v>-125</c:v>
                </c:pt>
                <c:pt idx="8">
                  <c:v>-297</c:v>
                </c:pt>
                <c:pt idx="9">
                  <c:v>-112.7</c:v>
                </c:pt>
                <c:pt idx="10">
                  <c:v>-118</c:v>
                </c:pt>
                <c:pt idx="11">
                  <c:v>-95</c:v>
                </c:pt>
                <c:pt idx="12">
                  <c:v>-29</c:v>
                </c:pt>
                <c:pt idx="13">
                  <c:v>-108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-101.4</c:v>
                </c:pt>
                <c:pt idx="20">
                  <c:v>-57</c:v>
                </c:pt>
                <c:pt idx="21">
                  <c:v>-93</c:v>
                </c:pt>
                <c:pt idx="22">
                  <c:v>-115</c:v>
                </c:pt>
                <c:pt idx="23">
                  <c:v>-130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77-41D9-9C78-6FF1D67E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1708.14</c:v>
                </c:pt>
                <c:pt idx="1">
                  <c:v>1697.14</c:v>
                </c:pt>
                <c:pt idx="2">
                  <c:v>1766.74</c:v>
                </c:pt>
                <c:pt idx="3">
                  <c:v>1754.5400000000002</c:v>
                </c:pt>
                <c:pt idx="4">
                  <c:v>1699.44</c:v>
                </c:pt>
                <c:pt idx="5">
                  <c:v>1680.8400000000001</c:v>
                </c:pt>
                <c:pt idx="6">
                  <c:v>1602.84</c:v>
                </c:pt>
                <c:pt idx="7">
                  <c:v>1555.04</c:v>
                </c:pt>
                <c:pt idx="8">
                  <c:v>1903.74</c:v>
                </c:pt>
                <c:pt idx="9">
                  <c:v>1733.6000000000004</c:v>
                </c:pt>
                <c:pt idx="10">
                  <c:v>1838.64</c:v>
                </c:pt>
                <c:pt idx="11">
                  <c:v>1807.04</c:v>
                </c:pt>
                <c:pt idx="12">
                  <c:v>1753.94</c:v>
                </c:pt>
                <c:pt idx="13">
                  <c:v>1936.84</c:v>
                </c:pt>
                <c:pt idx="14">
                  <c:v>1820.04</c:v>
                </c:pt>
                <c:pt idx="15">
                  <c:v>1850.5400000000002</c:v>
                </c:pt>
                <c:pt idx="16">
                  <c:v>1796.3400000000001</c:v>
                </c:pt>
                <c:pt idx="17">
                  <c:v>1784.44</c:v>
                </c:pt>
                <c:pt idx="18">
                  <c:v>1697.5400000000004</c:v>
                </c:pt>
                <c:pt idx="19">
                  <c:v>1853.6999999999998</c:v>
                </c:pt>
                <c:pt idx="20">
                  <c:v>1944.04</c:v>
                </c:pt>
                <c:pt idx="21">
                  <c:v>1908.74</c:v>
                </c:pt>
                <c:pt idx="22">
                  <c:v>1872.9399999999998</c:v>
                </c:pt>
                <c:pt idx="23">
                  <c:v>1844.54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277-41D9-9C78-6FF1D67EF703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1458.74</c:v>
                </c:pt>
                <c:pt idx="1">
                  <c:v>1411.14</c:v>
                </c:pt>
                <c:pt idx="2">
                  <c:v>1468.8400000000001</c:v>
                </c:pt>
                <c:pt idx="3">
                  <c:v>1444.5400000000002</c:v>
                </c:pt>
                <c:pt idx="4">
                  <c:v>1443.44</c:v>
                </c:pt>
                <c:pt idx="5">
                  <c:v>1433.8400000000001</c:v>
                </c:pt>
                <c:pt idx="6">
                  <c:v>1337.84</c:v>
                </c:pt>
                <c:pt idx="7">
                  <c:v>1430.04</c:v>
                </c:pt>
                <c:pt idx="8">
                  <c:v>1606.74</c:v>
                </c:pt>
                <c:pt idx="9">
                  <c:v>1620.9000000000003</c:v>
                </c:pt>
                <c:pt idx="10">
                  <c:v>1720.64</c:v>
                </c:pt>
                <c:pt idx="11">
                  <c:v>1712.04</c:v>
                </c:pt>
                <c:pt idx="12">
                  <c:v>1724.94</c:v>
                </c:pt>
                <c:pt idx="13">
                  <c:v>1828.84</c:v>
                </c:pt>
                <c:pt idx="14">
                  <c:v>1820.04</c:v>
                </c:pt>
                <c:pt idx="15">
                  <c:v>1850.5400000000002</c:v>
                </c:pt>
                <c:pt idx="16">
                  <c:v>1796.3400000000001</c:v>
                </c:pt>
                <c:pt idx="17">
                  <c:v>1784.44</c:v>
                </c:pt>
                <c:pt idx="18">
                  <c:v>1697.5400000000004</c:v>
                </c:pt>
                <c:pt idx="19">
                  <c:v>1752.2999999999997</c:v>
                </c:pt>
                <c:pt idx="20">
                  <c:v>1887.04</c:v>
                </c:pt>
                <c:pt idx="21">
                  <c:v>1815.74</c:v>
                </c:pt>
                <c:pt idx="22">
                  <c:v>1757.9399999999998</c:v>
                </c:pt>
                <c:pt idx="23">
                  <c:v>1714.54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77-41D9-9C78-6FF1D67E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9F-42BA-9BFD-9C9C23960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9F-42BA-9BFD-9C9C23960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9F-42BA-9BFD-9C9C23960E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9F-42BA-9BFD-9C9C23960E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9F-42BA-9BFD-9C9C23960E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F9F-42BA-9BFD-9C9C23960E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753.2</c:v>
                </c:pt>
                <c:pt idx="1">
                  <c:v>753.2</c:v>
                </c:pt>
                <c:pt idx="2">
                  <c:v>753.7</c:v>
                </c:pt>
                <c:pt idx="3">
                  <c:v>753.7</c:v>
                </c:pt>
                <c:pt idx="4">
                  <c:v>753.7</c:v>
                </c:pt>
                <c:pt idx="5">
                  <c:v>753.7</c:v>
                </c:pt>
                <c:pt idx="6">
                  <c:v>753.7</c:v>
                </c:pt>
                <c:pt idx="7">
                  <c:v>753.7</c:v>
                </c:pt>
                <c:pt idx="8">
                  <c:v>753.7</c:v>
                </c:pt>
                <c:pt idx="9">
                  <c:v>753.7</c:v>
                </c:pt>
                <c:pt idx="10">
                  <c:v>753.7</c:v>
                </c:pt>
                <c:pt idx="11">
                  <c:v>753.7</c:v>
                </c:pt>
                <c:pt idx="12">
                  <c:v>753.7</c:v>
                </c:pt>
                <c:pt idx="13">
                  <c:v>753.7</c:v>
                </c:pt>
                <c:pt idx="14">
                  <c:v>753.7</c:v>
                </c:pt>
                <c:pt idx="15">
                  <c:v>753.7</c:v>
                </c:pt>
                <c:pt idx="16">
                  <c:v>753.7</c:v>
                </c:pt>
                <c:pt idx="17">
                  <c:v>753.7</c:v>
                </c:pt>
                <c:pt idx="18" formatCode="0.0">
                  <c:v>755.2</c:v>
                </c:pt>
                <c:pt idx="19" formatCode="0.0">
                  <c:v>754.7</c:v>
                </c:pt>
                <c:pt idx="20" formatCode="0.0">
                  <c:v>754.7</c:v>
                </c:pt>
                <c:pt idx="21" formatCode="0.0">
                  <c:v>715.2</c:v>
                </c:pt>
                <c:pt idx="22" formatCode="0.0">
                  <c:v>723.90000000000009</c:v>
                </c:pt>
                <c:pt idx="23" formatCode="0.0">
                  <c:v>723.00000000000011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0-439B-8640-2C5CCFC29B20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327.5</c:v>
                </c:pt>
                <c:pt idx="1">
                  <c:v>300.89999999999998</c:v>
                </c:pt>
                <c:pt idx="2">
                  <c:v>300.89999999999998</c:v>
                </c:pt>
                <c:pt idx="3">
                  <c:v>301.89999999999998</c:v>
                </c:pt>
                <c:pt idx="4">
                  <c:v>300.89999999999998</c:v>
                </c:pt>
                <c:pt idx="5">
                  <c:v>271.89999999999998</c:v>
                </c:pt>
                <c:pt idx="6">
                  <c:v>312.3</c:v>
                </c:pt>
                <c:pt idx="7">
                  <c:v>198.20000000000002</c:v>
                </c:pt>
                <c:pt idx="8">
                  <c:v>217.8</c:v>
                </c:pt>
                <c:pt idx="9">
                  <c:v>201.8</c:v>
                </c:pt>
                <c:pt idx="10">
                  <c:v>498.8</c:v>
                </c:pt>
                <c:pt idx="11">
                  <c:v>200.8</c:v>
                </c:pt>
                <c:pt idx="12">
                  <c:v>200.8</c:v>
                </c:pt>
                <c:pt idx="13">
                  <c:v>214.8</c:v>
                </c:pt>
                <c:pt idx="14">
                  <c:v>214.8</c:v>
                </c:pt>
                <c:pt idx="15">
                  <c:v>360.5</c:v>
                </c:pt>
                <c:pt idx="16">
                  <c:v>420.5</c:v>
                </c:pt>
                <c:pt idx="17">
                  <c:v>62.1</c:v>
                </c:pt>
                <c:pt idx="18" formatCode="0.0">
                  <c:v>62.1</c:v>
                </c:pt>
                <c:pt idx="19" formatCode="0.0">
                  <c:v>413.9</c:v>
                </c:pt>
                <c:pt idx="20" formatCode="0.0">
                  <c:v>442.4</c:v>
                </c:pt>
                <c:pt idx="21" formatCode="0.0">
                  <c:v>462.5</c:v>
                </c:pt>
                <c:pt idx="22" formatCode="0.0">
                  <c:v>412.5</c:v>
                </c:pt>
                <c:pt idx="23" formatCode="0.0">
                  <c:v>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0-439B-8640-2C5CCFC29B20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407.04</c:v>
                </c:pt>
                <c:pt idx="1">
                  <c:v>407.04</c:v>
                </c:pt>
                <c:pt idx="2">
                  <c:v>407.04</c:v>
                </c:pt>
                <c:pt idx="3">
                  <c:v>410.44</c:v>
                </c:pt>
                <c:pt idx="4">
                  <c:v>410.34000000000003</c:v>
                </c:pt>
                <c:pt idx="5">
                  <c:v>411.04</c:v>
                </c:pt>
                <c:pt idx="6">
                  <c:v>407.54</c:v>
                </c:pt>
                <c:pt idx="7">
                  <c:v>421.24</c:v>
                </c:pt>
                <c:pt idx="8">
                  <c:v>420.64</c:v>
                </c:pt>
                <c:pt idx="9">
                  <c:v>424.84</c:v>
                </c:pt>
                <c:pt idx="10">
                  <c:v>425.64</c:v>
                </c:pt>
                <c:pt idx="11">
                  <c:v>427.04</c:v>
                </c:pt>
                <c:pt idx="12">
                  <c:v>424.84000000000003</c:v>
                </c:pt>
                <c:pt idx="13">
                  <c:v>425.64</c:v>
                </c:pt>
                <c:pt idx="14">
                  <c:v>428.34</c:v>
                </c:pt>
                <c:pt idx="15">
                  <c:v>432.34</c:v>
                </c:pt>
                <c:pt idx="16">
                  <c:v>428.14</c:v>
                </c:pt>
                <c:pt idx="17">
                  <c:v>424.24</c:v>
                </c:pt>
                <c:pt idx="18" formatCode="0.0">
                  <c:v>309.74</c:v>
                </c:pt>
                <c:pt idx="19" formatCode="0.0">
                  <c:v>397.49999999999994</c:v>
                </c:pt>
                <c:pt idx="20" formatCode="0.0">
                  <c:v>265.64000000000004</c:v>
                </c:pt>
                <c:pt idx="21" formatCode="0.0">
                  <c:v>363.14</c:v>
                </c:pt>
                <c:pt idx="22" formatCode="0.0">
                  <c:v>408.53999999999996</c:v>
                </c:pt>
                <c:pt idx="23" formatCode="0.0">
                  <c:v>400.53999999999996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0-439B-8640-2C5CCFC29B20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30</c:v>
                </c:pt>
                <c:pt idx="1">
                  <c:v>21</c:v>
                </c:pt>
                <c:pt idx="2">
                  <c:v>25</c:v>
                </c:pt>
                <c:pt idx="3">
                  <c:v>9.6</c:v>
                </c:pt>
                <c:pt idx="4">
                  <c:v>9.6999999999999993</c:v>
                </c:pt>
                <c:pt idx="5">
                  <c:v>10.8</c:v>
                </c:pt>
                <c:pt idx="6">
                  <c:v>13.7</c:v>
                </c:pt>
                <c:pt idx="7">
                  <c:v>256.60000000000002</c:v>
                </c:pt>
                <c:pt idx="8">
                  <c:v>270</c:v>
                </c:pt>
                <c:pt idx="9">
                  <c:v>366.7</c:v>
                </c:pt>
                <c:pt idx="10">
                  <c:v>240</c:v>
                </c:pt>
                <c:pt idx="11">
                  <c:v>526.70000000000005</c:v>
                </c:pt>
                <c:pt idx="12">
                  <c:v>535.79999999999995</c:v>
                </c:pt>
                <c:pt idx="13">
                  <c:v>519.29999999999995</c:v>
                </c:pt>
                <c:pt idx="14">
                  <c:v>517.9</c:v>
                </c:pt>
                <c:pt idx="15">
                  <c:v>348.6</c:v>
                </c:pt>
                <c:pt idx="16">
                  <c:v>381.5</c:v>
                </c:pt>
                <c:pt idx="17">
                  <c:v>482.00000000000006</c:v>
                </c:pt>
                <c:pt idx="18" formatCode="0.0">
                  <c:v>462.1</c:v>
                </c:pt>
                <c:pt idx="19" formatCode="0.0">
                  <c:v>76.599999999999994</c:v>
                </c:pt>
                <c:pt idx="20" formatCode="0.0">
                  <c:v>0</c:v>
                </c:pt>
                <c:pt idx="21" formatCode="0.0">
                  <c:v>93.4</c:v>
                </c:pt>
                <c:pt idx="22" formatCode="0.0">
                  <c:v>59.3</c:v>
                </c:pt>
                <c:pt idx="23" formatCode="0.0">
                  <c:v>58.7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0-439B-8640-2C5CCFC29B20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81.8</c:v>
                </c:pt>
                <c:pt idx="1">
                  <c:v>97.699999999999989</c:v>
                </c:pt>
                <c:pt idx="2">
                  <c:v>80.099999999999994</c:v>
                </c:pt>
                <c:pt idx="3">
                  <c:v>99.4</c:v>
                </c:pt>
                <c:pt idx="4">
                  <c:v>59.3</c:v>
                </c:pt>
                <c:pt idx="5">
                  <c:v>60.699999999999996</c:v>
                </c:pt>
                <c:pt idx="6">
                  <c:v>82.699999999999989</c:v>
                </c:pt>
                <c:pt idx="7">
                  <c:v>100.30000000000001</c:v>
                </c:pt>
                <c:pt idx="8">
                  <c:v>100.30000000000001</c:v>
                </c:pt>
                <c:pt idx="9">
                  <c:v>100.30000000000001</c:v>
                </c:pt>
                <c:pt idx="10">
                  <c:v>100.30000000000001</c:v>
                </c:pt>
                <c:pt idx="11">
                  <c:v>100.30000000000001</c:v>
                </c:pt>
                <c:pt idx="12">
                  <c:v>100.30000000000001</c:v>
                </c:pt>
                <c:pt idx="13">
                  <c:v>100.30000000000001</c:v>
                </c:pt>
                <c:pt idx="14">
                  <c:v>100.30000000000001</c:v>
                </c:pt>
                <c:pt idx="15">
                  <c:v>99.2</c:v>
                </c:pt>
                <c:pt idx="16">
                  <c:v>99.2</c:v>
                </c:pt>
                <c:pt idx="17">
                  <c:v>99.4</c:v>
                </c:pt>
                <c:pt idx="18" formatCode="0.0">
                  <c:v>15.400000000000002</c:v>
                </c:pt>
                <c:pt idx="19" formatCode="0.0">
                  <c:v>99</c:v>
                </c:pt>
                <c:pt idx="20" formatCode="0.0">
                  <c:v>99</c:v>
                </c:pt>
                <c:pt idx="21" formatCode="0.0">
                  <c:v>99</c:v>
                </c:pt>
                <c:pt idx="22" formatCode="0.0">
                  <c:v>62.5</c:v>
                </c:pt>
                <c:pt idx="23" formatCode="0.0">
                  <c:v>50.199999999999996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C0-439B-8640-2C5CCFC29B20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100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100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C0-439B-8640-2C5CCFC29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-109</c:v>
                </c:pt>
                <c:pt idx="1">
                  <c:v>-95</c:v>
                </c:pt>
                <c:pt idx="2">
                  <c:v>-110</c:v>
                </c:pt>
                <c:pt idx="3">
                  <c:v>-127</c:v>
                </c:pt>
                <c:pt idx="4">
                  <c:v>-104</c:v>
                </c:pt>
                <c:pt idx="5">
                  <c:v>-109.2</c:v>
                </c:pt>
                <c:pt idx="6">
                  <c:v>-119.5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-116</c:v>
                </c:pt>
                <c:pt idx="17">
                  <c:v>0</c:v>
                </c:pt>
                <c:pt idx="18">
                  <c:v>0</c:v>
                </c:pt>
                <c:pt idx="19">
                  <c:v>-114</c:v>
                </c:pt>
                <c:pt idx="20">
                  <c:v>0</c:v>
                </c:pt>
                <c:pt idx="21">
                  <c:v>-114</c:v>
                </c:pt>
                <c:pt idx="22">
                  <c:v>-126</c:v>
                </c:pt>
                <c:pt idx="23">
                  <c:v>-115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C0-439B-8640-2C5CCFC29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1719.54</c:v>
                </c:pt>
                <c:pt idx="1">
                  <c:v>1699.84</c:v>
                </c:pt>
                <c:pt idx="2">
                  <c:v>1686.7399999999998</c:v>
                </c:pt>
                <c:pt idx="3">
                  <c:v>1695.04</c:v>
                </c:pt>
                <c:pt idx="4">
                  <c:v>1653.94</c:v>
                </c:pt>
                <c:pt idx="5">
                  <c:v>1628.1399999999999</c:v>
                </c:pt>
                <c:pt idx="6">
                  <c:v>1669.94</c:v>
                </c:pt>
                <c:pt idx="7">
                  <c:v>1730.0400000000002</c:v>
                </c:pt>
                <c:pt idx="8">
                  <c:v>1762.4399999999998</c:v>
                </c:pt>
                <c:pt idx="9">
                  <c:v>1847.34</c:v>
                </c:pt>
                <c:pt idx="10">
                  <c:v>2018.4399999999998</c:v>
                </c:pt>
                <c:pt idx="11">
                  <c:v>2008.54</c:v>
                </c:pt>
                <c:pt idx="12">
                  <c:v>2015.44</c:v>
                </c:pt>
                <c:pt idx="13">
                  <c:v>2013.7399999999998</c:v>
                </c:pt>
                <c:pt idx="14">
                  <c:v>2015.0399999999997</c:v>
                </c:pt>
                <c:pt idx="15">
                  <c:v>1994.34</c:v>
                </c:pt>
                <c:pt idx="16">
                  <c:v>2083.04</c:v>
                </c:pt>
                <c:pt idx="17">
                  <c:v>1821.44</c:v>
                </c:pt>
                <c:pt idx="18">
                  <c:v>1704.54</c:v>
                </c:pt>
                <c:pt idx="19">
                  <c:v>1941.6999999999998</c:v>
                </c:pt>
                <c:pt idx="20">
                  <c:v>1761.74</c:v>
                </c:pt>
                <c:pt idx="21">
                  <c:v>1933.2400000000002</c:v>
                </c:pt>
                <c:pt idx="22">
                  <c:v>1766.74</c:v>
                </c:pt>
                <c:pt idx="23">
                  <c:v>1594.94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EC0-439B-8640-2C5CCFC29B20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1610.54</c:v>
                </c:pt>
                <c:pt idx="1">
                  <c:v>1604.84</c:v>
                </c:pt>
                <c:pt idx="2">
                  <c:v>1576.7399999999998</c:v>
                </c:pt>
                <c:pt idx="3">
                  <c:v>1568.04</c:v>
                </c:pt>
                <c:pt idx="4">
                  <c:v>1549.94</c:v>
                </c:pt>
                <c:pt idx="5">
                  <c:v>1518.9399999999998</c:v>
                </c:pt>
                <c:pt idx="6">
                  <c:v>1550.44</c:v>
                </c:pt>
                <c:pt idx="7">
                  <c:v>1730.0400000000002</c:v>
                </c:pt>
                <c:pt idx="8">
                  <c:v>1762.4399999999998</c:v>
                </c:pt>
                <c:pt idx="9">
                  <c:v>1847.34</c:v>
                </c:pt>
                <c:pt idx="10">
                  <c:v>1910.4399999999998</c:v>
                </c:pt>
                <c:pt idx="11">
                  <c:v>2008.54</c:v>
                </c:pt>
                <c:pt idx="12">
                  <c:v>2015.44</c:v>
                </c:pt>
                <c:pt idx="13">
                  <c:v>2013.7399999999998</c:v>
                </c:pt>
                <c:pt idx="14">
                  <c:v>2015.0399999999997</c:v>
                </c:pt>
                <c:pt idx="15">
                  <c:v>1994.34</c:v>
                </c:pt>
                <c:pt idx="16">
                  <c:v>1967.04</c:v>
                </c:pt>
                <c:pt idx="17">
                  <c:v>1821.44</c:v>
                </c:pt>
                <c:pt idx="18">
                  <c:v>1704.54</c:v>
                </c:pt>
                <c:pt idx="19">
                  <c:v>1827.6999999999998</c:v>
                </c:pt>
                <c:pt idx="20">
                  <c:v>1761.74</c:v>
                </c:pt>
                <c:pt idx="21">
                  <c:v>1819.2400000000002</c:v>
                </c:pt>
                <c:pt idx="22">
                  <c:v>1640.74</c:v>
                </c:pt>
                <c:pt idx="23">
                  <c:v>1479.94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C0-439B-8640-2C5CCFC29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7F-48DF-986E-9707A455E2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7F-48DF-986E-9707A455E2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7F-48DF-986E-9707A455E2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7F-48DF-986E-9707A455E2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7F-48DF-986E-9707A455E20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97F-48DF-986E-9707A455E2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747.40000000000009</c:v>
                </c:pt>
                <c:pt idx="1">
                  <c:v>746.7</c:v>
                </c:pt>
                <c:pt idx="2">
                  <c:v>746.7</c:v>
                </c:pt>
                <c:pt idx="3">
                  <c:v>761.80000000000007</c:v>
                </c:pt>
                <c:pt idx="4">
                  <c:v>761.80000000000007</c:v>
                </c:pt>
                <c:pt idx="5">
                  <c:v>769.80000000000007</c:v>
                </c:pt>
                <c:pt idx="6">
                  <c:v>773.80000000000007</c:v>
                </c:pt>
                <c:pt idx="7">
                  <c:v>773.80000000000007</c:v>
                </c:pt>
                <c:pt idx="8">
                  <c:v>773.80000000000007</c:v>
                </c:pt>
                <c:pt idx="9">
                  <c:v>773.80000000000007</c:v>
                </c:pt>
                <c:pt idx="10">
                  <c:v>773.80000000000007</c:v>
                </c:pt>
                <c:pt idx="11">
                  <c:v>773.80000000000007</c:v>
                </c:pt>
                <c:pt idx="12">
                  <c:v>773.80000000000007</c:v>
                </c:pt>
                <c:pt idx="13">
                  <c:v>773.80000000000007</c:v>
                </c:pt>
                <c:pt idx="14">
                  <c:v>764.5</c:v>
                </c:pt>
                <c:pt idx="15">
                  <c:v>767.10000000000014</c:v>
                </c:pt>
                <c:pt idx="16">
                  <c:v>770.10000000000014</c:v>
                </c:pt>
                <c:pt idx="17">
                  <c:v>773.30000000000007</c:v>
                </c:pt>
                <c:pt idx="18" formatCode="0.0">
                  <c:v>778</c:v>
                </c:pt>
                <c:pt idx="19" formatCode="0.0">
                  <c:v>778</c:v>
                </c:pt>
                <c:pt idx="20" formatCode="0.0">
                  <c:v>774</c:v>
                </c:pt>
                <c:pt idx="21" formatCode="0.0">
                  <c:v>774</c:v>
                </c:pt>
                <c:pt idx="22" formatCode="0.0">
                  <c:v>773.3</c:v>
                </c:pt>
                <c:pt idx="23" formatCode="0.0">
                  <c:v>773.3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F-4D20-B0C9-3DB28421BADC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222.5</c:v>
                </c:pt>
                <c:pt idx="1">
                  <c:v>372.5</c:v>
                </c:pt>
                <c:pt idx="2">
                  <c:v>282.5</c:v>
                </c:pt>
                <c:pt idx="3">
                  <c:v>323.5</c:v>
                </c:pt>
                <c:pt idx="4">
                  <c:v>332.5</c:v>
                </c:pt>
                <c:pt idx="5">
                  <c:v>342.5</c:v>
                </c:pt>
                <c:pt idx="6">
                  <c:v>272.5</c:v>
                </c:pt>
                <c:pt idx="7">
                  <c:v>324.5</c:v>
                </c:pt>
                <c:pt idx="8">
                  <c:v>362.5</c:v>
                </c:pt>
                <c:pt idx="9">
                  <c:v>373.5</c:v>
                </c:pt>
                <c:pt idx="10">
                  <c:v>298.5</c:v>
                </c:pt>
                <c:pt idx="11">
                  <c:v>282.5</c:v>
                </c:pt>
                <c:pt idx="12">
                  <c:v>278.5</c:v>
                </c:pt>
                <c:pt idx="13">
                  <c:v>318.5</c:v>
                </c:pt>
                <c:pt idx="14">
                  <c:v>318.5</c:v>
                </c:pt>
                <c:pt idx="15">
                  <c:v>344.1</c:v>
                </c:pt>
                <c:pt idx="16">
                  <c:v>163</c:v>
                </c:pt>
                <c:pt idx="17">
                  <c:v>92.7</c:v>
                </c:pt>
                <c:pt idx="18" formatCode="0.0">
                  <c:v>59.5</c:v>
                </c:pt>
                <c:pt idx="19" formatCode="0.0">
                  <c:v>320.60000000000002</c:v>
                </c:pt>
                <c:pt idx="20" formatCode="0.0">
                  <c:v>385.6</c:v>
                </c:pt>
                <c:pt idx="21" formatCode="0.0">
                  <c:v>438.6</c:v>
                </c:pt>
                <c:pt idx="22" formatCode="0.0">
                  <c:v>324.60000000000002</c:v>
                </c:pt>
                <c:pt idx="23" formatCode="0.0">
                  <c:v>342.6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F-4D20-B0C9-3DB28421BADC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407.14</c:v>
                </c:pt>
                <c:pt idx="1">
                  <c:v>405.14</c:v>
                </c:pt>
                <c:pt idx="2">
                  <c:v>410.53999999999996</c:v>
                </c:pt>
                <c:pt idx="3">
                  <c:v>410.53999999999996</c:v>
                </c:pt>
                <c:pt idx="4">
                  <c:v>410.53999999999996</c:v>
                </c:pt>
                <c:pt idx="5">
                  <c:v>410.53999999999996</c:v>
                </c:pt>
                <c:pt idx="6">
                  <c:v>405.53999999999996</c:v>
                </c:pt>
                <c:pt idx="7">
                  <c:v>366.84</c:v>
                </c:pt>
                <c:pt idx="8">
                  <c:v>347.74</c:v>
                </c:pt>
                <c:pt idx="9">
                  <c:v>347.74</c:v>
                </c:pt>
                <c:pt idx="10">
                  <c:v>356.54</c:v>
                </c:pt>
                <c:pt idx="11">
                  <c:v>356.54</c:v>
                </c:pt>
                <c:pt idx="12">
                  <c:v>410.74</c:v>
                </c:pt>
                <c:pt idx="13">
                  <c:v>428.74</c:v>
                </c:pt>
                <c:pt idx="14">
                  <c:v>438.44</c:v>
                </c:pt>
                <c:pt idx="15">
                  <c:v>437.14</c:v>
                </c:pt>
                <c:pt idx="16">
                  <c:v>435.14</c:v>
                </c:pt>
                <c:pt idx="17">
                  <c:v>433.14</c:v>
                </c:pt>
                <c:pt idx="18" formatCode="0.0">
                  <c:v>315.74</c:v>
                </c:pt>
                <c:pt idx="19" formatCode="0.0">
                  <c:v>401.29999999999995</c:v>
                </c:pt>
                <c:pt idx="20" formatCode="0.0">
                  <c:v>424.54</c:v>
                </c:pt>
                <c:pt idx="21" formatCode="0.0">
                  <c:v>424.54</c:v>
                </c:pt>
                <c:pt idx="22" formatCode="0.0">
                  <c:v>424.54</c:v>
                </c:pt>
                <c:pt idx="23" formatCode="0.0">
                  <c:v>424.54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F-4D20-B0C9-3DB28421BADC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87.300000000000011</c:v>
                </c:pt>
                <c:pt idx="1">
                  <c:v>86.4</c:v>
                </c:pt>
                <c:pt idx="2">
                  <c:v>34</c:v>
                </c:pt>
                <c:pt idx="3">
                  <c:v>27.8</c:v>
                </c:pt>
                <c:pt idx="4">
                  <c:v>25.6</c:v>
                </c:pt>
                <c:pt idx="5">
                  <c:v>25.9</c:v>
                </c:pt>
                <c:pt idx="6">
                  <c:v>10.1</c:v>
                </c:pt>
                <c:pt idx="7">
                  <c:v>162.69999999999999</c:v>
                </c:pt>
                <c:pt idx="8">
                  <c:v>155</c:v>
                </c:pt>
                <c:pt idx="9">
                  <c:v>182</c:v>
                </c:pt>
                <c:pt idx="10">
                  <c:v>173</c:v>
                </c:pt>
                <c:pt idx="11">
                  <c:v>184.8</c:v>
                </c:pt>
                <c:pt idx="12">
                  <c:v>210.5</c:v>
                </c:pt>
                <c:pt idx="13">
                  <c:v>255.2</c:v>
                </c:pt>
                <c:pt idx="14">
                  <c:v>0</c:v>
                </c:pt>
                <c:pt idx="15">
                  <c:v>258.5</c:v>
                </c:pt>
                <c:pt idx="16">
                  <c:v>397.1</c:v>
                </c:pt>
                <c:pt idx="17">
                  <c:v>365</c:v>
                </c:pt>
                <c:pt idx="18" formatCode="0.0">
                  <c:v>291</c:v>
                </c:pt>
                <c:pt idx="19" formatCode="0.0">
                  <c:v>28.2</c:v>
                </c:pt>
                <c:pt idx="20" formatCode="0.0">
                  <c:v>28</c:v>
                </c:pt>
                <c:pt idx="21" formatCode="0.0">
                  <c:v>30.9</c:v>
                </c:pt>
                <c:pt idx="22" formatCode="0.0">
                  <c:v>29</c:v>
                </c:pt>
                <c:pt idx="23" formatCode="0.0">
                  <c:v>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FF-4D20-B0C9-3DB28421BADC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50.199999999999996</c:v>
                </c:pt>
                <c:pt idx="1">
                  <c:v>33.9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49</c:v>
                </c:pt>
                <c:pt idx="16">
                  <c:v>34.4</c:v>
                </c:pt>
                <c:pt idx="17">
                  <c:v>71.3</c:v>
                </c:pt>
                <c:pt idx="18" formatCode="0.0">
                  <c:v>68.3</c:v>
                </c:pt>
                <c:pt idx="19" formatCode="0.0">
                  <c:v>59.199999999999996</c:v>
                </c:pt>
                <c:pt idx="20" formatCode="0.0">
                  <c:v>61.6</c:v>
                </c:pt>
                <c:pt idx="21" formatCode="0.0">
                  <c:v>21.599999999999998</c:v>
                </c:pt>
                <c:pt idx="22" formatCode="0.0">
                  <c:v>48.2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F-4D20-B0C9-3DB28421BADC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F-4D20-B0C9-3DB28421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-109</c:v>
                </c:pt>
                <c:pt idx="1">
                  <c:v>-255</c:v>
                </c:pt>
                <c:pt idx="2">
                  <c:v>-260</c:v>
                </c:pt>
                <c:pt idx="3">
                  <c:v>-253</c:v>
                </c:pt>
                <c:pt idx="4">
                  <c:v>-265</c:v>
                </c:pt>
                <c:pt idx="5">
                  <c:v>-250</c:v>
                </c:pt>
                <c:pt idx="6">
                  <c:v>-111</c:v>
                </c:pt>
                <c:pt idx="7">
                  <c:v>-111</c:v>
                </c:pt>
                <c:pt idx="8">
                  <c:v>-110</c:v>
                </c:pt>
                <c:pt idx="9">
                  <c:v>-87</c:v>
                </c:pt>
                <c:pt idx="10">
                  <c:v>-108</c:v>
                </c:pt>
                <c:pt idx="11">
                  <c:v>-118</c:v>
                </c:pt>
                <c:pt idx="12">
                  <c:v>-120</c:v>
                </c:pt>
                <c:pt idx="13">
                  <c:v>-107</c:v>
                </c:pt>
                <c:pt idx="14">
                  <c:v>-112</c:v>
                </c:pt>
                <c:pt idx="15">
                  <c:v>-119.7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-119.6</c:v>
                </c:pt>
                <c:pt idx="20">
                  <c:v>-109</c:v>
                </c:pt>
                <c:pt idx="21">
                  <c:v>-124</c:v>
                </c:pt>
                <c:pt idx="22">
                  <c:v>-127</c:v>
                </c:pt>
                <c:pt idx="23">
                  <c:v>-116.5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FF-4D20-B0C9-3DB28421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1614.54</c:v>
                </c:pt>
                <c:pt idx="1">
                  <c:v>1744.6400000000003</c:v>
                </c:pt>
                <c:pt idx="2">
                  <c:v>1573.74</c:v>
                </c:pt>
                <c:pt idx="3">
                  <c:v>1623.64</c:v>
                </c:pt>
                <c:pt idx="4">
                  <c:v>1630.44</c:v>
                </c:pt>
                <c:pt idx="5">
                  <c:v>1648.7400000000002</c:v>
                </c:pt>
                <c:pt idx="6">
                  <c:v>1561.94</c:v>
                </c:pt>
                <c:pt idx="7">
                  <c:v>1627.8400000000001</c:v>
                </c:pt>
                <c:pt idx="8">
                  <c:v>1639.0400000000002</c:v>
                </c:pt>
                <c:pt idx="9">
                  <c:v>1677.0400000000002</c:v>
                </c:pt>
                <c:pt idx="10">
                  <c:v>1601.8400000000001</c:v>
                </c:pt>
                <c:pt idx="11">
                  <c:v>1597.64</c:v>
                </c:pt>
                <c:pt idx="12">
                  <c:v>1673.5400000000002</c:v>
                </c:pt>
                <c:pt idx="13">
                  <c:v>1776.2400000000002</c:v>
                </c:pt>
                <c:pt idx="14">
                  <c:v>1521.44</c:v>
                </c:pt>
                <c:pt idx="15">
                  <c:v>1855.8400000000001</c:v>
                </c:pt>
                <c:pt idx="16">
                  <c:v>1799.7400000000002</c:v>
                </c:pt>
                <c:pt idx="17">
                  <c:v>1735.44</c:v>
                </c:pt>
                <c:pt idx="18">
                  <c:v>1512.54</c:v>
                </c:pt>
                <c:pt idx="19">
                  <c:v>1737.3</c:v>
                </c:pt>
                <c:pt idx="20">
                  <c:v>1823.7399999999998</c:v>
                </c:pt>
                <c:pt idx="21">
                  <c:v>1839.6399999999999</c:v>
                </c:pt>
                <c:pt idx="22">
                  <c:v>1749.64</c:v>
                </c:pt>
                <c:pt idx="23">
                  <c:v>1719.04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CFF-4D20-B0C9-3DB28421BADC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1505.54</c:v>
                </c:pt>
                <c:pt idx="1">
                  <c:v>1489.6400000000003</c:v>
                </c:pt>
                <c:pt idx="2">
                  <c:v>1313.74</c:v>
                </c:pt>
                <c:pt idx="3">
                  <c:v>1370.64</c:v>
                </c:pt>
                <c:pt idx="4">
                  <c:v>1365.44</c:v>
                </c:pt>
                <c:pt idx="5">
                  <c:v>1398.7400000000002</c:v>
                </c:pt>
                <c:pt idx="6">
                  <c:v>1450.94</c:v>
                </c:pt>
                <c:pt idx="7">
                  <c:v>1516.8400000000001</c:v>
                </c:pt>
                <c:pt idx="8">
                  <c:v>1529.0400000000002</c:v>
                </c:pt>
                <c:pt idx="9">
                  <c:v>1590.0400000000002</c:v>
                </c:pt>
                <c:pt idx="10">
                  <c:v>1493.8400000000001</c:v>
                </c:pt>
                <c:pt idx="11">
                  <c:v>1479.64</c:v>
                </c:pt>
                <c:pt idx="12">
                  <c:v>1553.5400000000002</c:v>
                </c:pt>
                <c:pt idx="13">
                  <c:v>1669.2400000000002</c:v>
                </c:pt>
                <c:pt idx="14">
                  <c:v>1409.44</c:v>
                </c:pt>
                <c:pt idx="15">
                  <c:v>1736.14</c:v>
                </c:pt>
                <c:pt idx="16">
                  <c:v>1799.7400000000002</c:v>
                </c:pt>
                <c:pt idx="17">
                  <c:v>1735.44</c:v>
                </c:pt>
                <c:pt idx="18">
                  <c:v>1512.54</c:v>
                </c:pt>
                <c:pt idx="19">
                  <c:v>1617.7</c:v>
                </c:pt>
                <c:pt idx="20">
                  <c:v>1714.7399999999998</c:v>
                </c:pt>
                <c:pt idx="21">
                  <c:v>1715.6399999999999</c:v>
                </c:pt>
                <c:pt idx="22">
                  <c:v>1622.64</c:v>
                </c:pt>
                <c:pt idx="23">
                  <c:v>1602.54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FF-4D20-B0C9-3DB28421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E8-4A4D-ACC3-B058CD7277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E8-4A4D-ACC3-B058CD7277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E8-4A4D-ACC3-B058CD7277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E8-4A4D-ACC3-B058CD7277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E8-4A4D-ACC3-B058CD7277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BE8-4A4D-ACC3-B058CD7277E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778.5</c:v>
                </c:pt>
                <c:pt idx="1">
                  <c:v>778.5</c:v>
                </c:pt>
                <c:pt idx="2">
                  <c:v>780</c:v>
                </c:pt>
                <c:pt idx="3">
                  <c:v>780</c:v>
                </c:pt>
                <c:pt idx="4">
                  <c:v>780</c:v>
                </c:pt>
                <c:pt idx="5">
                  <c:v>780</c:v>
                </c:pt>
                <c:pt idx="6">
                  <c:v>780</c:v>
                </c:pt>
                <c:pt idx="7">
                  <c:v>788</c:v>
                </c:pt>
                <c:pt idx="8">
                  <c:v>772.60000000000014</c:v>
                </c:pt>
                <c:pt idx="9">
                  <c:v>772.60000000000014</c:v>
                </c:pt>
                <c:pt idx="10">
                  <c:v>772.60000000000014</c:v>
                </c:pt>
                <c:pt idx="11">
                  <c:v>769.50000000000011</c:v>
                </c:pt>
                <c:pt idx="12">
                  <c:v>769.50000000000011</c:v>
                </c:pt>
                <c:pt idx="13">
                  <c:v>769.50000000000011</c:v>
                </c:pt>
                <c:pt idx="14">
                  <c:v>769.50000000000011</c:v>
                </c:pt>
                <c:pt idx="15">
                  <c:v>769.50000000000011</c:v>
                </c:pt>
                <c:pt idx="16">
                  <c:v>769.50000000000011</c:v>
                </c:pt>
                <c:pt idx="17">
                  <c:v>769.50000000000011</c:v>
                </c:pt>
                <c:pt idx="18" formatCode="0.0">
                  <c:v>769.50000000000011</c:v>
                </c:pt>
                <c:pt idx="19" formatCode="0.0">
                  <c:v>759.50000000000011</c:v>
                </c:pt>
                <c:pt idx="20" formatCode="0.0">
                  <c:v>716.7</c:v>
                </c:pt>
                <c:pt idx="21" formatCode="0.0">
                  <c:v>716.7</c:v>
                </c:pt>
                <c:pt idx="22" formatCode="0.0">
                  <c:v>719.90000000000009</c:v>
                </c:pt>
                <c:pt idx="23" formatCode="0.0">
                  <c:v>719.90000000000009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4-4902-9E7C-9E52C883A893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358.6</c:v>
                </c:pt>
                <c:pt idx="1">
                  <c:v>344</c:v>
                </c:pt>
                <c:pt idx="2">
                  <c:v>294.5</c:v>
                </c:pt>
                <c:pt idx="3">
                  <c:v>394.5</c:v>
                </c:pt>
                <c:pt idx="4">
                  <c:v>394.5</c:v>
                </c:pt>
                <c:pt idx="5">
                  <c:v>402.5</c:v>
                </c:pt>
                <c:pt idx="6">
                  <c:v>453.5</c:v>
                </c:pt>
                <c:pt idx="7">
                  <c:v>412.5</c:v>
                </c:pt>
                <c:pt idx="8">
                  <c:v>368.5</c:v>
                </c:pt>
                <c:pt idx="9">
                  <c:v>402.5</c:v>
                </c:pt>
                <c:pt idx="10">
                  <c:v>432.5</c:v>
                </c:pt>
                <c:pt idx="11">
                  <c:v>504.5</c:v>
                </c:pt>
                <c:pt idx="12">
                  <c:v>461.5</c:v>
                </c:pt>
                <c:pt idx="13">
                  <c:v>461.5</c:v>
                </c:pt>
                <c:pt idx="14">
                  <c:v>299.89999999999998</c:v>
                </c:pt>
                <c:pt idx="15">
                  <c:v>299.89999999999998</c:v>
                </c:pt>
                <c:pt idx="16">
                  <c:v>303.89999999999998</c:v>
                </c:pt>
                <c:pt idx="17">
                  <c:v>303.89999999999998</c:v>
                </c:pt>
                <c:pt idx="18" formatCode="0.0">
                  <c:v>194.2</c:v>
                </c:pt>
                <c:pt idx="19" formatCode="0.0">
                  <c:v>362.6</c:v>
                </c:pt>
                <c:pt idx="20" formatCode="0.0">
                  <c:v>516.4</c:v>
                </c:pt>
                <c:pt idx="21" formatCode="0.0">
                  <c:v>426.6</c:v>
                </c:pt>
                <c:pt idx="22" formatCode="0.0">
                  <c:v>402.6</c:v>
                </c:pt>
                <c:pt idx="23" formatCode="0.0">
                  <c:v>382.6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4-4902-9E7C-9E52C883A893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414.54</c:v>
                </c:pt>
                <c:pt idx="1">
                  <c:v>412.44</c:v>
                </c:pt>
                <c:pt idx="2">
                  <c:v>391.94</c:v>
                </c:pt>
                <c:pt idx="3">
                  <c:v>368.03999999999996</c:v>
                </c:pt>
                <c:pt idx="4">
                  <c:v>368.03999999999996</c:v>
                </c:pt>
                <c:pt idx="5">
                  <c:v>368.03999999999996</c:v>
                </c:pt>
                <c:pt idx="6">
                  <c:v>378.84</c:v>
                </c:pt>
                <c:pt idx="7">
                  <c:v>382.53999999999996</c:v>
                </c:pt>
                <c:pt idx="8">
                  <c:v>403.44</c:v>
                </c:pt>
                <c:pt idx="9">
                  <c:v>426.74000000000007</c:v>
                </c:pt>
                <c:pt idx="10">
                  <c:v>428.74000000000007</c:v>
                </c:pt>
                <c:pt idx="11">
                  <c:v>423.44000000000005</c:v>
                </c:pt>
                <c:pt idx="12">
                  <c:v>423.44000000000005</c:v>
                </c:pt>
                <c:pt idx="13">
                  <c:v>423.44000000000005</c:v>
                </c:pt>
                <c:pt idx="14">
                  <c:v>408.94</c:v>
                </c:pt>
                <c:pt idx="15">
                  <c:v>418.14</c:v>
                </c:pt>
                <c:pt idx="16">
                  <c:v>413.53999999999996</c:v>
                </c:pt>
                <c:pt idx="17">
                  <c:v>411.63999999999993</c:v>
                </c:pt>
                <c:pt idx="18" formatCode="0.0">
                  <c:v>394.04000000000008</c:v>
                </c:pt>
                <c:pt idx="19" formatCode="0.0">
                  <c:v>393.04</c:v>
                </c:pt>
                <c:pt idx="20" formatCode="0.0">
                  <c:v>395.04</c:v>
                </c:pt>
                <c:pt idx="21" formatCode="0.0">
                  <c:v>395.04</c:v>
                </c:pt>
                <c:pt idx="22" formatCode="0.0">
                  <c:v>385.14000000000004</c:v>
                </c:pt>
                <c:pt idx="23" formatCode="0.0">
                  <c:v>385.14000000000004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24-4902-9E7C-9E52C883A893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28</c:v>
                </c:pt>
                <c:pt idx="1">
                  <c:v>27.7</c:v>
                </c:pt>
                <c:pt idx="2">
                  <c:v>26</c:v>
                </c:pt>
                <c:pt idx="3">
                  <c:v>36.5</c:v>
                </c:pt>
                <c:pt idx="4">
                  <c:v>34.799999999999997</c:v>
                </c:pt>
                <c:pt idx="5">
                  <c:v>30.6</c:v>
                </c:pt>
                <c:pt idx="6">
                  <c:v>25</c:v>
                </c:pt>
                <c:pt idx="7">
                  <c:v>244.9</c:v>
                </c:pt>
                <c:pt idx="8">
                  <c:v>245.1</c:v>
                </c:pt>
                <c:pt idx="9">
                  <c:v>255.2</c:v>
                </c:pt>
                <c:pt idx="10">
                  <c:v>224.7</c:v>
                </c:pt>
                <c:pt idx="11">
                  <c:v>273.89999999999998</c:v>
                </c:pt>
                <c:pt idx="12">
                  <c:v>260.7</c:v>
                </c:pt>
                <c:pt idx="13">
                  <c:v>277.8</c:v>
                </c:pt>
                <c:pt idx="14">
                  <c:v>409.5</c:v>
                </c:pt>
                <c:pt idx="15">
                  <c:v>406.7</c:v>
                </c:pt>
                <c:pt idx="16">
                  <c:v>387.59999999999997</c:v>
                </c:pt>
                <c:pt idx="17">
                  <c:v>403.39</c:v>
                </c:pt>
                <c:pt idx="18" formatCode="0.0">
                  <c:v>234</c:v>
                </c:pt>
                <c:pt idx="19" formatCode="0.0">
                  <c:v>84.300000000000011</c:v>
                </c:pt>
                <c:pt idx="20" formatCode="0.0">
                  <c:v>59.599999999999994</c:v>
                </c:pt>
                <c:pt idx="21" formatCode="0.0">
                  <c:v>74.099999999999994</c:v>
                </c:pt>
                <c:pt idx="22" formatCode="0.0">
                  <c:v>92.6</c:v>
                </c:pt>
                <c:pt idx="23" formatCode="0.0">
                  <c:v>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24-4902-9E7C-9E52C883A893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43.3</c:v>
                </c:pt>
                <c:pt idx="7">
                  <c:v>26.400000000000002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50.500000000000007</c:v>
                </c:pt>
                <c:pt idx="12">
                  <c:v>81</c:v>
                </c:pt>
                <c:pt idx="13">
                  <c:v>81</c:v>
                </c:pt>
                <c:pt idx="14">
                  <c:v>60.5</c:v>
                </c:pt>
                <c:pt idx="15">
                  <c:v>96.4</c:v>
                </c:pt>
                <c:pt idx="16">
                  <c:v>96.4</c:v>
                </c:pt>
                <c:pt idx="17">
                  <c:v>96.4</c:v>
                </c:pt>
                <c:pt idx="18" formatCode="0.0">
                  <c:v>100.89999999999999</c:v>
                </c:pt>
                <c:pt idx="19" formatCode="0.0">
                  <c:v>100.89999999999999</c:v>
                </c:pt>
                <c:pt idx="20" formatCode="0.0">
                  <c:v>98.7</c:v>
                </c:pt>
                <c:pt idx="21" formatCode="0.0">
                  <c:v>73.8</c:v>
                </c:pt>
                <c:pt idx="22" formatCode="0.0">
                  <c:v>99.9</c:v>
                </c:pt>
                <c:pt idx="23" formatCode="0.0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24-4902-9E7C-9E52C883A893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80</c:v>
                </c:pt>
                <c:pt idx="19" formatCode="0.0">
                  <c:v>250</c:v>
                </c:pt>
                <c:pt idx="20" formatCode="0.0">
                  <c:v>270</c:v>
                </c:pt>
                <c:pt idx="21" formatCode="0.0">
                  <c:v>250</c:v>
                </c:pt>
                <c:pt idx="22" formatCode="0.0">
                  <c:v>200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4-4902-9E7C-9E52C883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-120</c:v>
                </c:pt>
                <c:pt idx="1">
                  <c:v>-124</c:v>
                </c:pt>
                <c:pt idx="2">
                  <c:v>-111</c:v>
                </c:pt>
                <c:pt idx="3">
                  <c:v>-210</c:v>
                </c:pt>
                <c:pt idx="4">
                  <c:v>-219</c:v>
                </c:pt>
                <c:pt idx="5">
                  <c:v>-195</c:v>
                </c:pt>
                <c:pt idx="6">
                  <c:v>-193</c:v>
                </c:pt>
                <c:pt idx="7">
                  <c:v>-200</c:v>
                </c:pt>
                <c:pt idx="8">
                  <c:v>-101</c:v>
                </c:pt>
                <c:pt idx="9">
                  <c:v>-91</c:v>
                </c:pt>
                <c:pt idx="10">
                  <c:v>-110</c:v>
                </c:pt>
                <c:pt idx="11">
                  <c:v>-105</c:v>
                </c:pt>
                <c:pt idx="12">
                  <c:v>-117</c:v>
                </c:pt>
                <c:pt idx="13">
                  <c:v>-117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-110.6</c:v>
                </c:pt>
                <c:pt idx="20">
                  <c:v>-120</c:v>
                </c:pt>
                <c:pt idx="21">
                  <c:v>-95.5</c:v>
                </c:pt>
                <c:pt idx="22">
                  <c:v>-120.7</c:v>
                </c:pt>
                <c:pt idx="23">
                  <c:v>-112.9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24-4902-9E7C-9E52C883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1729.6399999999999</c:v>
                </c:pt>
                <c:pt idx="1">
                  <c:v>1712.64</c:v>
                </c:pt>
                <c:pt idx="2">
                  <c:v>1642.44</c:v>
                </c:pt>
                <c:pt idx="3">
                  <c:v>1729.04</c:v>
                </c:pt>
                <c:pt idx="4">
                  <c:v>1727.34</c:v>
                </c:pt>
                <c:pt idx="5">
                  <c:v>1731.1399999999999</c:v>
                </c:pt>
                <c:pt idx="6">
                  <c:v>1830.6399999999999</c:v>
                </c:pt>
                <c:pt idx="7">
                  <c:v>1854.3400000000001</c:v>
                </c:pt>
                <c:pt idx="8">
                  <c:v>1838.24</c:v>
                </c:pt>
                <c:pt idx="9">
                  <c:v>1905.64</c:v>
                </c:pt>
                <c:pt idx="10">
                  <c:v>1907.14</c:v>
                </c:pt>
                <c:pt idx="11">
                  <c:v>2021.8400000000001</c:v>
                </c:pt>
                <c:pt idx="12">
                  <c:v>1996.14</c:v>
                </c:pt>
                <c:pt idx="13">
                  <c:v>2013.24</c:v>
                </c:pt>
                <c:pt idx="14">
                  <c:v>1948.3400000000001</c:v>
                </c:pt>
                <c:pt idx="15">
                  <c:v>1990.64</c:v>
                </c:pt>
                <c:pt idx="16">
                  <c:v>1970.94</c:v>
                </c:pt>
                <c:pt idx="17">
                  <c:v>1984.83</c:v>
                </c:pt>
                <c:pt idx="18">
                  <c:v>1772.6400000000003</c:v>
                </c:pt>
                <c:pt idx="19">
                  <c:v>1950.3400000000001</c:v>
                </c:pt>
                <c:pt idx="20">
                  <c:v>2056.4399999999996</c:v>
                </c:pt>
                <c:pt idx="21">
                  <c:v>1936.24</c:v>
                </c:pt>
                <c:pt idx="22">
                  <c:v>1900.14</c:v>
                </c:pt>
                <c:pt idx="23">
                  <c:v>1863.3400000000001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324-4902-9E7C-9E52C883A893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1609.6399999999999</c:v>
                </c:pt>
                <c:pt idx="1">
                  <c:v>1588.64</c:v>
                </c:pt>
                <c:pt idx="2">
                  <c:v>1531.44</c:v>
                </c:pt>
                <c:pt idx="3">
                  <c:v>1519.04</c:v>
                </c:pt>
                <c:pt idx="4">
                  <c:v>1508.34</c:v>
                </c:pt>
                <c:pt idx="5">
                  <c:v>1536.1399999999999</c:v>
                </c:pt>
                <c:pt idx="6">
                  <c:v>1637.6399999999999</c:v>
                </c:pt>
                <c:pt idx="7">
                  <c:v>1654.3400000000001</c:v>
                </c:pt>
                <c:pt idx="8">
                  <c:v>1737.24</c:v>
                </c:pt>
                <c:pt idx="9">
                  <c:v>1814.64</c:v>
                </c:pt>
                <c:pt idx="10">
                  <c:v>1797.14</c:v>
                </c:pt>
                <c:pt idx="11">
                  <c:v>1916.8400000000001</c:v>
                </c:pt>
                <c:pt idx="12">
                  <c:v>1879.14</c:v>
                </c:pt>
                <c:pt idx="13">
                  <c:v>1896.24</c:v>
                </c:pt>
                <c:pt idx="14">
                  <c:v>1948.3400000000001</c:v>
                </c:pt>
                <c:pt idx="15">
                  <c:v>1990.64</c:v>
                </c:pt>
                <c:pt idx="16">
                  <c:v>1970.94</c:v>
                </c:pt>
                <c:pt idx="17">
                  <c:v>1984.83</c:v>
                </c:pt>
                <c:pt idx="18">
                  <c:v>1772.6400000000003</c:v>
                </c:pt>
                <c:pt idx="19">
                  <c:v>1839.7400000000002</c:v>
                </c:pt>
                <c:pt idx="20">
                  <c:v>1936.4399999999996</c:v>
                </c:pt>
                <c:pt idx="21">
                  <c:v>1840.74</c:v>
                </c:pt>
                <c:pt idx="22">
                  <c:v>1779.44</c:v>
                </c:pt>
                <c:pt idx="23">
                  <c:v>1750.44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24-4902-9E7C-9E52C883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89-43DC-B39B-3059F6C5BD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89-43DC-B39B-3059F6C5BD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89-43DC-B39B-3059F6C5BD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89-43DC-B39B-3059F6C5BD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89-43DC-B39B-3059F6C5BD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189-43DC-B39B-3059F6C5BD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588.5</c:v>
                </c:pt>
                <c:pt idx="1">
                  <c:v>728.30000000000007</c:v>
                </c:pt>
                <c:pt idx="2">
                  <c:v>728.30000000000007</c:v>
                </c:pt>
                <c:pt idx="3">
                  <c:v>721.07999999999993</c:v>
                </c:pt>
                <c:pt idx="4">
                  <c:v>721.07999999999993</c:v>
                </c:pt>
                <c:pt idx="5">
                  <c:v>723.48</c:v>
                </c:pt>
                <c:pt idx="6">
                  <c:v>722.28</c:v>
                </c:pt>
                <c:pt idx="7">
                  <c:v>723.48</c:v>
                </c:pt>
                <c:pt idx="8">
                  <c:v>717.4799999999999</c:v>
                </c:pt>
                <c:pt idx="9">
                  <c:v>726.68</c:v>
                </c:pt>
                <c:pt idx="10">
                  <c:v>726.28</c:v>
                </c:pt>
                <c:pt idx="11">
                  <c:v>732.61999999999989</c:v>
                </c:pt>
                <c:pt idx="12">
                  <c:v>734.87999999999988</c:v>
                </c:pt>
                <c:pt idx="13">
                  <c:v>712.50000000000011</c:v>
                </c:pt>
                <c:pt idx="14">
                  <c:v>712.50000000000011</c:v>
                </c:pt>
                <c:pt idx="15">
                  <c:v>712.50000000000011</c:v>
                </c:pt>
                <c:pt idx="16">
                  <c:v>712.50000000000011</c:v>
                </c:pt>
                <c:pt idx="17">
                  <c:v>712.50000000000011</c:v>
                </c:pt>
                <c:pt idx="18" formatCode="0.0">
                  <c:v>712.50000000000011</c:v>
                </c:pt>
                <c:pt idx="19" formatCode="0.0">
                  <c:v>712.50000000000011</c:v>
                </c:pt>
                <c:pt idx="20" formatCode="0.0">
                  <c:v>767.20000000000016</c:v>
                </c:pt>
                <c:pt idx="21" formatCode="0.0">
                  <c:v>767.20000000000016</c:v>
                </c:pt>
                <c:pt idx="22" formatCode="0.0">
                  <c:v>767.20000000000016</c:v>
                </c:pt>
                <c:pt idx="23" formatCode="0.0">
                  <c:v>767.20000000000016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D-4C46-9E65-25798AFFB2AE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362.6</c:v>
                </c:pt>
                <c:pt idx="1">
                  <c:v>243.79999999999998</c:v>
                </c:pt>
                <c:pt idx="2">
                  <c:v>212.6</c:v>
                </c:pt>
                <c:pt idx="3">
                  <c:v>163.19999999999999</c:v>
                </c:pt>
                <c:pt idx="4">
                  <c:v>92.5</c:v>
                </c:pt>
                <c:pt idx="5">
                  <c:v>127.5</c:v>
                </c:pt>
                <c:pt idx="6">
                  <c:v>223.5</c:v>
                </c:pt>
                <c:pt idx="7">
                  <c:v>349.2</c:v>
                </c:pt>
                <c:pt idx="8">
                  <c:v>439.5</c:v>
                </c:pt>
                <c:pt idx="9">
                  <c:v>477.6</c:v>
                </c:pt>
                <c:pt idx="10">
                  <c:v>458.5</c:v>
                </c:pt>
                <c:pt idx="11">
                  <c:v>459.20000000000005</c:v>
                </c:pt>
                <c:pt idx="12">
                  <c:v>533.6</c:v>
                </c:pt>
                <c:pt idx="13">
                  <c:v>402.6</c:v>
                </c:pt>
                <c:pt idx="14">
                  <c:v>469.6</c:v>
                </c:pt>
                <c:pt idx="15">
                  <c:v>487.6</c:v>
                </c:pt>
                <c:pt idx="16">
                  <c:v>198.5</c:v>
                </c:pt>
                <c:pt idx="17">
                  <c:v>259.5</c:v>
                </c:pt>
                <c:pt idx="18" formatCode="0.0">
                  <c:v>129</c:v>
                </c:pt>
                <c:pt idx="19" formatCode="0.0">
                  <c:v>487.20000000000005</c:v>
                </c:pt>
                <c:pt idx="20" formatCode="0.0">
                  <c:v>535.30000000000007</c:v>
                </c:pt>
                <c:pt idx="21" formatCode="0.0">
                  <c:v>477.6</c:v>
                </c:pt>
                <c:pt idx="22" formatCode="0.0">
                  <c:v>417.6</c:v>
                </c:pt>
                <c:pt idx="23" formatCode="0.0">
                  <c:v>377.6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D-4C46-9E65-25798AFFB2AE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237.44</c:v>
                </c:pt>
                <c:pt idx="1">
                  <c:v>383.14000000000004</c:v>
                </c:pt>
                <c:pt idx="2">
                  <c:v>394.14000000000004</c:v>
                </c:pt>
                <c:pt idx="3">
                  <c:v>383.14000000000004</c:v>
                </c:pt>
                <c:pt idx="4">
                  <c:v>336.64000000000004</c:v>
                </c:pt>
                <c:pt idx="5">
                  <c:v>335.84000000000003</c:v>
                </c:pt>
                <c:pt idx="6">
                  <c:v>344.54</c:v>
                </c:pt>
                <c:pt idx="7">
                  <c:v>337.14</c:v>
                </c:pt>
                <c:pt idx="8">
                  <c:v>327.44000000000005</c:v>
                </c:pt>
                <c:pt idx="9">
                  <c:v>331.34000000000003</c:v>
                </c:pt>
                <c:pt idx="10">
                  <c:v>398.44</c:v>
                </c:pt>
                <c:pt idx="11">
                  <c:v>411.74</c:v>
                </c:pt>
                <c:pt idx="12">
                  <c:v>403.24000000000007</c:v>
                </c:pt>
                <c:pt idx="13">
                  <c:v>408.34</c:v>
                </c:pt>
                <c:pt idx="14">
                  <c:v>406.03999999999996</c:v>
                </c:pt>
                <c:pt idx="15">
                  <c:v>402.73999999999995</c:v>
                </c:pt>
                <c:pt idx="16">
                  <c:v>424.34</c:v>
                </c:pt>
                <c:pt idx="17">
                  <c:v>394.03999999999996</c:v>
                </c:pt>
                <c:pt idx="18" formatCode="0.0">
                  <c:v>416.34</c:v>
                </c:pt>
                <c:pt idx="19" formatCode="0.0">
                  <c:v>414.93999999999994</c:v>
                </c:pt>
                <c:pt idx="20" formatCode="0.0">
                  <c:v>423.84000000000003</c:v>
                </c:pt>
                <c:pt idx="21" formatCode="0.0">
                  <c:v>416.34</c:v>
                </c:pt>
                <c:pt idx="22" formatCode="0.0">
                  <c:v>416.34</c:v>
                </c:pt>
                <c:pt idx="23" formatCode="0.0">
                  <c:v>416.34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D-4C46-9E65-25798AFFB2AE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100.8</c:v>
                </c:pt>
                <c:pt idx="1">
                  <c:v>100.1</c:v>
                </c:pt>
                <c:pt idx="2">
                  <c:v>48</c:v>
                </c:pt>
                <c:pt idx="3">
                  <c:v>44.5</c:v>
                </c:pt>
                <c:pt idx="4">
                  <c:v>88</c:v>
                </c:pt>
                <c:pt idx="5">
                  <c:v>86</c:v>
                </c:pt>
                <c:pt idx="6">
                  <c:v>76.400000000000006</c:v>
                </c:pt>
                <c:pt idx="7">
                  <c:v>178.2</c:v>
                </c:pt>
                <c:pt idx="8">
                  <c:v>192.7</c:v>
                </c:pt>
                <c:pt idx="9">
                  <c:v>202.70000000000002</c:v>
                </c:pt>
                <c:pt idx="10">
                  <c:v>214.2</c:v>
                </c:pt>
                <c:pt idx="11">
                  <c:v>210.1</c:v>
                </c:pt>
                <c:pt idx="12">
                  <c:v>220.89999999999998</c:v>
                </c:pt>
                <c:pt idx="13">
                  <c:v>211.29999999999998</c:v>
                </c:pt>
                <c:pt idx="14">
                  <c:v>238.70000000000002</c:v>
                </c:pt>
                <c:pt idx="15">
                  <c:v>237.10000000000002</c:v>
                </c:pt>
                <c:pt idx="16">
                  <c:v>309.60000000000002</c:v>
                </c:pt>
                <c:pt idx="17">
                  <c:v>257.60000000000002</c:v>
                </c:pt>
                <c:pt idx="18" formatCode="0.0">
                  <c:v>302.7</c:v>
                </c:pt>
                <c:pt idx="19" formatCode="0.0">
                  <c:v>51.699999999999996</c:v>
                </c:pt>
                <c:pt idx="20" formatCode="0.0">
                  <c:v>56.4</c:v>
                </c:pt>
                <c:pt idx="21" formatCode="0.0">
                  <c:v>70</c:v>
                </c:pt>
                <c:pt idx="22" formatCode="0.0">
                  <c:v>79</c:v>
                </c:pt>
                <c:pt idx="23" formatCode="0.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D-4C46-9E65-25798AFFB2AE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61.599999999999994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18.899999999999999</c:v>
                </c:pt>
                <c:pt idx="11">
                  <c:v>48.699999999999996</c:v>
                </c:pt>
                <c:pt idx="12">
                  <c:v>17.099999999999998</c:v>
                </c:pt>
                <c:pt idx="13">
                  <c:v>22.2</c:v>
                </c:pt>
                <c:pt idx="14">
                  <c:v>22.5</c:v>
                </c:pt>
                <c:pt idx="15">
                  <c:v>22.5</c:v>
                </c:pt>
                <c:pt idx="16">
                  <c:v>22.5</c:v>
                </c:pt>
                <c:pt idx="17">
                  <c:v>22.2</c:v>
                </c:pt>
                <c:pt idx="18" formatCode="0.0">
                  <c:v>14.8</c:v>
                </c:pt>
                <c:pt idx="19" formatCode="0.0">
                  <c:v>14.8</c:v>
                </c:pt>
                <c:pt idx="20" formatCode="0.0">
                  <c:v>65.3</c:v>
                </c:pt>
                <c:pt idx="21" formatCode="0.0">
                  <c:v>65.3</c:v>
                </c:pt>
                <c:pt idx="22" formatCode="0.0">
                  <c:v>60.6</c:v>
                </c:pt>
                <c:pt idx="23" formatCode="0.0">
                  <c:v>60.6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0D-4C46-9E65-25798AFFB2AE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100</c:v>
                </c:pt>
                <c:pt idx="19" formatCode="0.0">
                  <c:v>300</c:v>
                </c:pt>
                <c:pt idx="20" formatCode="0.0">
                  <c:v>250</c:v>
                </c:pt>
                <c:pt idx="21" formatCode="0.0">
                  <c:v>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0D-4C46-9E65-25798AFF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-118</c:v>
                </c:pt>
                <c:pt idx="1">
                  <c:v>-125</c:v>
                </c:pt>
                <c:pt idx="2">
                  <c:v>-130</c:v>
                </c:pt>
                <c:pt idx="3">
                  <c:v>-113</c:v>
                </c:pt>
                <c:pt idx="4">
                  <c:v>-112.5</c:v>
                </c:pt>
                <c:pt idx="5">
                  <c:v>-115</c:v>
                </c:pt>
                <c:pt idx="6">
                  <c:v>-108</c:v>
                </c:pt>
                <c:pt idx="7">
                  <c:v>-162</c:v>
                </c:pt>
                <c:pt idx="8">
                  <c:v>-238.2</c:v>
                </c:pt>
                <c:pt idx="9">
                  <c:v>-210</c:v>
                </c:pt>
                <c:pt idx="10">
                  <c:v>-190</c:v>
                </c:pt>
                <c:pt idx="11">
                  <c:v>-172</c:v>
                </c:pt>
                <c:pt idx="12">
                  <c:v>-225</c:v>
                </c:pt>
                <c:pt idx="13">
                  <c:v>-115</c:v>
                </c:pt>
                <c:pt idx="14">
                  <c:v>-105.5</c:v>
                </c:pt>
                <c:pt idx="15">
                  <c:v>-104.6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-107.2</c:v>
                </c:pt>
                <c:pt idx="20">
                  <c:v>-102</c:v>
                </c:pt>
                <c:pt idx="21">
                  <c:v>-103</c:v>
                </c:pt>
                <c:pt idx="22">
                  <c:v>-108</c:v>
                </c:pt>
                <c:pt idx="23">
                  <c:v>-109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0D-4C46-9E65-25798AFF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1600.9399999999998</c:v>
                </c:pt>
                <c:pt idx="1">
                  <c:v>1705.34</c:v>
                </c:pt>
                <c:pt idx="2">
                  <c:v>1633.0400000000002</c:v>
                </c:pt>
                <c:pt idx="3">
                  <c:v>1561.92</c:v>
                </c:pt>
                <c:pt idx="4">
                  <c:v>1488.22</c:v>
                </c:pt>
                <c:pt idx="5">
                  <c:v>1522.8200000000002</c:v>
                </c:pt>
                <c:pt idx="6">
                  <c:v>1616.72</c:v>
                </c:pt>
                <c:pt idx="7">
                  <c:v>1688.0200000000002</c:v>
                </c:pt>
                <c:pt idx="8">
                  <c:v>1677.1200000000001</c:v>
                </c:pt>
                <c:pt idx="9">
                  <c:v>1738.32</c:v>
                </c:pt>
                <c:pt idx="10">
                  <c:v>1816.3200000000002</c:v>
                </c:pt>
                <c:pt idx="11">
                  <c:v>1862.36</c:v>
                </c:pt>
                <c:pt idx="12">
                  <c:v>1909.7199999999998</c:v>
                </c:pt>
                <c:pt idx="13">
                  <c:v>1756.94</c:v>
                </c:pt>
                <c:pt idx="14">
                  <c:v>1849.3400000000001</c:v>
                </c:pt>
                <c:pt idx="15">
                  <c:v>1862.44</c:v>
                </c:pt>
                <c:pt idx="16">
                  <c:v>1667.44</c:v>
                </c:pt>
                <c:pt idx="17">
                  <c:v>1645.84</c:v>
                </c:pt>
                <c:pt idx="18">
                  <c:v>1675.3400000000001</c:v>
                </c:pt>
                <c:pt idx="19">
                  <c:v>1981.1400000000003</c:v>
                </c:pt>
                <c:pt idx="20">
                  <c:v>2098.04</c:v>
                </c:pt>
                <c:pt idx="21">
                  <c:v>0</c:v>
                </c:pt>
                <c:pt idx="22">
                  <c:v>1990.74</c:v>
                </c:pt>
                <c:pt idx="23">
                  <c:v>1940.74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30D-4C46-9E65-25798AFFB2AE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1482.9399999999998</c:v>
                </c:pt>
                <c:pt idx="1">
                  <c:v>1580.34</c:v>
                </c:pt>
                <c:pt idx="2">
                  <c:v>1503.0400000000002</c:v>
                </c:pt>
                <c:pt idx="3">
                  <c:v>1448.92</c:v>
                </c:pt>
                <c:pt idx="4">
                  <c:v>1375.72</c:v>
                </c:pt>
                <c:pt idx="5">
                  <c:v>1407.8200000000002</c:v>
                </c:pt>
                <c:pt idx="6">
                  <c:v>1508.72</c:v>
                </c:pt>
                <c:pt idx="7">
                  <c:v>1526.0200000000002</c:v>
                </c:pt>
                <c:pt idx="8">
                  <c:v>1438.92</c:v>
                </c:pt>
                <c:pt idx="9">
                  <c:v>1528.32</c:v>
                </c:pt>
                <c:pt idx="10">
                  <c:v>1626.3200000000002</c:v>
                </c:pt>
                <c:pt idx="11">
                  <c:v>1690.36</c:v>
                </c:pt>
                <c:pt idx="12">
                  <c:v>1684.7199999999998</c:v>
                </c:pt>
                <c:pt idx="13">
                  <c:v>1641.94</c:v>
                </c:pt>
                <c:pt idx="14">
                  <c:v>1743.8400000000001</c:v>
                </c:pt>
                <c:pt idx="15">
                  <c:v>1757.8400000000001</c:v>
                </c:pt>
                <c:pt idx="16">
                  <c:v>1667.44</c:v>
                </c:pt>
                <c:pt idx="17">
                  <c:v>1645.84</c:v>
                </c:pt>
                <c:pt idx="18">
                  <c:v>1675.3400000000001</c:v>
                </c:pt>
                <c:pt idx="19">
                  <c:v>1873.9400000000003</c:v>
                </c:pt>
                <c:pt idx="20">
                  <c:v>1996.04</c:v>
                </c:pt>
                <c:pt idx="21">
                  <c:v>0</c:v>
                </c:pt>
                <c:pt idx="22">
                  <c:v>1882.74</c:v>
                </c:pt>
                <c:pt idx="23">
                  <c:v>1831.74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0D-4C46-9E65-25798AFF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A1-4AD3-8A56-3AC6A5B4CF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A1-4AD3-8A56-3AC6A5B4CF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A1-4AD3-8A56-3AC6A5B4CF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A1-4AD3-8A56-3AC6A5B4CF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A1-4AD3-8A56-3AC6A5B4CF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3A1-4AD3-8A56-3AC6A5B4CF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772.00000000000011</c:v>
                </c:pt>
                <c:pt idx="1">
                  <c:v>772.00000000000011</c:v>
                </c:pt>
                <c:pt idx="2">
                  <c:v>772.00000000000011</c:v>
                </c:pt>
                <c:pt idx="3">
                  <c:v>778.3599999999999</c:v>
                </c:pt>
                <c:pt idx="4">
                  <c:v>777.76</c:v>
                </c:pt>
                <c:pt idx="5">
                  <c:v>778.45999999999992</c:v>
                </c:pt>
                <c:pt idx="6">
                  <c:v>779.56</c:v>
                </c:pt>
                <c:pt idx="7">
                  <c:v>734</c:v>
                </c:pt>
                <c:pt idx="8">
                  <c:v>753.80000000000007</c:v>
                </c:pt>
                <c:pt idx="9">
                  <c:v>750.9</c:v>
                </c:pt>
                <c:pt idx="10">
                  <c:v>757.5</c:v>
                </c:pt>
                <c:pt idx="11">
                  <c:v>758.1</c:v>
                </c:pt>
                <c:pt idx="12">
                  <c:v>758.1</c:v>
                </c:pt>
                <c:pt idx="13">
                  <c:v>734.2</c:v>
                </c:pt>
                <c:pt idx="14">
                  <c:v>734.2</c:v>
                </c:pt>
                <c:pt idx="15">
                  <c:v>734.2</c:v>
                </c:pt>
                <c:pt idx="16">
                  <c:v>734.2</c:v>
                </c:pt>
                <c:pt idx="17">
                  <c:v>734.2</c:v>
                </c:pt>
                <c:pt idx="18" formatCode="0.0">
                  <c:v>734.2</c:v>
                </c:pt>
                <c:pt idx="19" formatCode="0.0">
                  <c:v>734.2</c:v>
                </c:pt>
                <c:pt idx="20" formatCode="0.0">
                  <c:v>734.2</c:v>
                </c:pt>
                <c:pt idx="21" formatCode="0.0">
                  <c:v>734.2</c:v>
                </c:pt>
                <c:pt idx="22" formatCode="0.0">
                  <c:v>734.2</c:v>
                </c:pt>
                <c:pt idx="23" formatCode="0.0">
                  <c:v>734.2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9E6-9DAD-3363F13262B3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366.6</c:v>
                </c:pt>
                <c:pt idx="1">
                  <c:v>337.6</c:v>
                </c:pt>
                <c:pt idx="2">
                  <c:v>337.6</c:v>
                </c:pt>
                <c:pt idx="3">
                  <c:v>318.60000000000002</c:v>
                </c:pt>
                <c:pt idx="4">
                  <c:v>313.60000000000002</c:v>
                </c:pt>
                <c:pt idx="5">
                  <c:v>313.60000000000002</c:v>
                </c:pt>
                <c:pt idx="6">
                  <c:v>389.6</c:v>
                </c:pt>
                <c:pt idx="7">
                  <c:v>421.6</c:v>
                </c:pt>
                <c:pt idx="8">
                  <c:v>216.6</c:v>
                </c:pt>
                <c:pt idx="9">
                  <c:v>517.6</c:v>
                </c:pt>
                <c:pt idx="10">
                  <c:v>535.4</c:v>
                </c:pt>
                <c:pt idx="11">
                  <c:v>137.6</c:v>
                </c:pt>
                <c:pt idx="12">
                  <c:v>107.6</c:v>
                </c:pt>
                <c:pt idx="13">
                  <c:v>140.30000000000001</c:v>
                </c:pt>
                <c:pt idx="14">
                  <c:v>143.6</c:v>
                </c:pt>
                <c:pt idx="15">
                  <c:v>213.6</c:v>
                </c:pt>
                <c:pt idx="16">
                  <c:v>250.6</c:v>
                </c:pt>
                <c:pt idx="17">
                  <c:v>400.6</c:v>
                </c:pt>
                <c:pt idx="18" formatCode="0.0">
                  <c:v>325.60000000000002</c:v>
                </c:pt>
                <c:pt idx="19" formatCode="0.0">
                  <c:v>509.6</c:v>
                </c:pt>
                <c:pt idx="20" formatCode="0.0">
                  <c:v>509.6</c:v>
                </c:pt>
                <c:pt idx="21" formatCode="0.0">
                  <c:v>509.6</c:v>
                </c:pt>
                <c:pt idx="22" formatCode="0.0">
                  <c:v>509.6</c:v>
                </c:pt>
                <c:pt idx="23" formatCode="0.0">
                  <c:v>509.6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8-49E6-9DAD-3363F13262B3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416.34</c:v>
                </c:pt>
                <c:pt idx="1">
                  <c:v>416.34</c:v>
                </c:pt>
                <c:pt idx="2">
                  <c:v>403.34</c:v>
                </c:pt>
                <c:pt idx="3">
                  <c:v>369.64</c:v>
                </c:pt>
                <c:pt idx="4">
                  <c:v>369.64</c:v>
                </c:pt>
                <c:pt idx="5">
                  <c:v>369.04</c:v>
                </c:pt>
                <c:pt idx="6">
                  <c:v>369.04</c:v>
                </c:pt>
                <c:pt idx="7">
                  <c:v>369.04</c:v>
                </c:pt>
                <c:pt idx="8">
                  <c:v>357.24</c:v>
                </c:pt>
                <c:pt idx="9">
                  <c:v>391.61</c:v>
                </c:pt>
                <c:pt idx="10">
                  <c:v>395.01000000000005</c:v>
                </c:pt>
                <c:pt idx="11">
                  <c:v>397.11000000000007</c:v>
                </c:pt>
                <c:pt idx="12">
                  <c:v>407.04</c:v>
                </c:pt>
                <c:pt idx="13">
                  <c:v>410.64</c:v>
                </c:pt>
                <c:pt idx="14">
                  <c:v>387.54000000000008</c:v>
                </c:pt>
                <c:pt idx="15">
                  <c:v>403.24000000000007</c:v>
                </c:pt>
                <c:pt idx="16">
                  <c:v>403.24000000000007</c:v>
                </c:pt>
                <c:pt idx="17">
                  <c:v>407.14000000000004</c:v>
                </c:pt>
                <c:pt idx="18" formatCode="0.0">
                  <c:v>374.04</c:v>
                </c:pt>
                <c:pt idx="19" formatCode="0.0">
                  <c:v>425.1</c:v>
                </c:pt>
                <c:pt idx="20" formatCode="0.0">
                  <c:v>425.1</c:v>
                </c:pt>
                <c:pt idx="21" formatCode="0.0">
                  <c:v>425.1</c:v>
                </c:pt>
                <c:pt idx="22" formatCode="0.0">
                  <c:v>425.1</c:v>
                </c:pt>
                <c:pt idx="23" formatCode="0.0">
                  <c:v>425.1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8-49E6-9DAD-3363F13262B3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59</c:v>
                </c:pt>
                <c:pt idx="1">
                  <c:v>66</c:v>
                </c:pt>
                <c:pt idx="2">
                  <c:v>65</c:v>
                </c:pt>
                <c:pt idx="3">
                  <c:v>65.7</c:v>
                </c:pt>
                <c:pt idx="4">
                  <c:v>64</c:v>
                </c:pt>
                <c:pt idx="5">
                  <c:v>76.800000000000011</c:v>
                </c:pt>
                <c:pt idx="6">
                  <c:v>61.6</c:v>
                </c:pt>
                <c:pt idx="7">
                  <c:v>226.3</c:v>
                </c:pt>
                <c:pt idx="8">
                  <c:v>410.1</c:v>
                </c:pt>
                <c:pt idx="9">
                  <c:v>242</c:v>
                </c:pt>
                <c:pt idx="10">
                  <c:v>251.39999999999998</c:v>
                </c:pt>
                <c:pt idx="11">
                  <c:v>573.9</c:v>
                </c:pt>
                <c:pt idx="12">
                  <c:v>593.80000000000007</c:v>
                </c:pt>
                <c:pt idx="13">
                  <c:v>598.20000000000005</c:v>
                </c:pt>
                <c:pt idx="14">
                  <c:v>596.80000000000007</c:v>
                </c:pt>
                <c:pt idx="15">
                  <c:v>496</c:v>
                </c:pt>
                <c:pt idx="16">
                  <c:v>428</c:v>
                </c:pt>
                <c:pt idx="17">
                  <c:v>238</c:v>
                </c:pt>
                <c:pt idx="18" formatCode="0.0">
                  <c:v>220.4</c:v>
                </c:pt>
                <c:pt idx="19" formatCode="0.0">
                  <c:v>68.400000000000006</c:v>
                </c:pt>
                <c:pt idx="20" formatCode="0.0">
                  <c:v>73.599999999999994</c:v>
                </c:pt>
                <c:pt idx="21" formatCode="0.0">
                  <c:v>63.6</c:v>
                </c:pt>
                <c:pt idx="22" formatCode="0.0">
                  <c:v>77</c:v>
                </c:pt>
                <c:pt idx="23" formatCode="0.0">
                  <c:v>75.900000000000006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8-49E6-9DAD-3363F13262B3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43.1</c:v>
                </c:pt>
                <c:pt idx="1">
                  <c:v>19.5</c:v>
                </c:pt>
                <c:pt idx="2">
                  <c:v>19.5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13.5</c:v>
                </c:pt>
                <c:pt idx="10">
                  <c:v>21.6</c:v>
                </c:pt>
                <c:pt idx="11">
                  <c:v>31.2</c:v>
                </c:pt>
                <c:pt idx="12">
                  <c:v>21.4</c:v>
                </c:pt>
                <c:pt idx="13">
                  <c:v>21.8</c:v>
                </c:pt>
                <c:pt idx="14">
                  <c:v>21.8</c:v>
                </c:pt>
                <c:pt idx="15">
                  <c:v>21.8</c:v>
                </c:pt>
                <c:pt idx="16">
                  <c:v>21.8</c:v>
                </c:pt>
                <c:pt idx="17">
                  <c:v>21.8</c:v>
                </c:pt>
                <c:pt idx="18" formatCode="0.0">
                  <c:v>15.099999999999998</c:v>
                </c:pt>
                <c:pt idx="19" formatCode="0.0">
                  <c:v>39.6</c:v>
                </c:pt>
                <c:pt idx="20" formatCode="0.0">
                  <c:v>93.6</c:v>
                </c:pt>
                <c:pt idx="21" formatCode="0.0">
                  <c:v>93.6</c:v>
                </c:pt>
                <c:pt idx="22" formatCode="0.0">
                  <c:v>93.6</c:v>
                </c:pt>
                <c:pt idx="23" formatCode="0.0">
                  <c:v>93.6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8-49E6-9DAD-3363F13262B3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210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E8-49E6-9DAD-3363F1326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-115</c:v>
                </c:pt>
                <c:pt idx="1">
                  <c:v>-110</c:v>
                </c:pt>
                <c:pt idx="2">
                  <c:v>-112</c:v>
                </c:pt>
                <c:pt idx="3">
                  <c:v>-106</c:v>
                </c:pt>
                <c:pt idx="4">
                  <c:v>-110</c:v>
                </c:pt>
                <c:pt idx="5">
                  <c:v>-116</c:v>
                </c:pt>
                <c:pt idx="6">
                  <c:v>-99</c:v>
                </c:pt>
                <c:pt idx="7">
                  <c:v>-112.9</c:v>
                </c:pt>
                <c:pt idx="8">
                  <c:v>0</c:v>
                </c:pt>
                <c:pt idx="9">
                  <c:v>-126.5</c:v>
                </c:pt>
                <c:pt idx="10">
                  <c:v>-108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-28</c:v>
                </c:pt>
                <c:pt idx="18">
                  <c:v>-14</c:v>
                </c:pt>
                <c:pt idx="19">
                  <c:v>-112</c:v>
                </c:pt>
                <c:pt idx="20">
                  <c:v>-110.1</c:v>
                </c:pt>
                <c:pt idx="21">
                  <c:v>-106.4</c:v>
                </c:pt>
                <c:pt idx="22">
                  <c:v>-115.4</c:v>
                </c:pt>
                <c:pt idx="23">
                  <c:v>-112.4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E8-49E6-9DAD-3363F1326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1907.04</c:v>
                </c:pt>
                <c:pt idx="1">
                  <c:v>1861.44</c:v>
                </c:pt>
                <c:pt idx="2">
                  <c:v>1847.44</c:v>
                </c:pt>
                <c:pt idx="3">
                  <c:v>1782.3</c:v>
                </c:pt>
                <c:pt idx="4">
                  <c:v>1775</c:v>
                </c:pt>
                <c:pt idx="5">
                  <c:v>1787.8999999999999</c:v>
                </c:pt>
                <c:pt idx="6">
                  <c:v>1749.7999999999997</c:v>
                </c:pt>
                <c:pt idx="7">
                  <c:v>1750.9399999999998</c:v>
                </c:pt>
                <c:pt idx="8">
                  <c:v>1737.7400000000002</c:v>
                </c:pt>
                <c:pt idx="9">
                  <c:v>1915.6100000000001</c:v>
                </c:pt>
                <c:pt idx="10">
                  <c:v>1960.9099999999999</c:v>
                </c:pt>
                <c:pt idx="11">
                  <c:v>1897.91</c:v>
                </c:pt>
                <c:pt idx="12">
                  <c:v>1887.94</c:v>
                </c:pt>
                <c:pt idx="13">
                  <c:v>1905.1399999999999</c:v>
                </c:pt>
                <c:pt idx="14">
                  <c:v>1883.9400000000003</c:v>
                </c:pt>
                <c:pt idx="15">
                  <c:v>1868.8400000000001</c:v>
                </c:pt>
                <c:pt idx="16">
                  <c:v>1837.8400000000001</c:v>
                </c:pt>
                <c:pt idx="17">
                  <c:v>1801.7400000000002</c:v>
                </c:pt>
                <c:pt idx="18">
                  <c:v>1669.3400000000001</c:v>
                </c:pt>
                <c:pt idx="19">
                  <c:v>1976.9</c:v>
                </c:pt>
                <c:pt idx="20">
                  <c:v>2036.1</c:v>
                </c:pt>
                <c:pt idx="21">
                  <c:v>2036.1</c:v>
                </c:pt>
                <c:pt idx="22">
                  <c:v>2039.5</c:v>
                </c:pt>
                <c:pt idx="23">
                  <c:v>2038.4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AE8-49E6-9DAD-3363F13262B3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1792.04</c:v>
                </c:pt>
                <c:pt idx="1">
                  <c:v>1751.44</c:v>
                </c:pt>
                <c:pt idx="2">
                  <c:v>1735.44</c:v>
                </c:pt>
                <c:pt idx="3">
                  <c:v>1676.3</c:v>
                </c:pt>
                <c:pt idx="4">
                  <c:v>1665</c:v>
                </c:pt>
                <c:pt idx="5">
                  <c:v>1671.8999999999999</c:v>
                </c:pt>
                <c:pt idx="6">
                  <c:v>1650.7999999999997</c:v>
                </c:pt>
                <c:pt idx="7">
                  <c:v>1638.0399999999997</c:v>
                </c:pt>
                <c:pt idx="8">
                  <c:v>1737.7400000000002</c:v>
                </c:pt>
                <c:pt idx="9">
                  <c:v>1789.1100000000001</c:v>
                </c:pt>
                <c:pt idx="10">
                  <c:v>1852.9099999999999</c:v>
                </c:pt>
                <c:pt idx="11">
                  <c:v>1897.91</c:v>
                </c:pt>
                <c:pt idx="12">
                  <c:v>1887.94</c:v>
                </c:pt>
                <c:pt idx="13">
                  <c:v>1905.1399999999999</c:v>
                </c:pt>
                <c:pt idx="14">
                  <c:v>1883.9400000000003</c:v>
                </c:pt>
                <c:pt idx="15">
                  <c:v>1868.8400000000001</c:v>
                </c:pt>
                <c:pt idx="16">
                  <c:v>1837.8400000000001</c:v>
                </c:pt>
                <c:pt idx="17">
                  <c:v>1773.7400000000002</c:v>
                </c:pt>
                <c:pt idx="18">
                  <c:v>1655.3400000000001</c:v>
                </c:pt>
                <c:pt idx="19">
                  <c:v>1864.9</c:v>
                </c:pt>
                <c:pt idx="20">
                  <c:v>1926</c:v>
                </c:pt>
                <c:pt idx="21">
                  <c:v>1929.6999999999998</c:v>
                </c:pt>
                <c:pt idx="22">
                  <c:v>1924.1</c:v>
                </c:pt>
                <c:pt idx="23">
                  <c:v>1926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E8-49E6-9DAD-3363F1326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52-44FD-A322-1B2FABB4A4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52-44FD-A322-1B2FABB4A4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52-44FD-A322-1B2FABB4A4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52-44FD-A322-1B2FABB4A4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52-44FD-A322-1B2FABB4A45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552-44FD-A322-1B2FABB4A4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734.2</c:v>
                </c:pt>
                <c:pt idx="1">
                  <c:v>734.2</c:v>
                </c:pt>
                <c:pt idx="2">
                  <c:v>734.2</c:v>
                </c:pt>
                <c:pt idx="3">
                  <c:v>674.7</c:v>
                </c:pt>
                <c:pt idx="4">
                  <c:v>681.00000000000011</c:v>
                </c:pt>
                <c:pt idx="5">
                  <c:v>676.1</c:v>
                </c:pt>
                <c:pt idx="6">
                  <c:v>685.30000000000007</c:v>
                </c:pt>
                <c:pt idx="7">
                  <c:v>688.9</c:v>
                </c:pt>
                <c:pt idx="8">
                  <c:v>781.90000000000009</c:v>
                </c:pt>
                <c:pt idx="9">
                  <c:v>785.10000000000014</c:v>
                </c:pt>
                <c:pt idx="10">
                  <c:v>785.5</c:v>
                </c:pt>
                <c:pt idx="11">
                  <c:v>761.30000000000007</c:v>
                </c:pt>
                <c:pt idx="12">
                  <c:v>790.1</c:v>
                </c:pt>
                <c:pt idx="13">
                  <c:v>749.2</c:v>
                </c:pt>
                <c:pt idx="14">
                  <c:v>749.2</c:v>
                </c:pt>
                <c:pt idx="15">
                  <c:v>749.2</c:v>
                </c:pt>
                <c:pt idx="16">
                  <c:v>686.69999999999993</c:v>
                </c:pt>
                <c:pt idx="17">
                  <c:v>686.69999999999993</c:v>
                </c:pt>
                <c:pt idx="18" formatCode="0.0">
                  <c:v>678.69999999999993</c:v>
                </c:pt>
                <c:pt idx="19" formatCode="0.0">
                  <c:v>756.5</c:v>
                </c:pt>
                <c:pt idx="20" formatCode="0.0">
                  <c:v>764.5</c:v>
                </c:pt>
                <c:pt idx="21" formatCode="0.0">
                  <c:v>764.5</c:v>
                </c:pt>
                <c:pt idx="22" formatCode="0.0">
                  <c:v>764.5</c:v>
                </c:pt>
                <c:pt idx="23" formatCode="0.0">
                  <c:v>764.5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4-4EC0-8D5A-D728A7408D25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371.3</c:v>
                </c:pt>
                <c:pt idx="1">
                  <c:v>395.40000000000003</c:v>
                </c:pt>
                <c:pt idx="2">
                  <c:v>431.8</c:v>
                </c:pt>
                <c:pt idx="3">
                  <c:v>455.5</c:v>
                </c:pt>
                <c:pt idx="4">
                  <c:v>431.70000000000005</c:v>
                </c:pt>
                <c:pt idx="5">
                  <c:v>371.6</c:v>
                </c:pt>
                <c:pt idx="6">
                  <c:v>448.6</c:v>
                </c:pt>
                <c:pt idx="7">
                  <c:v>432</c:v>
                </c:pt>
                <c:pt idx="8">
                  <c:v>282</c:v>
                </c:pt>
                <c:pt idx="9">
                  <c:v>287.60000000000002</c:v>
                </c:pt>
                <c:pt idx="10">
                  <c:v>317.60000000000002</c:v>
                </c:pt>
                <c:pt idx="11">
                  <c:v>259.60000000000002</c:v>
                </c:pt>
                <c:pt idx="12">
                  <c:v>282.3</c:v>
                </c:pt>
                <c:pt idx="13">
                  <c:v>300.3</c:v>
                </c:pt>
                <c:pt idx="14">
                  <c:v>315.8</c:v>
                </c:pt>
                <c:pt idx="15">
                  <c:v>363.8</c:v>
                </c:pt>
                <c:pt idx="16">
                  <c:v>233.79999999999998</c:v>
                </c:pt>
                <c:pt idx="17">
                  <c:v>158.79999999999998</c:v>
                </c:pt>
                <c:pt idx="18" formatCode="0.0">
                  <c:v>154.39999999999998</c:v>
                </c:pt>
                <c:pt idx="19" formatCode="0.0">
                  <c:v>475.8</c:v>
                </c:pt>
                <c:pt idx="20" formatCode="0.0">
                  <c:v>475.8</c:v>
                </c:pt>
                <c:pt idx="21" formatCode="0.0">
                  <c:v>475.8</c:v>
                </c:pt>
                <c:pt idx="22" formatCode="0.0">
                  <c:v>475.8</c:v>
                </c:pt>
                <c:pt idx="23" formatCode="0.0">
                  <c:v>475.8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4-4EC0-8D5A-D728A7408D25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425.1</c:v>
                </c:pt>
                <c:pt idx="1">
                  <c:v>425.1</c:v>
                </c:pt>
                <c:pt idx="2">
                  <c:v>425.1</c:v>
                </c:pt>
                <c:pt idx="3">
                  <c:v>376.84000000000003</c:v>
                </c:pt>
                <c:pt idx="4">
                  <c:v>410.34000000000003</c:v>
                </c:pt>
                <c:pt idx="5">
                  <c:v>409.84000000000003</c:v>
                </c:pt>
                <c:pt idx="6">
                  <c:v>399.8</c:v>
                </c:pt>
                <c:pt idx="7">
                  <c:v>339.64</c:v>
                </c:pt>
                <c:pt idx="8">
                  <c:v>412.84</c:v>
                </c:pt>
                <c:pt idx="9">
                  <c:v>415.34</c:v>
                </c:pt>
                <c:pt idx="10">
                  <c:v>411.64</c:v>
                </c:pt>
                <c:pt idx="11">
                  <c:v>384.6400000000001</c:v>
                </c:pt>
                <c:pt idx="12">
                  <c:v>384.6400000000001</c:v>
                </c:pt>
                <c:pt idx="13">
                  <c:v>385.1400000000001</c:v>
                </c:pt>
                <c:pt idx="14">
                  <c:v>415.94</c:v>
                </c:pt>
                <c:pt idx="15">
                  <c:v>406.64</c:v>
                </c:pt>
                <c:pt idx="16">
                  <c:v>383.94</c:v>
                </c:pt>
                <c:pt idx="17">
                  <c:v>386.54</c:v>
                </c:pt>
                <c:pt idx="18" formatCode="0.0">
                  <c:v>382.14</c:v>
                </c:pt>
                <c:pt idx="19" formatCode="0.0">
                  <c:v>395.7</c:v>
                </c:pt>
                <c:pt idx="20" formatCode="0.0">
                  <c:v>395.7</c:v>
                </c:pt>
                <c:pt idx="21" formatCode="0.0">
                  <c:v>395.7</c:v>
                </c:pt>
                <c:pt idx="22" formatCode="0.0">
                  <c:v>395.7</c:v>
                </c:pt>
                <c:pt idx="23" formatCode="0.0">
                  <c:v>395.7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4-4EC0-8D5A-D728A7408D25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68.400000000000006</c:v>
                </c:pt>
                <c:pt idx="1">
                  <c:v>68.099999999999994</c:v>
                </c:pt>
                <c:pt idx="2">
                  <c:v>64</c:v>
                </c:pt>
                <c:pt idx="3">
                  <c:v>64.8</c:v>
                </c:pt>
                <c:pt idx="4">
                  <c:v>63.199999999999996</c:v>
                </c:pt>
                <c:pt idx="5">
                  <c:v>56.599999999999994</c:v>
                </c:pt>
                <c:pt idx="6">
                  <c:v>64.400000000000006</c:v>
                </c:pt>
                <c:pt idx="7">
                  <c:v>237.40000000000003</c:v>
                </c:pt>
                <c:pt idx="8">
                  <c:v>167.4</c:v>
                </c:pt>
                <c:pt idx="9">
                  <c:v>183.7</c:v>
                </c:pt>
                <c:pt idx="10">
                  <c:v>200.7</c:v>
                </c:pt>
                <c:pt idx="11">
                  <c:v>281.8</c:v>
                </c:pt>
                <c:pt idx="12">
                  <c:v>258.89999999999998</c:v>
                </c:pt>
                <c:pt idx="13">
                  <c:v>298.39999999999998</c:v>
                </c:pt>
                <c:pt idx="14">
                  <c:v>279.5</c:v>
                </c:pt>
                <c:pt idx="15">
                  <c:v>302.09999999999997</c:v>
                </c:pt>
                <c:pt idx="16">
                  <c:v>317.5</c:v>
                </c:pt>
                <c:pt idx="17">
                  <c:v>345.3</c:v>
                </c:pt>
                <c:pt idx="18" formatCode="0.0">
                  <c:v>299.2</c:v>
                </c:pt>
                <c:pt idx="19" formatCode="0.0">
                  <c:v>80</c:v>
                </c:pt>
                <c:pt idx="20" formatCode="0.0">
                  <c:v>98.5</c:v>
                </c:pt>
                <c:pt idx="21" formatCode="0.0">
                  <c:v>92</c:v>
                </c:pt>
                <c:pt idx="22" formatCode="0.0">
                  <c:v>71.800000000000011</c:v>
                </c:pt>
                <c:pt idx="23" formatCode="0.0">
                  <c:v>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A4-4EC0-8D5A-D728A7408D25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93.6</c:v>
                </c:pt>
                <c:pt idx="1">
                  <c:v>93.6</c:v>
                </c:pt>
                <c:pt idx="2">
                  <c:v>93.6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83</c:v>
                </c:pt>
                <c:pt idx="17">
                  <c:v>51.4</c:v>
                </c:pt>
                <c:pt idx="18" formatCode="0.0">
                  <c:v>16.2</c:v>
                </c:pt>
                <c:pt idx="19" formatCode="0.0">
                  <c:v>21</c:v>
                </c:pt>
                <c:pt idx="20" formatCode="0.0">
                  <c:v>21</c:v>
                </c:pt>
                <c:pt idx="21" formatCode="0.0">
                  <c:v>21</c:v>
                </c:pt>
                <c:pt idx="22" formatCode="0.0">
                  <c:v>21</c:v>
                </c:pt>
                <c:pt idx="23" formatCode="0.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A4-4EC0-8D5A-D728A7408D25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180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220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A4-4EC0-8D5A-D728A740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-112.3</c:v>
                </c:pt>
                <c:pt idx="1">
                  <c:v>-170.6</c:v>
                </c:pt>
                <c:pt idx="2">
                  <c:v>-174</c:v>
                </c:pt>
                <c:pt idx="3">
                  <c:v>-181.1</c:v>
                </c:pt>
                <c:pt idx="4">
                  <c:v>-173.8</c:v>
                </c:pt>
                <c:pt idx="5">
                  <c:v>-119</c:v>
                </c:pt>
                <c:pt idx="6">
                  <c:v>-171</c:v>
                </c:pt>
                <c:pt idx="7">
                  <c:v>-209</c:v>
                </c:pt>
                <c:pt idx="8">
                  <c:v>-126.1</c:v>
                </c:pt>
                <c:pt idx="9">
                  <c:v>-109</c:v>
                </c:pt>
                <c:pt idx="10">
                  <c:v>-120</c:v>
                </c:pt>
                <c:pt idx="11">
                  <c:v>-15</c:v>
                </c:pt>
                <c:pt idx="12">
                  <c:v>-10</c:v>
                </c:pt>
                <c:pt idx="13">
                  <c:v>-12</c:v>
                </c:pt>
                <c:pt idx="14">
                  <c:v>0</c:v>
                </c:pt>
                <c:pt idx="15">
                  <c:v>-16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-134</c:v>
                </c:pt>
                <c:pt idx="20">
                  <c:v>-99.5</c:v>
                </c:pt>
                <c:pt idx="21">
                  <c:v>-108.1</c:v>
                </c:pt>
                <c:pt idx="22">
                  <c:v>-110.6</c:v>
                </c:pt>
                <c:pt idx="23">
                  <c:v>-120.6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A4-4EC0-8D5A-D728A740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1892.6</c:v>
                </c:pt>
                <c:pt idx="1">
                  <c:v>1916.4</c:v>
                </c:pt>
                <c:pt idx="2">
                  <c:v>1948.6999999999998</c:v>
                </c:pt>
                <c:pt idx="3">
                  <c:v>1771.84</c:v>
                </c:pt>
                <c:pt idx="4">
                  <c:v>1786.2400000000005</c:v>
                </c:pt>
                <c:pt idx="5">
                  <c:v>1694.1399999999999</c:v>
                </c:pt>
                <c:pt idx="6">
                  <c:v>1698.1000000000001</c:v>
                </c:pt>
                <c:pt idx="7">
                  <c:v>1797.94</c:v>
                </c:pt>
                <c:pt idx="8">
                  <c:v>1644.14</c:v>
                </c:pt>
                <c:pt idx="9">
                  <c:v>1671.7400000000002</c:v>
                </c:pt>
                <c:pt idx="10">
                  <c:v>1715.4399999999998</c:v>
                </c:pt>
                <c:pt idx="11">
                  <c:v>1687.3400000000001</c:v>
                </c:pt>
                <c:pt idx="12">
                  <c:v>1715.94</c:v>
                </c:pt>
                <c:pt idx="13">
                  <c:v>1733.04</c:v>
                </c:pt>
                <c:pt idx="14">
                  <c:v>1760.44</c:v>
                </c:pt>
                <c:pt idx="15">
                  <c:v>1821.7399999999998</c:v>
                </c:pt>
                <c:pt idx="16">
                  <c:v>1704.9399999999998</c:v>
                </c:pt>
                <c:pt idx="17">
                  <c:v>1628.74</c:v>
                </c:pt>
                <c:pt idx="18">
                  <c:v>1530.6399999999999</c:v>
                </c:pt>
                <c:pt idx="19">
                  <c:v>1929</c:v>
                </c:pt>
                <c:pt idx="20">
                  <c:v>1955.5</c:v>
                </c:pt>
                <c:pt idx="21">
                  <c:v>1949</c:v>
                </c:pt>
                <c:pt idx="22">
                  <c:v>1948.8</c:v>
                </c:pt>
                <c:pt idx="23">
                  <c:v>1950.5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3A4-4EC0-8D5A-D728A7408D25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1780.3</c:v>
                </c:pt>
                <c:pt idx="1">
                  <c:v>1745.8000000000002</c:v>
                </c:pt>
                <c:pt idx="2">
                  <c:v>1774.6999999999998</c:v>
                </c:pt>
                <c:pt idx="3">
                  <c:v>1590.74</c:v>
                </c:pt>
                <c:pt idx="4">
                  <c:v>1612.4400000000005</c:v>
                </c:pt>
                <c:pt idx="5">
                  <c:v>1575.1399999999999</c:v>
                </c:pt>
                <c:pt idx="6">
                  <c:v>1527.1000000000001</c:v>
                </c:pt>
                <c:pt idx="7">
                  <c:v>1588.94</c:v>
                </c:pt>
                <c:pt idx="8">
                  <c:v>1518.0400000000002</c:v>
                </c:pt>
                <c:pt idx="9">
                  <c:v>1562.7400000000002</c:v>
                </c:pt>
                <c:pt idx="10">
                  <c:v>1595.4399999999998</c:v>
                </c:pt>
                <c:pt idx="11">
                  <c:v>1672.3400000000001</c:v>
                </c:pt>
                <c:pt idx="12">
                  <c:v>1705.94</c:v>
                </c:pt>
                <c:pt idx="13">
                  <c:v>1721.04</c:v>
                </c:pt>
                <c:pt idx="14">
                  <c:v>1760.44</c:v>
                </c:pt>
                <c:pt idx="15">
                  <c:v>1805.7399999999998</c:v>
                </c:pt>
                <c:pt idx="16">
                  <c:v>1704.9399999999998</c:v>
                </c:pt>
                <c:pt idx="17">
                  <c:v>1628.74</c:v>
                </c:pt>
                <c:pt idx="18">
                  <c:v>1530.6399999999999</c:v>
                </c:pt>
                <c:pt idx="19">
                  <c:v>1795</c:v>
                </c:pt>
                <c:pt idx="20">
                  <c:v>1856</c:v>
                </c:pt>
                <c:pt idx="21">
                  <c:v>1840.9</c:v>
                </c:pt>
                <c:pt idx="22">
                  <c:v>1838.2</c:v>
                </c:pt>
                <c:pt idx="23">
                  <c:v>1829.9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A4-4EC0-8D5A-D728A740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E8-4091-B01E-5EA7AC147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E8-4091-B01E-5EA7AC147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E8-4091-B01E-5EA7AC147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E8-4091-B01E-5EA7AC147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E8-4091-B01E-5EA7AC1471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EE8-4091-B01E-5EA7AC1471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764.5</c:v>
                </c:pt>
                <c:pt idx="1">
                  <c:v>764.5</c:v>
                </c:pt>
                <c:pt idx="2">
                  <c:v>764.5</c:v>
                </c:pt>
                <c:pt idx="3">
                  <c:v>764.5</c:v>
                </c:pt>
                <c:pt idx="4">
                  <c:v>764.5</c:v>
                </c:pt>
                <c:pt idx="5">
                  <c:v>764.5</c:v>
                </c:pt>
                <c:pt idx="6">
                  <c:v>764.5</c:v>
                </c:pt>
                <c:pt idx="7">
                  <c:v>764.5</c:v>
                </c:pt>
                <c:pt idx="8">
                  <c:v>786.80000000000007</c:v>
                </c:pt>
                <c:pt idx="9">
                  <c:v>786.80000000000007</c:v>
                </c:pt>
                <c:pt idx="10">
                  <c:v>786.80000000000007</c:v>
                </c:pt>
                <c:pt idx="11">
                  <c:v>784.80000000000007</c:v>
                </c:pt>
                <c:pt idx="12">
                  <c:v>784.80000000000007</c:v>
                </c:pt>
                <c:pt idx="13">
                  <c:v>784.80000000000007</c:v>
                </c:pt>
                <c:pt idx="14">
                  <c:v>784.80000000000007</c:v>
                </c:pt>
                <c:pt idx="15">
                  <c:v>784.80000000000007</c:v>
                </c:pt>
                <c:pt idx="16">
                  <c:v>784.80000000000007</c:v>
                </c:pt>
                <c:pt idx="17">
                  <c:v>784.80000000000007</c:v>
                </c:pt>
                <c:pt idx="18" formatCode="0.0">
                  <c:v>784.80000000000007</c:v>
                </c:pt>
                <c:pt idx="19" formatCode="0.0">
                  <c:v>778.30000000000007</c:v>
                </c:pt>
                <c:pt idx="20" formatCode="0.0">
                  <c:v>778.30000000000007</c:v>
                </c:pt>
                <c:pt idx="21" formatCode="0.0">
                  <c:v>806.50000000000011</c:v>
                </c:pt>
                <c:pt idx="22" formatCode="0.0">
                  <c:v>806.50000000000011</c:v>
                </c:pt>
                <c:pt idx="23" formatCode="0.0">
                  <c:v>806.50000000000011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4-4F7A-BCB2-FBB46597D71E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475.8</c:v>
                </c:pt>
                <c:pt idx="1">
                  <c:v>475.8</c:v>
                </c:pt>
                <c:pt idx="2">
                  <c:v>475.8</c:v>
                </c:pt>
                <c:pt idx="3">
                  <c:v>475.8</c:v>
                </c:pt>
                <c:pt idx="4">
                  <c:v>475.8</c:v>
                </c:pt>
                <c:pt idx="5">
                  <c:v>475.8</c:v>
                </c:pt>
                <c:pt idx="6">
                  <c:v>475.8</c:v>
                </c:pt>
                <c:pt idx="7">
                  <c:v>475.8</c:v>
                </c:pt>
                <c:pt idx="8">
                  <c:v>354.8</c:v>
                </c:pt>
                <c:pt idx="9">
                  <c:v>403.8</c:v>
                </c:pt>
                <c:pt idx="10">
                  <c:v>403.8</c:v>
                </c:pt>
                <c:pt idx="11">
                  <c:v>403.8</c:v>
                </c:pt>
                <c:pt idx="12">
                  <c:v>372.8</c:v>
                </c:pt>
                <c:pt idx="13">
                  <c:v>373.8</c:v>
                </c:pt>
                <c:pt idx="14">
                  <c:v>307.20000000000005</c:v>
                </c:pt>
                <c:pt idx="15">
                  <c:v>313.7</c:v>
                </c:pt>
                <c:pt idx="16">
                  <c:v>277.10000000000002</c:v>
                </c:pt>
                <c:pt idx="17">
                  <c:v>276.7</c:v>
                </c:pt>
                <c:pt idx="18" formatCode="0.0">
                  <c:v>355.2</c:v>
                </c:pt>
                <c:pt idx="19" formatCode="0.0">
                  <c:v>509.7</c:v>
                </c:pt>
                <c:pt idx="20" formatCode="0.0">
                  <c:v>509.7</c:v>
                </c:pt>
                <c:pt idx="21" formatCode="0.0">
                  <c:v>509.7</c:v>
                </c:pt>
                <c:pt idx="22" formatCode="0.0">
                  <c:v>509.7</c:v>
                </c:pt>
                <c:pt idx="23" formatCode="0.0">
                  <c:v>473.7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4-4F7A-BCB2-FBB46597D71E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395.7</c:v>
                </c:pt>
                <c:pt idx="1">
                  <c:v>395.7</c:v>
                </c:pt>
                <c:pt idx="2">
                  <c:v>395.7</c:v>
                </c:pt>
                <c:pt idx="3">
                  <c:v>395.7</c:v>
                </c:pt>
                <c:pt idx="4">
                  <c:v>395.7</c:v>
                </c:pt>
                <c:pt idx="5">
                  <c:v>395.7</c:v>
                </c:pt>
                <c:pt idx="6">
                  <c:v>395.7</c:v>
                </c:pt>
                <c:pt idx="7">
                  <c:v>395.7</c:v>
                </c:pt>
                <c:pt idx="8">
                  <c:v>413.74000000000007</c:v>
                </c:pt>
                <c:pt idx="9">
                  <c:v>413.74000000000007</c:v>
                </c:pt>
                <c:pt idx="10">
                  <c:v>412.54000000000008</c:v>
                </c:pt>
                <c:pt idx="11">
                  <c:v>425.34000000000009</c:v>
                </c:pt>
                <c:pt idx="12">
                  <c:v>424.34000000000009</c:v>
                </c:pt>
                <c:pt idx="13">
                  <c:v>424.34000000000009</c:v>
                </c:pt>
                <c:pt idx="14">
                  <c:v>431.64000000000004</c:v>
                </c:pt>
                <c:pt idx="15">
                  <c:v>431.54000000000008</c:v>
                </c:pt>
                <c:pt idx="16">
                  <c:v>414.34000000000009</c:v>
                </c:pt>
                <c:pt idx="17">
                  <c:v>409.74000000000007</c:v>
                </c:pt>
                <c:pt idx="18" formatCode="0.0">
                  <c:v>384.74000000000007</c:v>
                </c:pt>
                <c:pt idx="19" formatCode="0.0">
                  <c:v>413.1</c:v>
                </c:pt>
                <c:pt idx="20" formatCode="0.0">
                  <c:v>409.04</c:v>
                </c:pt>
                <c:pt idx="21" formatCode="0.0">
                  <c:v>409.04</c:v>
                </c:pt>
                <c:pt idx="22" formatCode="0.0">
                  <c:v>409.04</c:v>
                </c:pt>
                <c:pt idx="23" formatCode="0.0">
                  <c:v>407.54000000000008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4-4F7A-BCB2-FBB46597D71E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79.400000000000006</c:v>
                </c:pt>
                <c:pt idx="1">
                  <c:v>77.5</c:v>
                </c:pt>
                <c:pt idx="2">
                  <c:v>76.5</c:v>
                </c:pt>
                <c:pt idx="3">
                  <c:v>76.099999999999994</c:v>
                </c:pt>
                <c:pt idx="4">
                  <c:v>71.300000000000011</c:v>
                </c:pt>
                <c:pt idx="5">
                  <c:v>64.900000000000006</c:v>
                </c:pt>
                <c:pt idx="6">
                  <c:v>64.5</c:v>
                </c:pt>
                <c:pt idx="7">
                  <c:v>225.29999999999998</c:v>
                </c:pt>
                <c:pt idx="8">
                  <c:v>237.7</c:v>
                </c:pt>
                <c:pt idx="9">
                  <c:v>225.9</c:v>
                </c:pt>
                <c:pt idx="10">
                  <c:v>278</c:v>
                </c:pt>
                <c:pt idx="11">
                  <c:v>375.8</c:v>
                </c:pt>
                <c:pt idx="12">
                  <c:v>431.90000000000003</c:v>
                </c:pt>
                <c:pt idx="13">
                  <c:v>413.8</c:v>
                </c:pt>
                <c:pt idx="14">
                  <c:v>461.2</c:v>
                </c:pt>
                <c:pt idx="15">
                  <c:v>424.5</c:v>
                </c:pt>
                <c:pt idx="16">
                  <c:v>436.70000000000005</c:v>
                </c:pt>
                <c:pt idx="17">
                  <c:v>398.79999999999995</c:v>
                </c:pt>
                <c:pt idx="18" formatCode="0.0">
                  <c:v>259.89999999999998</c:v>
                </c:pt>
                <c:pt idx="19" formatCode="0.0">
                  <c:v>79.5</c:v>
                </c:pt>
                <c:pt idx="20" formatCode="0.0">
                  <c:v>95.4</c:v>
                </c:pt>
                <c:pt idx="21" formatCode="0.0">
                  <c:v>91.2</c:v>
                </c:pt>
                <c:pt idx="22" formatCode="0.0">
                  <c:v>90</c:v>
                </c:pt>
                <c:pt idx="23" formatCode="0.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4-4F7A-BCB2-FBB46597D71E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21.6</c:v>
                </c:pt>
                <c:pt idx="9">
                  <c:v>21.6</c:v>
                </c:pt>
                <c:pt idx="10">
                  <c:v>21.6</c:v>
                </c:pt>
                <c:pt idx="11">
                  <c:v>50</c:v>
                </c:pt>
                <c:pt idx="12">
                  <c:v>50</c:v>
                </c:pt>
                <c:pt idx="13">
                  <c:v>19.5</c:v>
                </c:pt>
                <c:pt idx="14">
                  <c:v>15</c:v>
                </c:pt>
                <c:pt idx="15">
                  <c:v>30.2</c:v>
                </c:pt>
                <c:pt idx="16">
                  <c:v>14.6</c:v>
                </c:pt>
                <c:pt idx="17">
                  <c:v>3.8</c:v>
                </c:pt>
                <c:pt idx="18" formatCode="0.0">
                  <c:v>0</c:v>
                </c:pt>
                <c:pt idx="19" formatCode="0.0">
                  <c:v>101.39999999999999</c:v>
                </c:pt>
                <c:pt idx="20" formatCode="0.0">
                  <c:v>46.7</c:v>
                </c:pt>
                <c:pt idx="21" formatCode="0.0">
                  <c:v>27.6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24-4F7A-BCB2-FBB46597D71E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150</c:v>
                </c:pt>
                <c:pt idx="23" formatCode="0.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24-4F7A-BCB2-FBB46597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-130</c:v>
                </c:pt>
                <c:pt idx="1">
                  <c:v>-122</c:v>
                </c:pt>
                <c:pt idx="2">
                  <c:v>-114.5</c:v>
                </c:pt>
                <c:pt idx="3">
                  <c:v>-116.5</c:v>
                </c:pt>
                <c:pt idx="4">
                  <c:v>-111.9</c:v>
                </c:pt>
                <c:pt idx="5">
                  <c:v>-119.4</c:v>
                </c:pt>
                <c:pt idx="6">
                  <c:v>-110.5</c:v>
                </c:pt>
                <c:pt idx="7">
                  <c:v>-39.1</c:v>
                </c:pt>
                <c:pt idx="8">
                  <c:v>0</c:v>
                </c:pt>
                <c:pt idx="9">
                  <c:v>-13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-103.6</c:v>
                </c:pt>
                <c:pt idx="20">
                  <c:v>-123</c:v>
                </c:pt>
                <c:pt idx="21">
                  <c:v>-125</c:v>
                </c:pt>
                <c:pt idx="22">
                  <c:v>-120</c:v>
                </c:pt>
                <c:pt idx="23">
                  <c:v>-112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24-4F7A-BCB2-FBB46597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1715.4</c:v>
                </c:pt>
                <c:pt idx="1">
                  <c:v>1713.5</c:v>
                </c:pt>
                <c:pt idx="2">
                  <c:v>1712.5</c:v>
                </c:pt>
                <c:pt idx="3">
                  <c:v>1712.1</c:v>
                </c:pt>
                <c:pt idx="4">
                  <c:v>1707.3</c:v>
                </c:pt>
                <c:pt idx="5">
                  <c:v>1700.9</c:v>
                </c:pt>
                <c:pt idx="6">
                  <c:v>1700.5</c:v>
                </c:pt>
                <c:pt idx="7">
                  <c:v>1861.3</c:v>
                </c:pt>
                <c:pt idx="8">
                  <c:v>1814.64</c:v>
                </c:pt>
                <c:pt idx="9">
                  <c:v>1851.8400000000001</c:v>
                </c:pt>
                <c:pt idx="10">
                  <c:v>1902.7400000000002</c:v>
                </c:pt>
                <c:pt idx="11">
                  <c:v>2039.7400000000002</c:v>
                </c:pt>
                <c:pt idx="12">
                  <c:v>2063.84</c:v>
                </c:pt>
                <c:pt idx="13">
                  <c:v>2016.2400000000002</c:v>
                </c:pt>
                <c:pt idx="14">
                  <c:v>1999.8400000000001</c:v>
                </c:pt>
                <c:pt idx="15">
                  <c:v>1984.74</c:v>
                </c:pt>
                <c:pt idx="16">
                  <c:v>1927.5400000000002</c:v>
                </c:pt>
                <c:pt idx="17">
                  <c:v>1873.84</c:v>
                </c:pt>
                <c:pt idx="18">
                  <c:v>1784.6399999999999</c:v>
                </c:pt>
                <c:pt idx="19">
                  <c:v>2132</c:v>
                </c:pt>
                <c:pt idx="20">
                  <c:v>2089.1400000000003</c:v>
                </c:pt>
                <c:pt idx="21">
                  <c:v>2044.04</c:v>
                </c:pt>
                <c:pt idx="22">
                  <c:v>1965.24</c:v>
                </c:pt>
                <c:pt idx="23">
                  <c:v>1887.7400000000002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524-4F7A-BCB2-FBB46597D71E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1585.4</c:v>
                </c:pt>
                <c:pt idx="1">
                  <c:v>1591.5</c:v>
                </c:pt>
                <c:pt idx="2">
                  <c:v>1598</c:v>
                </c:pt>
                <c:pt idx="3">
                  <c:v>1595.6</c:v>
                </c:pt>
                <c:pt idx="4">
                  <c:v>1595.3999999999999</c:v>
                </c:pt>
                <c:pt idx="5">
                  <c:v>1581.5</c:v>
                </c:pt>
                <c:pt idx="6">
                  <c:v>1590</c:v>
                </c:pt>
                <c:pt idx="7">
                  <c:v>1822.2</c:v>
                </c:pt>
                <c:pt idx="8">
                  <c:v>1814.64</c:v>
                </c:pt>
                <c:pt idx="9">
                  <c:v>1838.8400000000001</c:v>
                </c:pt>
                <c:pt idx="10">
                  <c:v>1902.7400000000002</c:v>
                </c:pt>
                <c:pt idx="11">
                  <c:v>2039.7400000000002</c:v>
                </c:pt>
                <c:pt idx="12">
                  <c:v>2063.84</c:v>
                </c:pt>
                <c:pt idx="13">
                  <c:v>2016.2400000000002</c:v>
                </c:pt>
                <c:pt idx="14">
                  <c:v>1999.8400000000001</c:v>
                </c:pt>
                <c:pt idx="15">
                  <c:v>1984.74</c:v>
                </c:pt>
                <c:pt idx="16">
                  <c:v>1927.5400000000002</c:v>
                </c:pt>
                <c:pt idx="17">
                  <c:v>1873.84</c:v>
                </c:pt>
                <c:pt idx="18">
                  <c:v>1784.6399999999999</c:v>
                </c:pt>
                <c:pt idx="19">
                  <c:v>2028.4</c:v>
                </c:pt>
                <c:pt idx="20">
                  <c:v>1966.1400000000003</c:v>
                </c:pt>
                <c:pt idx="21">
                  <c:v>1919.04</c:v>
                </c:pt>
                <c:pt idx="22">
                  <c:v>1845.24</c:v>
                </c:pt>
                <c:pt idx="23">
                  <c:v>1775.7400000000002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24-4F7A-BCB2-FBB46597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91-4053-A2C0-FC12422B8F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91-4053-A2C0-FC12422B8F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91-4053-A2C0-FC12422B8F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91-4053-A2C0-FC12422B8F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91-4053-A2C0-FC12422B8F9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691-4053-A2C0-FC12422B8F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806.50000000000011</c:v>
                </c:pt>
                <c:pt idx="1">
                  <c:v>806.50000000000011</c:v>
                </c:pt>
                <c:pt idx="2">
                  <c:v>806.50000000000011</c:v>
                </c:pt>
                <c:pt idx="3">
                  <c:v>806.50000000000011</c:v>
                </c:pt>
                <c:pt idx="4">
                  <c:v>806.50000000000011</c:v>
                </c:pt>
                <c:pt idx="5">
                  <c:v>821.00000000000011</c:v>
                </c:pt>
                <c:pt idx="6">
                  <c:v>821.00000000000011</c:v>
                </c:pt>
                <c:pt idx="7">
                  <c:v>819.00000000000011</c:v>
                </c:pt>
                <c:pt idx="8">
                  <c:v>817.00000000000011</c:v>
                </c:pt>
                <c:pt idx="9">
                  <c:v>817.00000000000011</c:v>
                </c:pt>
                <c:pt idx="10">
                  <c:v>817.00000000000011</c:v>
                </c:pt>
                <c:pt idx="11">
                  <c:v>817.00000000000011</c:v>
                </c:pt>
                <c:pt idx="12">
                  <c:v>786.00000000000011</c:v>
                </c:pt>
                <c:pt idx="13">
                  <c:v>786.00000000000011</c:v>
                </c:pt>
                <c:pt idx="14">
                  <c:v>786.00000000000011</c:v>
                </c:pt>
                <c:pt idx="15">
                  <c:v>786.00000000000011</c:v>
                </c:pt>
                <c:pt idx="16">
                  <c:v>786.00000000000011</c:v>
                </c:pt>
                <c:pt idx="17">
                  <c:v>786.00000000000011</c:v>
                </c:pt>
                <c:pt idx="18" formatCode="0.0">
                  <c:v>786.00000000000011</c:v>
                </c:pt>
                <c:pt idx="19" formatCode="0.0">
                  <c:v>786.00000000000011</c:v>
                </c:pt>
                <c:pt idx="20" formatCode="0.0">
                  <c:v>788.50000000000011</c:v>
                </c:pt>
                <c:pt idx="21" formatCode="0.0">
                  <c:v>788.50000000000011</c:v>
                </c:pt>
                <c:pt idx="22" formatCode="0.0">
                  <c:v>788.50000000000011</c:v>
                </c:pt>
                <c:pt idx="23" formatCode="0.0">
                  <c:v>788.50000000000011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D76-844A-A666281127BA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473.7</c:v>
                </c:pt>
                <c:pt idx="1">
                  <c:v>473.7</c:v>
                </c:pt>
                <c:pt idx="2">
                  <c:v>473.7</c:v>
                </c:pt>
                <c:pt idx="3">
                  <c:v>463.7</c:v>
                </c:pt>
                <c:pt idx="4">
                  <c:v>443.7</c:v>
                </c:pt>
                <c:pt idx="5">
                  <c:v>509.7</c:v>
                </c:pt>
                <c:pt idx="6">
                  <c:v>453.7</c:v>
                </c:pt>
                <c:pt idx="7">
                  <c:v>463.7</c:v>
                </c:pt>
                <c:pt idx="8">
                  <c:v>509.7</c:v>
                </c:pt>
                <c:pt idx="9">
                  <c:v>509.7</c:v>
                </c:pt>
                <c:pt idx="10">
                  <c:v>459.7</c:v>
                </c:pt>
                <c:pt idx="11">
                  <c:v>511.9</c:v>
                </c:pt>
                <c:pt idx="12">
                  <c:v>378.7</c:v>
                </c:pt>
                <c:pt idx="13">
                  <c:v>378.7</c:v>
                </c:pt>
                <c:pt idx="14">
                  <c:v>378.7</c:v>
                </c:pt>
                <c:pt idx="15">
                  <c:v>397.7</c:v>
                </c:pt>
                <c:pt idx="16">
                  <c:v>342.8</c:v>
                </c:pt>
                <c:pt idx="17">
                  <c:v>377.5</c:v>
                </c:pt>
                <c:pt idx="18" formatCode="0.0">
                  <c:v>168.29999999999998</c:v>
                </c:pt>
                <c:pt idx="19" formatCode="0.0">
                  <c:v>498.7</c:v>
                </c:pt>
                <c:pt idx="20" formatCode="0.0">
                  <c:v>511.7</c:v>
                </c:pt>
                <c:pt idx="21" formatCode="0.0">
                  <c:v>511.7</c:v>
                </c:pt>
                <c:pt idx="22" formatCode="0.0">
                  <c:v>511.7</c:v>
                </c:pt>
                <c:pt idx="23" formatCode="0.0">
                  <c:v>511.7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D76-844A-A666281127BA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407.54000000000008</c:v>
                </c:pt>
                <c:pt idx="1">
                  <c:v>407.54000000000008</c:v>
                </c:pt>
                <c:pt idx="2">
                  <c:v>407.54000000000008</c:v>
                </c:pt>
                <c:pt idx="3">
                  <c:v>407.54000000000008</c:v>
                </c:pt>
                <c:pt idx="4">
                  <c:v>407.54000000000008</c:v>
                </c:pt>
                <c:pt idx="5">
                  <c:v>407.54000000000008</c:v>
                </c:pt>
                <c:pt idx="6">
                  <c:v>408.54000000000008</c:v>
                </c:pt>
                <c:pt idx="7">
                  <c:v>410.84000000000009</c:v>
                </c:pt>
                <c:pt idx="8">
                  <c:v>419.14000000000004</c:v>
                </c:pt>
                <c:pt idx="9">
                  <c:v>419.14000000000004</c:v>
                </c:pt>
                <c:pt idx="10">
                  <c:v>420.64000000000004</c:v>
                </c:pt>
                <c:pt idx="11">
                  <c:v>424.54</c:v>
                </c:pt>
                <c:pt idx="12">
                  <c:v>424.54</c:v>
                </c:pt>
                <c:pt idx="13">
                  <c:v>424.54</c:v>
                </c:pt>
                <c:pt idx="14">
                  <c:v>424.54</c:v>
                </c:pt>
                <c:pt idx="15">
                  <c:v>430.94000000000005</c:v>
                </c:pt>
                <c:pt idx="16">
                  <c:v>413.84000000000003</c:v>
                </c:pt>
                <c:pt idx="17">
                  <c:v>418.34000000000003</c:v>
                </c:pt>
                <c:pt idx="18" formatCode="0.0">
                  <c:v>415.94000000000005</c:v>
                </c:pt>
                <c:pt idx="19" formatCode="0.0">
                  <c:v>411.54</c:v>
                </c:pt>
                <c:pt idx="20" formatCode="0.0">
                  <c:v>408.24000000000007</c:v>
                </c:pt>
                <c:pt idx="21" formatCode="0.0">
                  <c:v>409.04000000000008</c:v>
                </c:pt>
                <c:pt idx="22" formatCode="0.0">
                  <c:v>409.04000000000008</c:v>
                </c:pt>
                <c:pt idx="23" formatCode="0.0">
                  <c:v>407.44000000000011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D76-844A-A666281127BA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80</c:v>
                </c:pt>
                <c:pt idx="1">
                  <c:v>80</c:v>
                </c:pt>
                <c:pt idx="2">
                  <c:v>78</c:v>
                </c:pt>
                <c:pt idx="3">
                  <c:v>80</c:v>
                </c:pt>
                <c:pt idx="4">
                  <c:v>60.8</c:v>
                </c:pt>
                <c:pt idx="5">
                  <c:v>60.8</c:v>
                </c:pt>
                <c:pt idx="6">
                  <c:v>56.4</c:v>
                </c:pt>
                <c:pt idx="7">
                  <c:v>169</c:v>
                </c:pt>
                <c:pt idx="8">
                  <c:v>191.2</c:v>
                </c:pt>
                <c:pt idx="9">
                  <c:v>225.2</c:v>
                </c:pt>
                <c:pt idx="10">
                  <c:v>239.8</c:v>
                </c:pt>
                <c:pt idx="11">
                  <c:v>272</c:v>
                </c:pt>
                <c:pt idx="12">
                  <c:v>210.3</c:v>
                </c:pt>
                <c:pt idx="13">
                  <c:v>213</c:v>
                </c:pt>
                <c:pt idx="14">
                  <c:v>289.7</c:v>
                </c:pt>
                <c:pt idx="15">
                  <c:v>290.90000000000003</c:v>
                </c:pt>
                <c:pt idx="16">
                  <c:v>269.2</c:v>
                </c:pt>
                <c:pt idx="17">
                  <c:v>278.2</c:v>
                </c:pt>
                <c:pt idx="18" formatCode="0.0">
                  <c:v>265.5</c:v>
                </c:pt>
                <c:pt idx="19" formatCode="0.0">
                  <c:v>72.699999999999989</c:v>
                </c:pt>
                <c:pt idx="20" formatCode="0.0">
                  <c:v>84.300000000000011</c:v>
                </c:pt>
                <c:pt idx="21" formatCode="0.0">
                  <c:v>85</c:v>
                </c:pt>
                <c:pt idx="22" formatCode="0.0">
                  <c:v>85</c:v>
                </c:pt>
                <c:pt idx="23" formatCode="0.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1A-4D76-844A-A666281127BA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25.2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1A-4D76-844A-A666281127BA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180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1A-4D76-844A-A6662811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-110</c:v>
                </c:pt>
                <c:pt idx="1">
                  <c:v>-120</c:v>
                </c:pt>
                <c:pt idx="2">
                  <c:v>-135</c:v>
                </c:pt>
                <c:pt idx="3">
                  <c:v>-140</c:v>
                </c:pt>
                <c:pt idx="4">
                  <c:v>-127</c:v>
                </c:pt>
                <c:pt idx="5">
                  <c:v>-178</c:v>
                </c:pt>
                <c:pt idx="6">
                  <c:v>-147</c:v>
                </c:pt>
                <c:pt idx="7">
                  <c:v>-125</c:v>
                </c:pt>
                <c:pt idx="8">
                  <c:v>-132</c:v>
                </c:pt>
                <c:pt idx="9">
                  <c:v>-110</c:v>
                </c:pt>
                <c:pt idx="10">
                  <c:v>-31</c:v>
                </c:pt>
                <c:pt idx="11">
                  <c:v>-41</c:v>
                </c:pt>
                <c:pt idx="12">
                  <c:v>0</c:v>
                </c:pt>
                <c:pt idx="13">
                  <c:v>0</c:v>
                </c:pt>
                <c:pt idx="14">
                  <c:v>-15</c:v>
                </c:pt>
                <c:pt idx="15">
                  <c:v>-41</c:v>
                </c:pt>
                <c:pt idx="16">
                  <c:v>-56.7</c:v>
                </c:pt>
                <c:pt idx="17">
                  <c:v>-21.7</c:v>
                </c:pt>
                <c:pt idx="18">
                  <c:v>-43.3</c:v>
                </c:pt>
                <c:pt idx="19">
                  <c:v>-122.5</c:v>
                </c:pt>
                <c:pt idx="20">
                  <c:v>-120</c:v>
                </c:pt>
                <c:pt idx="21">
                  <c:v>-121</c:v>
                </c:pt>
                <c:pt idx="22">
                  <c:v>-135</c:v>
                </c:pt>
                <c:pt idx="23">
                  <c:v>-120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1A-4D76-844A-A6662811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1867.7400000000002</c:v>
                </c:pt>
                <c:pt idx="1">
                  <c:v>1867.7400000000002</c:v>
                </c:pt>
                <c:pt idx="2">
                  <c:v>1815.7400000000002</c:v>
                </c:pt>
                <c:pt idx="3">
                  <c:v>1807.7400000000002</c:v>
                </c:pt>
                <c:pt idx="4">
                  <c:v>1768.5400000000002</c:v>
                </c:pt>
                <c:pt idx="5">
                  <c:v>1849.0400000000002</c:v>
                </c:pt>
                <c:pt idx="6">
                  <c:v>1739.6400000000003</c:v>
                </c:pt>
                <c:pt idx="7">
                  <c:v>1862.5400000000002</c:v>
                </c:pt>
                <c:pt idx="8">
                  <c:v>1937.0400000000002</c:v>
                </c:pt>
                <c:pt idx="9">
                  <c:v>1971.0400000000002</c:v>
                </c:pt>
                <c:pt idx="10">
                  <c:v>1937.14</c:v>
                </c:pt>
                <c:pt idx="11">
                  <c:v>2025.44</c:v>
                </c:pt>
                <c:pt idx="12">
                  <c:v>1799.54</c:v>
                </c:pt>
                <c:pt idx="13">
                  <c:v>1802.24</c:v>
                </c:pt>
                <c:pt idx="14">
                  <c:v>1878.94</c:v>
                </c:pt>
                <c:pt idx="15">
                  <c:v>1905.5400000000002</c:v>
                </c:pt>
                <c:pt idx="16">
                  <c:v>1811.8400000000004</c:v>
                </c:pt>
                <c:pt idx="17">
                  <c:v>1860.0400000000002</c:v>
                </c:pt>
                <c:pt idx="18">
                  <c:v>1635.7400000000002</c:v>
                </c:pt>
                <c:pt idx="19">
                  <c:v>2018.94</c:v>
                </c:pt>
                <c:pt idx="20">
                  <c:v>2067.94</c:v>
                </c:pt>
                <c:pt idx="21">
                  <c:v>2044.2400000000002</c:v>
                </c:pt>
                <c:pt idx="22">
                  <c:v>1974.2400000000002</c:v>
                </c:pt>
                <c:pt idx="23">
                  <c:v>1837.64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E1A-4D76-844A-A666281127BA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1757.7400000000002</c:v>
                </c:pt>
                <c:pt idx="1">
                  <c:v>1747.7400000000002</c:v>
                </c:pt>
                <c:pt idx="2">
                  <c:v>1680.7400000000002</c:v>
                </c:pt>
                <c:pt idx="3">
                  <c:v>1667.7400000000002</c:v>
                </c:pt>
                <c:pt idx="4">
                  <c:v>1641.5400000000002</c:v>
                </c:pt>
                <c:pt idx="5">
                  <c:v>1671.0400000000002</c:v>
                </c:pt>
                <c:pt idx="6">
                  <c:v>1592.6400000000003</c:v>
                </c:pt>
                <c:pt idx="7">
                  <c:v>1737.5400000000002</c:v>
                </c:pt>
                <c:pt idx="8">
                  <c:v>1805.0400000000002</c:v>
                </c:pt>
                <c:pt idx="9">
                  <c:v>1861.0400000000002</c:v>
                </c:pt>
                <c:pt idx="10">
                  <c:v>1906.14</c:v>
                </c:pt>
                <c:pt idx="11">
                  <c:v>1984.44</c:v>
                </c:pt>
                <c:pt idx="12">
                  <c:v>1799.54</c:v>
                </c:pt>
                <c:pt idx="13">
                  <c:v>1802.24</c:v>
                </c:pt>
                <c:pt idx="14">
                  <c:v>1863.94</c:v>
                </c:pt>
                <c:pt idx="15">
                  <c:v>1864.5400000000002</c:v>
                </c:pt>
                <c:pt idx="16">
                  <c:v>1755.1400000000003</c:v>
                </c:pt>
                <c:pt idx="17">
                  <c:v>1838.3400000000001</c:v>
                </c:pt>
                <c:pt idx="18">
                  <c:v>1592.4400000000003</c:v>
                </c:pt>
                <c:pt idx="19">
                  <c:v>1896.44</c:v>
                </c:pt>
                <c:pt idx="20">
                  <c:v>1947.94</c:v>
                </c:pt>
                <c:pt idx="21">
                  <c:v>1923.2400000000002</c:v>
                </c:pt>
                <c:pt idx="22">
                  <c:v>1839.2400000000002</c:v>
                </c:pt>
                <c:pt idx="23">
                  <c:v>1717.64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1A-4D76-844A-A6662811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1E-4F54-8A6D-5BCE000512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1E-4F54-8A6D-5BCE000512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1E-4F54-8A6D-5BCE000512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1E-4F54-8A6D-5BCE000512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71E-4F54-8A6D-5BCE000512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71E-4F54-8A6D-5BCE000512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788.50000000000011</c:v>
                </c:pt>
                <c:pt idx="1">
                  <c:v>788.50000000000011</c:v>
                </c:pt>
                <c:pt idx="2">
                  <c:v>788.50000000000011</c:v>
                </c:pt>
                <c:pt idx="3">
                  <c:v>788.50000000000011</c:v>
                </c:pt>
                <c:pt idx="4">
                  <c:v>788.50000000000011</c:v>
                </c:pt>
                <c:pt idx="5">
                  <c:v>788.50000000000011</c:v>
                </c:pt>
                <c:pt idx="6">
                  <c:v>788.50000000000011</c:v>
                </c:pt>
                <c:pt idx="7">
                  <c:v>786.4</c:v>
                </c:pt>
                <c:pt idx="8">
                  <c:v>794.4</c:v>
                </c:pt>
                <c:pt idx="9">
                  <c:v>794.4</c:v>
                </c:pt>
                <c:pt idx="10">
                  <c:v>794.4</c:v>
                </c:pt>
                <c:pt idx="11">
                  <c:v>794.4</c:v>
                </c:pt>
                <c:pt idx="12">
                  <c:v>760.2</c:v>
                </c:pt>
                <c:pt idx="13">
                  <c:v>760.2</c:v>
                </c:pt>
                <c:pt idx="14">
                  <c:v>760.2</c:v>
                </c:pt>
                <c:pt idx="15">
                  <c:v>760.2</c:v>
                </c:pt>
                <c:pt idx="16">
                  <c:v>760.2</c:v>
                </c:pt>
                <c:pt idx="17">
                  <c:v>760.2</c:v>
                </c:pt>
                <c:pt idx="18" formatCode="0.0">
                  <c:v>760.2</c:v>
                </c:pt>
                <c:pt idx="19" formatCode="0.0">
                  <c:v>760.2</c:v>
                </c:pt>
                <c:pt idx="20" formatCode="0.0">
                  <c:v>785.19999999999993</c:v>
                </c:pt>
                <c:pt idx="21" formatCode="0.0">
                  <c:v>632.20000000000005</c:v>
                </c:pt>
                <c:pt idx="22" formatCode="0.0">
                  <c:v>785.19999999999993</c:v>
                </c:pt>
                <c:pt idx="23" formatCode="0.0">
                  <c:v>785.19999999999993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7-4A5B-B2D4-E754FFF2702D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511.7</c:v>
                </c:pt>
                <c:pt idx="1">
                  <c:v>511.7</c:v>
                </c:pt>
                <c:pt idx="2">
                  <c:v>511.7</c:v>
                </c:pt>
                <c:pt idx="3">
                  <c:v>511.7</c:v>
                </c:pt>
                <c:pt idx="4">
                  <c:v>511.7</c:v>
                </c:pt>
                <c:pt idx="5">
                  <c:v>511.7</c:v>
                </c:pt>
                <c:pt idx="6">
                  <c:v>511.7</c:v>
                </c:pt>
                <c:pt idx="7">
                  <c:v>511.7</c:v>
                </c:pt>
                <c:pt idx="8">
                  <c:v>513.70000000000005</c:v>
                </c:pt>
                <c:pt idx="9">
                  <c:v>513.70000000000005</c:v>
                </c:pt>
                <c:pt idx="10">
                  <c:v>513.70000000000005</c:v>
                </c:pt>
                <c:pt idx="11">
                  <c:v>512.1</c:v>
                </c:pt>
                <c:pt idx="12">
                  <c:v>487.90000000000003</c:v>
                </c:pt>
                <c:pt idx="13">
                  <c:v>469.8</c:v>
                </c:pt>
                <c:pt idx="14">
                  <c:v>512.1</c:v>
                </c:pt>
                <c:pt idx="15">
                  <c:v>512.1</c:v>
                </c:pt>
                <c:pt idx="16">
                  <c:v>512.1</c:v>
                </c:pt>
                <c:pt idx="17">
                  <c:v>283.10000000000002</c:v>
                </c:pt>
                <c:pt idx="18" formatCode="0.0">
                  <c:v>168</c:v>
                </c:pt>
                <c:pt idx="19" formatCode="0.0">
                  <c:v>433.2</c:v>
                </c:pt>
                <c:pt idx="20" formatCode="0.0">
                  <c:v>506.90000000000003</c:v>
                </c:pt>
                <c:pt idx="21" formatCode="0.0">
                  <c:v>509.1</c:v>
                </c:pt>
                <c:pt idx="22" formatCode="0.0">
                  <c:v>509.1</c:v>
                </c:pt>
                <c:pt idx="23" formatCode="0.0">
                  <c:v>509.1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7-4A5B-B2D4-E754FFF2702D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410.84000000000009</c:v>
                </c:pt>
                <c:pt idx="1">
                  <c:v>410.84000000000009</c:v>
                </c:pt>
                <c:pt idx="2">
                  <c:v>410.84000000000009</c:v>
                </c:pt>
                <c:pt idx="3">
                  <c:v>410.84000000000009</c:v>
                </c:pt>
                <c:pt idx="4">
                  <c:v>410.84000000000009</c:v>
                </c:pt>
                <c:pt idx="5">
                  <c:v>410.84000000000009</c:v>
                </c:pt>
                <c:pt idx="6">
                  <c:v>410.84000000000009</c:v>
                </c:pt>
                <c:pt idx="7">
                  <c:v>418.54</c:v>
                </c:pt>
                <c:pt idx="8">
                  <c:v>418.34000000000003</c:v>
                </c:pt>
                <c:pt idx="9">
                  <c:v>425.34000000000003</c:v>
                </c:pt>
                <c:pt idx="10">
                  <c:v>431.34000000000003</c:v>
                </c:pt>
                <c:pt idx="11">
                  <c:v>415.54</c:v>
                </c:pt>
                <c:pt idx="12">
                  <c:v>408.54</c:v>
                </c:pt>
                <c:pt idx="13">
                  <c:v>408.54</c:v>
                </c:pt>
                <c:pt idx="14">
                  <c:v>393.14</c:v>
                </c:pt>
                <c:pt idx="15">
                  <c:v>389.64</c:v>
                </c:pt>
                <c:pt idx="16">
                  <c:v>385.03999999999996</c:v>
                </c:pt>
                <c:pt idx="17">
                  <c:v>382.94</c:v>
                </c:pt>
                <c:pt idx="18" formatCode="0.0">
                  <c:v>380.24</c:v>
                </c:pt>
                <c:pt idx="19" formatCode="0.0">
                  <c:v>378.94</c:v>
                </c:pt>
                <c:pt idx="20" formatCode="0.0">
                  <c:v>380.84</c:v>
                </c:pt>
                <c:pt idx="21" formatCode="0.0">
                  <c:v>217.44</c:v>
                </c:pt>
                <c:pt idx="22" formatCode="0.0">
                  <c:v>376.84</c:v>
                </c:pt>
                <c:pt idx="23" formatCode="0.0">
                  <c:v>376.84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7-4A5B-B2D4-E754FFF2702D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28</c:v>
                </c:pt>
                <c:pt idx="1">
                  <c:v>24</c:v>
                </c:pt>
                <c:pt idx="2">
                  <c:v>25</c:v>
                </c:pt>
                <c:pt idx="3">
                  <c:v>26.8</c:v>
                </c:pt>
                <c:pt idx="4">
                  <c:v>24.8</c:v>
                </c:pt>
                <c:pt idx="5">
                  <c:v>23</c:v>
                </c:pt>
                <c:pt idx="6">
                  <c:v>15</c:v>
                </c:pt>
                <c:pt idx="7">
                  <c:v>177.7</c:v>
                </c:pt>
                <c:pt idx="8">
                  <c:v>202</c:v>
                </c:pt>
                <c:pt idx="9">
                  <c:v>183.89999999999998</c:v>
                </c:pt>
                <c:pt idx="10">
                  <c:v>106</c:v>
                </c:pt>
                <c:pt idx="11">
                  <c:v>197.5</c:v>
                </c:pt>
                <c:pt idx="12">
                  <c:v>280.7</c:v>
                </c:pt>
                <c:pt idx="13">
                  <c:v>244.4</c:v>
                </c:pt>
                <c:pt idx="14">
                  <c:v>262.40000000000003</c:v>
                </c:pt>
                <c:pt idx="15">
                  <c:v>296.60000000000002</c:v>
                </c:pt>
                <c:pt idx="16">
                  <c:v>289.3</c:v>
                </c:pt>
                <c:pt idx="17">
                  <c:v>298.3</c:v>
                </c:pt>
                <c:pt idx="18" formatCode="0.0">
                  <c:v>257.10000000000002</c:v>
                </c:pt>
                <c:pt idx="19" formatCode="0.0">
                  <c:v>75.900000000000006</c:v>
                </c:pt>
                <c:pt idx="20" formatCode="0.0">
                  <c:v>84.8</c:v>
                </c:pt>
                <c:pt idx="21" formatCode="0.0">
                  <c:v>107.5</c:v>
                </c:pt>
                <c:pt idx="22" formatCode="0.0">
                  <c:v>32</c:v>
                </c:pt>
                <c:pt idx="23" formatCode="0.0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27-4A5B-B2D4-E754FFF2702D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41.3</c:v>
                </c:pt>
                <c:pt idx="11">
                  <c:v>20.2</c:v>
                </c:pt>
                <c:pt idx="12">
                  <c:v>20.2</c:v>
                </c:pt>
                <c:pt idx="13">
                  <c:v>20.2</c:v>
                </c:pt>
                <c:pt idx="14">
                  <c:v>31.2</c:v>
                </c:pt>
                <c:pt idx="15">
                  <c:v>31.2</c:v>
                </c:pt>
                <c:pt idx="16">
                  <c:v>31.2</c:v>
                </c:pt>
                <c:pt idx="17">
                  <c:v>31.2</c:v>
                </c:pt>
                <c:pt idx="18" formatCode="0.0">
                  <c:v>33.1</c:v>
                </c:pt>
                <c:pt idx="19" formatCode="0.0">
                  <c:v>43.8</c:v>
                </c:pt>
                <c:pt idx="20" formatCode="0.0">
                  <c:v>52.8</c:v>
                </c:pt>
                <c:pt idx="21" formatCode="0.0">
                  <c:v>76.099999999999994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7-4A5B-B2D4-E754FFF2702D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130</c:v>
                </c:pt>
                <c:pt idx="6">
                  <c:v>130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220</c:v>
                </c:pt>
                <c:pt idx="21" formatCode="0.0">
                  <c:v>220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27-4A5B-B2D4-E754FFF27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-135</c:v>
                </c:pt>
                <c:pt idx="1">
                  <c:v>-133</c:v>
                </c:pt>
                <c:pt idx="2">
                  <c:v>-145</c:v>
                </c:pt>
                <c:pt idx="3">
                  <c:v>-150.5</c:v>
                </c:pt>
                <c:pt idx="4">
                  <c:v>-170</c:v>
                </c:pt>
                <c:pt idx="5">
                  <c:v>-223</c:v>
                </c:pt>
                <c:pt idx="6">
                  <c:v>-208</c:v>
                </c:pt>
                <c:pt idx="7">
                  <c:v>-218</c:v>
                </c:pt>
                <c:pt idx="8">
                  <c:v>-149</c:v>
                </c:pt>
                <c:pt idx="9">
                  <c:v>-163</c:v>
                </c:pt>
                <c:pt idx="10">
                  <c:v>-106</c:v>
                </c:pt>
                <c:pt idx="11">
                  <c:v>-47.5</c:v>
                </c:pt>
                <c:pt idx="12">
                  <c:v>-66.599999999999994</c:v>
                </c:pt>
                <c:pt idx="13">
                  <c:v>-27</c:v>
                </c:pt>
                <c:pt idx="14">
                  <c:v>-24.6</c:v>
                </c:pt>
                <c:pt idx="15">
                  <c:v>-38.6</c:v>
                </c:pt>
                <c:pt idx="16">
                  <c:v>-33.1</c:v>
                </c:pt>
                <c:pt idx="17">
                  <c:v>0</c:v>
                </c:pt>
                <c:pt idx="18">
                  <c:v>0</c:v>
                </c:pt>
                <c:pt idx="19">
                  <c:v>-117.7</c:v>
                </c:pt>
                <c:pt idx="20">
                  <c:v>-110</c:v>
                </c:pt>
                <c:pt idx="21">
                  <c:v>-50</c:v>
                </c:pt>
                <c:pt idx="22">
                  <c:v>-123</c:v>
                </c:pt>
                <c:pt idx="23">
                  <c:v>-116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27-4A5B-B2D4-E754FFF27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1839.0400000000002</c:v>
                </c:pt>
                <c:pt idx="1">
                  <c:v>1835.0400000000002</c:v>
                </c:pt>
                <c:pt idx="2">
                  <c:v>1836.0400000000002</c:v>
                </c:pt>
                <c:pt idx="3">
                  <c:v>1837.8400000000001</c:v>
                </c:pt>
                <c:pt idx="4">
                  <c:v>1835.8400000000001</c:v>
                </c:pt>
                <c:pt idx="5">
                  <c:v>1864.0400000000002</c:v>
                </c:pt>
                <c:pt idx="6">
                  <c:v>1856.0400000000002</c:v>
                </c:pt>
                <c:pt idx="7">
                  <c:v>1894.34</c:v>
                </c:pt>
                <c:pt idx="8">
                  <c:v>1928.44</c:v>
                </c:pt>
                <c:pt idx="9">
                  <c:v>1927.3400000000001</c:v>
                </c:pt>
                <c:pt idx="10">
                  <c:v>1886.74</c:v>
                </c:pt>
                <c:pt idx="11">
                  <c:v>1939.74</c:v>
                </c:pt>
                <c:pt idx="12">
                  <c:v>1957.5400000000002</c:v>
                </c:pt>
                <c:pt idx="13">
                  <c:v>1903.14</c:v>
                </c:pt>
                <c:pt idx="14">
                  <c:v>1959.0400000000002</c:v>
                </c:pt>
                <c:pt idx="15">
                  <c:v>1989.74</c:v>
                </c:pt>
                <c:pt idx="16">
                  <c:v>1977.8400000000001</c:v>
                </c:pt>
                <c:pt idx="17">
                  <c:v>1755.7400000000002</c:v>
                </c:pt>
                <c:pt idx="18">
                  <c:v>1598.6399999999999</c:v>
                </c:pt>
                <c:pt idx="19">
                  <c:v>1942.0400000000002</c:v>
                </c:pt>
                <c:pt idx="20">
                  <c:v>2030.5399999999997</c:v>
                </c:pt>
                <c:pt idx="21">
                  <c:v>1762.3400000000001</c:v>
                </c:pt>
                <c:pt idx="22">
                  <c:v>1853.1399999999999</c:v>
                </c:pt>
                <c:pt idx="23">
                  <c:v>1852.6399999999999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B27-4A5B-B2D4-E754FFF2702D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1704.0400000000002</c:v>
                </c:pt>
                <c:pt idx="1">
                  <c:v>1702.0400000000002</c:v>
                </c:pt>
                <c:pt idx="2">
                  <c:v>1691.0400000000002</c:v>
                </c:pt>
                <c:pt idx="3">
                  <c:v>1687.3400000000001</c:v>
                </c:pt>
                <c:pt idx="4">
                  <c:v>1665.8400000000001</c:v>
                </c:pt>
                <c:pt idx="5">
                  <c:v>1641.0400000000002</c:v>
                </c:pt>
                <c:pt idx="6">
                  <c:v>1648.0400000000002</c:v>
                </c:pt>
                <c:pt idx="7">
                  <c:v>1676.34</c:v>
                </c:pt>
                <c:pt idx="8">
                  <c:v>1779.44</c:v>
                </c:pt>
                <c:pt idx="9">
                  <c:v>1764.3400000000001</c:v>
                </c:pt>
                <c:pt idx="10">
                  <c:v>1780.74</c:v>
                </c:pt>
                <c:pt idx="11">
                  <c:v>1892.24</c:v>
                </c:pt>
                <c:pt idx="12">
                  <c:v>1890.9400000000003</c:v>
                </c:pt>
                <c:pt idx="13">
                  <c:v>1876.14</c:v>
                </c:pt>
                <c:pt idx="14">
                  <c:v>1934.4400000000003</c:v>
                </c:pt>
                <c:pt idx="15">
                  <c:v>1951.14</c:v>
                </c:pt>
                <c:pt idx="16">
                  <c:v>1944.7400000000002</c:v>
                </c:pt>
                <c:pt idx="17">
                  <c:v>1755.7400000000002</c:v>
                </c:pt>
                <c:pt idx="18">
                  <c:v>1598.6399999999999</c:v>
                </c:pt>
                <c:pt idx="19">
                  <c:v>1824.3400000000001</c:v>
                </c:pt>
                <c:pt idx="20">
                  <c:v>1920.5399999999997</c:v>
                </c:pt>
                <c:pt idx="21">
                  <c:v>1712.3400000000001</c:v>
                </c:pt>
                <c:pt idx="22">
                  <c:v>1730.1399999999999</c:v>
                </c:pt>
                <c:pt idx="23">
                  <c:v>1736.6399999999999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27-4A5B-B2D4-E754FFF27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A4-4BEF-90A0-B947BE9F71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A4-4BEF-90A0-B947BE9F71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A4-4BEF-90A0-B947BE9F71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A4-4BEF-90A0-B947BE9F71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A4-4BEF-90A0-B947BE9F71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EA4-4BEF-90A0-B947BE9F71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'30'!$AM$16:$BJ$16</c:f>
              <c:numCache>
                <c:formatCode>General</c:formatCode>
                <c:ptCount val="24"/>
                <c:pt idx="0">
                  <c:v>760.2</c:v>
                </c:pt>
                <c:pt idx="1">
                  <c:v>760.2</c:v>
                </c:pt>
                <c:pt idx="2">
                  <c:v>760.2</c:v>
                </c:pt>
                <c:pt idx="3">
                  <c:v>760.2</c:v>
                </c:pt>
                <c:pt idx="4">
                  <c:v>760.2</c:v>
                </c:pt>
                <c:pt idx="5">
                  <c:v>785.19999999999993</c:v>
                </c:pt>
                <c:pt idx="6">
                  <c:v>785.19999999999993</c:v>
                </c:pt>
                <c:pt idx="7">
                  <c:v>785.19999999999993</c:v>
                </c:pt>
                <c:pt idx="8">
                  <c:v>806.10000000000014</c:v>
                </c:pt>
                <c:pt idx="9">
                  <c:v>802.2</c:v>
                </c:pt>
                <c:pt idx="10">
                  <c:v>802.1</c:v>
                </c:pt>
                <c:pt idx="11">
                  <c:v>797.50000000000011</c:v>
                </c:pt>
                <c:pt idx="12">
                  <c:v>799.7</c:v>
                </c:pt>
                <c:pt idx="13">
                  <c:v>799.7</c:v>
                </c:pt>
                <c:pt idx="14">
                  <c:v>820.7</c:v>
                </c:pt>
                <c:pt idx="15">
                  <c:v>820.7</c:v>
                </c:pt>
                <c:pt idx="16">
                  <c:v>820.7</c:v>
                </c:pt>
                <c:pt idx="17">
                  <c:v>820.7</c:v>
                </c:pt>
                <c:pt idx="18" formatCode="0.0">
                  <c:v>820.7</c:v>
                </c:pt>
                <c:pt idx="19" formatCode="0.0">
                  <c:v>867.19999999999993</c:v>
                </c:pt>
                <c:pt idx="20" formatCode="0.0">
                  <c:v>867.19999999999993</c:v>
                </c:pt>
                <c:pt idx="21" formatCode="0.0">
                  <c:v>867.19999999999993</c:v>
                </c:pt>
                <c:pt idx="22" formatCode="0.0">
                  <c:v>867.19999999999993</c:v>
                </c:pt>
                <c:pt idx="23" formatCode="0.0">
                  <c:v>867.19999999999993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1-4AB6-A75C-FA8C2614D7C5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'30'!$AM$17:$BJ$17</c:f>
              <c:numCache>
                <c:formatCode>General</c:formatCode>
                <c:ptCount val="24"/>
                <c:pt idx="0">
                  <c:v>509.1</c:v>
                </c:pt>
                <c:pt idx="1">
                  <c:v>509.1</c:v>
                </c:pt>
                <c:pt idx="2">
                  <c:v>509.1</c:v>
                </c:pt>
                <c:pt idx="3">
                  <c:v>509.1</c:v>
                </c:pt>
                <c:pt idx="4">
                  <c:v>509.1</c:v>
                </c:pt>
                <c:pt idx="5">
                  <c:v>509.1</c:v>
                </c:pt>
                <c:pt idx="6">
                  <c:v>509.1</c:v>
                </c:pt>
                <c:pt idx="7">
                  <c:v>509.1</c:v>
                </c:pt>
                <c:pt idx="8">
                  <c:v>509.1</c:v>
                </c:pt>
                <c:pt idx="9">
                  <c:v>509</c:v>
                </c:pt>
                <c:pt idx="10">
                  <c:v>511.7</c:v>
                </c:pt>
                <c:pt idx="11">
                  <c:v>512</c:v>
                </c:pt>
                <c:pt idx="12">
                  <c:v>512.20000000000005</c:v>
                </c:pt>
                <c:pt idx="13">
                  <c:v>512.20000000000005</c:v>
                </c:pt>
                <c:pt idx="14">
                  <c:v>463.7</c:v>
                </c:pt>
                <c:pt idx="15">
                  <c:v>481.8</c:v>
                </c:pt>
                <c:pt idx="16">
                  <c:v>451.6</c:v>
                </c:pt>
                <c:pt idx="17">
                  <c:v>463.8</c:v>
                </c:pt>
                <c:pt idx="18" formatCode="0.0">
                  <c:v>275.3</c:v>
                </c:pt>
                <c:pt idx="19" formatCode="0.0">
                  <c:v>475.5</c:v>
                </c:pt>
                <c:pt idx="20" formatCode="0.0">
                  <c:v>513.70000000000005</c:v>
                </c:pt>
                <c:pt idx="21" formatCode="0.0">
                  <c:v>513.70000000000005</c:v>
                </c:pt>
                <c:pt idx="22" formatCode="0.0">
                  <c:v>513.70000000000005</c:v>
                </c:pt>
                <c:pt idx="23" formatCode="0.0">
                  <c:v>513.70000000000005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1-4AB6-A75C-FA8C2614D7C5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'30'!$AM$18:$BJ$18</c:f>
              <c:numCache>
                <c:formatCode>General</c:formatCode>
                <c:ptCount val="24"/>
                <c:pt idx="0">
                  <c:v>376.84</c:v>
                </c:pt>
                <c:pt idx="1">
                  <c:v>376.84</c:v>
                </c:pt>
                <c:pt idx="2">
                  <c:v>376.84</c:v>
                </c:pt>
                <c:pt idx="3">
                  <c:v>376.84</c:v>
                </c:pt>
                <c:pt idx="4">
                  <c:v>376.84</c:v>
                </c:pt>
                <c:pt idx="5">
                  <c:v>376.84</c:v>
                </c:pt>
                <c:pt idx="6">
                  <c:v>376.84</c:v>
                </c:pt>
                <c:pt idx="7">
                  <c:v>376.84</c:v>
                </c:pt>
                <c:pt idx="8">
                  <c:v>388.44</c:v>
                </c:pt>
                <c:pt idx="9">
                  <c:v>396.64</c:v>
                </c:pt>
                <c:pt idx="10">
                  <c:v>404.53999999999996</c:v>
                </c:pt>
                <c:pt idx="11">
                  <c:v>400.64</c:v>
                </c:pt>
                <c:pt idx="12">
                  <c:v>403.54</c:v>
                </c:pt>
                <c:pt idx="13">
                  <c:v>424.34000000000003</c:v>
                </c:pt>
                <c:pt idx="14">
                  <c:v>428.04</c:v>
                </c:pt>
                <c:pt idx="15">
                  <c:v>424.84000000000003</c:v>
                </c:pt>
                <c:pt idx="16">
                  <c:v>410.74</c:v>
                </c:pt>
                <c:pt idx="17">
                  <c:v>410.74</c:v>
                </c:pt>
                <c:pt idx="18" formatCode="0.0">
                  <c:v>410.74</c:v>
                </c:pt>
                <c:pt idx="19" formatCode="0.0">
                  <c:v>416.7</c:v>
                </c:pt>
                <c:pt idx="20" formatCode="0.0">
                  <c:v>414.74</c:v>
                </c:pt>
                <c:pt idx="21" formatCode="0.0">
                  <c:v>414.74</c:v>
                </c:pt>
                <c:pt idx="22" formatCode="0.0">
                  <c:v>414.74</c:v>
                </c:pt>
                <c:pt idx="23" formatCode="0.0">
                  <c:v>414.74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1-4AB6-A75C-FA8C2614D7C5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'30'!$AM$19:$BJ$19</c:f>
              <c:numCache>
                <c:formatCode>General</c:formatCode>
                <c:ptCount val="24"/>
                <c:pt idx="0">
                  <c:v>27</c:v>
                </c:pt>
                <c:pt idx="1">
                  <c:v>25</c:v>
                </c:pt>
                <c:pt idx="2">
                  <c:v>24</c:v>
                </c:pt>
                <c:pt idx="3">
                  <c:v>29.8</c:v>
                </c:pt>
                <c:pt idx="4">
                  <c:v>25</c:v>
                </c:pt>
                <c:pt idx="5">
                  <c:v>20.7</c:v>
                </c:pt>
                <c:pt idx="6">
                  <c:v>10.8</c:v>
                </c:pt>
                <c:pt idx="7">
                  <c:v>176.9</c:v>
                </c:pt>
                <c:pt idx="8">
                  <c:v>210.6</c:v>
                </c:pt>
                <c:pt idx="9">
                  <c:v>222.3</c:v>
                </c:pt>
                <c:pt idx="10">
                  <c:v>211.7</c:v>
                </c:pt>
                <c:pt idx="11">
                  <c:v>271.89999999999998</c:v>
                </c:pt>
                <c:pt idx="12">
                  <c:v>278.5</c:v>
                </c:pt>
                <c:pt idx="13">
                  <c:v>302.8</c:v>
                </c:pt>
                <c:pt idx="14">
                  <c:v>293.09999999999997</c:v>
                </c:pt>
                <c:pt idx="15">
                  <c:v>289.60000000000002</c:v>
                </c:pt>
                <c:pt idx="16">
                  <c:v>304.39999999999998</c:v>
                </c:pt>
                <c:pt idx="17">
                  <c:v>282</c:v>
                </c:pt>
                <c:pt idx="18" formatCode="0.0">
                  <c:v>237.5</c:v>
                </c:pt>
                <c:pt idx="19" formatCode="0.0">
                  <c:v>33.799999999999997</c:v>
                </c:pt>
                <c:pt idx="20" formatCode="0.0">
                  <c:v>35.700000000000003</c:v>
                </c:pt>
                <c:pt idx="21" formatCode="0.0">
                  <c:v>19.600000000000001</c:v>
                </c:pt>
                <c:pt idx="22" formatCode="0.0">
                  <c:v>21.5</c:v>
                </c:pt>
                <c:pt idx="23" formatCode="0.0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1-4AB6-A75C-FA8C2614D7C5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20.100000000000001</c:v>
                </c:pt>
                <c:pt idx="9">
                  <c:v>0</c:v>
                </c:pt>
                <c:pt idx="10">
                  <c:v>18.7</c:v>
                </c:pt>
                <c:pt idx="11">
                  <c:v>19.299999999999997</c:v>
                </c:pt>
                <c:pt idx="12">
                  <c:v>39</c:v>
                </c:pt>
                <c:pt idx="13">
                  <c:v>18.8</c:v>
                </c:pt>
                <c:pt idx="14">
                  <c:v>18.8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18.3</c:v>
                </c:pt>
                <c:pt idx="20" formatCode="0.0">
                  <c:v>81.8</c:v>
                </c:pt>
                <c:pt idx="21" formatCode="0.0">
                  <c:v>15.4</c:v>
                </c:pt>
                <c:pt idx="22" formatCode="0.0">
                  <c:v>0</c:v>
                </c:pt>
                <c:pt idx="23" formatCode="0.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1-4AB6-A75C-FA8C2614D7C5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 formatCode="0.0">
                  <c:v>50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01-4AB6-A75C-FA8C2614D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'30'!$AM$23:$BJ$23</c:f>
              <c:numCache>
                <c:formatCode>General</c:formatCode>
                <c:ptCount val="24"/>
                <c:pt idx="0">
                  <c:v>-159</c:v>
                </c:pt>
                <c:pt idx="1">
                  <c:v>-192</c:v>
                </c:pt>
                <c:pt idx="2">
                  <c:v>-190</c:v>
                </c:pt>
                <c:pt idx="3">
                  <c:v>-220</c:v>
                </c:pt>
                <c:pt idx="4">
                  <c:v>-210</c:v>
                </c:pt>
                <c:pt idx="5">
                  <c:v>-230</c:v>
                </c:pt>
                <c:pt idx="6">
                  <c:v>-205</c:v>
                </c:pt>
                <c:pt idx="7">
                  <c:v>-211</c:v>
                </c:pt>
                <c:pt idx="8">
                  <c:v>-185</c:v>
                </c:pt>
                <c:pt idx="9">
                  <c:v>-157</c:v>
                </c:pt>
                <c:pt idx="10">
                  <c:v>-70</c:v>
                </c:pt>
                <c:pt idx="11">
                  <c:v>-92</c:v>
                </c:pt>
                <c:pt idx="12">
                  <c:v>-103.9</c:v>
                </c:pt>
                <c:pt idx="13">
                  <c:v>-100</c:v>
                </c:pt>
                <c:pt idx="14">
                  <c:v>-60</c:v>
                </c:pt>
                <c:pt idx="15">
                  <c:v>-63</c:v>
                </c:pt>
                <c:pt idx="16">
                  <c:v>-68.2</c:v>
                </c:pt>
                <c:pt idx="17">
                  <c:v>-65</c:v>
                </c:pt>
                <c:pt idx="18">
                  <c:v>-70</c:v>
                </c:pt>
                <c:pt idx="19">
                  <c:v>-94</c:v>
                </c:pt>
                <c:pt idx="20">
                  <c:v>-126.8</c:v>
                </c:pt>
                <c:pt idx="21">
                  <c:v>-113.2</c:v>
                </c:pt>
                <c:pt idx="22">
                  <c:v>-136.5</c:v>
                </c:pt>
                <c:pt idx="23">
                  <c:v>-219.1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01-4AB6-A75C-FA8C2614D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'30'!$AM$22:$BJ$22</c:f>
              <c:numCache>
                <c:formatCode>General</c:formatCode>
                <c:ptCount val="24"/>
                <c:pt idx="0">
                  <c:v>1823.14</c:v>
                </c:pt>
                <c:pt idx="1">
                  <c:v>1821.14</c:v>
                </c:pt>
                <c:pt idx="2">
                  <c:v>1820.14</c:v>
                </c:pt>
                <c:pt idx="3">
                  <c:v>1825.94</c:v>
                </c:pt>
                <c:pt idx="4">
                  <c:v>1821.14</c:v>
                </c:pt>
                <c:pt idx="5">
                  <c:v>1841.84</c:v>
                </c:pt>
                <c:pt idx="6">
                  <c:v>1831.9399999999998</c:v>
                </c:pt>
                <c:pt idx="7">
                  <c:v>1848.04</c:v>
                </c:pt>
                <c:pt idx="8">
                  <c:v>1984.3400000000001</c:v>
                </c:pt>
                <c:pt idx="9">
                  <c:v>1980.14</c:v>
                </c:pt>
                <c:pt idx="10">
                  <c:v>1998.74</c:v>
                </c:pt>
                <c:pt idx="11">
                  <c:v>2051.34</c:v>
                </c:pt>
                <c:pt idx="12">
                  <c:v>2082.94</c:v>
                </c:pt>
                <c:pt idx="13">
                  <c:v>2107.84</c:v>
                </c:pt>
                <c:pt idx="14">
                  <c:v>2074.34</c:v>
                </c:pt>
                <c:pt idx="15">
                  <c:v>2087.94</c:v>
                </c:pt>
                <c:pt idx="16">
                  <c:v>2037.44</c:v>
                </c:pt>
                <c:pt idx="17">
                  <c:v>2027.24</c:v>
                </c:pt>
                <c:pt idx="18">
                  <c:v>1794.24</c:v>
                </c:pt>
                <c:pt idx="19">
                  <c:v>2061.5</c:v>
                </c:pt>
                <c:pt idx="20">
                  <c:v>2163.1400000000003</c:v>
                </c:pt>
                <c:pt idx="21">
                  <c:v>2080.6400000000003</c:v>
                </c:pt>
                <c:pt idx="22">
                  <c:v>1967.14</c:v>
                </c:pt>
                <c:pt idx="23">
                  <c:v>1992.44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801-4AB6-A75C-FA8C2614D7C5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'30'!$AM$24:$BJ$24</c:f>
              <c:numCache>
                <c:formatCode>General</c:formatCode>
                <c:ptCount val="24"/>
                <c:pt idx="0">
                  <c:v>1664.14</c:v>
                </c:pt>
                <c:pt idx="1">
                  <c:v>1629.14</c:v>
                </c:pt>
                <c:pt idx="2">
                  <c:v>1630.14</c:v>
                </c:pt>
                <c:pt idx="3">
                  <c:v>1605.94</c:v>
                </c:pt>
                <c:pt idx="4">
                  <c:v>1611.14</c:v>
                </c:pt>
                <c:pt idx="5">
                  <c:v>1611.84</c:v>
                </c:pt>
                <c:pt idx="6">
                  <c:v>1626.9399999999998</c:v>
                </c:pt>
                <c:pt idx="7">
                  <c:v>1637.04</c:v>
                </c:pt>
                <c:pt idx="8">
                  <c:v>1799.3400000000001</c:v>
                </c:pt>
                <c:pt idx="9">
                  <c:v>1823.14</c:v>
                </c:pt>
                <c:pt idx="10">
                  <c:v>1928.74</c:v>
                </c:pt>
                <c:pt idx="11">
                  <c:v>1959.3400000000001</c:v>
                </c:pt>
                <c:pt idx="12">
                  <c:v>1979.04</c:v>
                </c:pt>
                <c:pt idx="13">
                  <c:v>2007.8400000000001</c:v>
                </c:pt>
                <c:pt idx="14">
                  <c:v>2014.3400000000001</c:v>
                </c:pt>
                <c:pt idx="15">
                  <c:v>2024.94</c:v>
                </c:pt>
                <c:pt idx="16">
                  <c:v>1969.24</c:v>
                </c:pt>
                <c:pt idx="17">
                  <c:v>1962.24</c:v>
                </c:pt>
                <c:pt idx="18">
                  <c:v>1724.24</c:v>
                </c:pt>
                <c:pt idx="19">
                  <c:v>1967.5</c:v>
                </c:pt>
                <c:pt idx="20">
                  <c:v>2036.3400000000004</c:v>
                </c:pt>
                <c:pt idx="21">
                  <c:v>1967.4400000000003</c:v>
                </c:pt>
                <c:pt idx="22">
                  <c:v>1830.64</c:v>
                </c:pt>
                <c:pt idx="23">
                  <c:v>1773.3400000000001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01-4AB6-A75C-FA8C2614D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48-4515-8728-1E6446BD62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48-4515-8728-1E6446BD62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48-4515-8728-1E6446BD62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48-4515-8728-1E6446BD62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48-4515-8728-1E6446BD62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F48-4515-8728-1E6446BD62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'31'!$AM$16:$BJ$16</c:f>
              <c:numCache>
                <c:formatCode>General</c:formatCode>
                <c:ptCount val="24"/>
                <c:pt idx="0">
                  <c:v>867.19999999999993</c:v>
                </c:pt>
                <c:pt idx="1">
                  <c:v>867.19999999999993</c:v>
                </c:pt>
                <c:pt idx="2">
                  <c:v>867.19999999999993</c:v>
                </c:pt>
                <c:pt idx="3">
                  <c:v>867.19999999999993</c:v>
                </c:pt>
                <c:pt idx="4">
                  <c:v>760.19999999999993</c:v>
                </c:pt>
                <c:pt idx="5">
                  <c:v>867.19999999999993</c:v>
                </c:pt>
                <c:pt idx="6">
                  <c:v>867.19999999999993</c:v>
                </c:pt>
                <c:pt idx="7">
                  <c:v>867.19999999999993</c:v>
                </c:pt>
                <c:pt idx="8">
                  <c:v>796.4</c:v>
                </c:pt>
                <c:pt idx="9">
                  <c:v>796.4</c:v>
                </c:pt>
                <c:pt idx="10">
                  <c:v>796.4</c:v>
                </c:pt>
                <c:pt idx="11">
                  <c:v>0</c:v>
                </c:pt>
                <c:pt idx="12">
                  <c:v>765.40000000000009</c:v>
                </c:pt>
                <c:pt idx="13">
                  <c:v>790.4</c:v>
                </c:pt>
                <c:pt idx="14">
                  <c:v>790.4</c:v>
                </c:pt>
                <c:pt idx="15">
                  <c:v>790.4</c:v>
                </c:pt>
                <c:pt idx="16">
                  <c:v>790.4</c:v>
                </c:pt>
                <c:pt idx="17">
                  <c:v>790.4</c:v>
                </c:pt>
                <c:pt idx="18" formatCode="0.0">
                  <c:v>790.4</c:v>
                </c:pt>
                <c:pt idx="19" formatCode="0.0">
                  <c:v>790.4</c:v>
                </c:pt>
                <c:pt idx="20" formatCode="0.0">
                  <c:v>814.9</c:v>
                </c:pt>
                <c:pt idx="21" formatCode="0.0">
                  <c:v>820.09999999999991</c:v>
                </c:pt>
                <c:pt idx="22" formatCode="0.0">
                  <c:v>857.19999999999993</c:v>
                </c:pt>
                <c:pt idx="23" formatCode="0.0">
                  <c:v>852.1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F-4A7B-8E31-C2A53FE7DCE4}"/>
            </c:ext>
          </c:extLst>
        </c:ser>
        <c:ser>
          <c:idx val="2"/>
          <c:order val="1"/>
          <c:tx>
            <c:strRef>
              <c:f>'31'!$AL$17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'31'!$AM$17:$BJ$17</c:f>
              <c:numCache>
                <c:formatCode>General</c:formatCode>
                <c:ptCount val="24"/>
                <c:pt idx="0">
                  <c:v>513.70000000000005</c:v>
                </c:pt>
                <c:pt idx="1">
                  <c:v>513.70000000000005</c:v>
                </c:pt>
                <c:pt idx="2">
                  <c:v>513.70000000000005</c:v>
                </c:pt>
                <c:pt idx="3">
                  <c:v>513.70000000000005</c:v>
                </c:pt>
                <c:pt idx="4">
                  <c:v>514.09999999999991</c:v>
                </c:pt>
                <c:pt idx="5">
                  <c:v>514.09999999999991</c:v>
                </c:pt>
                <c:pt idx="6">
                  <c:v>511.9</c:v>
                </c:pt>
                <c:pt idx="7">
                  <c:v>514.09999999999991</c:v>
                </c:pt>
                <c:pt idx="8">
                  <c:v>514</c:v>
                </c:pt>
                <c:pt idx="9">
                  <c:v>514</c:v>
                </c:pt>
                <c:pt idx="10">
                  <c:v>514</c:v>
                </c:pt>
                <c:pt idx="11">
                  <c:v>0</c:v>
                </c:pt>
                <c:pt idx="12">
                  <c:v>514</c:v>
                </c:pt>
                <c:pt idx="13">
                  <c:v>443.7</c:v>
                </c:pt>
                <c:pt idx="14">
                  <c:v>457.7</c:v>
                </c:pt>
                <c:pt idx="15">
                  <c:v>487.7</c:v>
                </c:pt>
                <c:pt idx="16">
                  <c:v>355.4</c:v>
                </c:pt>
                <c:pt idx="17">
                  <c:v>469.3</c:v>
                </c:pt>
                <c:pt idx="18" formatCode="0.0">
                  <c:v>276.7</c:v>
                </c:pt>
                <c:pt idx="19" formatCode="0.0">
                  <c:v>511.7</c:v>
                </c:pt>
                <c:pt idx="20" formatCode="0.0">
                  <c:v>512.09999999999991</c:v>
                </c:pt>
                <c:pt idx="21" formatCode="0.0">
                  <c:v>511.8</c:v>
                </c:pt>
                <c:pt idx="22" formatCode="0.0">
                  <c:v>511.90000000000003</c:v>
                </c:pt>
                <c:pt idx="23" formatCode="0.0">
                  <c:v>514.51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F-4A7B-8E31-C2A53FE7DCE4}"/>
            </c:ext>
          </c:extLst>
        </c:ser>
        <c:ser>
          <c:idx val="3"/>
          <c:order val="2"/>
          <c:tx>
            <c:strRef>
              <c:f>'31'!$AL$18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'31'!$AM$18:$BJ$18</c:f>
              <c:numCache>
                <c:formatCode>General</c:formatCode>
                <c:ptCount val="24"/>
                <c:pt idx="0">
                  <c:v>414.74</c:v>
                </c:pt>
                <c:pt idx="1">
                  <c:v>414.74</c:v>
                </c:pt>
                <c:pt idx="2">
                  <c:v>414.74</c:v>
                </c:pt>
                <c:pt idx="3">
                  <c:v>413.53999999999996</c:v>
                </c:pt>
                <c:pt idx="4">
                  <c:v>418.14</c:v>
                </c:pt>
                <c:pt idx="5">
                  <c:v>413.34</c:v>
                </c:pt>
                <c:pt idx="6">
                  <c:v>410.14</c:v>
                </c:pt>
                <c:pt idx="7">
                  <c:v>413.34</c:v>
                </c:pt>
                <c:pt idx="8">
                  <c:v>428.84</c:v>
                </c:pt>
                <c:pt idx="9">
                  <c:v>417.03999999999996</c:v>
                </c:pt>
                <c:pt idx="10">
                  <c:v>420.13999999999993</c:v>
                </c:pt>
                <c:pt idx="11">
                  <c:v>3.54</c:v>
                </c:pt>
                <c:pt idx="12">
                  <c:v>420.13999999999993</c:v>
                </c:pt>
                <c:pt idx="13">
                  <c:v>435.13999999999993</c:v>
                </c:pt>
                <c:pt idx="14">
                  <c:v>432.03999999999996</c:v>
                </c:pt>
                <c:pt idx="15">
                  <c:v>426.93999999999994</c:v>
                </c:pt>
                <c:pt idx="16">
                  <c:v>422.83999999999992</c:v>
                </c:pt>
                <c:pt idx="17">
                  <c:v>415.64</c:v>
                </c:pt>
                <c:pt idx="18" formatCode="0.0">
                  <c:v>412.34</c:v>
                </c:pt>
                <c:pt idx="19" formatCode="0.0">
                  <c:v>407.13999999999993</c:v>
                </c:pt>
                <c:pt idx="20" formatCode="0.0">
                  <c:v>406.73999999999995</c:v>
                </c:pt>
                <c:pt idx="21" formatCode="0.0">
                  <c:v>409.23999999999995</c:v>
                </c:pt>
                <c:pt idx="22" formatCode="0.0">
                  <c:v>411.34000000000003</c:v>
                </c:pt>
                <c:pt idx="23" formatCode="0.0">
                  <c:v>412.54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F-4A7B-8E31-C2A53FE7DCE4}"/>
            </c:ext>
          </c:extLst>
        </c:ser>
        <c:ser>
          <c:idx val="0"/>
          <c:order val="3"/>
          <c:tx>
            <c:strRef>
              <c:f>'31'!$AL$19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'31'!$AM$19:$BJ$19</c:f>
              <c:numCache>
                <c:formatCode>General</c:formatCode>
                <c:ptCount val="24"/>
                <c:pt idx="0">
                  <c:v>25.5</c:v>
                </c:pt>
                <c:pt idx="1">
                  <c:v>21.9</c:v>
                </c:pt>
                <c:pt idx="2">
                  <c:v>22.4</c:v>
                </c:pt>
                <c:pt idx="3">
                  <c:v>20.7</c:v>
                </c:pt>
                <c:pt idx="4">
                  <c:v>10.4</c:v>
                </c:pt>
                <c:pt idx="5">
                  <c:v>18.899999999999999</c:v>
                </c:pt>
                <c:pt idx="6">
                  <c:v>8.6</c:v>
                </c:pt>
                <c:pt idx="7">
                  <c:v>204.9</c:v>
                </c:pt>
                <c:pt idx="8">
                  <c:v>219.8</c:v>
                </c:pt>
                <c:pt idx="9">
                  <c:v>233</c:v>
                </c:pt>
                <c:pt idx="10">
                  <c:v>264.5</c:v>
                </c:pt>
                <c:pt idx="11">
                  <c:v>0</c:v>
                </c:pt>
                <c:pt idx="12">
                  <c:v>255.6</c:v>
                </c:pt>
                <c:pt idx="13">
                  <c:v>264.10000000000002</c:v>
                </c:pt>
                <c:pt idx="14">
                  <c:v>239.7</c:v>
                </c:pt>
                <c:pt idx="15">
                  <c:v>233.4</c:v>
                </c:pt>
                <c:pt idx="16">
                  <c:v>256.8</c:v>
                </c:pt>
                <c:pt idx="17">
                  <c:v>226.8</c:v>
                </c:pt>
                <c:pt idx="18" formatCode="0.0">
                  <c:v>200.8</c:v>
                </c:pt>
                <c:pt idx="19" formatCode="0.0">
                  <c:v>32.1</c:v>
                </c:pt>
                <c:pt idx="20" formatCode="0.0">
                  <c:v>36.799999999999997</c:v>
                </c:pt>
                <c:pt idx="21" formatCode="0.0">
                  <c:v>29.6</c:v>
                </c:pt>
                <c:pt idx="22" formatCode="0.0">
                  <c:v>26.3</c:v>
                </c:pt>
                <c:pt idx="23" formatCode="0.0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F-4A7B-8E31-C2A53FE7DCE4}"/>
            </c:ext>
          </c:extLst>
        </c:ser>
        <c:ser>
          <c:idx val="4"/>
          <c:order val="4"/>
          <c:tx>
            <c:strRef>
              <c:f>'31'!$AL$20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13.4</c:v>
                </c:pt>
                <c:pt idx="9">
                  <c:v>21.2</c:v>
                </c:pt>
                <c:pt idx="10">
                  <c:v>21.2</c:v>
                </c:pt>
                <c:pt idx="11">
                  <c:v>0</c:v>
                </c:pt>
                <c:pt idx="12">
                  <c:v>21.2</c:v>
                </c:pt>
                <c:pt idx="13">
                  <c:v>32.200000000000003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15.1</c:v>
                </c:pt>
                <c:pt idx="18" formatCode="0.0">
                  <c:v>15.1</c:v>
                </c:pt>
                <c:pt idx="19" formatCode="0.0">
                  <c:v>15.1</c:v>
                </c:pt>
                <c:pt idx="20" formatCode="0.0">
                  <c:v>48.7</c:v>
                </c:pt>
                <c:pt idx="21" formatCode="0.0">
                  <c:v>48.400000000000006</c:v>
                </c:pt>
                <c:pt idx="22" formatCode="0.0">
                  <c:v>34.9</c:v>
                </c:pt>
                <c:pt idx="23" formatCode="0.0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F-4A7B-8E31-C2A53FE7DCE4}"/>
            </c:ext>
          </c:extLst>
        </c:ser>
        <c:ser>
          <c:idx val="5"/>
          <c:order val="5"/>
          <c:tx>
            <c:strRef>
              <c:f>'31'!$AL$21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150</c:v>
                </c:pt>
                <c:pt idx="5">
                  <c:v>120</c:v>
                </c:pt>
                <c:pt idx="6">
                  <c:v>120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150</c:v>
                </c:pt>
                <c:pt idx="23" formatCode="0.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6F-4A7B-8E31-C2A53FE7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'31'!$AM$23:$BJ$23</c:f>
              <c:numCache>
                <c:formatCode>General</c:formatCode>
                <c:ptCount val="24"/>
                <c:pt idx="0">
                  <c:v>-236.2</c:v>
                </c:pt>
                <c:pt idx="1">
                  <c:v>-396.1</c:v>
                </c:pt>
                <c:pt idx="2">
                  <c:v>-389.2</c:v>
                </c:pt>
                <c:pt idx="3">
                  <c:v>-446</c:v>
                </c:pt>
                <c:pt idx="4">
                  <c:v>-340</c:v>
                </c:pt>
                <c:pt idx="5">
                  <c:v>-439</c:v>
                </c:pt>
                <c:pt idx="6">
                  <c:v>-390</c:v>
                </c:pt>
                <c:pt idx="7">
                  <c:v>-291.8</c:v>
                </c:pt>
                <c:pt idx="8">
                  <c:v>-311</c:v>
                </c:pt>
                <c:pt idx="9">
                  <c:v>-210</c:v>
                </c:pt>
                <c:pt idx="10">
                  <c:v>-101</c:v>
                </c:pt>
                <c:pt idx="11">
                  <c:v>0</c:v>
                </c:pt>
                <c:pt idx="12">
                  <c:v>-50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-113.2</c:v>
                </c:pt>
                <c:pt idx="18">
                  <c:v>-50</c:v>
                </c:pt>
                <c:pt idx="19">
                  <c:v>-118.1</c:v>
                </c:pt>
                <c:pt idx="20">
                  <c:v>-106.9</c:v>
                </c:pt>
                <c:pt idx="21">
                  <c:v>-120</c:v>
                </c:pt>
                <c:pt idx="22">
                  <c:v>-156</c:v>
                </c:pt>
                <c:pt idx="23">
                  <c:v>-150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6F-4A7B-8E31-C2A53FE7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'31'!$AM$22:$BJ$22</c:f>
              <c:numCache>
                <c:formatCode>General</c:formatCode>
                <c:ptCount val="24"/>
                <c:pt idx="0">
                  <c:v>1971.14</c:v>
                </c:pt>
                <c:pt idx="1">
                  <c:v>1937.5400000000002</c:v>
                </c:pt>
                <c:pt idx="2">
                  <c:v>1938.0400000000002</c:v>
                </c:pt>
                <c:pt idx="3">
                  <c:v>1935.14</c:v>
                </c:pt>
                <c:pt idx="4">
                  <c:v>1852.8399999999997</c:v>
                </c:pt>
                <c:pt idx="5">
                  <c:v>1933.5399999999997</c:v>
                </c:pt>
                <c:pt idx="6">
                  <c:v>1917.8399999999997</c:v>
                </c:pt>
                <c:pt idx="7">
                  <c:v>2049.54</c:v>
                </c:pt>
                <c:pt idx="8">
                  <c:v>2022.44</c:v>
                </c:pt>
                <c:pt idx="9">
                  <c:v>2031.64</c:v>
                </c:pt>
                <c:pt idx="10">
                  <c:v>2116.2399999999998</c:v>
                </c:pt>
                <c:pt idx="11">
                  <c:v>3.54</c:v>
                </c:pt>
                <c:pt idx="12">
                  <c:v>2076.34</c:v>
                </c:pt>
                <c:pt idx="13">
                  <c:v>1965.5399999999997</c:v>
                </c:pt>
                <c:pt idx="14">
                  <c:v>1940.84</c:v>
                </c:pt>
                <c:pt idx="15">
                  <c:v>1959.44</c:v>
                </c:pt>
                <c:pt idx="16">
                  <c:v>1846.4399999999998</c:v>
                </c:pt>
                <c:pt idx="17">
                  <c:v>1917.24</c:v>
                </c:pt>
                <c:pt idx="18">
                  <c:v>1695.3399999999997</c:v>
                </c:pt>
                <c:pt idx="19">
                  <c:v>1756.4399999999996</c:v>
                </c:pt>
                <c:pt idx="20">
                  <c:v>2069.2399999999998</c:v>
                </c:pt>
                <c:pt idx="21">
                  <c:v>2019.1399999999999</c:v>
                </c:pt>
                <c:pt idx="22">
                  <c:v>1991.64</c:v>
                </c:pt>
                <c:pt idx="23">
                  <c:v>1919.65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46F-4A7B-8E31-C2A53FE7DCE4}"/>
            </c:ext>
          </c:extLst>
        </c:ser>
        <c:ser>
          <c:idx val="8"/>
          <c:order val="8"/>
          <c:tx>
            <c:strRef>
              <c:f>'31'!$AL$24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'31'!$AM$24:$BJ$24</c:f>
              <c:numCache>
                <c:formatCode>General</c:formatCode>
                <c:ptCount val="24"/>
                <c:pt idx="0">
                  <c:v>1734.94</c:v>
                </c:pt>
                <c:pt idx="1">
                  <c:v>1541.44</c:v>
                </c:pt>
                <c:pt idx="2">
                  <c:v>1548.8400000000001</c:v>
                </c:pt>
                <c:pt idx="3">
                  <c:v>1489.14</c:v>
                </c:pt>
                <c:pt idx="4">
                  <c:v>1512.8399999999997</c:v>
                </c:pt>
                <c:pt idx="5">
                  <c:v>1494.5399999999997</c:v>
                </c:pt>
                <c:pt idx="6">
                  <c:v>1527.8399999999997</c:v>
                </c:pt>
                <c:pt idx="7">
                  <c:v>1757.74</c:v>
                </c:pt>
                <c:pt idx="8">
                  <c:v>1711.44</c:v>
                </c:pt>
                <c:pt idx="9">
                  <c:v>1821.64</c:v>
                </c:pt>
                <c:pt idx="10">
                  <c:v>2015.2399999999998</c:v>
                </c:pt>
                <c:pt idx="11">
                  <c:v>3.54</c:v>
                </c:pt>
                <c:pt idx="12">
                  <c:v>2026.3400000000001</c:v>
                </c:pt>
                <c:pt idx="13">
                  <c:v>1965.5399999999997</c:v>
                </c:pt>
                <c:pt idx="14">
                  <c:v>1940.84</c:v>
                </c:pt>
                <c:pt idx="15">
                  <c:v>1959.44</c:v>
                </c:pt>
                <c:pt idx="16">
                  <c:v>1846.4399999999998</c:v>
                </c:pt>
                <c:pt idx="17">
                  <c:v>1804.04</c:v>
                </c:pt>
                <c:pt idx="18">
                  <c:v>1645.3399999999997</c:v>
                </c:pt>
                <c:pt idx="19">
                  <c:v>1638.3399999999997</c:v>
                </c:pt>
                <c:pt idx="20">
                  <c:v>1962.3399999999997</c:v>
                </c:pt>
                <c:pt idx="21">
                  <c:v>1899.1399999999999</c:v>
                </c:pt>
                <c:pt idx="22">
                  <c:v>1835.64</c:v>
                </c:pt>
                <c:pt idx="23">
                  <c:v>1769.65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6F-4A7B-8E31-C2A53FE7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3A-4C86-9ACD-6DDDA7043E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3A-4C86-9ACD-6DDDA7043E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3A-4C86-9ACD-6DDDA7043E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3A-4C86-9ACD-6DDDA7043E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3A-4C86-9ACD-6DDDA7043E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33A-4C86-9ACD-6DDDA7043E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'32'!$AM$16:$BJ$16</c:f>
              <c:numCache>
                <c:formatCode>General</c:formatCode>
                <c:ptCount val="24"/>
                <c:pt idx="0">
                  <c:v>842.6</c:v>
                </c:pt>
                <c:pt idx="1">
                  <c:v>848.4</c:v>
                </c:pt>
                <c:pt idx="2">
                  <c:v>850.8</c:v>
                </c:pt>
                <c:pt idx="3">
                  <c:v>856</c:v>
                </c:pt>
                <c:pt idx="4">
                  <c:v>879.49999999999989</c:v>
                </c:pt>
                <c:pt idx="5">
                  <c:v>931.2</c:v>
                </c:pt>
                <c:pt idx="6">
                  <c:v>931.2</c:v>
                </c:pt>
                <c:pt idx="7">
                  <c:v>931.2</c:v>
                </c:pt>
                <c:pt idx="8">
                  <c:v>901.8</c:v>
                </c:pt>
                <c:pt idx="9">
                  <c:v>871.6</c:v>
                </c:pt>
                <c:pt idx="10">
                  <c:v>887.3</c:v>
                </c:pt>
                <c:pt idx="11">
                  <c:v>905.2</c:v>
                </c:pt>
                <c:pt idx="12">
                  <c:v>890.1</c:v>
                </c:pt>
                <c:pt idx="13">
                  <c:v>890.4</c:v>
                </c:pt>
                <c:pt idx="14">
                  <c:v>890.4</c:v>
                </c:pt>
                <c:pt idx="15">
                  <c:v>885.6</c:v>
                </c:pt>
                <c:pt idx="16">
                  <c:v>878.3</c:v>
                </c:pt>
                <c:pt idx="17">
                  <c:v>879.8</c:v>
                </c:pt>
                <c:pt idx="18" formatCode="0.0">
                  <c:v>879.8</c:v>
                </c:pt>
                <c:pt idx="19" formatCode="0.0">
                  <c:v>899.9</c:v>
                </c:pt>
                <c:pt idx="20" formatCode="0.0">
                  <c:v>899.9</c:v>
                </c:pt>
                <c:pt idx="21" formatCode="0.0">
                  <c:v>872.8</c:v>
                </c:pt>
                <c:pt idx="22" formatCode="0.0">
                  <c:v>872.8</c:v>
                </c:pt>
                <c:pt idx="23" formatCode="0.0">
                  <c:v>872.8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9-435A-BC0E-265B31A96867}"/>
            </c:ext>
          </c:extLst>
        </c:ser>
        <c:ser>
          <c:idx val="2"/>
          <c:order val="1"/>
          <c:tx>
            <c:strRef>
              <c:f>'32'!$AL$17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'32'!$AM$17:$BJ$17</c:f>
              <c:numCache>
                <c:formatCode>General</c:formatCode>
                <c:ptCount val="24"/>
                <c:pt idx="0">
                  <c:v>514.51</c:v>
                </c:pt>
                <c:pt idx="1">
                  <c:v>514.51</c:v>
                </c:pt>
                <c:pt idx="2">
                  <c:v>514.51</c:v>
                </c:pt>
                <c:pt idx="3">
                  <c:v>514.51</c:v>
                </c:pt>
                <c:pt idx="4">
                  <c:v>514.1</c:v>
                </c:pt>
                <c:pt idx="5">
                  <c:v>522.9</c:v>
                </c:pt>
                <c:pt idx="6">
                  <c:v>522.9</c:v>
                </c:pt>
                <c:pt idx="7">
                  <c:v>522.9</c:v>
                </c:pt>
                <c:pt idx="8">
                  <c:v>522.9</c:v>
                </c:pt>
                <c:pt idx="9">
                  <c:v>522.9</c:v>
                </c:pt>
                <c:pt idx="10">
                  <c:v>522.9</c:v>
                </c:pt>
                <c:pt idx="11">
                  <c:v>522.9</c:v>
                </c:pt>
                <c:pt idx="12">
                  <c:v>491.5</c:v>
                </c:pt>
                <c:pt idx="13">
                  <c:v>490.6</c:v>
                </c:pt>
                <c:pt idx="14">
                  <c:v>491.6</c:v>
                </c:pt>
                <c:pt idx="15">
                  <c:v>486.6</c:v>
                </c:pt>
                <c:pt idx="16">
                  <c:v>486.6</c:v>
                </c:pt>
                <c:pt idx="17">
                  <c:v>357.6</c:v>
                </c:pt>
                <c:pt idx="18" formatCode="0.0">
                  <c:v>324.60000000000002</c:v>
                </c:pt>
                <c:pt idx="19" formatCode="0.0">
                  <c:v>344.6</c:v>
                </c:pt>
                <c:pt idx="20" formatCode="0.0">
                  <c:v>494.6</c:v>
                </c:pt>
                <c:pt idx="21" formatCode="0.0">
                  <c:v>512.6</c:v>
                </c:pt>
                <c:pt idx="22" formatCode="0.0">
                  <c:v>512.6</c:v>
                </c:pt>
                <c:pt idx="23" formatCode="0.0">
                  <c:v>512.6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9-435A-BC0E-265B31A96867}"/>
            </c:ext>
          </c:extLst>
        </c:ser>
        <c:ser>
          <c:idx val="3"/>
          <c:order val="2"/>
          <c:tx>
            <c:strRef>
              <c:f>'32'!$AL$18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'32'!$AM$18:$BJ$18</c:f>
              <c:numCache>
                <c:formatCode>General</c:formatCode>
                <c:ptCount val="24"/>
                <c:pt idx="0">
                  <c:v>412.54</c:v>
                </c:pt>
                <c:pt idx="1">
                  <c:v>413.74000000000007</c:v>
                </c:pt>
                <c:pt idx="2">
                  <c:v>413.74000000000007</c:v>
                </c:pt>
                <c:pt idx="3">
                  <c:v>413.74000000000007</c:v>
                </c:pt>
                <c:pt idx="4">
                  <c:v>414.94000000000005</c:v>
                </c:pt>
                <c:pt idx="5">
                  <c:v>414.94000000000005</c:v>
                </c:pt>
                <c:pt idx="6">
                  <c:v>414.94000000000005</c:v>
                </c:pt>
                <c:pt idx="7">
                  <c:v>424.14000000000004</c:v>
                </c:pt>
                <c:pt idx="8">
                  <c:v>415.14000000000004</c:v>
                </c:pt>
                <c:pt idx="9">
                  <c:v>394.14000000000004</c:v>
                </c:pt>
                <c:pt idx="10">
                  <c:v>433.54</c:v>
                </c:pt>
                <c:pt idx="11">
                  <c:v>437.84000000000003</c:v>
                </c:pt>
                <c:pt idx="12">
                  <c:v>437.54</c:v>
                </c:pt>
                <c:pt idx="13">
                  <c:v>432.24</c:v>
                </c:pt>
                <c:pt idx="14">
                  <c:v>432.24</c:v>
                </c:pt>
                <c:pt idx="15">
                  <c:v>433.53999999999996</c:v>
                </c:pt>
                <c:pt idx="16">
                  <c:v>430.14</c:v>
                </c:pt>
                <c:pt idx="17">
                  <c:v>419.84</c:v>
                </c:pt>
                <c:pt idx="18" formatCode="0.0">
                  <c:v>393.64</c:v>
                </c:pt>
                <c:pt idx="19" formatCode="0.0">
                  <c:v>418.59999999999997</c:v>
                </c:pt>
                <c:pt idx="20" formatCode="0.0">
                  <c:v>416.64</c:v>
                </c:pt>
                <c:pt idx="21" formatCode="0.0">
                  <c:v>416.64</c:v>
                </c:pt>
                <c:pt idx="22" formatCode="0.0">
                  <c:v>408.03999999999996</c:v>
                </c:pt>
                <c:pt idx="23" formatCode="0.0">
                  <c:v>408.03999999999996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9-435A-BC0E-265B31A96867}"/>
            </c:ext>
          </c:extLst>
        </c:ser>
        <c:ser>
          <c:idx val="0"/>
          <c:order val="3"/>
          <c:tx>
            <c:strRef>
              <c:f>'32'!$AL$19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'32'!$AM$19:$BJ$19</c:f>
              <c:numCache>
                <c:formatCode>General</c:formatCode>
                <c:ptCount val="24"/>
                <c:pt idx="0">
                  <c:v>16.600000000000001</c:v>
                </c:pt>
                <c:pt idx="1">
                  <c:v>17.899999999999999</c:v>
                </c:pt>
                <c:pt idx="2">
                  <c:v>16.899999999999999</c:v>
                </c:pt>
                <c:pt idx="3">
                  <c:v>16.2</c:v>
                </c:pt>
                <c:pt idx="4">
                  <c:v>16.100000000000001</c:v>
                </c:pt>
                <c:pt idx="5">
                  <c:v>13</c:v>
                </c:pt>
                <c:pt idx="6">
                  <c:v>12</c:v>
                </c:pt>
                <c:pt idx="7">
                  <c:v>50</c:v>
                </c:pt>
                <c:pt idx="8">
                  <c:v>219.6</c:v>
                </c:pt>
                <c:pt idx="9">
                  <c:v>243.4</c:v>
                </c:pt>
                <c:pt idx="10">
                  <c:v>295.5</c:v>
                </c:pt>
                <c:pt idx="11">
                  <c:v>256.3</c:v>
                </c:pt>
                <c:pt idx="12">
                  <c:v>262</c:v>
                </c:pt>
                <c:pt idx="13">
                  <c:v>258.10000000000002</c:v>
                </c:pt>
                <c:pt idx="14">
                  <c:v>252.5</c:v>
                </c:pt>
                <c:pt idx="15">
                  <c:v>239.8</c:v>
                </c:pt>
                <c:pt idx="16">
                  <c:v>244.3</c:v>
                </c:pt>
                <c:pt idx="17">
                  <c:v>250.09999999999997</c:v>
                </c:pt>
                <c:pt idx="18" formatCode="0.0">
                  <c:v>191.8</c:v>
                </c:pt>
                <c:pt idx="19" formatCode="0.0">
                  <c:v>20.2</c:v>
                </c:pt>
                <c:pt idx="20" formatCode="0.0">
                  <c:v>58</c:v>
                </c:pt>
                <c:pt idx="21" formatCode="0.0">
                  <c:v>53</c:v>
                </c:pt>
                <c:pt idx="22" formatCode="0.0">
                  <c:v>35</c:v>
                </c:pt>
                <c:pt idx="23" formatCode="0.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79-435A-BC0E-265B31A96867}"/>
            </c:ext>
          </c:extLst>
        </c:ser>
        <c:ser>
          <c:idx val="4"/>
          <c:order val="4"/>
          <c:tx>
            <c:strRef>
              <c:f>'32'!$AL$20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48.7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16.7</c:v>
                </c:pt>
                <c:pt idx="15">
                  <c:v>14.2</c:v>
                </c:pt>
                <c:pt idx="16">
                  <c:v>14.1</c:v>
                </c:pt>
                <c:pt idx="17">
                  <c:v>14.399999999999999</c:v>
                </c:pt>
                <c:pt idx="18" formatCode="0.0">
                  <c:v>14.399999999999999</c:v>
                </c:pt>
                <c:pt idx="19" formatCode="0.0">
                  <c:v>16.3</c:v>
                </c:pt>
                <c:pt idx="20" formatCode="0.0">
                  <c:v>35.799999999999997</c:v>
                </c:pt>
                <c:pt idx="21" formatCode="0.0">
                  <c:v>40.799999999999997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79-435A-BC0E-265B31A96867}"/>
            </c:ext>
          </c:extLst>
        </c:ser>
        <c:ser>
          <c:idx val="5"/>
          <c:order val="5"/>
          <c:tx>
            <c:strRef>
              <c:f>'32'!$AL$21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'32'!$AM$21:$BJ$21</c:f>
              <c:numCache>
                <c:formatCode>General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 formatCode="0.0">
                  <c:v>80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151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79-435A-BC0E-265B31A9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'32'!$AM$23:$BJ$23</c:f>
              <c:numCache>
                <c:formatCode>General</c:formatCode>
                <c:ptCount val="24"/>
                <c:pt idx="0">
                  <c:v>-109</c:v>
                </c:pt>
                <c:pt idx="1">
                  <c:v>-218</c:v>
                </c:pt>
                <c:pt idx="2">
                  <c:v>-255</c:v>
                </c:pt>
                <c:pt idx="3">
                  <c:v>-400</c:v>
                </c:pt>
                <c:pt idx="4">
                  <c:v>-397</c:v>
                </c:pt>
                <c:pt idx="5">
                  <c:v>-439</c:v>
                </c:pt>
                <c:pt idx="6">
                  <c:v>-430</c:v>
                </c:pt>
                <c:pt idx="7">
                  <c:v>-366</c:v>
                </c:pt>
                <c:pt idx="8">
                  <c:v>-331</c:v>
                </c:pt>
                <c:pt idx="9">
                  <c:v>-307</c:v>
                </c:pt>
                <c:pt idx="10">
                  <c:v>-240</c:v>
                </c:pt>
                <c:pt idx="11">
                  <c:v>-266</c:v>
                </c:pt>
                <c:pt idx="12">
                  <c:v>-206</c:v>
                </c:pt>
                <c:pt idx="13">
                  <c:v>-132</c:v>
                </c:pt>
                <c:pt idx="14">
                  <c:v>-148.69999999999999</c:v>
                </c:pt>
                <c:pt idx="15">
                  <c:v>-184.1</c:v>
                </c:pt>
                <c:pt idx="16">
                  <c:v>-165</c:v>
                </c:pt>
                <c:pt idx="17">
                  <c:v>-205</c:v>
                </c:pt>
                <c:pt idx="18">
                  <c:v>-215</c:v>
                </c:pt>
                <c:pt idx="19">
                  <c:v>-114</c:v>
                </c:pt>
                <c:pt idx="20">
                  <c:v>-127</c:v>
                </c:pt>
                <c:pt idx="21">
                  <c:v>-150</c:v>
                </c:pt>
                <c:pt idx="22">
                  <c:v>-170</c:v>
                </c:pt>
                <c:pt idx="23">
                  <c:v>-240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79-435A-BC0E-265B31A9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'32'!$AM$22:$BJ$22</c:f>
              <c:numCache>
                <c:formatCode>General</c:formatCode>
                <c:ptCount val="24"/>
                <c:pt idx="0">
                  <c:v>1886.25</c:v>
                </c:pt>
                <c:pt idx="1">
                  <c:v>1943.25</c:v>
                </c:pt>
                <c:pt idx="2">
                  <c:v>1895.95</c:v>
                </c:pt>
                <c:pt idx="3">
                  <c:v>1900.45</c:v>
                </c:pt>
                <c:pt idx="4">
                  <c:v>1924.6399999999999</c:v>
                </c:pt>
                <c:pt idx="5">
                  <c:v>1882.04</c:v>
                </c:pt>
                <c:pt idx="6">
                  <c:v>1881.04</c:v>
                </c:pt>
                <c:pt idx="7">
                  <c:v>1928.24</c:v>
                </c:pt>
                <c:pt idx="8">
                  <c:v>2059.44</c:v>
                </c:pt>
                <c:pt idx="9">
                  <c:v>2032.0400000000002</c:v>
                </c:pt>
                <c:pt idx="10">
                  <c:v>2139.2399999999998</c:v>
                </c:pt>
                <c:pt idx="11">
                  <c:v>2122.2400000000002</c:v>
                </c:pt>
                <c:pt idx="12">
                  <c:v>2081.14</c:v>
                </c:pt>
                <c:pt idx="13">
                  <c:v>2071.34</c:v>
                </c:pt>
                <c:pt idx="14">
                  <c:v>2163.4399999999996</c:v>
                </c:pt>
                <c:pt idx="15">
                  <c:v>2139.7399999999998</c:v>
                </c:pt>
                <c:pt idx="16">
                  <c:v>2133.44</c:v>
                </c:pt>
                <c:pt idx="17">
                  <c:v>2001.74</c:v>
                </c:pt>
                <c:pt idx="18">
                  <c:v>1884.24</c:v>
                </c:pt>
                <c:pt idx="19">
                  <c:v>1849.6</c:v>
                </c:pt>
                <c:pt idx="20">
                  <c:v>2054.9399999999996</c:v>
                </c:pt>
                <c:pt idx="21">
                  <c:v>2045.84</c:v>
                </c:pt>
                <c:pt idx="22">
                  <c:v>1979.44</c:v>
                </c:pt>
                <c:pt idx="23">
                  <c:v>1976.44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179-435A-BC0E-265B31A96867}"/>
            </c:ext>
          </c:extLst>
        </c:ser>
        <c:ser>
          <c:idx val="8"/>
          <c:order val="8"/>
          <c:tx>
            <c:strRef>
              <c:f>'32'!$AL$24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'32'!$AM$24:$BJ$24</c:f>
              <c:numCache>
                <c:formatCode>General</c:formatCode>
                <c:ptCount val="24"/>
                <c:pt idx="0">
                  <c:v>1777.25</c:v>
                </c:pt>
                <c:pt idx="1">
                  <c:v>1725.25</c:v>
                </c:pt>
                <c:pt idx="2">
                  <c:v>1640.95</c:v>
                </c:pt>
                <c:pt idx="3">
                  <c:v>1500.45</c:v>
                </c:pt>
                <c:pt idx="4">
                  <c:v>1527.6399999999999</c:v>
                </c:pt>
                <c:pt idx="5">
                  <c:v>1443.04</c:v>
                </c:pt>
                <c:pt idx="6">
                  <c:v>1451.04</c:v>
                </c:pt>
                <c:pt idx="7">
                  <c:v>1562.24</c:v>
                </c:pt>
                <c:pt idx="8">
                  <c:v>1728.44</c:v>
                </c:pt>
                <c:pt idx="9">
                  <c:v>1725.0400000000002</c:v>
                </c:pt>
                <c:pt idx="10">
                  <c:v>1899.2399999999998</c:v>
                </c:pt>
                <c:pt idx="11">
                  <c:v>1856.2400000000002</c:v>
                </c:pt>
                <c:pt idx="12">
                  <c:v>1875.1399999999999</c:v>
                </c:pt>
                <c:pt idx="13">
                  <c:v>1939.3400000000001</c:v>
                </c:pt>
                <c:pt idx="14">
                  <c:v>2014.7399999999996</c:v>
                </c:pt>
                <c:pt idx="15">
                  <c:v>1955.6399999999999</c:v>
                </c:pt>
                <c:pt idx="16">
                  <c:v>1968.44</c:v>
                </c:pt>
                <c:pt idx="17">
                  <c:v>1796.74</c:v>
                </c:pt>
                <c:pt idx="18">
                  <c:v>1669.24</c:v>
                </c:pt>
                <c:pt idx="19">
                  <c:v>1735.6</c:v>
                </c:pt>
                <c:pt idx="20">
                  <c:v>1927.9399999999996</c:v>
                </c:pt>
                <c:pt idx="21">
                  <c:v>1895.84</c:v>
                </c:pt>
                <c:pt idx="22">
                  <c:v>1809.44</c:v>
                </c:pt>
                <c:pt idx="23">
                  <c:v>1736.44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79-435A-BC0E-265B31A9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93-4F3A-A5BF-47FBF5B056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93-4F3A-A5BF-47FBF5B056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93-4F3A-A5BF-47FBF5B056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93-4F3A-A5BF-47FBF5B056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93-4F3A-A5BF-47FBF5B0567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793-4F3A-A5BF-47FBF5B056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asar1!$AL$16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asar1!$AM$16:$BJ$16</c:f>
              <c:numCache>
                <c:formatCode>General</c:formatCode>
                <c:ptCount val="24"/>
                <c:pt idx="0">
                  <c:v>847.8</c:v>
                </c:pt>
                <c:pt idx="1">
                  <c:v>847.8</c:v>
                </c:pt>
                <c:pt idx="2">
                  <c:v>847.8</c:v>
                </c:pt>
                <c:pt idx="3">
                  <c:v>802.8</c:v>
                </c:pt>
                <c:pt idx="4">
                  <c:v>847.8</c:v>
                </c:pt>
                <c:pt idx="5">
                  <c:v>847.8</c:v>
                </c:pt>
                <c:pt idx="6">
                  <c:v>834.5</c:v>
                </c:pt>
                <c:pt idx="7">
                  <c:v>834.5</c:v>
                </c:pt>
                <c:pt idx="8">
                  <c:v>834.5</c:v>
                </c:pt>
                <c:pt idx="9">
                  <c:v>834.5</c:v>
                </c:pt>
                <c:pt idx="10">
                  <c:v>834.5</c:v>
                </c:pt>
                <c:pt idx="11">
                  <c:v>834.5</c:v>
                </c:pt>
                <c:pt idx="12">
                  <c:v>842.80000000000007</c:v>
                </c:pt>
                <c:pt idx="13">
                  <c:v>842.80000000000007</c:v>
                </c:pt>
                <c:pt idx="14">
                  <c:v>842.80000000000007</c:v>
                </c:pt>
                <c:pt idx="15">
                  <c:v>842.80000000000007</c:v>
                </c:pt>
                <c:pt idx="16">
                  <c:v>842.80000000000007</c:v>
                </c:pt>
                <c:pt idx="17">
                  <c:v>842.80000000000007</c:v>
                </c:pt>
                <c:pt idx="18" formatCode="0.0">
                  <c:v>842.80000000000007</c:v>
                </c:pt>
                <c:pt idx="19" formatCode="0.0">
                  <c:v>862.80000000000007</c:v>
                </c:pt>
                <c:pt idx="20" formatCode="0.0">
                  <c:v>890.8</c:v>
                </c:pt>
                <c:pt idx="21" formatCode="0.0">
                  <c:v>890.8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5-4C39-8E8E-F5FF8FE9243E}"/>
            </c:ext>
          </c:extLst>
        </c:ser>
        <c:ser>
          <c:idx val="2"/>
          <c:order val="1"/>
          <c:tx>
            <c:strRef>
              <c:f>asar1!$AL$17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asar1!$AM$17:$BJ$17</c:f>
              <c:numCache>
                <c:formatCode>General</c:formatCode>
                <c:ptCount val="24"/>
                <c:pt idx="0">
                  <c:v>512.6</c:v>
                </c:pt>
                <c:pt idx="1">
                  <c:v>512.6</c:v>
                </c:pt>
                <c:pt idx="2">
                  <c:v>512.6</c:v>
                </c:pt>
                <c:pt idx="3">
                  <c:v>512.6</c:v>
                </c:pt>
                <c:pt idx="4">
                  <c:v>512.6</c:v>
                </c:pt>
                <c:pt idx="5">
                  <c:v>512.6</c:v>
                </c:pt>
                <c:pt idx="6">
                  <c:v>512.6</c:v>
                </c:pt>
                <c:pt idx="7">
                  <c:v>512.6</c:v>
                </c:pt>
                <c:pt idx="8">
                  <c:v>512.6</c:v>
                </c:pt>
                <c:pt idx="9">
                  <c:v>512.6</c:v>
                </c:pt>
                <c:pt idx="10">
                  <c:v>512.6</c:v>
                </c:pt>
                <c:pt idx="11">
                  <c:v>512.6</c:v>
                </c:pt>
                <c:pt idx="12">
                  <c:v>512.6</c:v>
                </c:pt>
                <c:pt idx="13">
                  <c:v>512.6</c:v>
                </c:pt>
                <c:pt idx="14">
                  <c:v>512.6</c:v>
                </c:pt>
                <c:pt idx="15">
                  <c:v>512.6</c:v>
                </c:pt>
                <c:pt idx="16">
                  <c:v>512.6</c:v>
                </c:pt>
                <c:pt idx="17">
                  <c:v>512.6</c:v>
                </c:pt>
                <c:pt idx="18" formatCode="0.0">
                  <c:v>512.6</c:v>
                </c:pt>
                <c:pt idx="19" formatCode="0.0">
                  <c:v>512.6</c:v>
                </c:pt>
                <c:pt idx="20" formatCode="0.0">
                  <c:v>512.20000000000005</c:v>
                </c:pt>
                <c:pt idx="21" formatCode="0.0">
                  <c:v>512.6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5-4C39-8E8E-F5FF8FE9243E}"/>
            </c:ext>
          </c:extLst>
        </c:ser>
        <c:ser>
          <c:idx val="3"/>
          <c:order val="2"/>
          <c:tx>
            <c:strRef>
              <c:f>asar1!$AL$18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asar1!$AM$18:$BJ$18</c:f>
              <c:numCache>
                <c:formatCode>General</c:formatCode>
                <c:ptCount val="24"/>
                <c:pt idx="0">
                  <c:v>404.64</c:v>
                </c:pt>
                <c:pt idx="1">
                  <c:v>404.64</c:v>
                </c:pt>
                <c:pt idx="2">
                  <c:v>404.64</c:v>
                </c:pt>
                <c:pt idx="3">
                  <c:v>404.64</c:v>
                </c:pt>
                <c:pt idx="4">
                  <c:v>400.24</c:v>
                </c:pt>
                <c:pt idx="5">
                  <c:v>400.24</c:v>
                </c:pt>
                <c:pt idx="6">
                  <c:v>400.24</c:v>
                </c:pt>
                <c:pt idx="7">
                  <c:v>401.44</c:v>
                </c:pt>
                <c:pt idx="8">
                  <c:v>401.44</c:v>
                </c:pt>
                <c:pt idx="9">
                  <c:v>401.44</c:v>
                </c:pt>
                <c:pt idx="10">
                  <c:v>419.44</c:v>
                </c:pt>
                <c:pt idx="11">
                  <c:v>419.44</c:v>
                </c:pt>
                <c:pt idx="12">
                  <c:v>419.44</c:v>
                </c:pt>
                <c:pt idx="13">
                  <c:v>419.44</c:v>
                </c:pt>
                <c:pt idx="14">
                  <c:v>413.24</c:v>
                </c:pt>
                <c:pt idx="15">
                  <c:v>409.94</c:v>
                </c:pt>
                <c:pt idx="16">
                  <c:v>407.14000000000004</c:v>
                </c:pt>
                <c:pt idx="17">
                  <c:v>406.14000000000004</c:v>
                </c:pt>
                <c:pt idx="18" formatCode="0.0">
                  <c:v>417.64</c:v>
                </c:pt>
                <c:pt idx="19" formatCode="0.0">
                  <c:v>400.34000000000003</c:v>
                </c:pt>
                <c:pt idx="20" formatCode="0.0">
                  <c:v>412.34000000000003</c:v>
                </c:pt>
                <c:pt idx="21" formatCode="0.0">
                  <c:v>400.84000000000003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5-4C39-8E8E-F5FF8FE9243E}"/>
            </c:ext>
          </c:extLst>
        </c:ser>
        <c:ser>
          <c:idx val="0"/>
          <c:order val="3"/>
          <c:tx>
            <c:strRef>
              <c:f>asar1!$AL$19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asar1!$AM$19:$BJ$19</c:f>
              <c:numCache>
                <c:formatCode>General</c:formatCode>
                <c:ptCount val="24"/>
                <c:pt idx="0">
                  <c:v>28</c:v>
                </c:pt>
                <c:pt idx="1">
                  <c:v>28</c:v>
                </c:pt>
                <c:pt idx="2">
                  <c:v>27</c:v>
                </c:pt>
                <c:pt idx="3">
                  <c:v>28</c:v>
                </c:pt>
                <c:pt idx="4">
                  <c:v>20.9</c:v>
                </c:pt>
                <c:pt idx="5">
                  <c:v>16.3</c:v>
                </c:pt>
                <c:pt idx="6">
                  <c:v>39</c:v>
                </c:pt>
                <c:pt idx="7">
                  <c:v>141</c:v>
                </c:pt>
                <c:pt idx="8">
                  <c:v>197.9</c:v>
                </c:pt>
                <c:pt idx="9">
                  <c:v>202</c:v>
                </c:pt>
                <c:pt idx="10">
                  <c:v>221.3</c:v>
                </c:pt>
                <c:pt idx="11">
                  <c:v>212</c:v>
                </c:pt>
                <c:pt idx="12">
                  <c:v>219.2</c:v>
                </c:pt>
                <c:pt idx="13">
                  <c:v>237</c:v>
                </c:pt>
                <c:pt idx="14">
                  <c:v>243.7</c:v>
                </c:pt>
                <c:pt idx="15">
                  <c:v>225.1</c:v>
                </c:pt>
                <c:pt idx="16">
                  <c:v>233.1</c:v>
                </c:pt>
                <c:pt idx="17">
                  <c:v>234.2</c:v>
                </c:pt>
                <c:pt idx="18" formatCode="0.0">
                  <c:v>176.6</c:v>
                </c:pt>
                <c:pt idx="19" formatCode="0.0">
                  <c:v>20.7</c:v>
                </c:pt>
                <c:pt idx="20" formatCode="0.0">
                  <c:v>2.9</c:v>
                </c:pt>
                <c:pt idx="21" formatCode="0.0">
                  <c:v>26.8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85-4C39-8E8E-F5FF8FE9243E}"/>
            </c:ext>
          </c:extLst>
        </c:ser>
        <c:ser>
          <c:idx val="4"/>
          <c:order val="4"/>
          <c:tx>
            <c:strRef>
              <c:f>asar1!$AL$20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36.4</c:v>
                </c:pt>
                <c:pt idx="15">
                  <c:v>17.900000000000002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49</c:v>
                </c:pt>
                <c:pt idx="21" formatCode="0.0">
                  <c:v>50.5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5-4C39-8E8E-F5FF8FE9243E}"/>
            </c:ext>
          </c:extLst>
        </c:ser>
        <c:ser>
          <c:idx val="5"/>
          <c:order val="5"/>
          <c:tx>
            <c:strRef>
              <c:f>asar1!$AL$21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150</c:v>
                </c:pt>
                <c:pt idx="4">
                  <c:v>150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125</c:v>
                </c:pt>
                <c:pt idx="21" formatCode="0.0">
                  <c:v>125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asar1!$AL$23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asar1!$AM$23:$BJ$23</c:f>
              <c:numCache>
                <c:formatCode>General</c:formatCode>
                <c:ptCount val="24"/>
                <c:pt idx="0">
                  <c:v>-251</c:v>
                </c:pt>
                <c:pt idx="1">
                  <c:v>-240</c:v>
                </c:pt>
                <c:pt idx="2">
                  <c:v>-286</c:v>
                </c:pt>
                <c:pt idx="3">
                  <c:v>-318</c:v>
                </c:pt>
                <c:pt idx="4">
                  <c:v>-360</c:v>
                </c:pt>
                <c:pt idx="5">
                  <c:v>-420</c:v>
                </c:pt>
                <c:pt idx="6">
                  <c:v>-350</c:v>
                </c:pt>
                <c:pt idx="7">
                  <c:v>-390</c:v>
                </c:pt>
                <c:pt idx="8">
                  <c:v>-360</c:v>
                </c:pt>
                <c:pt idx="9">
                  <c:v>-340</c:v>
                </c:pt>
                <c:pt idx="10">
                  <c:v>-340</c:v>
                </c:pt>
                <c:pt idx="11">
                  <c:v>-325</c:v>
                </c:pt>
                <c:pt idx="12">
                  <c:v>-340</c:v>
                </c:pt>
                <c:pt idx="13">
                  <c:v>-344</c:v>
                </c:pt>
                <c:pt idx="14">
                  <c:v>-216.3</c:v>
                </c:pt>
                <c:pt idx="15">
                  <c:v>-314.8</c:v>
                </c:pt>
                <c:pt idx="16">
                  <c:v>-297.10000000000002</c:v>
                </c:pt>
                <c:pt idx="17">
                  <c:v>-266.7</c:v>
                </c:pt>
                <c:pt idx="18">
                  <c:v>-393.1</c:v>
                </c:pt>
                <c:pt idx="19">
                  <c:v>-166.1</c:v>
                </c:pt>
                <c:pt idx="20">
                  <c:v>-197</c:v>
                </c:pt>
                <c:pt idx="21">
                  <c:v>-172.1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asar1!$AL$22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asar1!$AM$22:$BJ$22</c:f>
              <c:numCache>
                <c:formatCode>General</c:formatCode>
                <c:ptCount val="24"/>
                <c:pt idx="0">
                  <c:v>1943.04</c:v>
                </c:pt>
                <c:pt idx="1">
                  <c:v>1944.04</c:v>
                </c:pt>
                <c:pt idx="2">
                  <c:v>1944.04</c:v>
                </c:pt>
                <c:pt idx="3">
                  <c:v>1898.04</c:v>
                </c:pt>
                <c:pt idx="4">
                  <c:v>1931.5400000000002</c:v>
                </c:pt>
                <c:pt idx="5">
                  <c:v>1876.94</c:v>
                </c:pt>
                <c:pt idx="6">
                  <c:v>1886.34</c:v>
                </c:pt>
                <c:pt idx="7">
                  <c:v>1889.54</c:v>
                </c:pt>
                <c:pt idx="8">
                  <c:v>1946.44</c:v>
                </c:pt>
                <c:pt idx="9">
                  <c:v>1950.54</c:v>
                </c:pt>
                <c:pt idx="10">
                  <c:v>1987.84</c:v>
                </c:pt>
                <c:pt idx="11">
                  <c:v>1978.54</c:v>
                </c:pt>
                <c:pt idx="12">
                  <c:v>1994.0400000000002</c:v>
                </c:pt>
                <c:pt idx="13">
                  <c:v>2011.8400000000001</c:v>
                </c:pt>
                <c:pt idx="14">
                  <c:v>2048.7400000000002</c:v>
                </c:pt>
                <c:pt idx="15">
                  <c:v>2008.3400000000001</c:v>
                </c:pt>
                <c:pt idx="16">
                  <c:v>1995.64</c:v>
                </c:pt>
                <c:pt idx="17">
                  <c:v>1995.7400000000002</c:v>
                </c:pt>
                <c:pt idx="18">
                  <c:v>1949.6399999999999</c:v>
                </c:pt>
                <c:pt idx="19">
                  <c:v>1796.4400000000003</c:v>
                </c:pt>
                <c:pt idx="20">
                  <c:v>1992.2400000000002</c:v>
                </c:pt>
                <c:pt idx="21">
                  <c:v>2006.5400000000002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C85-4C39-8E8E-F5FF8FE9243E}"/>
            </c:ext>
          </c:extLst>
        </c:ser>
        <c:ser>
          <c:idx val="8"/>
          <c:order val="8"/>
          <c:tx>
            <c:strRef>
              <c:f>asar1!$AL$24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asar1!$AM$15:$BJ$15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asar1!$AM$24:$BJ$24</c:f>
              <c:numCache>
                <c:formatCode>General</c:formatCode>
                <c:ptCount val="24"/>
                <c:pt idx="0">
                  <c:v>1692.04</c:v>
                </c:pt>
                <c:pt idx="1">
                  <c:v>1704.04</c:v>
                </c:pt>
                <c:pt idx="2">
                  <c:v>1658.04</c:v>
                </c:pt>
                <c:pt idx="3">
                  <c:v>1580.04</c:v>
                </c:pt>
                <c:pt idx="4">
                  <c:v>1571.5400000000002</c:v>
                </c:pt>
                <c:pt idx="5">
                  <c:v>1456.94</c:v>
                </c:pt>
                <c:pt idx="6">
                  <c:v>1536.34</c:v>
                </c:pt>
                <c:pt idx="7">
                  <c:v>1499.54</c:v>
                </c:pt>
                <c:pt idx="8">
                  <c:v>1586.44</c:v>
                </c:pt>
                <c:pt idx="9">
                  <c:v>1610.54</c:v>
                </c:pt>
                <c:pt idx="10">
                  <c:v>1647.84</c:v>
                </c:pt>
                <c:pt idx="11">
                  <c:v>1653.54</c:v>
                </c:pt>
                <c:pt idx="12">
                  <c:v>1654.0400000000002</c:v>
                </c:pt>
                <c:pt idx="13">
                  <c:v>1667.8400000000001</c:v>
                </c:pt>
                <c:pt idx="14">
                  <c:v>1832.4400000000003</c:v>
                </c:pt>
                <c:pt idx="15">
                  <c:v>1693.5400000000002</c:v>
                </c:pt>
                <c:pt idx="16">
                  <c:v>1698.54</c:v>
                </c:pt>
                <c:pt idx="17">
                  <c:v>1729.0400000000002</c:v>
                </c:pt>
                <c:pt idx="18">
                  <c:v>1556.54</c:v>
                </c:pt>
                <c:pt idx="19">
                  <c:v>1630.3400000000004</c:v>
                </c:pt>
                <c:pt idx="20">
                  <c:v>1795.2400000000002</c:v>
                </c:pt>
                <c:pt idx="21">
                  <c:v>1834.4400000000003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85-4C39-8E8E-F5FF8FE9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4A-46E3-9DBD-617DC644E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4A-46E3-9DBD-617DC644E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4A-46E3-9DBD-617DC644E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4A-46E3-9DBD-617DC644E5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4A-46E3-9DBD-617DC644E56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94A-46E3-9DBD-617DC644E5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NewSample!$AL$16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D-48AF-9C10-EF3FAED5C4C6}"/>
            </c:ext>
          </c:extLst>
        </c:ser>
        <c:ser>
          <c:idx val="2"/>
          <c:order val="1"/>
          <c:tx>
            <c:strRef>
              <c:f>NewSample!$AL$17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D-48AF-9C10-EF3FAED5C4C6}"/>
            </c:ext>
          </c:extLst>
        </c:ser>
        <c:ser>
          <c:idx val="3"/>
          <c:order val="2"/>
          <c:tx>
            <c:strRef>
              <c:f>NewSample!$AL$18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D-48AF-9C10-EF3FAED5C4C6}"/>
            </c:ext>
          </c:extLst>
        </c:ser>
        <c:ser>
          <c:idx val="0"/>
          <c:order val="3"/>
          <c:tx>
            <c:strRef>
              <c:f>NewSample!$AL$19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D-48AF-9C10-EF3FAED5C4C6}"/>
            </c:ext>
          </c:extLst>
        </c:ser>
        <c:ser>
          <c:idx val="4"/>
          <c:order val="4"/>
          <c:tx>
            <c:strRef>
              <c:f>NewSample!$AL$20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D-48AF-9C10-EF3FAED5C4C6}"/>
            </c:ext>
          </c:extLst>
        </c:ser>
        <c:ser>
          <c:idx val="5"/>
          <c:order val="5"/>
          <c:tx>
            <c:strRef>
              <c:f>NewSample!$AL$21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NewSample!$AL$23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NewSample!$AL$22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E8D-48AF-9C10-EF3FAED5C4C6}"/>
            </c:ext>
          </c:extLst>
        </c:ser>
        <c:ser>
          <c:idx val="8"/>
          <c:order val="8"/>
          <c:tx>
            <c:strRef>
              <c:f>NewSample!$AL$24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NewSample!$AM$15:$BJ$15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NewSample!$AM$24:$BJ$24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8D-48AF-9C10-EF3FAED5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6E-4934-A24E-25A100BD0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6E-4934-A24E-25A100BD02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6E-4934-A24E-25A100BD02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6E-4934-A24E-25A100BD02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6E-4934-A24E-25A100BD025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E6E-4934-A24E-25A100BD02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OSample!$AL$16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5-4846-AA3F-F1DFBCAE0DCD}"/>
            </c:ext>
          </c:extLst>
        </c:ser>
        <c:ser>
          <c:idx val="2"/>
          <c:order val="1"/>
          <c:tx>
            <c:strRef>
              <c:f>OSample!$AL$17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5-4846-AA3F-F1DFBCAE0DCD}"/>
            </c:ext>
          </c:extLst>
        </c:ser>
        <c:ser>
          <c:idx val="3"/>
          <c:order val="2"/>
          <c:tx>
            <c:strRef>
              <c:f>OSample!$AL$18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5-4846-AA3F-F1DFBCAE0DCD}"/>
            </c:ext>
          </c:extLst>
        </c:ser>
        <c:ser>
          <c:idx val="0"/>
          <c:order val="3"/>
          <c:tx>
            <c:strRef>
              <c:f>OSample!$AL$19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5-4846-AA3F-F1DFBCAE0DCD}"/>
            </c:ext>
          </c:extLst>
        </c:ser>
        <c:ser>
          <c:idx val="4"/>
          <c:order val="4"/>
          <c:tx>
            <c:strRef>
              <c:f>OSample!$AL$20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5-4846-AA3F-F1DFBCAE0DCD}"/>
            </c:ext>
          </c:extLst>
        </c:ser>
        <c:ser>
          <c:idx val="5"/>
          <c:order val="5"/>
          <c:tx>
            <c:strRef>
              <c:f>OSample!$AL$21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OSample!$AL$23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OSample!$AL$22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605-4846-AA3F-F1DFBCAE0DCD}"/>
            </c:ext>
          </c:extLst>
        </c:ser>
        <c:ser>
          <c:idx val="8"/>
          <c:order val="8"/>
          <c:tx>
            <c:strRef>
              <c:f>OSample!$AL$24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OSample!$AM$15:$BJ$15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OSample!$AM$24:$BJ$24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05-4846-AA3F-F1DFBCAE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DF937-3C62-495C-9956-245BB7FD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CF531B-A3EF-438D-A08D-A814967AD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1818.64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1818.64 MW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D99F6-B53F-48D6-B5C3-AF7B3385F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560DC-93F5-49D6-9EAC-53E130CA6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1797.08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1797.08 MW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C9D41-5C5A-49DA-935A-9A7B1026B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2E3E02-1947-43E9-9D76-69F7AF224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1907.54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1907.54 MW</a:t>
          </a:fld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3074A-D842-4214-A352-983ADB31B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24118-E791-4069-AC6F-E1D43970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1914.64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1914.64 MW</a:t>
          </a:fld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BA3CF-B003-455F-A28C-A39696FD2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FE461-7B0E-4864-90EB-1E8ACDBFE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1726.47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1726.47 MW</a:t>
          </a:fld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4BF23-15E2-4014-8205-ED0CE1B93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FFFFD-CFF4-4EAD-B0EF-411D43689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1813.54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1813.54 MW</a:t>
          </a:fld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64E48-0375-4305-A6DD-6124B9B57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0EF30D-0F0D-42EA-ABD6-0A342F5DB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1709.28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1709.28 MW</a:t>
          </a:fld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A1250-38C8-4C9A-A200-063798E3F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A7180-92F3-4B67-863E-D761D0EBE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1829.33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1829.33 MW</a:t>
          </a:fld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1EBBA-65FB-46C3-8D41-305D13D5E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87956-B785-42FA-BE0F-AFF926528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1748.53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1748.53 MW</a:t>
          </a:fld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B8902-8342-4C8F-9D24-6D8980D70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1DBE5-5CB1-43C3-B261-4944A96E1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1868.94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1868.94 MW</a:t>
          </a:fld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7D032-B946-43BD-911E-E1F699EAA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731F6-2E26-4B1E-8853-B1EABC626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1906.04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1906.04 MW</a:t>
          </a:fld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29CD6-705B-4ACF-A967-DDA2DF677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0B4EE6-CB8D-4E0B-ACEF-497D73DC5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1738.34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1738.34 MW</a:t>
          </a:fld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E97D8-F52D-4D9A-87BD-6C8734C7A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213D66-A651-4CF8-B685-D9CE73DB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2111.24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2111.24 MW</a:t>
          </a:fld>
          <a:endParaRPr lang="en-US" sz="1100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61F9B-9D6B-4F9E-B545-7435A4786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F0BD62-FD23-417F-908A-13D276CA8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1939.14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2067.14 MW</a:t>
          </a:fld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5CDD0-2E8E-4429-B157-56744862C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9E370-2489-43B8-8523-3712EF0BC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1854.04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2069.64 MW</a:t>
          </a:fld>
          <a:endParaRPr lang="en-US" sz="1100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2CE1E-2F3E-48C4-B315-D68E37847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D00E7-A454-41B6-9A76-B43AAA72E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1984.44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2084.14 MW</a:t>
          </a:fld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18C80-698B-4641-A934-36284FE3F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6272D-5BBD-4192-B720-69FAC324F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2131.44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2304.94 MW</a:t>
          </a:fld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C5465-5F35-4DAF-BEC1-966477AA0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308E14-9703-4C94-ABCA-E8B9B5AF5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2014.24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2275.14 MW</a:t>
          </a:fld>
          <a:endParaRPr lang="en-US" sz="1100"/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4F047-E8EA-4522-92C6-357C46159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ED1364-E96D-4D85-9721-00742134F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1997.74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2124.74 MW</a:t>
          </a:fld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5072C-348E-4A0E-8F11-222ABFD0A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D73CFE-CF62-4678-AEE1-0AB504272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1838.24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2096.24 MW</a:t>
          </a:fld>
          <a:endParaRPr lang="en-US" sz="1100"/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7B24F-2BE6-4B98-AE61-0C3AE9D09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299DC-1E88-4A10-A934-02D0CFBBE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1887.04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1944.04 MW</a:t>
          </a:fld>
          <a:endParaRPr lang="en-US" sz="1100"/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B5F2F-81FA-4DD4-941D-C7D2F9969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D53062-BBDB-46B7-A6AF-03905045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2015.44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2083.04 MW</a:t>
          </a:fld>
          <a:endParaRPr lang="en-US" sz="1100"/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2AB18-C51A-40FF-84EC-21AA57831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363CF-221B-494C-9168-6AC63A11D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1799.74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1855.84 MW</a:t>
          </a:fld>
          <a:endParaRPr lang="en-US" sz="1100"/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AC123-5556-4995-AEFA-274B9030D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6E8095-8862-432B-89B5-E2D403569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1990.64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2056.44 MW</a:t>
          </a:fld>
          <a:endParaRPr lang="en-US" sz="1100"/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A7DE2-FE43-4E2A-A78E-ACD98C67A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BE7045-AFDE-4A1B-8761-9A8242617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#REF!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#REF!</a:t>
          </a:fld>
          <a:endParaRPr lang="en-US" sz="1100"/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51F1E-3E1E-476B-8FAD-A47703818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743684-2644-4625-9624-9D01D1734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1929.7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2039.5 MW</a:t>
          </a:fld>
          <a:endParaRPr lang="en-US" sz="1100"/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08A3E-5BD0-4659-A6AB-4622D738D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6F61B8-59A5-4464-86C0-7D6E2540A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1856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1955.5 MW</a:t>
          </a:fld>
          <a:endParaRPr lang="en-US" sz="1100"/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7AD60-D50D-416C-AB8C-20F301ECA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C76DA-7379-4D98-8AB0-8A16FC5D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2063.84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2132 MW</a:t>
          </a:fld>
          <a:endParaRPr lang="en-US" sz="11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642A9-7FA8-4A2A-9086-5F8806884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91B4C-1D47-47EF-A273-F4C8D66D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1984.44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2067.94 MW</a:t>
          </a:fld>
          <a:endParaRPr lang="en-US" sz="1100"/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9B795-ACAD-4233-8F2F-C76A76AE9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83E7A-38C2-4740-8D12-2A322F586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1951.14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2030.54 MW</a:t>
          </a:fld>
          <a:endParaRPr lang="en-US" sz="1100"/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87937-5DBF-4CC9-81D6-7B24C0E1C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3FD32-5A22-4F5C-A35E-C4481856F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2036.34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2163.14 MW</a:t>
          </a:fld>
          <a:endParaRPr lang="en-US" sz="1100"/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27D94-1037-4339-8118-BF1BDC530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A5BD4-02BE-4C36-8011-DD3F3DA19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2026.34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2116.24 MW</a:t>
          </a:fld>
          <a:endParaRPr lang="en-US" sz="1100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8F402-A35B-45F1-8483-86B8F5B78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FC0902-4CEA-4CAA-A502-EE7388023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2014.74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2163.44 MW</a:t>
          </a:fld>
          <a:endParaRPr lang="en-US" sz="1100"/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98A40-2CCE-4AA1-8007-CE85EDBCF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3F940-2AE1-403A-AE6D-A4434ACF8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asar1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1834.44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asar1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2048.74 MW</a:t>
          </a:fld>
          <a:endParaRPr lang="en-US" sz="1100"/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261</xdr:row>
      <xdr:rowOff>57156</xdr:rowOff>
    </xdr:from>
    <xdr:to>
      <xdr:col>15</xdr:col>
      <xdr:colOff>219074</xdr:colOff>
      <xdr:row>283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375A3-5776-4BEE-A946-88F98319C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97DFF-E3BE-4B19-BBBD-0838FCE98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New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New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155.5 MW</a:t>
          </a:fld>
          <a:endParaRPr lang="en-US" sz="1100"/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065B5-4CEC-4F25-909A-600032204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541F5-ECB5-405B-AE0B-BD36BD8B1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O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NATIONAL PEAK : 155.5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O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ea typeface="Calibri"/>
              <a:cs typeface="Calibri"/>
            </a:rPr>
            <a:pPr/>
            <a:t>DAILY SYSTEM PEAK : 155.5 MW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</row>
        <row r="241">
          <cell r="A241" t="str">
            <v>NEA(RoR+PRoR)</v>
          </cell>
          <cell r="B241"/>
        </row>
        <row r="242">
          <cell r="A242" t="str">
            <v>KL1+KL2+KL3</v>
          </cell>
          <cell r="B242"/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6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65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6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6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7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98B0-0C05-4BC9-9F71-1A4FA4B4C26F}">
  <sheetPr codeName="Sheet1"/>
  <dimension ref="A1:CJ294"/>
  <sheetViews>
    <sheetView zoomScale="110" zoomScaleNormal="110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</v>
      </c>
      <c r="C4" s="187"/>
      <c r="D4" s="187"/>
      <c r="E4" s="188" t="str">
        <f ca="1">"2080/"&amp;"10/"&amp;INT(MID(CELL("filename",G6),FIND("]",CELL("filename",G6))+1,200))</f>
        <v>2080/10/1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108.9</v>
      </c>
      <c r="C5" s="30">
        <f t="shared" si="0"/>
        <v>159</v>
      </c>
      <c r="D5" s="30">
        <f t="shared" si="0"/>
        <v>155.1</v>
      </c>
      <c r="E5" s="30">
        <f t="shared" si="0"/>
        <v>155.4</v>
      </c>
      <c r="F5" s="30">
        <f t="shared" si="0"/>
        <v>160.1</v>
      </c>
      <c r="G5" s="30">
        <f t="shared" si="0"/>
        <v>156.80000000000001</v>
      </c>
      <c r="H5" s="30">
        <f t="shared" si="0"/>
        <v>177.8</v>
      </c>
      <c r="I5" s="30">
        <f t="shared" si="0"/>
        <v>546.4</v>
      </c>
      <c r="J5" s="30">
        <f t="shared" si="0"/>
        <v>601.80000000000007</v>
      </c>
      <c r="K5" s="30">
        <f t="shared" si="0"/>
        <v>639.9</v>
      </c>
      <c r="L5" s="30">
        <f t="shared" si="0"/>
        <v>672.9</v>
      </c>
      <c r="M5" s="30">
        <f t="shared" si="0"/>
        <v>668.69999999999993</v>
      </c>
      <c r="N5" s="30">
        <f t="shared" si="0"/>
        <v>700.8</v>
      </c>
      <c r="O5" s="30">
        <f t="shared" si="0"/>
        <v>737.19999999999993</v>
      </c>
      <c r="P5" s="30">
        <f t="shared" si="0"/>
        <v>768.9</v>
      </c>
      <c r="Q5" s="30">
        <f t="shared" si="0"/>
        <v>795.39999999999986</v>
      </c>
      <c r="R5" s="30">
        <f t="shared" si="0"/>
        <v>856.80000000000007</v>
      </c>
      <c r="S5" s="30">
        <f t="shared" si="0"/>
        <v>834</v>
      </c>
      <c r="T5" s="30">
        <f t="shared" si="0"/>
        <v>817.5</v>
      </c>
      <c r="U5" s="30">
        <f t="shared" si="0"/>
        <v>759.19999999999993</v>
      </c>
      <c r="V5" s="30">
        <f t="shared" si="0"/>
        <v>812.19999999999993</v>
      </c>
      <c r="W5" s="30">
        <f t="shared" si="0"/>
        <v>630.9</v>
      </c>
      <c r="X5" s="30">
        <f t="shared" si="0"/>
        <v>539</v>
      </c>
      <c r="Y5" s="30">
        <f t="shared" si="0"/>
        <v>267.3</v>
      </c>
      <c r="Z5" s="30">
        <f t="shared" si="0"/>
        <v>183.2</v>
      </c>
      <c r="AA5" s="30">
        <f t="shared" si="0"/>
        <v>267.5</v>
      </c>
      <c r="AB5" s="30">
        <f t="shared" si="0"/>
        <v>297.2</v>
      </c>
      <c r="AC5" s="30">
        <f t="shared" si="0"/>
        <v>282.10000000000002</v>
      </c>
      <c r="AD5" s="30">
        <f t="shared" si="0"/>
        <v>239.1</v>
      </c>
      <c r="AE5" s="30">
        <f t="shared" si="0"/>
        <v>287.2</v>
      </c>
      <c r="AF5" s="30">
        <f>B92</f>
        <v>71.7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1623MW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Load=1358</v>
      </c>
      <c r="B7" s="35">
        <f t="shared" ref="B7:AF7" si="1">B100</f>
        <v>1440.3400000000001</v>
      </c>
      <c r="C7" s="35">
        <f t="shared" si="1"/>
        <v>1357.7400000000002</v>
      </c>
      <c r="D7" s="35">
        <f t="shared" si="1"/>
        <v>1403.24</v>
      </c>
      <c r="E7" s="35">
        <f t="shared" si="1"/>
        <v>1390.74</v>
      </c>
      <c r="F7" s="35">
        <f t="shared" si="1"/>
        <v>1371.3400000000001</v>
      </c>
      <c r="G7" s="35">
        <f t="shared" si="1"/>
        <v>1399.84</v>
      </c>
      <c r="H7" s="35">
        <f t="shared" si="1"/>
        <v>1427.04</v>
      </c>
      <c r="I7" s="35">
        <f t="shared" si="1"/>
        <v>1468.04</v>
      </c>
      <c r="J7" s="35">
        <f t="shared" si="1"/>
        <v>1550.6399999999999</v>
      </c>
      <c r="K7" s="35">
        <f t="shared" si="1"/>
        <v>1562.54</v>
      </c>
      <c r="L7" s="35">
        <f t="shared" si="1"/>
        <v>1615.6400000000003</v>
      </c>
      <c r="M7" s="35">
        <f t="shared" si="1"/>
        <v>1622.94</v>
      </c>
      <c r="N7" s="35">
        <f t="shared" si="1"/>
        <v>1612.6399999999999</v>
      </c>
      <c r="O7" s="35">
        <f t="shared" si="1"/>
        <v>1668.84</v>
      </c>
      <c r="P7" s="35">
        <f t="shared" si="1"/>
        <v>1709.3400000000001</v>
      </c>
      <c r="Q7" s="35">
        <f t="shared" si="1"/>
        <v>1686.94</v>
      </c>
      <c r="R7" s="35">
        <f t="shared" si="1"/>
        <v>1754.44</v>
      </c>
      <c r="S7" s="35">
        <f t="shared" si="1"/>
        <v>1815.1400000000003</v>
      </c>
      <c r="T7" s="35">
        <f t="shared" si="1"/>
        <v>1783.94</v>
      </c>
      <c r="U7" s="35">
        <f t="shared" si="1"/>
        <v>1761.44</v>
      </c>
      <c r="V7" s="35">
        <f t="shared" si="1"/>
        <v>1672.6399999999999</v>
      </c>
      <c r="W7" s="35">
        <f t="shared" si="1"/>
        <v>1645.04</v>
      </c>
      <c r="X7" s="35">
        <f t="shared" si="1"/>
        <v>1693.64</v>
      </c>
      <c r="Y7" s="35">
        <f t="shared" si="1"/>
        <v>1694.3000000000002</v>
      </c>
      <c r="Z7" s="35">
        <f t="shared" si="1"/>
        <v>1780.9000000000003</v>
      </c>
      <c r="AA7" s="35">
        <f t="shared" si="1"/>
        <v>1898.0000000000002</v>
      </c>
      <c r="AB7" s="35">
        <f t="shared" si="1"/>
        <v>1779.8400000000001</v>
      </c>
      <c r="AC7" s="35">
        <f t="shared" si="1"/>
        <v>1786.64</v>
      </c>
      <c r="AD7" s="35">
        <f t="shared" si="1"/>
        <v>1754.54</v>
      </c>
      <c r="AE7" s="35">
        <f t="shared" si="1"/>
        <v>1818.64</v>
      </c>
      <c r="AF7" s="35">
        <f t="shared" si="1"/>
        <v>1782.8400000000001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1818.64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1818.64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27.1</v>
      </c>
      <c r="C11" s="46">
        <v>26.2</v>
      </c>
      <c r="D11" s="46">
        <v>26.2</v>
      </c>
      <c r="E11" s="46">
        <v>26.2</v>
      </c>
      <c r="F11" s="46">
        <v>26.2</v>
      </c>
      <c r="G11" s="46">
        <v>26.2</v>
      </c>
      <c r="H11" s="46">
        <v>26.2</v>
      </c>
      <c r="I11" s="46">
        <v>26.2</v>
      </c>
      <c r="J11" s="46">
        <v>26.2</v>
      </c>
      <c r="K11" s="46">
        <v>26.2</v>
      </c>
      <c r="L11" s="46">
        <v>26.2</v>
      </c>
      <c r="M11" s="46">
        <v>24.1</v>
      </c>
      <c r="N11" s="46">
        <v>24.1</v>
      </c>
      <c r="O11" s="46">
        <v>25.6</v>
      </c>
      <c r="P11" s="46">
        <v>25.6</v>
      </c>
      <c r="Q11" s="46">
        <v>27.4</v>
      </c>
      <c r="R11" s="46">
        <v>27.4</v>
      </c>
      <c r="S11" s="46">
        <v>27.4</v>
      </c>
      <c r="T11" s="46">
        <v>27.4</v>
      </c>
      <c r="U11" s="46">
        <v>27.4</v>
      </c>
      <c r="V11" s="46">
        <v>27.4</v>
      </c>
      <c r="W11" s="46">
        <v>27.4</v>
      </c>
      <c r="X11" s="46">
        <v>27.4</v>
      </c>
      <c r="Y11" s="46">
        <v>27.4</v>
      </c>
      <c r="Z11" s="46">
        <v>27.4</v>
      </c>
      <c r="AA11" s="46">
        <v>27.4</v>
      </c>
      <c r="AB11" s="46">
        <v>22.1</v>
      </c>
      <c r="AC11" s="46">
        <v>22.2</v>
      </c>
      <c r="AD11" s="46">
        <v>22.3</v>
      </c>
      <c r="AE11" s="46">
        <v>21</v>
      </c>
      <c r="AF11" s="46">
        <v>21.9</v>
      </c>
      <c r="AG11" s="47">
        <v>86</v>
      </c>
      <c r="AH11" s="48">
        <f t="shared" ref="AH11:AH16" si="2">MAX(B11:AF11)</f>
        <v>27.4</v>
      </c>
      <c r="AI11" s="49">
        <f t="shared" ref="AI11:AI16" si="3">MIN(B11:AF11)</f>
        <v>21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12</v>
      </c>
      <c r="AC12" s="46">
        <v>12</v>
      </c>
      <c r="AD12" s="46">
        <v>12</v>
      </c>
      <c r="AE12" s="46">
        <v>12</v>
      </c>
      <c r="AF12" s="46">
        <v>12</v>
      </c>
      <c r="AG12" s="50">
        <v>54</v>
      </c>
      <c r="AH12" s="48">
        <f t="shared" si="2"/>
        <v>12</v>
      </c>
      <c r="AI12" s="49">
        <f t="shared" si="3"/>
        <v>12</v>
      </c>
      <c r="AK12" s="51"/>
      <c r="AL12" s="52" t="str">
        <f ca="1">MID(CELL("filename",C7),FIND("]",CELL("filename",C7))+1,600)</f>
        <v>01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17</v>
      </c>
      <c r="C13" s="46">
        <v>17</v>
      </c>
      <c r="D13" s="46">
        <v>17</v>
      </c>
      <c r="E13" s="46">
        <v>17</v>
      </c>
      <c r="F13" s="46">
        <v>17</v>
      </c>
      <c r="G13" s="46">
        <v>17</v>
      </c>
      <c r="H13" s="46">
        <v>17</v>
      </c>
      <c r="I13" s="46">
        <v>17</v>
      </c>
      <c r="J13" s="46">
        <v>17</v>
      </c>
      <c r="K13" s="46">
        <v>17</v>
      </c>
      <c r="L13" s="46">
        <v>17</v>
      </c>
      <c r="M13" s="46">
        <v>15</v>
      </c>
      <c r="N13" s="46">
        <v>15</v>
      </c>
      <c r="O13" s="46">
        <v>16</v>
      </c>
      <c r="P13" s="46">
        <v>16</v>
      </c>
      <c r="Q13" s="46">
        <v>16</v>
      </c>
      <c r="R13" s="46">
        <v>16</v>
      </c>
      <c r="S13" s="46">
        <v>16</v>
      </c>
      <c r="T13" s="46">
        <v>16</v>
      </c>
      <c r="U13" s="46">
        <v>16</v>
      </c>
      <c r="V13" s="46">
        <v>16</v>
      </c>
      <c r="W13" s="46">
        <v>16</v>
      </c>
      <c r="X13" s="46">
        <v>16</v>
      </c>
      <c r="Y13" s="46">
        <v>16</v>
      </c>
      <c r="Z13" s="46">
        <v>16</v>
      </c>
      <c r="AA13" s="46">
        <v>16</v>
      </c>
      <c r="AB13" s="46">
        <v>16.899999999999999</v>
      </c>
      <c r="AC13" s="46">
        <v>16.899999999999999</v>
      </c>
      <c r="AD13" s="46">
        <v>16.899999999999999</v>
      </c>
      <c r="AE13" s="46">
        <v>16.899999999999999</v>
      </c>
      <c r="AF13" s="46">
        <v>16.899999999999999</v>
      </c>
      <c r="AG13" s="50">
        <v>54</v>
      </c>
      <c r="AH13" s="48">
        <f t="shared" si="2"/>
        <v>17</v>
      </c>
      <c r="AI13" s="49">
        <f t="shared" si="3"/>
        <v>15</v>
      </c>
      <c r="AK13" s="51"/>
      <c r="AL13" s="52" t="str">
        <f ca="1">"Daily Load Curve(Excluding of Export) of Nepal ("&amp;A4&amp;" "&amp;B4&amp;")"</f>
        <v>Daily Load Curve(Excluding of Export) of Nepal (Nepali Date: 2080/10/1)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</v>
      </c>
      <c r="C15" s="46">
        <v>50</v>
      </c>
      <c r="D15" s="46">
        <v>50</v>
      </c>
      <c r="E15" s="46">
        <v>50</v>
      </c>
      <c r="F15" s="46">
        <v>50</v>
      </c>
      <c r="G15" s="46">
        <v>50</v>
      </c>
      <c r="H15" s="46">
        <v>50</v>
      </c>
      <c r="I15" s="46">
        <v>50</v>
      </c>
      <c r="J15" s="46">
        <v>50</v>
      </c>
      <c r="K15" s="46">
        <v>50</v>
      </c>
      <c r="L15" s="46">
        <v>50</v>
      </c>
      <c r="M15" s="46">
        <v>50</v>
      </c>
      <c r="N15" s="46">
        <v>50</v>
      </c>
      <c r="O15" s="46">
        <v>50</v>
      </c>
      <c r="P15" s="46">
        <v>50</v>
      </c>
      <c r="Q15" s="46">
        <v>50</v>
      </c>
      <c r="R15" s="46">
        <v>50</v>
      </c>
      <c r="S15" s="46">
        <v>50</v>
      </c>
      <c r="T15" s="46">
        <v>50</v>
      </c>
      <c r="U15" s="46">
        <v>50</v>
      </c>
      <c r="V15" s="46">
        <v>50</v>
      </c>
      <c r="W15" s="46">
        <v>50</v>
      </c>
      <c r="X15" s="46">
        <v>50</v>
      </c>
      <c r="Y15" s="46">
        <v>50</v>
      </c>
      <c r="Z15" s="46">
        <v>50</v>
      </c>
      <c r="AA15" s="46">
        <v>50</v>
      </c>
      <c r="AB15" s="53">
        <v>49.9</v>
      </c>
      <c r="AC15" s="53">
        <v>49.9</v>
      </c>
      <c r="AD15" s="53">
        <v>49.9</v>
      </c>
      <c r="AE15" s="53">
        <v>50.1</v>
      </c>
      <c r="AF15" s="53">
        <v>50.2</v>
      </c>
      <c r="AG15" s="50">
        <v>50</v>
      </c>
      <c r="AH15" s="48">
        <f t="shared" si="2"/>
        <v>50.2</v>
      </c>
      <c r="AI15" s="49">
        <f t="shared" si="3"/>
        <v>49.9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15.4</v>
      </c>
      <c r="C16" s="46">
        <v>15.4</v>
      </c>
      <c r="D16" s="46">
        <v>15.4</v>
      </c>
      <c r="E16" s="46">
        <v>15.4</v>
      </c>
      <c r="F16" s="46">
        <v>15.4</v>
      </c>
      <c r="G16" s="46">
        <v>15.4</v>
      </c>
      <c r="H16" s="46">
        <v>15.4</v>
      </c>
      <c r="I16" s="46">
        <v>15.4</v>
      </c>
      <c r="J16" s="46">
        <v>15.4</v>
      </c>
      <c r="K16" s="46">
        <v>15.4</v>
      </c>
      <c r="L16" s="46">
        <v>15.4</v>
      </c>
      <c r="M16" s="46">
        <v>15.4</v>
      </c>
      <c r="N16" s="46">
        <v>15.4</v>
      </c>
      <c r="O16" s="46">
        <v>15.4</v>
      </c>
      <c r="P16" s="46">
        <v>15.4</v>
      </c>
      <c r="Q16" s="46">
        <v>15.4</v>
      </c>
      <c r="R16" s="46">
        <v>15.4</v>
      </c>
      <c r="S16" s="46">
        <v>15.4</v>
      </c>
      <c r="T16" s="46">
        <v>15.4</v>
      </c>
      <c r="U16" s="46">
        <v>15.4</v>
      </c>
      <c r="V16" s="46">
        <v>15.4</v>
      </c>
      <c r="W16" s="46">
        <v>15.4</v>
      </c>
      <c r="X16" s="46">
        <v>15.4</v>
      </c>
      <c r="Y16" s="46">
        <v>15.4</v>
      </c>
      <c r="Z16" s="46">
        <v>15.4</v>
      </c>
      <c r="AA16" s="46">
        <v>15.4</v>
      </c>
      <c r="AB16" s="46">
        <v>15.1</v>
      </c>
      <c r="AC16" s="46">
        <v>15.1</v>
      </c>
      <c r="AD16" s="46">
        <v>15.1</v>
      </c>
      <c r="AE16" s="46">
        <v>15.1</v>
      </c>
      <c r="AF16" s="46">
        <v>15.1</v>
      </c>
      <c r="AG16" s="50">
        <v>45</v>
      </c>
      <c r="AH16" s="48">
        <f t="shared" si="2"/>
        <v>15.4</v>
      </c>
      <c r="AI16" s="49">
        <f t="shared" si="3"/>
        <v>15.1</v>
      </c>
      <c r="AK16" s="51"/>
      <c r="AL16" s="54" t="s">
        <v>7</v>
      </c>
      <c r="AM16" s="59">
        <f t="shared" ref="AM16:AR16" si="4">B58</f>
        <v>539.29999999999995</v>
      </c>
      <c r="AN16" s="59">
        <f t="shared" si="4"/>
        <v>536.70000000000005</v>
      </c>
      <c r="AO16" s="59">
        <f t="shared" si="4"/>
        <v>536.70000000000005</v>
      </c>
      <c r="AP16" s="59">
        <f t="shared" si="4"/>
        <v>536.70000000000005</v>
      </c>
      <c r="AQ16" s="59">
        <f t="shared" si="4"/>
        <v>536.70000000000005</v>
      </c>
      <c r="AR16" s="59">
        <f t="shared" si="4"/>
        <v>536.70000000000005</v>
      </c>
      <c r="AS16" s="59">
        <f>I58</f>
        <v>536.70000000000005</v>
      </c>
      <c r="AT16" s="59">
        <f>K58</f>
        <v>536.70000000000005</v>
      </c>
      <c r="AU16" s="59">
        <f t="shared" ref="AU16:BD16" si="5">M58</f>
        <v>514.5</v>
      </c>
      <c r="AV16" s="59">
        <f t="shared" si="5"/>
        <v>514.5</v>
      </c>
      <c r="AW16" s="59">
        <f t="shared" si="5"/>
        <v>517</v>
      </c>
      <c r="AX16" s="59">
        <f t="shared" si="5"/>
        <v>517</v>
      </c>
      <c r="AY16" s="59">
        <f t="shared" si="5"/>
        <v>518.80000000000007</v>
      </c>
      <c r="AZ16" s="59">
        <f t="shared" si="5"/>
        <v>518.80000000000007</v>
      </c>
      <c r="BA16" s="59">
        <f t="shared" si="5"/>
        <v>518.80000000000007</v>
      </c>
      <c r="BB16" s="59">
        <f t="shared" si="5"/>
        <v>518.80000000000007</v>
      </c>
      <c r="BC16" s="59">
        <f t="shared" si="5"/>
        <v>518.80000000000007</v>
      </c>
      <c r="BD16" s="59">
        <f t="shared" si="5"/>
        <v>518.80000000000007</v>
      </c>
      <c r="BE16" s="60">
        <f>X58</f>
        <v>518.80000000000007</v>
      </c>
      <c r="BF16" s="60">
        <f>Z58</f>
        <v>518.80000000000007</v>
      </c>
      <c r="BG16" s="60">
        <f>AB58</f>
        <v>515.5</v>
      </c>
      <c r="BH16" s="60">
        <f>AD58</f>
        <v>515.70000000000005</v>
      </c>
      <c r="BI16" s="60">
        <f>AE58</f>
        <v>527.10000000000014</v>
      </c>
      <c r="BJ16" s="60">
        <f>AF58</f>
        <v>528.10000000000014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</v>
      </c>
      <c r="U17" s="46">
        <v>16</v>
      </c>
      <c r="V17" s="46">
        <v>16</v>
      </c>
      <c r="W17" s="46">
        <v>16</v>
      </c>
      <c r="X17" s="46">
        <v>16</v>
      </c>
      <c r="Y17" s="46">
        <v>16</v>
      </c>
      <c r="Z17" s="46">
        <v>16</v>
      </c>
      <c r="AA17" s="46">
        <v>16</v>
      </c>
      <c r="AB17" s="46">
        <v>16</v>
      </c>
      <c r="AC17" s="46">
        <v>16</v>
      </c>
      <c r="AD17" s="46">
        <v>16</v>
      </c>
      <c r="AE17" s="46">
        <v>16</v>
      </c>
      <c r="AF17" s="46">
        <v>16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200.60000000000002</v>
      </c>
      <c r="AN17" s="59">
        <f t="shared" si="6"/>
        <v>147.80000000000001</v>
      </c>
      <c r="AO17" s="59">
        <f t="shared" si="6"/>
        <v>147.80000000000001</v>
      </c>
      <c r="AP17" s="59">
        <f t="shared" si="6"/>
        <v>178.5</v>
      </c>
      <c r="AQ17" s="59">
        <f t="shared" si="6"/>
        <v>124.1</v>
      </c>
      <c r="AR17" s="59">
        <f t="shared" si="6"/>
        <v>138.30000000000001</v>
      </c>
      <c r="AS17" s="59">
        <f>I62</f>
        <v>158.30000000000001</v>
      </c>
      <c r="AT17" s="59">
        <f>K62</f>
        <v>88.4</v>
      </c>
      <c r="AU17" s="59">
        <f t="shared" ref="AU17:BD17" si="7">M62</f>
        <v>46.3</v>
      </c>
      <c r="AV17" s="59">
        <f t="shared" si="7"/>
        <v>38.9</v>
      </c>
      <c r="AW17" s="59">
        <f t="shared" si="7"/>
        <v>111.60000000000001</v>
      </c>
      <c r="AX17" s="59">
        <f t="shared" si="7"/>
        <v>111.60000000000001</v>
      </c>
      <c r="AY17" s="59">
        <f t="shared" si="7"/>
        <v>40.700000000000003</v>
      </c>
      <c r="AZ17" s="59">
        <f t="shared" si="7"/>
        <v>40</v>
      </c>
      <c r="BA17" s="59">
        <f t="shared" si="7"/>
        <v>55.099999999999994</v>
      </c>
      <c r="BB17" s="59">
        <f t="shared" si="7"/>
        <v>37.4</v>
      </c>
      <c r="BC17" s="59">
        <f t="shared" si="7"/>
        <v>37.4</v>
      </c>
      <c r="BD17" s="59">
        <f t="shared" si="7"/>
        <v>37.4</v>
      </c>
      <c r="BE17" s="60">
        <f>X62</f>
        <v>50.6</v>
      </c>
      <c r="BF17" s="60">
        <f>Z62</f>
        <v>344.3</v>
      </c>
      <c r="BG17" s="60">
        <f>AB62</f>
        <v>295.20000000000005</v>
      </c>
      <c r="BH17" s="60">
        <f>AD62</f>
        <v>255</v>
      </c>
      <c r="BI17" s="60">
        <f>AE62</f>
        <v>244</v>
      </c>
      <c r="BJ17" s="60">
        <f>AF62</f>
        <v>164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14</v>
      </c>
      <c r="C18" s="46">
        <v>13.5</v>
      </c>
      <c r="D18" s="46">
        <v>13.5</v>
      </c>
      <c r="E18" s="46">
        <v>13.5</v>
      </c>
      <c r="F18" s="46">
        <v>13.5</v>
      </c>
      <c r="G18" s="46">
        <v>13.5</v>
      </c>
      <c r="H18" s="46">
        <v>13.5</v>
      </c>
      <c r="I18" s="46">
        <v>13.5</v>
      </c>
      <c r="J18" s="46">
        <v>13.5</v>
      </c>
      <c r="K18" s="46">
        <v>13.5</v>
      </c>
      <c r="L18" s="46">
        <v>13.5</v>
      </c>
      <c r="M18" s="46">
        <v>12.5</v>
      </c>
      <c r="N18" s="46">
        <v>12.5</v>
      </c>
      <c r="O18" s="46">
        <v>12.5</v>
      </c>
      <c r="P18" s="46">
        <v>12.5</v>
      </c>
      <c r="Q18" s="46">
        <v>12.5</v>
      </c>
      <c r="R18" s="46">
        <v>12.5</v>
      </c>
      <c r="S18" s="46">
        <v>12.5</v>
      </c>
      <c r="T18" s="46">
        <v>12.5</v>
      </c>
      <c r="U18" s="46">
        <v>12.5</v>
      </c>
      <c r="V18" s="46">
        <v>12.5</v>
      </c>
      <c r="W18" s="46">
        <v>12.5</v>
      </c>
      <c r="X18" s="46">
        <v>12.5</v>
      </c>
      <c r="Y18" s="46">
        <v>12.5</v>
      </c>
      <c r="Z18" s="46">
        <v>12.5</v>
      </c>
      <c r="AA18" s="46">
        <v>12.5</v>
      </c>
      <c r="AB18" s="46">
        <v>12.5</v>
      </c>
      <c r="AC18" s="46">
        <v>12.5</v>
      </c>
      <c r="AD18" s="46">
        <v>12.5</v>
      </c>
      <c r="AE18" s="46">
        <v>15.5</v>
      </c>
      <c r="AF18" s="46">
        <v>15.5</v>
      </c>
      <c r="AG18" s="50">
        <v>42</v>
      </c>
      <c r="AH18" s="48">
        <f t="shared" ref="AH18:AH81" si="8">MAX(B18:AF18)</f>
        <v>15.5</v>
      </c>
      <c r="AI18" s="49">
        <f t="shared" ref="AI18:AI81" si="9">MIN(B18:AF18)</f>
        <v>12.5</v>
      </c>
      <c r="AK18" s="51"/>
      <c r="AL18" s="54" t="s">
        <v>29</v>
      </c>
      <c r="AM18" s="59">
        <f t="shared" ref="AM18:AR18" si="10">B76</f>
        <v>332.64000000000004</v>
      </c>
      <c r="AN18" s="59">
        <f t="shared" si="10"/>
        <v>268.24</v>
      </c>
      <c r="AO18" s="59">
        <f t="shared" si="10"/>
        <v>262.54000000000002</v>
      </c>
      <c r="AP18" s="59">
        <f t="shared" si="10"/>
        <v>258.24</v>
      </c>
      <c r="AQ18" s="59">
        <f t="shared" si="10"/>
        <v>258.24</v>
      </c>
      <c r="AR18" s="59">
        <f t="shared" si="10"/>
        <v>267.83999999999997</v>
      </c>
      <c r="AS18" s="59">
        <f>I76</f>
        <v>278.34000000000003</v>
      </c>
      <c r="AT18" s="59">
        <f>K76</f>
        <v>293.54000000000002</v>
      </c>
      <c r="AU18" s="59">
        <f t="shared" ref="AU18:BD18" si="11">M76</f>
        <v>326.34000000000003</v>
      </c>
      <c r="AV18" s="59">
        <f t="shared" si="11"/>
        <v>293.04000000000002</v>
      </c>
      <c r="AW18" s="59">
        <f t="shared" si="11"/>
        <v>291.14</v>
      </c>
      <c r="AX18" s="59">
        <f t="shared" si="11"/>
        <v>270.74000000000007</v>
      </c>
      <c r="AY18" s="59">
        <f t="shared" si="11"/>
        <v>272.44</v>
      </c>
      <c r="AZ18" s="59">
        <f t="shared" si="11"/>
        <v>303.44000000000005</v>
      </c>
      <c r="BA18" s="59">
        <f t="shared" si="11"/>
        <v>286.24</v>
      </c>
      <c r="BB18" s="59">
        <f t="shared" si="11"/>
        <v>295.54000000000008</v>
      </c>
      <c r="BC18" s="59">
        <f t="shared" si="11"/>
        <v>289.54000000000008</v>
      </c>
      <c r="BD18" s="59">
        <f t="shared" si="11"/>
        <v>259.04000000000002</v>
      </c>
      <c r="BE18" s="60">
        <f>X76</f>
        <v>231.23999999999998</v>
      </c>
      <c r="BF18" s="60">
        <f>Z76</f>
        <v>353.40000000000009</v>
      </c>
      <c r="BG18" s="60">
        <f>AB76</f>
        <v>402.6400000000001</v>
      </c>
      <c r="BH18" s="60">
        <f>AD76</f>
        <v>402.84000000000003</v>
      </c>
      <c r="BI18" s="60">
        <f>AE76</f>
        <v>359.64000000000004</v>
      </c>
      <c r="BJ18" s="60">
        <f>AF76</f>
        <v>354.74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23.2</v>
      </c>
      <c r="C19" s="46">
        <v>23.2</v>
      </c>
      <c r="D19" s="46">
        <v>23.2</v>
      </c>
      <c r="E19" s="46">
        <v>23.2</v>
      </c>
      <c r="F19" s="46">
        <v>23.2</v>
      </c>
      <c r="G19" s="46">
        <v>23.2</v>
      </c>
      <c r="H19" s="46">
        <v>23.2</v>
      </c>
      <c r="I19" s="46">
        <v>23.2</v>
      </c>
      <c r="J19" s="46">
        <v>23.2</v>
      </c>
      <c r="K19" s="46">
        <v>23.2</v>
      </c>
      <c r="L19" s="46">
        <v>23.2</v>
      </c>
      <c r="M19" s="46">
        <v>20.5</v>
      </c>
      <c r="N19" s="46">
        <v>20.5</v>
      </c>
      <c r="O19" s="46">
        <v>20.5</v>
      </c>
      <c r="P19" s="46">
        <v>20.5</v>
      </c>
      <c r="Q19" s="46">
        <v>20.5</v>
      </c>
      <c r="R19" s="46">
        <v>20.5</v>
      </c>
      <c r="S19" s="46">
        <v>20.5</v>
      </c>
      <c r="T19" s="46">
        <v>20.5</v>
      </c>
      <c r="U19" s="46">
        <v>20.5</v>
      </c>
      <c r="V19" s="46">
        <v>20.5</v>
      </c>
      <c r="W19" s="46">
        <v>20.5</v>
      </c>
      <c r="X19" s="46">
        <v>20.5</v>
      </c>
      <c r="Y19" s="46">
        <v>20.5</v>
      </c>
      <c r="Z19" s="46">
        <v>20.5</v>
      </c>
      <c r="AA19" s="46">
        <v>20.5</v>
      </c>
      <c r="AB19" s="46">
        <v>20.5</v>
      </c>
      <c r="AC19" s="46">
        <v>20.5</v>
      </c>
      <c r="AD19" s="46">
        <v>20.5</v>
      </c>
      <c r="AE19" s="46">
        <v>22.4</v>
      </c>
      <c r="AF19" s="46">
        <v>22.4</v>
      </c>
      <c r="AG19" s="50">
        <v>38.46</v>
      </c>
      <c r="AH19" s="48">
        <f t="shared" si="8"/>
        <v>23.2</v>
      </c>
      <c r="AI19" s="49">
        <f t="shared" si="9"/>
        <v>20.5</v>
      </c>
      <c r="AK19" s="51"/>
      <c r="AL19" s="54" t="s">
        <v>31</v>
      </c>
      <c r="AM19" s="59">
        <f t="shared" ref="AM19:AR19" si="12">B92</f>
        <v>71.7</v>
      </c>
      <c r="AN19" s="59">
        <f t="shared" si="12"/>
        <v>108.9</v>
      </c>
      <c r="AO19" s="59">
        <f t="shared" si="12"/>
        <v>159</v>
      </c>
      <c r="AP19" s="59">
        <f t="shared" si="12"/>
        <v>155.1</v>
      </c>
      <c r="AQ19" s="59">
        <f t="shared" si="12"/>
        <v>155.4</v>
      </c>
      <c r="AR19" s="59">
        <f t="shared" si="12"/>
        <v>160.1</v>
      </c>
      <c r="AS19" s="59">
        <f>I92</f>
        <v>177.8</v>
      </c>
      <c r="AT19" s="59">
        <f>K92</f>
        <v>601.80000000000007</v>
      </c>
      <c r="AU19" s="59">
        <f t="shared" ref="AU19:BD19" si="13">M92</f>
        <v>672.9</v>
      </c>
      <c r="AV19" s="59">
        <f t="shared" si="13"/>
        <v>668.69999999999993</v>
      </c>
      <c r="AW19" s="59">
        <f t="shared" si="13"/>
        <v>700.8</v>
      </c>
      <c r="AX19" s="59">
        <f t="shared" si="13"/>
        <v>737.19999999999993</v>
      </c>
      <c r="AY19" s="59">
        <f t="shared" si="13"/>
        <v>768.9</v>
      </c>
      <c r="AZ19" s="59">
        <f t="shared" si="13"/>
        <v>795.39999999999986</v>
      </c>
      <c r="BA19" s="59">
        <f t="shared" si="13"/>
        <v>856.80000000000007</v>
      </c>
      <c r="BB19" s="59">
        <f t="shared" si="13"/>
        <v>834</v>
      </c>
      <c r="BC19" s="59">
        <f t="shared" si="13"/>
        <v>817.5</v>
      </c>
      <c r="BD19" s="59">
        <f t="shared" si="13"/>
        <v>759.19999999999993</v>
      </c>
      <c r="BE19" s="60">
        <f>X92</f>
        <v>630.9</v>
      </c>
      <c r="BF19" s="60">
        <f>Z92</f>
        <v>267.3</v>
      </c>
      <c r="BG19" s="60">
        <f>AB92</f>
        <v>267.5</v>
      </c>
      <c r="BH19" s="60">
        <f>AD92</f>
        <v>282.10000000000002</v>
      </c>
      <c r="BI19" s="60">
        <f>AE92</f>
        <v>239.1</v>
      </c>
      <c r="BJ19" s="60">
        <f>AF92</f>
        <v>287.2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13</v>
      </c>
      <c r="C20" s="46">
        <v>13</v>
      </c>
      <c r="D20" s="46">
        <v>13</v>
      </c>
      <c r="E20" s="46">
        <v>13</v>
      </c>
      <c r="F20" s="46">
        <v>13</v>
      </c>
      <c r="G20" s="46">
        <v>13</v>
      </c>
      <c r="H20" s="46">
        <v>13</v>
      </c>
      <c r="I20" s="46">
        <v>13</v>
      </c>
      <c r="J20" s="46">
        <v>13</v>
      </c>
      <c r="K20" s="46">
        <v>13</v>
      </c>
      <c r="L20" s="46">
        <v>13</v>
      </c>
      <c r="M20" s="46">
        <v>12</v>
      </c>
      <c r="N20" s="46">
        <v>12</v>
      </c>
      <c r="O20" s="46">
        <v>12</v>
      </c>
      <c r="P20" s="46">
        <v>12</v>
      </c>
      <c r="Q20" s="46">
        <v>12</v>
      </c>
      <c r="R20" s="46">
        <v>12</v>
      </c>
      <c r="S20" s="46">
        <v>12</v>
      </c>
      <c r="T20" s="46">
        <v>12</v>
      </c>
      <c r="U20" s="46">
        <v>12</v>
      </c>
      <c r="V20" s="46">
        <v>12</v>
      </c>
      <c r="W20" s="46">
        <v>12</v>
      </c>
      <c r="X20" s="46">
        <v>12</v>
      </c>
      <c r="Y20" s="46">
        <v>12</v>
      </c>
      <c r="Z20" s="46">
        <v>12</v>
      </c>
      <c r="AA20" s="46">
        <v>12</v>
      </c>
      <c r="AB20" s="46">
        <v>12</v>
      </c>
      <c r="AC20" s="46">
        <v>12</v>
      </c>
      <c r="AD20" s="46">
        <v>12</v>
      </c>
      <c r="AE20" s="46">
        <v>12</v>
      </c>
      <c r="AF20" s="46">
        <v>12</v>
      </c>
      <c r="AG20" s="50">
        <v>38.46</v>
      </c>
      <c r="AH20" s="48">
        <f t="shared" si="8"/>
        <v>13</v>
      </c>
      <c r="AI20" s="49">
        <f t="shared" si="9"/>
        <v>12</v>
      </c>
      <c r="AK20" s="51"/>
      <c r="AL20" s="54" t="s">
        <v>33</v>
      </c>
      <c r="AM20" s="59">
        <f t="shared" ref="AM20:AR20" si="14">B80</f>
        <v>96.100000000000009</v>
      </c>
      <c r="AN20" s="59">
        <f t="shared" si="14"/>
        <v>96.100000000000009</v>
      </c>
      <c r="AO20" s="59">
        <f t="shared" si="14"/>
        <v>97.2</v>
      </c>
      <c r="AP20" s="59">
        <f t="shared" si="14"/>
        <v>62.199999999999996</v>
      </c>
      <c r="AQ20" s="59">
        <f t="shared" si="14"/>
        <v>96.9</v>
      </c>
      <c r="AR20" s="59">
        <f t="shared" si="14"/>
        <v>96.9</v>
      </c>
      <c r="AS20" s="59">
        <f>I80</f>
        <v>96.9</v>
      </c>
      <c r="AT20" s="59">
        <f>K80</f>
        <v>42.1</v>
      </c>
      <c r="AU20" s="59">
        <f t="shared" ref="AU20:BD20" si="15">M80</f>
        <v>62.9</v>
      </c>
      <c r="AV20" s="59">
        <f t="shared" si="15"/>
        <v>97.5</v>
      </c>
      <c r="AW20" s="59">
        <f t="shared" si="15"/>
        <v>48.300000000000004</v>
      </c>
      <c r="AX20" s="59">
        <f t="shared" si="15"/>
        <v>72.8</v>
      </c>
      <c r="AY20" s="59">
        <f t="shared" si="15"/>
        <v>86.100000000000009</v>
      </c>
      <c r="AZ20" s="59">
        <f t="shared" si="15"/>
        <v>96.8</v>
      </c>
      <c r="BA20" s="59">
        <f t="shared" si="15"/>
        <v>98.2</v>
      </c>
      <c r="BB20" s="59">
        <f t="shared" si="15"/>
        <v>98.2</v>
      </c>
      <c r="BC20" s="59">
        <f t="shared" si="15"/>
        <v>98.2</v>
      </c>
      <c r="BD20" s="59">
        <f t="shared" si="15"/>
        <v>98.2</v>
      </c>
      <c r="BE20" s="60">
        <f>X80</f>
        <v>62.1</v>
      </c>
      <c r="BF20" s="60">
        <f>Z80</f>
        <v>97.1</v>
      </c>
      <c r="BG20" s="60">
        <f>AB80</f>
        <v>99</v>
      </c>
      <c r="BH20" s="60">
        <f>AD80</f>
        <v>98.9</v>
      </c>
      <c r="BI20" s="60">
        <f>AE80</f>
        <v>98.8</v>
      </c>
      <c r="BJ20" s="60">
        <f>AF80</f>
        <v>98.8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200</v>
      </c>
      <c r="AN21" s="59">
        <f t="shared" si="16"/>
        <v>200</v>
      </c>
      <c r="AO21" s="59">
        <f t="shared" si="16"/>
        <v>200</v>
      </c>
      <c r="AP21" s="59">
        <f t="shared" si="16"/>
        <v>200</v>
      </c>
      <c r="AQ21" s="59">
        <f t="shared" si="16"/>
        <v>200</v>
      </c>
      <c r="AR21" s="59">
        <f t="shared" si="16"/>
        <v>200</v>
      </c>
      <c r="AS21" s="59">
        <f>I98</f>
        <v>220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200</v>
      </c>
      <c r="BF21" s="60">
        <f>Z98</f>
        <v>200</v>
      </c>
      <c r="BG21" s="60">
        <f>AB98</f>
        <v>200</v>
      </c>
      <c r="BH21" s="60">
        <f>AD98</f>
        <v>200</v>
      </c>
      <c r="BI21" s="60">
        <f>AE98</f>
        <v>350</v>
      </c>
      <c r="BJ21" s="60">
        <f>AF98</f>
        <v>350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12.1</v>
      </c>
      <c r="C22" s="46">
        <v>11.7</v>
      </c>
      <c r="D22" s="46">
        <v>11.7</v>
      </c>
      <c r="E22" s="46">
        <v>11.7</v>
      </c>
      <c r="F22" s="46">
        <v>11.7</v>
      </c>
      <c r="G22" s="46">
        <v>11.7</v>
      </c>
      <c r="H22" s="46">
        <v>11.7</v>
      </c>
      <c r="I22" s="46">
        <v>11.7</v>
      </c>
      <c r="J22" s="46">
        <v>11.7</v>
      </c>
      <c r="K22" s="46">
        <v>11.7</v>
      </c>
      <c r="L22" s="46">
        <v>11.7</v>
      </c>
      <c r="M22" s="46">
        <v>10.3</v>
      </c>
      <c r="N22" s="46">
        <v>10.3</v>
      </c>
      <c r="O22" s="46">
        <v>10.3</v>
      </c>
      <c r="P22" s="46">
        <v>10.3</v>
      </c>
      <c r="Q22" s="46">
        <v>10.3</v>
      </c>
      <c r="R22" s="46">
        <v>10.3</v>
      </c>
      <c r="S22" s="46">
        <v>10.3</v>
      </c>
      <c r="T22" s="46">
        <v>10.3</v>
      </c>
      <c r="U22" s="46">
        <v>10.3</v>
      </c>
      <c r="V22" s="46">
        <v>10.3</v>
      </c>
      <c r="W22" s="46">
        <v>10.3</v>
      </c>
      <c r="X22" s="46">
        <v>10.3</v>
      </c>
      <c r="Y22" s="46">
        <v>10.3</v>
      </c>
      <c r="Z22" s="46">
        <v>10.3</v>
      </c>
      <c r="AA22" s="46">
        <v>10.3</v>
      </c>
      <c r="AB22" s="46">
        <v>11.8</v>
      </c>
      <c r="AC22" s="46">
        <v>11.8</v>
      </c>
      <c r="AD22" s="46">
        <v>11.8</v>
      </c>
      <c r="AE22" s="46">
        <v>12</v>
      </c>
      <c r="AF22" s="46">
        <v>12</v>
      </c>
      <c r="AG22" s="61">
        <v>30</v>
      </c>
      <c r="AH22" s="48">
        <f t="shared" si="8"/>
        <v>12.1</v>
      </c>
      <c r="AI22" s="49">
        <f t="shared" si="9"/>
        <v>10.3</v>
      </c>
      <c r="AK22" s="51"/>
      <c r="AL22" s="62" t="s">
        <v>37</v>
      </c>
      <c r="AM22" s="63">
        <f t="shared" ref="AM22:BJ22" si="18">SUM(AM16:AM21)</f>
        <v>1440.34</v>
      </c>
      <c r="AN22" s="63">
        <f t="shared" si="18"/>
        <v>1357.74</v>
      </c>
      <c r="AO22" s="63">
        <f t="shared" si="18"/>
        <v>1403.24</v>
      </c>
      <c r="AP22" s="63">
        <f t="shared" si="18"/>
        <v>1390.74</v>
      </c>
      <c r="AQ22" s="63">
        <f t="shared" si="18"/>
        <v>1371.3400000000001</v>
      </c>
      <c r="AR22" s="63">
        <f t="shared" si="18"/>
        <v>1399.84</v>
      </c>
      <c r="AS22" s="63">
        <f t="shared" si="18"/>
        <v>1468.0400000000002</v>
      </c>
      <c r="AT22" s="63">
        <f t="shared" si="18"/>
        <v>1562.54</v>
      </c>
      <c r="AU22" s="63">
        <f t="shared" si="18"/>
        <v>1622.94</v>
      </c>
      <c r="AV22" s="63">
        <f t="shared" si="18"/>
        <v>1612.6399999999999</v>
      </c>
      <c r="AW22" s="63">
        <f t="shared" si="18"/>
        <v>1668.84</v>
      </c>
      <c r="AX22" s="63">
        <f t="shared" si="18"/>
        <v>1709.34</v>
      </c>
      <c r="AY22" s="63">
        <f t="shared" si="18"/>
        <v>1686.94</v>
      </c>
      <c r="AZ22" s="63">
        <f t="shared" si="18"/>
        <v>1754.4399999999998</v>
      </c>
      <c r="BA22" s="63">
        <f t="shared" si="18"/>
        <v>1815.14</v>
      </c>
      <c r="BB22" s="63">
        <f t="shared" si="18"/>
        <v>1783.9400000000003</v>
      </c>
      <c r="BC22" s="63">
        <f t="shared" si="18"/>
        <v>1761.4400000000003</v>
      </c>
      <c r="BD22" s="63">
        <f t="shared" si="18"/>
        <v>1672.64</v>
      </c>
      <c r="BE22" s="63">
        <f t="shared" si="18"/>
        <v>1693.6399999999999</v>
      </c>
      <c r="BF22" s="63">
        <f t="shared" si="18"/>
        <v>1780.9</v>
      </c>
      <c r="BG22" s="63">
        <f t="shared" si="18"/>
        <v>1779.8400000000001</v>
      </c>
      <c r="BH22" s="63">
        <f t="shared" si="18"/>
        <v>1754.54</v>
      </c>
      <c r="BI22" s="63">
        <f t="shared" si="18"/>
        <v>1818.64</v>
      </c>
      <c r="BJ22" s="63">
        <f t="shared" si="18"/>
        <v>1782.8400000000001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</v>
      </c>
      <c r="C23" s="46">
        <v>7</v>
      </c>
      <c r="D23" s="46">
        <v>7</v>
      </c>
      <c r="E23" s="46">
        <v>7</v>
      </c>
      <c r="F23" s="46">
        <v>7</v>
      </c>
      <c r="G23" s="46">
        <v>7</v>
      </c>
      <c r="H23" s="46">
        <v>7</v>
      </c>
      <c r="I23" s="46">
        <v>7</v>
      </c>
      <c r="J23" s="46">
        <v>7</v>
      </c>
      <c r="K23" s="46">
        <v>7</v>
      </c>
      <c r="L23" s="46">
        <v>7</v>
      </c>
      <c r="M23" s="46">
        <v>7</v>
      </c>
      <c r="N23" s="46">
        <v>7</v>
      </c>
      <c r="O23" s="46">
        <v>7</v>
      </c>
      <c r="P23" s="46">
        <v>7</v>
      </c>
      <c r="Q23" s="46">
        <v>7</v>
      </c>
      <c r="R23" s="46">
        <v>7</v>
      </c>
      <c r="S23" s="46">
        <v>7</v>
      </c>
      <c r="T23" s="46">
        <v>7</v>
      </c>
      <c r="U23" s="46">
        <v>7</v>
      </c>
      <c r="V23" s="46">
        <v>7</v>
      </c>
      <c r="W23" s="46">
        <v>7</v>
      </c>
      <c r="X23" s="46">
        <v>7</v>
      </c>
      <c r="Y23" s="46">
        <v>7</v>
      </c>
      <c r="Z23" s="46">
        <v>7</v>
      </c>
      <c r="AA23" s="46">
        <v>7</v>
      </c>
      <c r="AB23" s="46">
        <v>7</v>
      </c>
      <c r="AC23" s="46">
        <v>7</v>
      </c>
      <c r="AD23" s="46">
        <v>7</v>
      </c>
      <c r="AE23" s="46">
        <v>7</v>
      </c>
      <c r="AF23" s="46">
        <v>7</v>
      </c>
      <c r="AG23" s="50">
        <v>24.2</v>
      </c>
      <c r="AH23" s="48">
        <f t="shared" si="8"/>
        <v>7</v>
      </c>
      <c r="AI23" s="49">
        <f t="shared" si="9"/>
        <v>7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8.6999999999999993</v>
      </c>
      <c r="C24" s="46">
        <v>7.9</v>
      </c>
      <c r="D24" s="46">
        <v>7.9</v>
      </c>
      <c r="E24" s="46">
        <v>7.9</v>
      </c>
      <c r="F24" s="46">
        <v>7.9</v>
      </c>
      <c r="G24" s="46">
        <v>7.9</v>
      </c>
      <c r="H24" s="46">
        <v>7.9</v>
      </c>
      <c r="I24" s="46">
        <v>7.9</v>
      </c>
      <c r="J24" s="46">
        <v>7.9</v>
      </c>
      <c r="K24" s="46">
        <v>7.9</v>
      </c>
      <c r="L24" s="46">
        <v>7.9</v>
      </c>
      <c r="M24" s="46">
        <v>7.1</v>
      </c>
      <c r="N24" s="46">
        <v>7.1</v>
      </c>
      <c r="O24" s="46">
        <v>7.1</v>
      </c>
      <c r="P24" s="46">
        <v>7.1</v>
      </c>
      <c r="Q24" s="46">
        <v>7.1</v>
      </c>
      <c r="R24" s="46">
        <v>7.1</v>
      </c>
      <c r="S24" s="46">
        <v>7.1</v>
      </c>
      <c r="T24" s="46">
        <v>7.1</v>
      </c>
      <c r="U24" s="46">
        <v>7.1</v>
      </c>
      <c r="V24" s="46">
        <v>7.1</v>
      </c>
      <c r="W24" s="46">
        <v>7.1</v>
      </c>
      <c r="X24" s="46">
        <v>7.1</v>
      </c>
      <c r="Y24" s="46">
        <v>7.1</v>
      </c>
      <c r="Z24" s="46">
        <v>7.1</v>
      </c>
      <c r="AA24" s="46">
        <v>7.1</v>
      </c>
      <c r="AB24" s="46">
        <v>7.1</v>
      </c>
      <c r="AC24" s="46">
        <v>7.1</v>
      </c>
      <c r="AD24" s="46">
        <v>7.1</v>
      </c>
      <c r="AE24" s="46">
        <v>6.2</v>
      </c>
      <c r="AF24" s="46">
        <v>6.2</v>
      </c>
      <c r="AG24" s="50">
        <v>28</v>
      </c>
      <c r="AH24" s="48">
        <f t="shared" si="8"/>
        <v>8.6999999999999993</v>
      </c>
      <c r="AI24" s="49">
        <f t="shared" si="9"/>
        <v>6.2</v>
      </c>
      <c r="AK24" s="51"/>
      <c r="AL24" s="62" t="s">
        <v>41</v>
      </c>
      <c r="AM24" s="63">
        <f t="shared" ref="AM24:BJ24" si="21">AM22+AM23</f>
        <v>1440.34</v>
      </c>
      <c r="AN24" s="63">
        <f t="shared" si="21"/>
        <v>1357.74</v>
      </c>
      <c r="AO24" s="63">
        <f t="shared" si="21"/>
        <v>1403.24</v>
      </c>
      <c r="AP24" s="63">
        <f t="shared" si="21"/>
        <v>1390.74</v>
      </c>
      <c r="AQ24" s="63">
        <f t="shared" si="21"/>
        <v>1371.3400000000001</v>
      </c>
      <c r="AR24" s="63">
        <f t="shared" si="21"/>
        <v>1399.84</v>
      </c>
      <c r="AS24" s="63">
        <f t="shared" si="21"/>
        <v>1468.0400000000002</v>
      </c>
      <c r="AT24" s="63">
        <f t="shared" si="21"/>
        <v>1562.54</v>
      </c>
      <c r="AU24" s="63">
        <f t="shared" si="21"/>
        <v>1622.94</v>
      </c>
      <c r="AV24" s="63">
        <f t="shared" si="21"/>
        <v>1612.6399999999999</v>
      </c>
      <c r="AW24" s="63">
        <f t="shared" si="21"/>
        <v>1668.84</v>
      </c>
      <c r="AX24" s="63">
        <f t="shared" si="21"/>
        <v>1709.34</v>
      </c>
      <c r="AY24" s="63">
        <f t="shared" si="21"/>
        <v>1686.94</v>
      </c>
      <c r="AZ24" s="63">
        <f t="shared" si="21"/>
        <v>1754.4399999999998</v>
      </c>
      <c r="BA24" s="63">
        <f t="shared" si="21"/>
        <v>1815.14</v>
      </c>
      <c r="BB24" s="63">
        <f t="shared" si="21"/>
        <v>1783.9400000000003</v>
      </c>
      <c r="BC24" s="63">
        <f t="shared" si="21"/>
        <v>1761.4400000000003</v>
      </c>
      <c r="BD24" s="63">
        <f t="shared" si="21"/>
        <v>1672.64</v>
      </c>
      <c r="BE24" s="63">
        <f t="shared" si="21"/>
        <v>1693.6399999999999</v>
      </c>
      <c r="BF24" s="63">
        <f t="shared" si="21"/>
        <v>1780.9</v>
      </c>
      <c r="BG24" s="63">
        <f t="shared" si="21"/>
        <v>1779.8400000000001</v>
      </c>
      <c r="BH24" s="63">
        <f t="shared" si="21"/>
        <v>1754.54</v>
      </c>
      <c r="BI24" s="63">
        <f t="shared" si="21"/>
        <v>1818.64</v>
      </c>
      <c r="BJ24" s="63">
        <f t="shared" si="21"/>
        <v>1782.8400000000001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</v>
      </c>
      <c r="C25" s="46">
        <v>9</v>
      </c>
      <c r="D25" s="46">
        <v>9</v>
      </c>
      <c r="E25" s="46">
        <v>9</v>
      </c>
      <c r="F25" s="46">
        <v>9</v>
      </c>
      <c r="G25" s="46">
        <v>9</v>
      </c>
      <c r="H25" s="46">
        <v>9</v>
      </c>
      <c r="I25" s="46">
        <v>9</v>
      </c>
      <c r="J25" s="46">
        <v>9</v>
      </c>
      <c r="K25" s="46">
        <v>9</v>
      </c>
      <c r="L25" s="46">
        <v>9</v>
      </c>
      <c r="M25" s="46">
        <v>8.1</v>
      </c>
      <c r="N25" s="46">
        <v>8.1</v>
      </c>
      <c r="O25" s="46">
        <v>8.1</v>
      </c>
      <c r="P25" s="46">
        <v>8.1</v>
      </c>
      <c r="Q25" s="46">
        <v>8.1</v>
      </c>
      <c r="R25" s="46">
        <v>8.1</v>
      </c>
      <c r="S25" s="46">
        <v>8.1</v>
      </c>
      <c r="T25" s="46">
        <v>8.1</v>
      </c>
      <c r="U25" s="46">
        <v>8.1</v>
      </c>
      <c r="V25" s="46">
        <v>8.1</v>
      </c>
      <c r="W25" s="46">
        <v>8.1</v>
      </c>
      <c r="X25" s="46">
        <v>8.1</v>
      </c>
      <c r="Y25" s="46">
        <v>8.1</v>
      </c>
      <c r="Z25" s="46">
        <v>8.1</v>
      </c>
      <c r="AA25" s="46">
        <v>8.1</v>
      </c>
      <c r="AB25" s="46">
        <v>8.1</v>
      </c>
      <c r="AC25" s="46">
        <v>8.1</v>
      </c>
      <c r="AD25" s="46">
        <v>8.1</v>
      </c>
      <c r="AE25" s="46">
        <v>7.8</v>
      </c>
      <c r="AF25" s="46">
        <v>7.8</v>
      </c>
      <c r="AG25" s="61">
        <v>30</v>
      </c>
      <c r="AH25" s="48">
        <f t="shared" si="8"/>
        <v>9</v>
      </c>
      <c r="AI25" s="49">
        <f t="shared" si="9"/>
        <v>7.8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13</v>
      </c>
      <c r="J26" s="46">
        <v>13</v>
      </c>
      <c r="K26" s="46">
        <v>13</v>
      </c>
      <c r="L26" s="46">
        <v>13</v>
      </c>
      <c r="M26" s="46">
        <v>11.2</v>
      </c>
      <c r="N26" s="46">
        <v>11.2</v>
      </c>
      <c r="O26" s="46">
        <v>11.2</v>
      </c>
      <c r="P26" s="46">
        <v>11.2</v>
      </c>
      <c r="Q26" s="46">
        <v>11.2</v>
      </c>
      <c r="R26" s="46">
        <v>11.2</v>
      </c>
      <c r="S26" s="46">
        <v>11.2</v>
      </c>
      <c r="T26" s="46">
        <v>11.2</v>
      </c>
      <c r="U26" s="46">
        <v>11.2</v>
      </c>
      <c r="V26" s="46">
        <v>11.2</v>
      </c>
      <c r="W26" s="46">
        <v>11.2</v>
      </c>
      <c r="X26" s="46">
        <v>11.2</v>
      </c>
      <c r="Y26" s="46">
        <v>11.2</v>
      </c>
      <c r="Z26" s="46">
        <v>11.2</v>
      </c>
      <c r="AA26" s="46">
        <v>11.2</v>
      </c>
      <c r="AB26" s="46">
        <v>11.2</v>
      </c>
      <c r="AC26" s="46">
        <v>11.2</v>
      </c>
      <c r="AD26" s="46">
        <v>11.2</v>
      </c>
      <c r="AE26" s="46">
        <v>12.4</v>
      </c>
      <c r="AF26" s="46">
        <v>12.4</v>
      </c>
      <c r="AG26" s="50">
        <v>25</v>
      </c>
      <c r="AH26" s="48">
        <f t="shared" si="8"/>
        <v>13</v>
      </c>
      <c r="AI26" s="49">
        <f t="shared" si="9"/>
        <v>11.2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8</v>
      </c>
      <c r="C27" s="46">
        <v>8</v>
      </c>
      <c r="D27" s="46">
        <v>8</v>
      </c>
      <c r="E27" s="46">
        <v>8</v>
      </c>
      <c r="F27" s="46">
        <v>8</v>
      </c>
      <c r="G27" s="46">
        <v>8</v>
      </c>
      <c r="H27" s="46">
        <v>8</v>
      </c>
      <c r="I27" s="46">
        <v>8</v>
      </c>
      <c r="J27" s="46">
        <v>8</v>
      </c>
      <c r="K27" s="46">
        <v>8</v>
      </c>
      <c r="L27" s="46">
        <v>8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8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11</v>
      </c>
      <c r="C29" s="46">
        <v>11</v>
      </c>
      <c r="D29" s="46">
        <v>11</v>
      </c>
      <c r="E29" s="46">
        <v>11</v>
      </c>
      <c r="F29" s="46">
        <v>11</v>
      </c>
      <c r="G29" s="46">
        <v>11</v>
      </c>
      <c r="H29" s="46">
        <v>11</v>
      </c>
      <c r="I29" s="46">
        <v>11</v>
      </c>
      <c r="J29" s="46">
        <v>11</v>
      </c>
      <c r="K29" s="46">
        <v>11</v>
      </c>
      <c r="L29" s="46">
        <v>11</v>
      </c>
      <c r="M29" s="46">
        <v>9.5</v>
      </c>
      <c r="N29" s="46">
        <v>9.5</v>
      </c>
      <c r="O29" s="46">
        <v>9.5</v>
      </c>
      <c r="P29" s="46">
        <v>9.5</v>
      </c>
      <c r="Q29" s="46">
        <v>9.5</v>
      </c>
      <c r="R29" s="46">
        <v>9.5</v>
      </c>
      <c r="S29" s="46">
        <v>9.5</v>
      </c>
      <c r="T29" s="46">
        <v>9.5</v>
      </c>
      <c r="U29" s="46">
        <v>9.5</v>
      </c>
      <c r="V29" s="46">
        <v>9.5</v>
      </c>
      <c r="W29" s="46">
        <v>9.5</v>
      </c>
      <c r="X29" s="46">
        <v>9.5</v>
      </c>
      <c r="Y29" s="46">
        <v>9.5</v>
      </c>
      <c r="Z29" s="46">
        <v>9.5</v>
      </c>
      <c r="AA29" s="46">
        <v>9.5</v>
      </c>
      <c r="AB29" s="46">
        <v>9.5</v>
      </c>
      <c r="AC29" s="46">
        <v>9.5</v>
      </c>
      <c r="AD29" s="46">
        <v>9.5</v>
      </c>
      <c r="AE29" s="46">
        <v>10</v>
      </c>
      <c r="AF29" s="46">
        <v>10</v>
      </c>
      <c r="AG29" s="50">
        <v>25</v>
      </c>
      <c r="AH29" s="48">
        <f t="shared" si="8"/>
        <v>11</v>
      </c>
      <c r="AI29" s="49">
        <f t="shared" si="9"/>
        <v>9.5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6.9</v>
      </c>
      <c r="C30" s="46">
        <v>6.9</v>
      </c>
      <c r="D30" s="46">
        <v>6.9</v>
      </c>
      <c r="E30" s="46">
        <v>6.9</v>
      </c>
      <c r="F30" s="46">
        <v>6.9</v>
      </c>
      <c r="G30" s="46">
        <v>6.9</v>
      </c>
      <c r="H30" s="46">
        <v>6.9</v>
      </c>
      <c r="I30" s="46">
        <v>6.9</v>
      </c>
      <c r="J30" s="46">
        <v>6.9</v>
      </c>
      <c r="K30" s="46">
        <v>6.9</v>
      </c>
      <c r="L30" s="46">
        <v>6.9</v>
      </c>
      <c r="M30" s="46">
        <v>5.5</v>
      </c>
      <c r="N30" s="46">
        <v>5.5</v>
      </c>
      <c r="O30" s="46">
        <v>5.5</v>
      </c>
      <c r="P30" s="46">
        <v>5.5</v>
      </c>
      <c r="Q30" s="46">
        <v>5.5</v>
      </c>
      <c r="R30" s="46">
        <v>5.5</v>
      </c>
      <c r="S30" s="46">
        <v>5.5</v>
      </c>
      <c r="T30" s="46">
        <v>5.5</v>
      </c>
      <c r="U30" s="46">
        <v>5.5</v>
      </c>
      <c r="V30" s="46">
        <v>5.5</v>
      </c>
      <c r="W30" s="46">
        <v>5.5</v>
      </c>
      <c r="X30" s="46">
        <v>5.5</v>
      </c>
      <c r="Y30" s="46">
        <v>5.5</v>
      </c>
      <c r="Z30" s="46">
        <v>5.5</v>
      </c>
      <c r="AA30" s="46">
        <v>5.5</v>
      </c>
      <c r="AB30" s="46">
        <v>5.5</v>
      </c>
      <c r="AC30" s="46">
        <v>5.5</v>
      </c>
      <c r="AD30" s="46">
        <v>5.5</v>
      </c>
      <c r="AE30" s="46">
        <v>5.0999999999999996</v>
      </c>
      <c r="AF30" s="46">
        <v>5.0999999999999996</v>
      </c>
      <c r="AG30" s="50">
        <v>23.5</v>
      </c>
      <c r="AH30" s="48">
        <f t="shared" si="8"/>
        <v>6.9</v>
      </c>
      <c r="AI30" s="49">
        <f t="shared" si="9"/>
        <v>5.0999999999999996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7</v>
      </c>
      <c r="C33" s="46">
        <v>7</v>
      </c>
      <c r="D33" s="46">
        <v>7</v>
      </c>
      <c r="E33" s="46">
        <v>7</v>
      </c>
      <c r="F33" s="46">
        <v>7</v>
      </c>
      <c r="G33" s="46">
        <v>7</v>
      </c>
      <c r="H33" s="46">
        <v>7</v>
      </c>
      <c r="I33" s="46">
        <v>7</v>
      </c>
      <c r="J33" s="46">
        <v>7</v>
      </c>
      <c r="K33" s="46">
        <v>7</v>
      </c>
      <c r="L33" s="46">
        <v>7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7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10.9</v>
      </c>
      <c r="C34" s="46">
        <v>10.9</v>
      </c>
      <c r="D34" s="46">
        <v>10.9</v>
      </c>
      <c r="E34" s="46">
        <v>10.9</v>
      </c>
      <c r="F34" s="46">
        <v>10.9</v>
      </c>
      <c r="G34" s="46">
        <v>10.9</v>
      </c>
      <c r="H34" s="46">
        <v>10.9</v>
      </c>
      <c r="I34" s="46">
        <v>10.9</v>
      </c>
      <c r="J34" s="46">
        <v>10.9</v>
      </c>
      <c r="K34" s="46">
        <v>10.9</v>
      </c>
      <c r="L34" s="46">
        <v>10.9</v>
      </c>
      <c r="M34" s="46">
        <v>8.6</v>
      </c>
      <c r="N34" s="46">
        <v>8.6</v>
      </c>
      <c r="O34" s="46">
        <v>8.6</v>
      </c>
      <c r="P34" s="46">
        <v>8.6</v>
      </c>
      <c r="Q34" s="46">
        <v>8.6</v>
      </c>
      <c r="R34" s="46">
        <v>8.6</v>
      </c>
      <c r="S34" s="46">
        <v>8.6</v>
      </c>
      <c r="T34" s="46">
        <v>8.6</v>
      </c>
      <c r="U34" s="46">
        <v>8.6</v>
      </c>
      <c r="V34" s="46">
        <v>8.6</v>
      </c>
      <c r="W34" s="46">
        <v>8.6</v>
      </c>
      <c r="X34" s="46">
        <v>8.6</v>
      </c>
      <c r="Y34" s="46">
        <v>8.6</v>
      </c>
      <c r="Z34" s="46">
        <v>8.6</v>
      </c>
      <c r="AA34" s="46">
        <v>8.6</v>
      </c>
      <c r="AB34" s="46">
        <v>8.6</v>
      </c>
      <c r="AC34" s="46">
        <v>8.6</v>
      </c>
      <c r="AD34" s="46">
        <v>8.6</v>
      </c>
      <c r="AE34" s="46">
        <v>10.5</v>
      </c>
      <c r="AF34" s="46">
        <v>10.5</v>
      </c>
      <c r="AG34" s="50">
        <v>22</v>
      </c>
      <c r="AH34" s="48">
        <f t="shared" si="8"/>
        <v>10.9</v>
      </c>
      <c r="AI34" s="49">
        <f t="shared" si="9"/>
        <v>8.6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11</v>
      </c>
      <c r="C35" s="46">
        <v>11</v>
      </c>
      <c r="D35" s="46">
        <v>11</v>
      </c>
      <c r="E35" s="46">
        <v>11</v>
      </c>
      <c r="F35" s="46">
        <v>11</v>
      </c>
      <c r="G35" s="46">
        <v>11</v>
      </c>
      <c r="H35" s="46">
        <v>11</v>
      </c>
      <c r="I35" s="46">
        <v>11</v>
      </c>
      <c r="J35" s="46">
        <v>11</v>
      </c>
      <c r="K35" s="46">
        <v>11</v>
      </c>
      <c r="L35" s="46">
        <v>11</v>
      </c>
      <c r="M35" s="46">
        <v>9.6999999999999993</v>
      </c>
      <c r="N35" s="46">
        <v>9.6999999999999993</v>
      </c>
      <c r="O35" s="46">
        <v>9.6999999999999993</v>
      </c>
      <c r="P35" s="46">
        <v>9.6999999999999993</v>
      </c>
      <c r="Q35" s="46">
        <v>9.6999999999999993</v>
      </c>
      <c r="R35" s="46">
        <v>9.6999999999999993</v>
      </c>
      <c r="S35" s="46">
        <v>9.6999999999999993</v>
      </c>
      <c r="T35" s="46">
        <v>9.6999999999999993</v>
      </c>
      <c r="U35" s="46">
        <v>9.6999999999999993</v>
      </c>
      <c r="V35" s="46">
        <v>9.6999999999999993</v>
      </c>
      <c r="W35" s="46">
        <v>9.6999999999999993</v>
      </c>
      <c r="X35" s="46">
        <v>9.6999999999999993</v>
      </c>
      <c r="Y35" s="46">
        <v>9.6999999999999993</v>
      </c>
      <c r="Z35" s="46">
        <v>9.6999999999999993</v>
      </c>
      <c r="AA35" s="46">
        <v>9.6999999999999993</v>
      </c>
      <c r="AB35" s="46">
        <v>9.6999999999999993</v>
      </c>
      <c r="AC35" s="46">
        <v>9.6999999999999993</v>
      </c>
      <c r="AD35" s="46">
        <v>9.6999999999999993</v>
      </c>
      <c r="AE35" s="46">
        <v>15.1</v>
      </c>
      <c r="AF35" s="46">
        <v>15.1</v>
      </c>
      <c r="AG35" s="50">
        <v>20</v>
      </c>
      <c r="AH35" s="48">
        <f t="shared" si="8"/>
        <v>15.1</v>
      </c>
      <c r="AI35" s="49">
        <f t="shared" si="9"/>
        <v>9.6999999999999993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5.8</v>
      </c>
      <c r="C37" s="46">
        <v>5.8</v>
      </c>
      <c r="D37" s="46">
        <v>5.8</v>
      </c>
      <c r="E37" s="46">
        <v>5.8</v>
      </c>
      <c r="F37" s="46">
        <v>5.8</v>
      </c>
      <c r="G37" s="46">
        <v>5.8</v>
      </c>
      <c r="H37" s="46">
        <v>5.8</v>
      </c>
      <c r="I37" s="46">
        <v>5.8</v>
      </c>
      <c r="J37" s="46">
        <v>5.8</v>
      </c>
      <c r="K37" s="46">
        <v>5.8</v>
      </c>
      <c r="L37" s="46">
        <v>5.8</v>
      </c>
      <c r="M37" s="46">
        <v>5.8</v>
      </c>
      <c r="N37" s="46">
        <v>5.8</v>
      </c>
      <c r="O37" s="46">
        <v>5.8</v>
      </c>
      <c r="P37" s="46">
        <v>5.8</v>
      </c>
      <c r="Q37" s="46">
        <v>5.8</v>
      </c>
      <c r="R37" s="46">
        <v>5.8</v>
      </c>
      <c r="S37" s="46">
        <v>5.8</v>
      </c>
      <c r="T37" s="46">
        <v>5.8</v>
      </c>
      <c r="U37" s="46">
        <v>5.8</v>
      </c>
      <c r="V37" s="46">
        <v>5.8</v>
      </c>
      <c r="W37" s="46">
        <v>5.8</v>
      </c>
      <c r="X37" s="46">
        <v>5.8</v>
      </c>
      <c r="Y37" s="46">
        <v>5.8</v>
      </c>
      <c r="Z37" s="46">
        <v>5.8</v>
      </c>
      <c r="AA37" s="46">
        <v>5.8</v>
      </c>
      <c r="AB37" s="46">
        <v>5.8</v>
      </c>
      <c r="AC37" s="46">
        <v>5.8</v>
      </c>
      <c r="AD37" s="46">
        <v>5.8</v>
      </c>
      <c r="AE37" s="46">
        <v>5.8</v>
      </c>
      <c r="AF37" s="46">
        <v>5.8</v>
      </c>
      <c r="AG37" s="50">
        <v>18</v>
      </c>
      <c r="AH37" s="48">
        <f t="shared" si="8"/>
        <v>5.8</v>
      </c>
      <c r="AI37" s="49">
        <f t="shared" si="9"/>
        <v>5.8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13</v>
      </c>
      <c r="AH43" s="48">
        <f t="shared" si="8"/>
        <v>4</v>
      </c>
      <c r="AI43" s="49">
        <f t="shared" si="9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5.0999999999999996</v>
      </c>
      <c r="C45" s="46">
        <v>5.0999999999999996</v>
      </c>
      <c r="D45" s="46">
        <v>5.0999999999999996</v>
      </c>
      <c r="E45" s="46">
        <v>5.0999999999999996</v>
      </c>
      <c r="F45" s="46">
        <v>5.0999999999999996</v>
      </c>
      <c r="G45" s="46">
        <v>5.0999999999999996</v>
      </c>
      <c r="H45" s="46">
        <v>5.0999999999999996</v>
      </c>
      <c r="I45" s="46">
        <v>5.0999999999999996</v>
      </c>
      <c r="J45" s="46">
        <v>5.0999999999999996</v>
      </c>
      <c r="K45" s="46">
        <v>5.0999999999999996</v>
      </c>
      <c r="L45" s="46">
        <v>5.0999999999999996</v>
      </c>
      <c r="M45" s="46">
        <v>5.0999999999999996</v>
      </c>
      <c r="N45" s="46">
        <v>5.0999999999999996</v>
      </c>
      <c r="O45" s="46">
        <v>5.0999999999999996</v>
      </c>
      <c r="P45" s="46">
        <v>5.0999999999999996</v>
      </c>
      <c r="Q45" s="46">
        <v>5.0999999999999996</v>
      </c>
      <c r="R45" s="46">
        <v>5.0999999999999996</v>
      </c>
      <c r="S45" s="46">
        <v>5.0999999999999996</v>
      </c>
      <c r="T45" s="46">
        <v>5.0999999999999996</v>
      </c>
      <c r="U45" s="46">
        <v>5.0999999999999996</v>
      </c>
      <c r="V45" s="46">
        <v>5.0999999999999996</v>
      </c>
      <c r="W45" s="46">
        <v>5.0999999999999996</v>
      </c>
      <c r="X45" s="46">
        <v>5.0999999999999996</v>
      </c>
      <c r="Y45" s="46">
        <v>5.0999999999999996</v>
      </c>
      <c r="Z45" s="46">
        <v>5.0999999999999996</v>
      </c>
      <c r="AA45" s="46">
        <v>5.0999999999999996</v>
      </c>
      <c r="AB45" s="46">
        <v>5.0999999999999996</v>
      </c>
      <c r="AC45" s="46">
        <v>5.0999999999999996</v>
      </c>
      <c r="AD45" s="46">
        <v>5.0999999999999996</v>
      </c>
      <c r="AE45" s="46">
        <v>5.0999999999999996</v>
      </c>
      <c r="AF45" s="46">
        <v>5.0999999999999996</v>
      </c>
      <c r="AG45" s="50">
        <v>12</v>
      </c>
      <c r="AH45" s="48">
        <f t="shared" si="8"/>
        <v>5.0999999999999996</v>
      </c>
      <c r="AI45" s="49">
        <f t="shared" si="9"/>
        <v>5.0999999999999996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2.2000000000000002</v>
      </c>
      <c r="C50" s="46">
        <v>2.2000000000000002</v>
      </c>
      <c r="D50" s="46">
        <v>2.2000000000000002</v>
      </c>
      <c r="E50" s="46">
        <v>2.2000000000000002</v>
      </c>
      <c r="F50" s="46">
        <v>2.2000000000000002</v>
      </c>
      <c r="G50" s="46">
        <v>2.2000000000000002</v>
      </c>
      <c r="H50" s="46">
        <v>2.2000000000000002</v>
      </c>
      <c r="I50" s="46">
        <v>2.2000000000000002</v>
      </c>
      <c r="J50" s="46">
        <v>2.2000000000000002</v>
      </c>
      <c r="K50" s="46">
        <v>2.2000000000000002</v>
      </c>
      <c r="L50" s="46">
        <v>2.2000000000000002</v>
      </c>
      <c r="M50" s="46">
        <v>2.2000000000000002</v>
      </c>
      <c r="N50" s="46">
        <v>2.2000000000000002</v>
      </c>
      <c r="O50" s="46">
        <v>2.2000000000000002</v>
      </c>
      <c r="P50" s="46">
        <v>2.2000000000000002</v>
      </c>
      <c r="Q50" s="46">
        <v>2.2000000000000002</v>
      </c>
      <c r="R50" s="46">
        <v>2.2000000000000002</v>
      </c>
      <c r="S50" s="46">
        <v>2.2000000000000002</v>
      </c>
      <c r="T50" s="46">
        <v>2.2000000000000002</v>
      </c>
      <c r="U50" s="46">
        <v>2.2000000000000002</v>
      </c>
      <c r="V50" s="46">
        <v>2.2000000000000002</v>
      </c>
      <c r="W50" s="46">
        <v>2.2000000000000002</v>
      </c>
      <c r="X50" s="46">
        <v>2.2000000000000002</v>
      </c>
      <c r="Y50" s="46">
        <v>2.2000000000000002</v>
      </c>
      <c r="Z50" s="46">
        <v>2.2000000000000002</v>
      </c>
      <c r="AA50" s="46">
        <v>2.2000000000000002</v>
      </c>
      <c r="AB50" s="46">
        <v>2.2000000000000002</v>
      </c>
      <c r="AC50" s="46">
        <v>2.2000000000000002</v>
      </c>
      <c r="AD50" s="46">
        <v>2.2000000000000002</v>
      </c>
      <c r="AE50" s="46">
        <v>2.2000000000000002</v>
      </c>
      <c r="AF50" s="46">
        <v>2.2000000000000002</v>
      </c>
      <c r="AG50" s="66">
        <v>11</v>
      </c>
      <c r="AH50" s="48">
        <f t="shared" si="8"/>
        <v>2.2000000000000002</v>
      </c>
      <c r="AI50" s="49">
        <f t="shared" si="9"/>
        <v>2.2000000000000002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f>28+48.1</f>
        <v>76.099999999999994</v>
      </c>
      <c r="C57" s="68">
        <f>27+45.4</f>
        <v>72.400000000000006</v>
      </c>
      <c r="D57" s="68">
        <f>25.9+44.4</f>
        <v>70.3</v>
      </c>
      <c r="E57" s="68">
        <v>70.7</v>
      </c>
      <c r="F57" s="68">
        <v>70.7</v>
      </c>
      <c r="G57" s="68">
        <v>63.8</v>
      </c>
      <c r="H57" s="68">
        <v>63.8</v>
      </c>
      <c r="I57" s="68">
        <v>63.8</v>
      </c>
      <c r="J57" s="68">
        <v>57</v>
      </c>
      <c r="K57" s="68">
        <v>57</v>
      </c>
      <c r="L57" s="68">
        <v>58</v>
      </c>
      <c r="M57" s="53">
        <v>58</v>
      </c>
      <c r="N57" s="53"/>
      <c r="O57" s="53"/>
      <c r="P57" s="53"/>
      <c r="Q57" s="53">
        <v>53.7</v>
      </c>
      <c r="R57" s="53">
        <v>53.7</v>
      </c>
      <c r="S57" s="53">
        <v>50.4</v>
      </c>
      <c r="T57" s="53">
        <v>50.8</v>
      </c>
      <c r="U57" s="53">
        <v>50.8</v>
      </c>
      <c r="V57" s="53">
        <v>48.4</v>
      </c>
      <c r="W57" s="53"/>
      <c r="X57" s="53">
        <v>45.8</v>
      </c>
      <c r="Y57" s="53">
        <v>47</v>
      </c>
      <c r="Z57" s="53">
        <v>45</v>
      </c>
      <c r="AA57" s="53">
        <v>45</v>
      </c>
      <c r="AB57" s="68">
        <f>27.2+14.8</f>
        <v>42</v>
      </c>
      <c r="AC57" s="68">
        <f>27.2+14.9</f>
        <v>42.1</v>
      </c>
      <c r="AD57" s="68">
        <f>27.4+15.1</f>
        <v>42.5</v>
      </c>
      <c r="AE57" s="68">
        <f>15.2+26.6</f>
        <v>41.8</v>
      </c>
      <c r="AF57" s="68">
        <f>17.7+29.3</f>
        <v>47</v>
      </c>
      <c r="AG57" s="66">
        <v>240</v>
      </c>
      <c r="AH57" s="48">
        <f t="shared" si="8"/>
        <v>76.099999999999994</v>
      </c>
      <c r="AI57" s="49">
        <f t="shared" si="9"/>
        <v>41.8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539.29999999999995</v>
      </c>
      <c r="C58" s="71">
        <f t="shared" si="22"/>
        <v>536.70000000000005</v>
      </c>
      <c r="D58" s="71">
        <f t="shared" si="22"/>
        <v>536.70000000000005</v>
      </c>
      <c r="E58" s="71">
        <f t="shared" si="22"/>
        <v>536.70000000000005</v>
      </c>
      <c r="F58" s="71">
        <f t="shared" si="22"/>
        <v>536.70000000000005</v>
      </c>
      <c r="G58" s="71">
        <f t="shared" si="22"/>
        <v>536.70000000000005</v>
      </c>
      <c r="H58" s="71">
        <f t="shared" si="22"/>
        <v>536.70000000000005</v>
      </c>
      <c r="I58" s="71">
        <f t="shared" si="22"/>
        <v>536.70000000000005</v>
      </c>
      <c r="J58" s="71">
        <f t="shared" si="22"/>
        <v>536.70000000000005</v>
      </c>
      <c r="K58" s="71">
        <f t="shared" si="22"/>
        <v>536.70000000000005</v>
      </c>
      <c r="L58" s="71">
        <f t="shared" si="22"/>
        <v>536.70000000000005</v>
      </c>
      <c r="M58" s="71">
        <f t="shared" si="22"/>
        <v>514.5</v>
      </c>
      <c r="N58" s="71">
        <f t="shared" si="22"/>
        <v>514.5</v>
      </c>
      <c r="O58" s="71">
        <f t="shared" si="22"/>
        <v>517</v>
      </c>
      <c r="P58" s="71">
        <f t="shared" si="22"/>
        <v>517</v>
      </c>
      <c r="Q58" s="71">
        <f t="shared" si="22"/>
        <v>518.80000000000007</v>
      </c>
      <c r="R58" s="71">
        <f t="shared" si="22"/>
        <v>518.80000000000007</v>
      </c>
      <c r="S58" s="71">
        <f t="shared" si="22"/>
        <v>518.80000000000007</v>
      </c>
      <c r="T58" s="71">
        <f t="shared" si="22"/>
        <v>518.80000000000007</v>
      </c>
      <c r="U58" s="71">
        <f t="shared" si="22"/>
        <v>518.80000000000007</v>
      </c>
      <c r="V58" s="71">
        <f t="shared" si="22"/>
        <v>518.80000000000007</v>
      </c>
      <c r="W58" s="71">
        <f t="shared" si="22"/>
        <v>518.80000000000007</v>
      </c>
      <c r="X58" s="71">
        <f t="shared" si="22"/>
        <v>518.80000000000007</v>
      </c>
      <c r="Y58" s="71">
        <f t="shared" si="22"/>
        <v>518.80000000000007</v>
      </c>
      <c r="Z58" s="71">
        <f t="shared" si="22"/>
        <v>518.80000000000007</v>
      </c>
      <c r="AA58" s="71">
        <f t="shared" si="22"/>
        <v>518.80000000000007</v>
      </c>
      <c r="AB58" s="71">
        <f t="shared" si="22"/>
        <v>515.5</v>
      </c>
      <c r="AC58" s="71">
        <f t="shared" si="22"/>
        <v>515.6</v>
      </c>
      <c r="AD58" s="71">
        <f t="shared" si="22"/>
        <v>515.70000000000005</v>
      </c>
      <c r="AE58" s="71">
        <f t="shared" si="22"/>
        <v>527.10000000000014</v>
      </c>
      <c r="AF58" s="71">
        <f t="shared" si="22"/>
        <v>528.10000000000014</v>
      </c>
      <c r="AG58" s="72">
        <f>SUM(AG14:AG56)</f>
        <v>1042.4000000000001</v>
      </c>
      <c r="AH58" s="48">
        <f t="shared" si="8"/>
        <v>539.29999999999995</v>
      </c>
      <c r="AI58" s="49">
        <f t="shared" si="9"/>
        <v>514.5</v>
      </c>
      <c r="AK58" s="51"/>
    </row>
    <row r="59" spans="1:88" x14ac:dyDescent="0.25">
      <c r="A59" s="73" t="s">
        <v>76</v>
      </c>
      <c r="B59" s="46">
        <v>152.80000000000001</v>
      </c>
      <c r="C59" s="46">
        <v>100</v>
      </c>
      <c r="D59" s="46">
        <v>100</v>
      </c>
      <c r="E59" s="46">
        <v>130.69999999999999</v>
      </c>
      <c r="F59" s="46">
        <v>76.3</v>
      </c>
      <c r="G59" s="46">
        <v>90.5</v>
      </c>
      <c r="H59" s="46">
        <v>90.5</v>
      </c>
      <c r="I59" s="46">
        <v>110.5</v>
      </c>
      <c r="J59" s="46">
        <v>40.299999999999997</v>
      </c>
      <c r="K59" s="46">
        <v>40.299999999999997</v>
      </c>
      <c r="L59" s="46">
        <v>15.5</v>
      </c>
      <c r="M59" s="46">
        <v>0</v>
      </c>
      <c r="N59" s="74">
        <v>0</v>
      </c>
      <c r="O59" s="74">
        <v>70.400000000000006</v>
      </c>
      <c r="P59" s="74">
        <v>70.400000000000006</v>
      </c>
      <c r="Q59" s="74">
        <v>0</v>
      </c>
      <c r="R59" s="74">
        <v>0</v>
      </c>
      <c r="S59" s="74">
        <v>15.1</v>
      </c>
      <c r="T59" s="74">
        <v>0</v>
      </c>
      <c r="U59" s="74">
        <v>0</v>
      </c>
      <c r="V59" s="74">
        <v>0</v>
      </c>
      <c r="W59" s="74">
        <v>0</v>
      </c>
      <c r="X59" s="74">
        <v>15</v>
      </c>
      <c r="Y59" s="74">
        <v>30.2</v>
      </c>
      <c r="Z59" s="46">
        <v>307.5</v>
      </c>
      <c r="AA59" s="46">
        <v>456</v>
      </c>
      <c r="AB59" s="46">
        <v>253</v>
      </c>
      <c r="AC59" s="46">
        <v>231.4</v>
      </c>
      <c r="AD59" s="46">
        <v>211.4</v>
      </c>
      <c r="AE59" s="46">
        <v>200.8</v>
      </c>
      <c r="AF59" s="46">
        <v>120</v>
      </c>
      <c r="AG59" s="61">
        <v>456</v>
      </c>
      <c r="AH59" s="48">
        <f t="shared" si="8"/>
        <v>456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30</v>
      </c>
      <c r="C60" s="76">
        <v>30</v>
      </c>
      <c r="D60" s="76">
        <v>30</v>
      </c>
      <c r="E60" s="76">
        <v>30</v>
      </c>
      <c r="F60" s="76">
        <v>30</v>
      </c>
      <c r="G60" s="76">
        <v>30</v>
      </c>
      <c r="H60" s="76">
        <v>30</v>
      </c>
      <c r="I60" s="76">
        <v>30</v>
      </c>
      <c r="J60" s="76">
        <v>30</v>
      </c>
      <c r="K60" s="76">
        <v>30</v>
      </c>
      <c r="L60" s="76">
        <v>30</v>
      </c>
      <c r="M60" s="76">
        <v>26.8</v>
      </c>
      <c r="N60" s="76">
        <v>26.4</v>
      </c>
      <c r="O60" s="76">
        <v>25.8</v>
      </c>
      <c r="P60" s="76">
        <v>25.8</v>
      </c>
      <c r="Q60" s="76">
        <v>25.2</v>
      </c>
      <c r="R60" s="76">
        <v>24.8</v>
      </c>
      <c r="S60" s="76">
        <v>24.8</v>
      </c>
      <c r="T60" s="76">
        <v>23.8</v>
      </c>
      <c r="U60" s="76">
        <v>23.8</v>
      </c>
      <c r="V60" s="76">
        <v>23.8</v>
      </c>
      <c r="W60" s="76">
        <v>23.8</v>
      </c>
      <c r="X60" s="76">
        <v>22</v>
      </c>
      <c r="Y60" s="76">
        <v>22</v>
      </c>
      <c r="Z60" s="76">
        <v>23.1</v>
      </c>
      <c r="AA60" s="76">
        <v>23.1</v>
      </c>
      <c r="AB60" s="76">
        <v>23.1</v>
      </c>
      <c r="AC60" s="76">
        <v>23.1</v>
      </c>
      <c r="AD60" s="76">
        <v>23.1</v>
      </c>
      <c r="AE60" s="76">
        <v>22.7</v>
      </c>
      <c r="AF60" s="76">
        <v>23.5</v>
      </c>
      <c r="AG60" s="66">
        <v>60</v>
      </c>
      <c r="AH60" s="48">
        <f t="shared" si="8"/>
        <v>30</v>
      </c>
      <c r="AI60" s="49">
        <f t="shared" si="9"/>
        <v>22</v>
      </c>
      <c r="AK60" s="51"/>
    </row>
    <row r="61" spans="1:88" ht="15.75" thickBot="1" x14ac:dyDescent="0.3">
      <c r="A61" s="77" t="s">
        <v>78</v>
      </c>
      <c r="B61" s="78">
        <v>17.8</v>
      </c>
      <c r="C61" s="78">
        <v>17.8</v>
      </c>
      <c r="D61" s="78">
        <v>17.8</v>
      </c>
      <c r="E61" s="78">
        <v>17.8</v>
      </c>
      <c r="F61" s="78">
        <v>17.8</v>
      </c>
      <c r="G61" s="78">
        <v>17.8</v>
      </c>
      <c r="H61" s="78">
        <v>17.8</v>
      </c>
      <c r="I61" s="78">
        <v>17.8</v>
      </c>
      <c r="J61" s="78">
        <v>18.100000000000001</v>
      </c>
      <c r="K61" s="78">
        <v>18.100000000000001</v>
      </c>
      <c r="L61" s="78">
        <v>18.100000000000001</v>
      </c>
      <c r="M61" s="78">
        <v>19.5</v>
      </c>
      <c r="N61" s="78">
        <v>12.5</v>
      </c>
      <c r="O61" s="78">
        <v>15.4</v>
      </c>
      <c r="P61" s="78">
        <v>15.4</v>
      </c>
      <c r="Q61" s="78">
        <v>15.5</v>
      </c>
      <c r="R61" s="78">
        <v>15.2</v>
      </c>
      <c r="S61" s="78">
        <v>15.2</v>
      </c>
      <c r="T61" s="78">
        <v>13.6</v>
      </c>
      <c r="U61" s="78">
        <v>13.6</v>
      </c>
      <c r="V61" s="78">
        <v>13.6</v>
      </c>
      <c r="W61" s="78">
        <v>13.6</v>
      </c>
      <c r="X61" s="78">
        <v>13.6</v>
      </c>
      <c r="Y61" s="78">
        <v>13.6</v>
      </c>
      <c r="Z61" s="78">
        <v>13.7</v>
      </c>
      <c r="AA61" s="78">
        <v>19.2</v>
      </c>
      <c r="AB61" s="78">
        <v>19.100000000000001</v>
      </c>
      <c r="AC61" s="78">
        <v>19.100000000000001</v>
      </c>
      <c r="AD61" s="78">
        <v>20.5</v>
      </c>
      <c r="AE61" s="78">
        <v>20.5</v>
      </c>
      <c r="AF61" s="78">
        <v>20.5</v>
      </c>
      <c r="AG61" s="79">
        <v>22.1</v>
      </c>
      <c r="AH61" s="48">
        <f t="shared" si="8"/>
        <v>20.5</v>
      </c>
      <c r="AI61" s="49">
        <f t="shared" si="9"/>
        <v>12.5</v>
      </c>
      <c r="AK61" s="51"/>
    </row>
    <row r="62" spans="1:88" ht="15.75" thickBot="1" x14ac:dyDescent="0.3">
      <c r="A62" s="80" t="s">
        <v>79</v>
      </c>
      <c r="B62" s="71">
        <f t="shared" ref="B62:L62" si="23">SUM(B59:B61)</f>
        <v>200.60000000000002</v>
      </c>
      <c r="C62" s="71">
        <f t="shared" si="23"/>
        <v>147.80000000000001</v>
      </c>
      <c r="D62" s="71">
        <f t="shared" si="23"/>
        <v>147.80000000000001</v>
      </c>
      <c r="E62" s="71">
        <f t="shared" si="23"/>
        <v>178.5</v>
      </c>
      <c r="F62" s="71">
        <f t="shared" si="23"/>
        <v>124.1</v>
      </c>
      <c r="G62" s="71">
        <f t="shared" si="23"/>
        <v>138.30000000000001</v>
      </c>
      <c r="H62" s="71">
        <f t="shared" si="23"/>
        <v>138.30000000000001</v>
      </c>
      <c r="I62" s="71">
        <f t="shared" si="23"/>
        <v>158.30000000000001</v>
      </c>
      <c r="J62" s="71">
        <f t="shared" si="23"/>
        <v>88.4</v>
      </c>
      <c r="K62" s="71">
        <f t="shared" si="23"/>
        <v>88.4</v>
      </c>
      <c r="L62" s="71">
        <f t="shared" si="23"/>
        <v>63.6</v>
      </c>
      <c r="M62" s="71">
        <f t="shared" ref="M62:AG62" si="24">SUM(M59:M61)</f>
        <v>46.3</v>
      </c>
      <c r="N62" s="71">
        <f t="shared" si="24"/>
        <v>38.9</v>
      </c>
      <c r="O62" s="71">
        <f t="shared" si="24"/>
        <v>111.60000000000001</v>
      </c>
      <c r="P62" s="71">
        <f t="shared" si="24"/>
        <v>111.60000000000001</v>
      </c>
      <c r="Q62" s="71">
        <f t="shared" si="24"/>
        <v>40.700000000000003</v>
      </c>
      <c r="R62" s="71">
        <f t="shared" si="24"/>
        <v>40</v>
      </c>
      <c r="S62" s="71">
        <f t="shared" si="24"/>
        <v>55.099999999999994</v>
      </c>
      <c r="T62" s="71">
        <f t="shared" si="24"/>
        <v>37.4</v>
      </c>
      <c r="U62" s="71">
        <f t="shared" si="24"/>
        <v>37.4</v>
      </c>
      <c r="V62" s="71">
        <f t="shared" si="24"/>
        <v>37.4</v>
      </c>
      <c r="W62" s="71">
        <f t="shared" si="24"/>
        <v>37.4</v>
      </c>
      <c r="X62" s="71">
        <f t="shared" si="24"/>
        <v>50.6</v>
      </c>
      <c r="Y62" s="71">
        <f t="shared" si="24"/>
        <v>65.8</v>
      </c>
      <c r="Z62" s="71">
        <f t="shared" si="24"/>
        <v>344.3</v>
      </c>
      <c r="AA62" s="71">
        <f t="shared" si="24"/>
        <v>498.3</v>
      </c>
      <c r="AB62" s="71">
        <f t="shared" si="24"/>
        <v>295.20000000000005</v>
      </c>
      <c r="AC62" s="71">
        <f t="shared" si="24"/>
        <v>273.60000000000002</v>
      </c>
      <c r="AD62" s="71">
        <f t="shared" si="24"/>
        <v>255</v>
      </c>
      <c r="AE62" s="71">
        <f>SUM(AE59:AE61)</f>
        <v>244</v>
      </c>
      <c r="AF62" s="71">
        <f>SUM(AF59:AF61)</f>
        <v>164</v>
      </c>
      <c r="AG62" s="72">
        <f t="shared" si="24"/>
        <v>538.1</v>
      </c>
      <c r="AH62" s="48">
        <f t="shared" si="8"/>
        <v>498.3</v>
      </c>
      <c r="AI62" s="49">
        <f t="shared" si="9"/>
        <v>37.4</v>
      </c>
      <c r="AK62" s="51"/>
    </row>
    <row r="63" spans="1:88" x14ac:dyDescent="0.25">
      <c r="A63" s="45" t="s">
        <v>80</v>
      </c>
      <c r="B63" s="46">
        <v>101.4</v>
      </c>
      <c r="C63" s="46">
        <v>61.6</v>
      </c>
      <c r="D63" s="46">
        <v>61.6</v>
      </c>
      <c r="E63" s="46">
        <v>61.6</v>
      </c>
      <c r="F63" s="46">
        <v>61.6</v>
      </c>
      <c r="G63" s="46">
        <v>61.6</v>
      </c>
      <c r="H63" s="46">
        <v>61.6</v>
      </c>
      <c r="I63" s="46">
        <v>61.6</v>
      </c>
      <c r="J63" s="46">
        <v>63.5</v>
      </c>
      <c r="K63" s="46">
        <v>63.5</v>
      </c>
      <c r="L63" s="46">
        <v>63.5</v>
      </c>
      <c r="M63" s="46">
        <v>70.900000000000006</v>
      </c>
      <c r="N63" s="46">
        <v>61.3</v>
      </c>
      <c r="O63" s="46">
        <v>61.4</v>
      </c>
      <c r="P63" s="46">
        <v>60.4</v>
      </c>
      <c r="Q63" s="46">
        <v>60.2</v>
      </c>
      <c r="R63" s="46">
        <v>81.3</v>
      </c>
      <c r="S63" s="46">
        <v>81.3</v>
      </c>
      <c r="T63" s="46">
        <v>97.4</v>
      </c>
      <c r="U63" s="46">
        <v>97.4</v>
      </c>
      <c r="V63" s="46">
        <v>82.5</v>
      </c>
      <c r="W63" s="46">
        <v>60.7</v>
      </c>
      <c r="X63" s="46">
        <v>60.7</v>
      </c>
      <c r="Y63" s="46">
        <v>92.4</v>
      </c>
      <c r="Z63" s="46">
        <v>121.2</v>
      </c>
      <c r="AA63" s="46">
        <v>141</v>
      </c>
      <c r="AB63" s="46">
        <v>142.4</v>
      </c>
      <c r="AC63" s="46">
        <v>141.6</v>
      </c>
      <c r="AD63" s="46">
        <v>141.69999999999999</v>
      </c>
      <c r="AE63" s="46">
        <v>100</v>
      </c>
      <c r="AF63" s="46">
        <v>101.4</v>
      </c>
      <c r="AG63" s="61">
        <v>144</v>
      </c>
      <c r="AH63" s="48">
        <f t="shared" si="8"/>
        <v>142.4</v>
      </c>
      <c r="AI63" s="49">
        <f t="shared" si="9"/>
        <v>60.2</v>
      </c>
      <c r="AK63" s="51"/>
    </row>
    <row r="64" spans="1:88" x14ac:dyDescent="0.25">
      <c r="A64" s="65" t="s">
        <v>81</v>
      </c>
      <c r="B64" s="46">
        <v>59.3</v>
      </c>
      <c r="C64" s="46">
        <v>34.200000000000003</v>
      </c>
      <c r="D64" s="46">
        <v>25.3</v>
      </c>
      <c r="E64" s="46">
        <v>25.3</v>
      </c>
      <c r="F64" s="46">
        <v>25.3</v>
      </c>
      <c r="G64" s="46">
        <v>34.9</v>
      </c>
      <c r="H64" s="46">
        <v>45.4</v>
      </c>
      <c r="I64" s="46">
        <v>45.4</v>
      </c>
      <c r="J64" s="46">
        <v>44.7</v>
      </c>
      <c r="K64" s="46">
        <v>44.7</v>
      </c>
      <c r="L64" s="46">
        <v>64.5</v>
      </c>
      <c r="M64" s="76">
        <v>64</v>
      </c>
      <c r="N64" s="76">
        <v>44.3</v>
      </c>
      <c r="O64" s="76">
        <v>43.4</v>
      </c>
      <c r="P64" s="76">
        <v>43.7</v>
      </c>
      <c r="Q64" s="76">
        <v>44.4</v>
      </c>
      <c r="R64" s="76">
        <v>55.2</v>
      </c>
      <c r="S64" s="76">
        <v>55.2</v>
      </c>
      <c r="T64" s="76">
        <v>50.8</v>
      </c>
      <c r="U64" s="76">
        <v>50.8</v>
      </c>
      <c r="V64" s="76">
        <v>45.6</v>
      </c>
      <c r="W64" s="76">
        <v>24.5</v>
      </c>
      <c r="X64" s="76">
        <v>29.8</v>
      </c>
      <c r="Y64" s="76">
        <v>51.2</v>
      </c>
      <c r="Z64" s="76">
        <v>51.2</v>
      </c>
      <c r="AA64" s="46">
        <v>68</v>
      </c>
      <c r="AB64" s="46">
        <v>68.7</v>
      </c>
      <c r="AC64" s="46">
        <v>68.400000000000006</v>
      </c>
      <c r="AD64" s="46">
        <v>69.2</v>
      </c>
      <c r="AE64" s="46">
        <v>65.400000000000006</v>
      </c>
      <c r="AF64" s="46">
        <v>66.099999999999994</v>
      </c>
      <c r="AG64" s="66">
        <v>70</v>
      </c>
      <c r="AH64" s="48">
        <f t="shared" si="8"/>
        <v>69.2</v>
      </c>
      <c r="AI64" s="49">
        <f t="shared" si="9"/>
        <v>24.5</v>
      </c>
      <c r="AK64" s="51"/>
    </row>
    <row r="65" spans="1:75" x14ac:dyDescent="0.25">
      <c r="A65" s="65" t="s">
        <v>82</v>
      </c>
      <c r="B65" s="46">
        <v>50.2</v>
      </c>
      <c r="C65" s="46">
        <v>50.5</v>
      </c>
      <c r="D65" s="46">
        <v>50.5</v>
      </c>
      <c r="E65" s="46">
        <v>50.5</v>
      </c>
      <c r="F65" s="46">
        <v>50.5</v>
      </c>
      <c r="G65" s="46">
        <v>50.5</v>
      </c>
      <c r="H65" s="46">
        <v>50.5</v>
      </c>
      <c r="I65" s="46">
        <v>50.5</v>
      </c>
      <c r="J65" s="46">
        <v>48.5</v>
      </c>
      <c r="K65" s="46">
        <v>48.5</v>
      </c>
      <c r="L65" s="46">
        <v>65.8</v>
      </c>
      <c r="M65" s="76">
        <v>69</v>
      </c>
      <c r="N65" s="76">
        <v>60</v>
      </c>
      <c r="O65" s="76">
        <v>56.9</v>
      </c>
      <c r="P65" s="76">
        <v>33</v>
      </c>
      <c r="Q65" s="76">
        <v>33.299999999999997</v>
      </c>
      <c r="R65" s="76">
        <v>33</v>
      </c>
      <c r="S65" s="76">
        <v>33</v>
      </c>
      <c r="T65" s="76">
        <v>33</v>
      </c>
      <c r="U65" s="76">
        <v>33</v>
      </c>
      <c r="V65" s="76">
        <v>33</v>
      </c>
      <c r="W65" s="76">
        <v>33</v>
      </c>
      <c r="X65" s="76">
        <v>33</v>
      </c>
      <c r="Y65" s="76">
        <v>55</v>
      </c>
      <c r="Z65" s="76">
        <v>55</v>
      </c>
      <c r="AA65" s="46">
        <v>66</v>
      </c>
      <c r="AB65" s="46">
        <v>68.3</v>
      </c>
      <c r="AC65" s="46">
        <v>68.099999999999994</v>
      </c>
      <c r="AD65" s="46">
        <v>68.8</v>
      </c>
      <c r="AE65" s="46">
        <v>69</v>
      </c>
      <c r="AF65" s="46">
        <v>69</v>
      </c>
      <c r="AG65" s="66">
        <v>69</v>
      </c>
      <c r="AH65" s="48">
        <f t="shared" si="8"/>
        <v>69</v>
      </c>
      <c r="AI65" s="49">
        <f t="shared" si="9"/>
        <v>33</v>
      </c>
      <c r="AK65" s="51"/>
    </row>
    <row r="66" spans="1:75" x14ac:dyDescent="0.25">
      <c r="A66" s="65" t="s">
        <v>83</v>
      </c>
      <c r="B66" s="46">
        <v>57</v>
      </c>
      <c r="C66" s="46">
        <v>57.2</v>
      </c>
      <c r="D66" s="46">
        <v>60.4</v>
      </c>
      <c r="E66" s="46">
        <v>60.4</v>
      </c>
      <c r="F66" s="46">
        <v>60.4</v>
      </c>
      <c r="G66" s="46">
        <v>60.4</v>
      </c>
      <c r="H66" s="46">
        <v>60.4</v>
      </c>
      <c r="I66" s="46">
        <v>60.4</v>
      </c>
      <c r="J66" s="46">
        <v>60.4</v>
      </c>
      <c r="K66" s="46">
        <v>60.4</v>
      </c>
      <c r="L66" s="46">
        <v>60.4</v>
      </c>
      <c r="M66" s="76">
        <v>58.7</v>
      </c>
      <c r="N66" s="76">
        <v>58.7</v>
      </c>
      <c r="O66" s="76">
        <v>58.7</v>
      </c>
      <c r="P66" s="76">
        <v>56.7</v>
      </c>
      <c r="Q66" s="76">
        <v>56.7</v>
      </c>
      <c r="R66" s="76">
        <v>56.5</v>
      </c>
      <c r="S66" s="76">
        <v>56.5</v>
      </c>
      <c r="T66" s="76">
        <v>56.5</v>
      </c>
      <c r="U66" s="76">
        <v>56.5</v>
      </c>
      <c r="V66" s="76">
        <v>50.2</v>
      </c>
      <c r="W66" s="76">
        <v>50.2</v>
      </c>
      <c r="X66" s="76">
        <v>50.2</v>
      </c>
      <c r="Y66" s="76">
        <v>50.2</v>
      </c>
      <c r="Z66" s="76">
        <v>50.2</v>
      </c>
      <c r="AA66" s="46">
        <v>50.2</v>
      </c>
      <c r="AB66" s="46">
        <v>50.2</v>
      </c>
      <c r="AC66" s="46">
        <v>50.2</v>
      </c>
      <c r="AD66" s="46">
        <v>50.4</v>
      </c>
      <c r="AE66" s="46">
        <v>55.4</v>
      </c>
      <c r="AF66" s="46">
        <v>55.4</v>
      </c>
      <c r="AG66" s="66">
        <v>60</v>
      </c>
      <c r="AH66" s="48">
        <f t="shared" si="8"/>
        <v>60.4</v>
      </c>
      <c r="AI66" s="49">
        <f t="shared" si="9"/>
        <v>50.2</v>
      </c>
      <c r="AK66" s="51"/>
    </row>
    <row r="67" spans="1:75" x14ac:dyDescent="0.25">
      <c r="A67" s="65" t="s">
        <v>84</v>
      </c>
      <c r="B67" s="46">
        <v>14.5</v>
      </c>
      <c r="C67" s="46">
        <v>14.5</v>
      </c>
      <c r="D67" s="46">
        <v>14.5</v>
      </c>
      <c r="E67" s="46">
        <v>10.199999999999999</v>
      </c>
      <c r="F67" s="46">
        <v>10.199999999999999</v>
      </c>
      <c r="G67" s="46">
        <v>10.199999999999999</v>
      </c>
      <c r="H67" s="46">
        <v>10.199999999999999</v>
      </c>
      <c r="I67" s="46">
        <v>10.199999999999999</v>
      </c>
      <c r="J67" s="46">
        <v>14.9</v>
      </c>
      <c r="K67" s="46">
        <v>22.5</v>
      </c>
      <c r="L67" s="46">
        <v>10.4</v>
      </c>
      <c r="M67" s="76">
        <v>10.199999999999999</v>
      </c>
      <c r="N67" s="76">
        <v>10.1</v>
      </c>
      <c r="O67" s="76">
        <v>10</v>
      </c>
      <c r="P67" s="76">
        <v>14.5</v>
      </c>
      <c r="Q67" s="76">
        <v>14.7</v>
      </c>
      <c r="R67" s="76">
        <v>14.6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12</v>
      </c>
      <c r="Y67" s="76">
        <v>14.8</v>
      </c>
      <c r="Z67" s="76">
        <v>28.8</v>
      </c>
      <c r="AA67" s="46">
        <v>28.7</v>
      </c>
      <c r="AB67" s="46">
        <v>28</v>
      </c>
      <c r="AC67" s="46">
        <v>27.9</v>
      </c>
      <c r="AD67" s="46">
        <v>27.7</v>
      </c>
      <c r="AE67" s="46">
        <v>21</v>
      </c>
      <c r="AF67" s="46">
        <v>14</v>
      </c>
      <c r="AG67" s="66">
        <v>30</v>
      </c>
      <c r="AH67" s="48">
        <f t="shared" si="8"/>
        <v>28.8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3.7</v>
      </c>
      <c r="L68" s="46">
        <v>5</v>
      </c>
      <c r="M68" s="76">
        <v>9.1999999999999993</v>
      </c>
      <c r="N68" s="76">
        <v>13.2</v>
      </c>
      <c r="O68" s="76">
        <v>16.2</v>
      </c>
      <c r="P68" s="76">
        <v>17.899999999999999</v>
      </c>
      <c r="Q68" s="76">
        <v>18.7</v>
      </c>
      <c r="R68" s="76">
        <v>17.8</v>
      </c>
      <c r="S68" s="76">
        <v>15.2</v>
      </c>
      <c r="T68" s="76">
        <v>12.8</v>
      </c>
      <c r="U68" s="76">
        <v>6.8</v>
      </c>
      <c r="V68" s="76">
        <v>2.7</v>
      </c>
      <c r="W68" s="76">
        <v>1.1000000000000001</v>
      </c>
      <c r="X68" s="76">
        <v>0.5</v>
      </c>
      <c r="Y68" s="76">
        <v>0</v>
      </c>
      <c r="Z68" s="7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18.7</v>
      </c>
      <c r="AI68" s="49">
        <f t="shared" si="9"/>
        <v>0</v>
      </c>
      <c r="AK68" s="51"/>
      <c r="AY68" s="1" t="s">
        <v>86</v>
      </c>
      <c r="AZ68" s="82">
        <f>ROUND(C81,0)</f>
        <v>22</v>
      </c>
      <c r="BA68" s="81">
        <f t="shared" ref="BA68:BD72" si="25">D81</f>
        <v>20.6</v>
      </c>
      <c r="BB68" s="81">
        <f t="shared" si="25"/>
        <v>23</v>
      </c>
      <c r="BC68" s="81">
        <f t="shared" si="25"/>
        <v>24.2</v>
      </c>
      <c r="BD68" s="81">
        <f t="shared" si="25"/>
        <v>22.6</v>
      </c>
      <c r="BE68" s="82">
        <f>I81</f>
        <v>33</v>
      </c>
      <c r="BF68" s="82">
        <f>K81</f>
        <v>61.2</v>
      </c>
      <c r="BG68" s="82">
        <f t="shared" ref="BG68:BP72" si="26">M81</f>
        <v>63.2</v>
      </c>
      <c r="BH68" s="82">
        <f t="shared" si="26"/>
        <v>61.6</v>
      </c>
      <c r="BI68" s="82">
        <f t="shared" si="26"/>
        <v>68.3</v>
      </c>
      <c r="BJ68" s="82">
        <f t="shared" si="26"/>
        <v>69.8</v>
      </c>
      <c r="BK68" s="82">
        <f t="shared" si="26"/>
        <v>70</v>
      </c>
      <c r="BL68" s="82">
        <f t="shared" si="26"/>
        <v>67.5</v>
      </c>
      <c r="BM68" s="82">
        <f t="shared" si="26"/>
        <v>59.3</v>
      </c>
      <c r="BN68" s="82">
        <f t="shared" si="26"/>
        <v>63.2</v>
      </c>
      <c r="BO68" s="82">
        <f t="shared" si="26"/>
        <v>68</v>
      </c>
      <c r="BP68" s="82">
        <f t="shared" si="26"/>
        <v>70</v>
      </c>
      <c r="BQ68" s="82">
        <f>X81</f>
        <v>53.3</v>
      </c>
      <c r="BR68" s="82">
        <f>Z81</f>
        <v>39.799999999999997</v>
      </c>
      <c r="BS68" s="81">
        <f>AB81</f>
        <v>57.1</v>
      </c>
      <c r="BT68" s="81">
        <f t="shared" ref="BT68:BV72" si="27">AD81</f>
        <v>59.3</v>
      </c>
      <c r="BU68" s="81">
        <f t="shared" si="27"/>
        <v>62.7</v>
      </c>
      <c r="BV68" s="81">
        <f t="shared" si="27"/>
        <v>61.9</v>
      </c>
      <c r="BW68" s="81">
        <f>B81</f>
        <v>22.8</v>
      </c>
    </row>
    <row r="69" spans="1:75" x14ac:dyDescent="0.25">
      <c r="A69" s="65" t="s">
        <v>87</v>
      </c>
      <c r="B69" s="76">
        <v>14.1</v>
      </c>
      <c r="C69" s="76">
        <v>14.1</v>
      </c>
      <c r="D69" s="76">
        <v>14.1</v>
      </c>
      <c r="E69" s="76">
        <v>14.1</v>
      </c>
      <c r="F69" s="76">
        <v>14.1</v>
      </c>
      <c r="G69" s="76">
        <v>14.1</v>
      </c>
      <c r="H69" s="76">
        <v>14.1</v>
      </c>
      <c r="I69" s="76">
        <v>14.1</v>
      </c>
      <c r="J69" s="76">
        <v>14.1</v>
      </c>
      <c r="K69" s="76">
        <v>14.1</v>
      </c>
      <c r="L69" s="76">
        <v>14.1</v>
      </c>
      <c r="M69" s="76">
        <v>14.1</v>
      </c>
      <c r="N69" s="76">
        <v>14.5</v>
      </c>
      <c r="O69" s="76">
        <v>14.3</v>
      </c>
      <c r="P69" s="76">
        <v>14.3</v>
      </c>
      <c r="Q69" s="76">
        <v>14.6</v>
      </c>
      <c r="R69" s="76">
        <v>14.6</v>
      </c>
      <c r="S69" s="76">
        <v>14.6</v>
      </c>
      <c r="T69" s="76">
        <v>14.6</v>
      </c>
      <c r="U69" s="76">
        <v>14.6</v>
      </c>
      <c r="V69" s="76">
        <v>14.6</v>
      </c>
      <c r="W69" s="76">
        <v>14.6</v>
      </c>
      <c r="X69" s="76">
        <v>14.6</v>
      </c>
      <c r="Y69" s="76">
        <v>14.6</v>
      </c>
      <c r="Z69" s="76">
        <v>14.6</v>
      </c>
      <c r="AA69" s="76">
        <v>14.6</v>
      </c>
      <c r="AB69" s="76">
        <v>14.6</v>
      </c>
      <c r="AC69" s="76">
        <v>14.6</v>
      </c>
      <c r="AD69" s="76">
        <v>14.6</v>
      </c>
      <c r="AE69" s="76">
        <v>14.7</v>
      </c>
      <c r="AF69" s="76">
        <v>14.7</v>
      </c>
      <c r="AG69" s="66">
        <v>24</v>
      </c>
      <c r="AH69" s="48">
        <f t="shared" si="8"/>
        <v>14.7</v>
      </c>
      <c r="AI69" s="49">
        <f t="shared" si="9"/>
        <v>14.1</v>
      </c>
      <c r="AK69" s="51"/>
      <c r="AY69" s="1" t="s">
        <v>88</v>
      </c>
      <c r="AZ69" s="82">
        <f>ROUND(C82,0)</f>
        <v>0</v>
      </c>
      <c r="BA69" s="81">
        <f t="shared" si="25"/>
        <v>0</v>
      </c>
      <c r="BB69" s="81">
        <f t="shared" si="25"/>
        <v>0</v>
      </c>
      <c r="BC69" s="81">
        <f t="shared" si="25"/>
        <v>0</v>
      </c>
      <c r="BD69" s="81">
        <f t="shared" si="25"/>
        <v>0</v>
      </c>
      <c r="BE69" s="82">
        <f>I82</f>
        <v>0</v>
      </c>
      <c r="BF69" s="82">
        <f>K82</f>
        <v>72.8</v>
      </c>
      <c r="BG69" s="82">
        <f t="shared" si="26"/>
        <v>84.3</v>
      </c>
      <c r="BH69" s="82">
        <f t="shared" si="26"/>
        <v>87</v>
      </c>
      <c r="BI69" s="82">
        <f t="shared" si="26"/>
        <v>0</v>
      </c>
      <c r="BJ69" s="82">
        <f t="shared" si="26"/>
        <v>95</v>
      </c>
      <c r="BK69" s="82">
        <f t="shared" si="26"/>
        <v>93.3</v>
      </c>
      <c r="BL69" s="82">
        <f t="shared" si="26"/>
        <v>91.3</v>
      </c>
      <c r="BM69" s="82">
        <f t="shared" si="26"/>
        <v>95.4</v>
      </c>
      <c r="BN69" s="82">
        <f t="shared" si="26"/>
        <v>94.6</v>
      </c>
      <c r="BO69" s="82">
        <f t="shared" si="26"/>
        <v>98.5</v>
      </c>
      <c r="BP69" s="82">
        <f t="shared" si="26"/>
        <v>84.3</v>
      </c>
      <c r="BQ69" s="82">
        <f>X82</f>
        <v>71.099999999999994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40</v>
      </c>
      <c r="BA70" s="81">
        <f t="shared" si="25"/>
        <v>90</v>
      </c>
      <c r="BB70" s="81">
        <f t="shared" si="25"/>
        <v>86.7</v>
      </c>
      <c r="BC70" s="81">
        <f t="shared" si="25"/>
        <v>86.2</v>
      </c>
      <c r="BD70" s="81">
        <f t="shared" si="25"/>
        <v>93.6</v>
      </c>
      <c r="BE70" s="82">
        <f>I83</f>
        <v>104.5</v>
      </c>
      <c r="BF70" s="82">
        <f>K83</f>
        <v>291.3</v>
      </c>
      <c r="BG70" s="82">
        <f t="shared" si="26"/>
        <v>328.9</v>
      </c>
      <c r="BH70" s="82">
        <f t="shared" si="26"/>
        <v>308.8</v>
      </c>
      <c r="BI70" s="82">
        <f t="shared" si="26"/>
        <v>412</v>
      </c>
      <c r="BJ70" s="82">
        <f t="shared" si="26"/>
        <v>354</v>
      </c>
      <c r="BK70" s="82">
        <f t="shared" si="26"/>
        <v>389.5</v>
      </c>
      <c r="BL70" s="82">
        <f t="shared" si="26"/>
        <v>430</v>
      </c>
      <c r="BM70" s="82">
        <f t="shared" si="26"/>
        <v>469</v>
      </c>
      <c r="BN70" s="82">
        <f t="shared" si="26"/>
        <v>456</v>
      </c>
      <c r="BO70" s="82">
        <f t="shared" si="26"/>
        <v>415</v>
      </c>
      <c r="BP70" s="82">
        <f t="shared" si="26"/>
        <v>413</v>
      </c>
      <c r="BQ70" s="82">
        <f>X83</f>
        <v>345</v>
      </c>
      <c r="BR70" s="82">
        <f>Z83</f>
        <v>189</v>
      </c>
      <c r="BS70" s="81">
        <f>AB83</f>
        <v>173</v>
      </c>
      <c r="BT70" s="81">
        <f t="shared" si="27"/>
        <v>186.8</v>
      </c>
      <c r="BU70" s="81">
        <f t="shared" si="27"/>
        <v>135</v>
      </c>
      <c r="BV70" s="81">
        <f t="shared" si="27"/>
        <v>175</v>
      </c>
      <c r="BW70" s="81">
        <f>B83</f>
        <v>0</v>
      </c>
    </row>
    <row r="71" spans="1:75" s="83" customFormat="1" x14ac:dyDescent="0.25">
      <c r="A71" s="65" t="s">
        <v>91</v>
      </c>
      <c r="B71" s="76">
        <v>12</v>
      </c>
      <c r="C71" s="76">
        <v>12</v>
      </c>
      <c r="D71" s="76">
        <v>12</v>
      </c>
      <c r="E71" s="76">
        <v>12</v>
      </c>
      <c r="F71" s="76">
        <v>12</v>
      </c>
      <c r="G71" s="76">
        <v>12</v>
      </c>
      <c r="H71" s="76">
        <v>12</v>
      </c>
      <c r="I71" s="76">
        <v>12</v>
      </c>
      <c r="J71" s="76">
        <v>12</v>
      </c>
      <c r="K71" s="76">
        <v>12</v>
      </c>
      <c r="L71" s="76">
        <v>12</v>
      </c>
      <c r="M71" s="76">
        <v>12</v>
      </c>
      <c r="N71" s="76">
        <v>12.7</v>
      </c>
      <c r="O71" s="76">
        <v>12.7</v>
      </c>
      <c r="P71" s="76">
        <v>12.7</v>
      </c>
      <c r="Q71" s="76">
        <v>12.3</v>
      </c>
      <c r="R71" s="76">
        <v>12.6</v>
      </c>
      <c r="S71" s="76">
        <v>12.6</v>
      </c>
      <c r="T71" s="76">
        <v>12.6</v>
      </c>
      <c r="U71" s="76">
        <v>12.6</v>
      </c>
      <c r="V71" s="76">
        <v>12.6</v>
      </c>
      <c r="W71" s="76">
        <v>12.6</v>
      </c>
      <c r="X71" s="76">
        <v>12.6</v>
      </c>
      <c r="Y71" s="76">
        <v>12.6</v>
      </c>
      <c r="Z71" s="76">
        <v>12.6</v>
      </c>
      <c r="AA71" s="76">
        <v>12.6</v>
      </c>
      <c r="AB71" s="76">
        <v>12.6</v>
      </c>
      <c r="AC71" s="76">
        <v>12.6</v>
      </c>
      <c r="AD71" s="76">
        <v>12.6</v>
      </c>
      <c r="AE71" s="76">
        <v>13.1</v>
      </c>
      <c r="AF71" s="76">
        <v>13.1</v>
      </c>
      <c r="AG71" s="66">
        <v>14.1</v>
      </c>
      <c r="AH71" s="48">
        <f t="shared" si="8"/>
        <v>13.1</v>
      </c>
      <c r="AI71" s="49">
        <f t="shared" si="9"/>
        <v>12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5"/>
        <v>0</v>
      </c>
      <c r="BB71" s="81">
        <f t="shared" si="25"/>
        <v>0</v>
      </c>
      <c r="BC71" s="81">
        <f t="shared" si="25"/>
        <v>0</v>
      </c>
      <c r="BD71" s="81">
        <f t="shared" si="25"/>
        <v>0</v>
      </c>
      <c r="BE71" s="82">
        <f>I84</f>
        <v>0</v>
      </c>
      <c r="BF71" s="82">
        <f>K84</f>
        <v>33.799999999999997</v>
      </c>
      <c r="BG71" s="82">
        <f t="shared" si="26"/>
        <v>35.5</v>
      </c>
      <c r="BH71" s="82">
        <f t="shared" si="26"/>
        <v>37</v>
      </c>
      <c r="BI71" s="82">
        <f t="shared" si="26"/>
        <v>39.5</v>
      </c>
      <c r="BJ71" s="82">
        <f t="shared" si="26"/>
        <v>44</v>
      </c>
      <c r="BK71" s="82">
        <f t="shared" si="26"/>
        <v>42.9</v>
      </c>
      <c r="BL71" s="82">
        <f t="shared" si="26"/>
        <v>38.9</v>
      </c>
      <c r="BM71" s="82">
        <f t="shared" si="26"/>
        <v>43.3</v>
      </c>
      <c r="BN71" s="82">
        <f t="shared" si="26"/>
        <v>43.4</v>
      </c>
      <c r="BO71" s="82">
        <f t="shared" si="26"/>
        <v>45</v>
      </c>
      <c r="BP71" s="82">
        <f t="shared" si="26"/>
        <v>45.6</v>
      </c>
      <c r="BQ71" s="82">
        <f>X84</f>
        <v>29.1</v>
      </c>
      <c r="BR71" s="82">
        <f>Z84</f>
        <v>0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10.1</v>
      </c>
      <c r="C72" s="76">
        <v>10.1</v>
      </c>
      <c r="D72" s="76">
        <v>10.1</v>
      </c>
      <c r="E72" s="76">
        <v>10.1</v>
      </c>
      <c r="F72" s="76">
        <v>10.1</v>
      </c>
      <c r="G72" s="76">
        <v>10.1</v>
      </c>
      <c r="H72" s="76">
        <v>10.1</v>
      </c>
      <c r="I72" s="76">
        <v>10.1</v>
      </c>
      <c r="J72" s="76">
        <v>10.1</v>
      </c>
      <c r="K72" s="76">
        <v>10.1</v>
      </c>
      <c r="L72" s="76">
        <v>10.1</v>
      </c>
      <c r="M72" s="76">
        <v>7.7</v>
      </c>
      <c r="N72" s="76">
        <v>7.7</v>
      </c>
      <c r="O72" s="76">
        <v>7</v>
      </c>
      <c r="P72" s="76">
        <v>7</v>
      </c>
      <c r="Q72" s="76">
        <v>7</v>
      </c>
      <c r="R72" s="76">
        <v>7.3</v>
      </c>
      <c r="S72" s="76">
        <v>7.3</v>
      </c>
      <c r="T72" s="76">
        <v>7.3</v>
      </c>
      <c r="U72" s="76">
        <v>7.3</v>
      </c>
      <c r="V72" s="76">
        <v>7.3</v>
      </c>
      <c r="W72" s="76">
        <v>7.3</v>
      </c>
      <c r="X72" s="76">
        <v>7.3</v>
      </c>
      <c r="Y72" s="76">
        <v>7.3</v>
      </c>
      <c r="Z72" s="76">
        <v>7.3</v>
      </c>
      <c r="AA72" s="76">
        <v>7.3</v>
      </c>
      <c r="AB72" s="76">
        <v>7.3</v>
      </c>
      <c r="AC72" s="76">
        <v>7.3</v>
      </c>
      <c r="AD72" s="76">
        <v>7.3</v>
      </c>
      <c r="AE72" s="76">
        <v>10.5</v>
      </c>
      <c r="AF72" s="76">
        <v>10.5</v>
      </c>
      <c r="AG72" s="66">
        <v>14</v>
      </c>
      <c r="AH72" s="48">
        <f t="shared" si="8"/>
        <v>10.5</v>
      </c>
      <c r="AI72" s="49">
        <f t="shared" si="9"/>
        <v>7</v>
      </c>
      <c r="AK72" s="51"/>
      <c r="AY72" s="1" t="s">
        <v>94</v>
      </c>
      <c r="AZ72" s="82">
        <f>ROUND(C85,0)</f>
        <v>0</v>
      </c>
      <c r="BA72" s="81">
        <f t="shared" si="25"/>
        <v>0</v>
      </c>
      <c r="BB72" s="81">
        <f t="shared" si="25"/>
        <v>0</v>
      </c>
      <c r="BC72" s="81">
        <f t="shared" si="25"/>
        <v>0</v>
      </c>
      <c r="BD72" s="81">
        <f t="shared" si="25"/>
        <v>0</v>
      </c>
      <c r="BE72" s="82">
        <f>I85</f>
        <v>0</v>
      </c>
      <c r="BF72" s="82">
        <f>K85</f>
        <v>98.5</v>
      </c>
      <c r="BG72" s="82">
        <f t="shared" si="26"/>
        <v>111</v>
      </c>
      <c r="BH72" s="82">
        <f t="shared" si="26"/>
        <v>115.3</v>
      </c>
      <c r="BI72" s="82">
        <f t="shared" si="26"/>
        <v>127</v>
      </c>
      <c r="BJ72" s="82">
        <f t="shared" si="26"/>
        <v>125</v>
      </c>
      <c r="BK72" s="82">
        <f t="shared" si="26"/>
        <v>120.6</v>
      </c>
      <c r="BL72" s="82">
        <f t="shared" si="26"/>
        <v>115.4</v>
      </c>
      <c r="BM72" s="82">
        <f t="shared" si="26"/>
        <v>138.19999999999999</v>
      </c>
      <c r="BN72" s="82">
        <f t="shared" si="26"/>
        <v>123.2</v>
      </c>
      <c r="BO72" s="82">
        <f t="shared" si="26"/>
        <v>141</v>
      </c>
      <c r="BP72" s="82">
        <f t="shared" si="26"/>
        <v>101</v>
      </c>
      <c r="BQ72" s="82">
        <f>X85</f>
        <v>92.1</v>
      </c>
      <c r="BR72" s="82">
        <f>Z85</f>
        <v>0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8</v>
      </c>
      <c r="C73" s="76">
        <v>8</v>
      </c>
      <c r="D73" s="76">
        <v>8</v>
      </c>
      <c r="E73" s="76">
        <v>8</v>
      </c>
      <c r="F73" s="76">
        <v>8</v>
      </c>
      <c r="G73" s="76">
        <v>8</v>
      </c>
      <c r="H73" s="76">
        <v>8</v>
      </c>
      <c r="I73" s="76">
        <v>8</v>
      </c>
      <c r="J73" s="76">
        <v>8</v>
      </c>
      <c r="K73" s="76">
        <v>8</v>
      </c>
      <c r="L73" s="76">
        <v>8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8</v>
      </c>
      <c r="AI73" s="49">
        <f t="shared" si="9"/>
        <v>4.5</v>
      </c>
      <c r="AK73" s="51"/>
      <c r="AY73" s="1" t="s">
        <v>96</v>
      </c>
      <c r="AZ73" s="82">
        <f>ROUND(C91,0)</f>
        <v>47</v>
      </c>
      <c r="BA73" s="82">
        <f>D91</f>
        <v>48.4</v>
      </c>
      <c r="BB73" s="82">
        <f>E91</f>
        <v>45.4</v>
      </c>
      <c r="BC73" s="82">
        <f>F91</f>
        <v>45</v>
      </c>
      <c r="BD73" s="82">
        <f>G91</f>
        <v>43.9</v>
      </c>
      <c r="BE73" s="82">
        <f>I91</f>
        <v>40.299999999999997</v>
      </c>
      <c r="BF73" s="82">
        <f>K91</f>
        <v>44.2</v>
      </c>
      <c r="BG73" s="82">
        <f t="shared" ref="BG73:BP73" si="28">M91</f>
        <v>50</v>
      </c>
      <c r="BH73" s="82">
        <f t="shared" si="28"/>
        <v>59</v>
      </c>
      <c r="BI73" s="82">
        <f t="shared" si="28"/>
        <v>54</v>
      </c>
      <c r="BJ73" s="82">
        <f t="shared" si="28"/>
        <v>49.4</v>
      </c>
      <c r="BK73" s="82">
        <f t="shared" si="28"/>
        <v>52.6</v>
      </c>
      <c r="BL73" s="82">
        <f t="shared" si="28"/>
        <v>52.3</v>
      </c>
      <c r="BM73" s="82">
        <f t="shared" si="28"/>
        <v>51.6</v>
      </c>
      <c r="BN73" s="82">
        <f t="shared" si="28"/>
        <v>53.6</v>
      </c>
      <c r="BO73" s="82">
        <f t="shared" si="28"/>
        <v>50</v>
      </c>
      <c r="BP73" s="82">
        <f t="shared" si="28"/>
        <v>45.3</v>
      </c>
      <c r="BQ73" s="82">
        <f>X91</f>
        <v>40.299999999999997</v>
      </c>
      <c r="BR73" s="82">
        <f>Z91</f>
        <v>38.5</v>
      </c>
      <c r="BS73" s="82">
        <f>AB91</f>
        <v>37.4</v>
      </c>
      <c r="BT73" s="82">
        <f>AD91</f>
        <v>36</v>
      </c>
      <c r="BU73" s="82">
        <f>AE91</f>
        <v>41.4</v>
      </c>
      <c r="BV73" s="82">
        <f>AF91</f>
        <v>50.3</v>
      </c>
      <c r="BW73" s="82">
        <f>B91</f>
        <v>48.9</v>
      </c>
    </row>
    <row r="74" spans="1:75" x14ac:dyDescent="0.25">
      <c r="A74" s="65" t="s">
        <v>97</v>
      </c>
      <c r="B74" s="76">
        <v>2.5</v>
      </c>
      <c r="C74" s="76">
        <v>2.5</v>
      </c>
      <c r="D74" s="76">
        <v>2.5</v>
      </c>
      <c r="E74" s="76">
        <v>2.5</v>
      </c>
      <c r="F74" s="76">
        <v>2.5</v>
      </c>
      <c r="G74" s="76">
        <v>2.5</v>
      </c>
      <c r="H74" s="76">
        <v>2.5</v>
      </c>
      <c r="I74" s="76">
        <v>2.5</v>
      </c>
      <c r="J74" s="76">
        <v>2.5</v>
      </c>
      <c r="K74" s="76">
        <v>2.5</v>
      </c>
      <c r="L74" s="76">
        <v>2.5</v>
      </c>
      <c r="M74" s="76">
        <v>2.5</v>
      </c>
      <c r="N74" s="76">
        <v>2.5</v>
      </c>
      <c r="O74" s="76">
        <v>2.5</v>
      </c>
      <c r="P74" s="76">
        <v>2.5</v>
      </c>
      <c r="Q74" s="76">
        <v>2.5</v>
      </c>
      <c r="R74" s="76">
        <v>2.5</v>
      </c>
      <c r="S74" s="76">
        <v>2.5</v>
      </c>
      <c r="T74" s="76">
        <v>2.5</v>
      </c>
      <c r="U74" s="76">
        <v>2.5</v>
      </c>
      <c r="V74" s="76">
        <v>2.5</v>
      </c>
      <c r="W74" s="76">
        <v>2.5</v>
      </c>
      <c r="X74" s="76">
        <v>2.5</v>
      </c>
      <c r="Y74" s="76">
        <v>2.5</v>
      </c>
      <c r="Z74" s="76">
        <v>2.5</v>
      </c>
      <c r="AA74" s="76">
        <v>2.5</v>
      </c>
      <c r="AB74" s="76">
        <v>2.5</v>
      </c>
      <c r="AC74" s="76">
        <v>2.5</v>
      </c>
      <c r="AD74" s="76">
        <v>2.5</v>
      </c>
      <c r="AE74" s="76">
        <v>2.5</v>
      </c>
      <c r="AF74" s="76">
        <v>2.5</v>
      </c>
      <c r="AG74" s="66">
        <v>6.2</v>
      </c>
      <c r="AH74" s="48">
        <f t="shared" si="8"/>
        <v>2.5</v>
      </c>
      <c r="AI74" s="49">
        <f t="shared" si="9"/>
        <v>2.5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9">VALUE(AZ68)</f>
        <v>22</v>
      </c>
      <c r="BA75" s="82">
        <f t="shared" si="29"/>
        <v>20.6</v>
      </c>
      <c r="BB75" s="82">
        <f t="shared" si="29"/>
        <v>23</v>
      </c>
      <c r="BC75" s="82">
        <f t="shared" si="29"/>
        <v>24.2</v>
      </c>
      <c r="BD75" s="82">
        <f t="shared" si="29"/>
        <v>22.6</v>
      </c>
      <c r="BE75" s="82">
        <f t="shared" si="29"/>
        <v>33</v>
      </c>
      <c r="BF75" s="82">
        <f t="shared" si="29"/>
        <v>61.2</v>
      </c>
      <c r="BG75" s="82">
        <f t="shared" si="29"/>
        <v>63.2</v>
      </c>
      <c r="BH75" s="82">
        <f t="shared" si="29"/>
        <v>61.6</v>
      </c>
      <c r="BI75" s="82">
        <f t="shared" si="29"/>
        <v>68.3</v>
      </c>
      <c r="BJ75" s="82">
        <f t="shared" si="29"/>
        <v>69.8</v>
      </c>
      <c r="BK75" s="82">
        <f t="shared" si="29"/>
        <v>70</v>
      </c>
      <c r="BL75" s="82">
        <f t="shared" si="29"/>
        <v>67.5</v>
      </c>
      <c r="BM75" s="82">
        <f t="shared" si="29"/>
        <v>59.3</v>
      </c>
      <c r="BN75" s="82">
        <f t="shared" si="29"/>
        <v>63.2</v>
      </c>
      <c r="BO75" s="82">
        <f t="shared" si="29"/>
        <v>68</v>
      </c>
      <c r="BP75" s="82">
        <f t="shared" si="29"/>
        <v>70</v>
      </c>
      <c r="BQ75" s="82">
        <f t="shared" si="29"/>
        <v>53.3</v>
      </c>
      <c r="BR75" s="82">
        <f t="shared" si="29"/>
        <v>39.799999999999997</v>
      </c>
      <c r="BS75" s="82">
        <f t="shared" si="29"/>
        <v>57.1</v>
      </c>
      <c r="BT75" s="82">
        <f t="shared" si="29"/>
        <v>59.3</v>
      </c>
      <c r="BU75" s="82">
        <f t="shared" si="29"/>
        <v>62.7</v>
      </c>
      <c r="BV75" s="82">
        <f t="shared" si="29"/>
        <v>61.9</v>
      </c>
      <c r="BW75" s="82">
        <f t="shared" si="29"/>
        <v>22.8</v>
      </c>
    </row>
    <row r="76" spans="1:75" ht="15.75" thickBot="1" x14ac:dyDescent="0.3">
      <c r="A76" s="87" t="s">
        <v>99</v>
      </c>
      <c r="B76" s="71">
        <f>SUM(B63:B75)</f>
        <v>332.64000000000004</v>
      </c>
      <c r="C76" s="71">
        <f>SUM(C63:C75)</f>
        <v>268.24</v>
      </c>
      <c r="D76" s="71">
        <f t="shared" ref="D76:AG76" si="30">SUM(D63:D75)</f>
        <v>262.54000000000002</v>
      </c>
      <c r="E76" s="71">
        <f t="shared" ref="E76:L76" si="31">SUM(E63:E75)</f>
        <v>258.24</v>
      </c>
      <c r="F76" s="71">
        <f t="shared" si="31"/>
        <v>258.24</v>
      </c>
      <c r="G76" s="71">
        <f t="shared" si="31"/>
        <v>267.83999999999997</v>
      </c>
      <c r="H76" s="71">
        <f t="shared" si="31"/>
        <v>278.34000000000003</v>
      </c>
      <c r="I76" s="71">
        <f t="shared" si="31"/>
        <v>278.34000000000003</v>
      </c>
      <c r="J76" s="71">
        <f t="shared" si="31"/>
        <v>282.24000000000007</v>
      </c>
      <c r="K76" s="71">
        <f t="shared" si="31"/>
        <v>293.54000000000002</v>
      </c>
      <c r="L76" s="71">
        <f t="shared" si="31"/>
        <v>319.84000000000009</v>
      </c>
      <c r="M76" s="71">
        <f t="shared" si="30"/>
        <v>326.34000000000003</v>
      </c>
      <c r="N76" s="71">
        <f t="shared" si="30"/>
        <v>293.04000000000002</v>
      </c>
      <c r="O76" s="71">
        <f t="shared" si="30"/>
        <v>291.14</v>
      </c>
      <c r="P76" s="71">
        <f t="shared" si="30"/>
        <v>270.74000000000007</v>
      </c>
      <c r="Q76" s="71">
        <f t="shared" si="30"/>
        <v>272.44</v>
      </c>
      <c r="R76" s="71">
        <f t="shared" si="30"/>
        <v>303.44000000000005</v>
      </c>
      <c r="S76" s="71">
        <f t="shared" si="30"/>
        <v>286.24</v>
      </c>
      <c r="T76" s="71">
        <f t="shared" si="30"/>
        <v>295.54000000000008</v>
      </c>
      <c r="U76" s="71">
        <f t="shared" si="30"/>
        <v>289.54000000000008</v>
      </c>
      <c r="V76" s="71">
        <f t="shared" si="30"/>
        <v>259.04000000000002</v>
      </c>
      <c r="W76" s="71">
        <f t="shared" si="30"/>
        <v>214.54</v>
      </c>
      <c r="X76" s="71">
        <f t="shared" si="30"/>
        <v>231.23999999999998</v>
      </c>
      <c r="Y76" s="71">
        <f t="shared" si="30"/>
        <v>308.60000000000008</v>
      </c>
      <c r="Z76" s="71">
        <f t="shared" si="30"/>
        <v>353.40000000000009</v>
      </c>
      <c r="AA76" s="71">
        <f t="shared" si="30"/>
        <v>398.90000000000003</v>
      </c>
      <c r="AB76" s="71">
        <f t="shared" si="30"/>
        <v>402.6400000000001</v>
      </c>
      <c r="AC76" s="71">
        <f t="shared" si="30"/>
        <v>401.24000000000007</v>
      </c>
      <c r="AD76" s="71">
        <f t="shared" si="30"/>
        <v>402.84000000000003</v>
      </c>
      <c r="AE76" s="71">
        <f t="shared" si="30"/>
        <v>359.64000000000004</v>
      </c>
      <c r="AF76" s="71">
        <f t="shared" si="30"/>
        <v>354.74</v>
      </c>
      <c r="AG76" s="72">
        <f t="shared" si="30"/>
        <v>489.91</v>
      </c>
      <c r="AH76" s="48">
        <f t="shared" si="8"/>
        <v>402.84000000000003</v>
      </c>
      <c r="AI76" s="49">
        <f t="shared" si="9"/>
        <v>214.54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72.8</v>
      </c>
      <c r="BG76" s="82">
        <f t="shared" si="29"/>
        <v>84.3</v>
      </c>
      <c r="BH76" s="82">
        <f t="shared" si="29"/>
        <v>87</v>
      </c>
      <c r="BI76" s="82">
        <f t="shared" si="29"/>
        <v>0</v>
      </c>
      <c r="BJ76" s="82">
        <f t="shared" si="29"/>
        <v>95</v>
      </c>
      <c r="BK76" s="82">
        <f t="shared" si="29"/>
        <v>93.3</v>
      </c>
      <c r="BL76" s="82">
        <f t="shared" si="29"/>
        <v>91.3</v>
      </c>
      <c r="BM76" s="82">
        <f t="shared" si="29"/>
        <v>95.4</v>
      </c>
      <c r="BN76" s="82">
        <f t="shared" si="29"/>
        <v>94.6</v>
      </c>
      <c r="BO76" s="82">
        <f t="shared" si="29"/>
        <v>98.5</v>
      </c>
      <c r="BP76" s="82">
        <f t="shared" si="29"/>
        <v>84.3</v>
      </c>
      <c r="BQ76" s="82">
        <f t="shared" si="29"/>
        <v>71.099999999999994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>
        <v>59</v>
      </c>
      <c r="C77" s="46">
        <v>59</v>
      </c>
      <c r="D77" s="46">
        <v>59</v>
      </c>
      <c r="E77" s="46">
        <v>40.4</v>
      </c>
      <c r="F77" s="46">
        <v>59.4</v>
      </c>
      <c r="G77" s="46">
        <v>59.4</v>
      </c>
      <c r="H77" s="46">
        <v>59.4</v>
      </c>
      <c r="I77" s="46">
        <v>59.4</v>
      </c>
      <c r="J77" s="46">
        <v>59.4</v>
      </c>
      <c r="K77" s="46">
        <v>30.5</v>
      </c>
      <c r="L77" s="46">
        <v>40</v>
      </c>
      <c r="M77" s="46">
        <v>40</v>
      </c>
      <c r="N77" s="46">
        <v>59.7</v>
      </c>
      <c r="O77" s="46">
        <v>29.4</v>
      </c>
      <c r="P77" s="46">
        <v>45.5</v>
      </c>
      <c r="Q77" s="46">
        <v>55.3</v>
      </c>
      <c r="R77" s="46">
        <v>59</v>
      </c>
      <c r="S77" s="46">
        <v>59.3</v>
      </c>
      <c r="T77" s="46">
        <v>59.3</v>
      </c>
      <c r="U77" s="46">
        <v>59.3</v>
      </c>
      <c r="V77" s="46">
        <v>59.3</v>
      </c>
      <c r="W77" s="46">
        <v>39.6</v>
      </c>
      <c r="X77" s="46">
        <v>39.6</v>
      </c>
      <c r="Y77" s="46">
        <v>39.6</v>
      </c>
      <c r="Z77" s="46">
        <v>59.6</v>
      </c>
      <c r="AA77" s="46">
        <v>59.5</v>
      </c>
      <c r="AB77" s="46">
        <v>59.6</v>
      </c>
      <c r="AC77" s="46">
        <v>59.6</v>
      </c>
      <c r="AD77" s="46">
        <v>59.6</v>
      </c>
      <c r="AE77" s="46">
        <v>59.5</v>
      </c>
      <c r="AF77" s="46">
        <v>59.5</v>
      </c>
      <c r="AG77" s="61">
        <v>60</v>
      </c>
      <c r="AH77" s="48">
        <f t="shared" si="8"/>
        <v>59.7</v>
      </c>
      <c r="AI77" s="49">
        <f t="shared" si="9"/>
        <v>29.4</v>
      </c>
      <c r="AK77" s="51"/>
      <c r="AZ77" s="82">
        <f t="shared" si="29"/>
        <v>40</v>
      </c>
      <c r="BA77" s="82">
        <f t="shared" si="29"/>
        <v>90</v>
      </c>
      <c r="BB77" s="82">
        <f t="shared" si="29"/>
        <v>86.7</v>
      </c>
      <c r="BC77" s="82">
        <f t="shared" si="29"/>
        <v>86.2</v>
      </c>
      <c r="BD77" s="82">
        <f t="shared" si="29"/>
        <v>93.6</v>
      </c>
      <c r="BE77" s="82">
        <f t="shared" si="29"/>
        <v>104.5</v>
      </c>
      <c r="BF77" s="82">
        <f t="shared" si="29"/>
        <v>291.3</v>
      </c>
      <c r="BG77" s="82">
        <f t="shared" si="29"/>
        <v>328.9</v>
      </c>
      <c r="BH77" s="82">
        <f t="shared" si="29"/>
        <v>308.8</v>
      </c>
      <c r="BI77" s="82">
        <f t="shared" si="29"/>
        <v>412</v>
      </c>
      <c r="BJ77" s="82">
        <f t="shared" si="29"/>
        <v>354</v>
      </c>
      <c r="BK77" s="82">
        <f t="shared" si="29"/>
        <v>389.5</v>
      </c>
      <c r="BL77" s="82">
        <f t="shared" si="29"/>
        <v>430</v>
      </c>
      <c r="BM77" s="82">
        <f t="shared" si="29"/>
        <v>469</v>
      </c>
      <c r="BN77" s="82">
        <f t="shared" si="29"/>
        <v>456</v>
      </c>
      <c r="BO77" s="82">
        <f t="shared" si="29"/>
        <v>415</v>
      </c>
      <c r="BP77" s="82">
        <f t="shared" si="29"/>
        <v>413</v>
      </c>
      <c r="BQ77" s="82">
        <f t="shared" si="29"/>
        <v>345</v>
      </c>
      <c r="BR77" s="82">
        <f t="shared" si="29"/>
        <v>189</v>
      </c>
      <c r="BS77" s="82">
        <f t="shared" si="29"/>
        <v>173</v>
      </c>
      <c r="BT77" s="82">
        <f t="shared" si="29"/>
        <v>186.8</v>
      </c>
      <c r="BU77" s="82">
        <f t="shared" si="29"/>
        <v>135</v>
      </c>
      <c r="BV77" s="82">
        <f t="shared" si="29"/>
        <v>175</v>
      </c>
      <c r="BW77" s="82">
        <f t="shared" si="29"/>
        <v>0</v>
      </c>
    </row>
    <row r="78" spans="1:75" x14ac:dyDescent="0.25">
      <c r="A78" s="65" t="s">
        <v>101</v>
      </c>
      <c r="B78" s="76">
        <v>27.2</v>
      </c>
      <c r="C78" s="76">
        <v>27.2</v>
      </c>
      <c r="D78" s="76">
        <v>28</v>
      </c>
      <c r="E78" s="76">
        <v>16</v>
      </c>
      <c r="F78" s="76">
        <v>27.5</v>
      </c>
      <c r="G78" s="76">
        <v>27.5</v>
      </c>
      <c r="H78" s="76">
        <v>27.5</v>
      </c>
      <c r="I78" s="76">
        <v>27.5</v>
      </c>
      <c r="J78" s="76">
        <v>27.5</v>
      </c>
      <c r="K78" s="76">
        <v>8.5</v>
      </c>
      <c r="L78" s="76">
        <v>10.7</v>
      </c>
      <c r="M78" s="76">
        <v>16.8</v>
      </c>
      <c r="N78" s="76">
        <v>27.7</v>
      </c>
      <c r="O78" s="76">
        <v>13.8</v>
      </c>
      <c r="P78" s="76">
        <v>20</v>
      </c>
      <c r="Q78" s="76">
        <v>22.6</v>
      </c>
      <c r="R78" s="76">
        <v>27.7</v>
      </c>
      <c r="S78" s="76">
        <v>28.5</v>
      </c>
      <c r="T78" s="76">
        <v>28.5</v>
      </c>
      <c r="U78" s="76">
        <v>28.5</v>
      </c>
      <c r="V78" s="76">
        <v>28.5</v>
      </c>
      <c r="W78" s="76">
        <v>16.5</v>
      </c>
      <c r="X78" s="76">
        <v>16.5</v>
      </c>
      <c r="Y78" s="76">
        <v>16.5</v>
      </c>
      <c r="Z78" s="76">
        <v>27.5</v>
      </c>
      <c r="AA78" s="76">
        <v>28.8</v>
      </c>
      <c r="AB78" s="76">
        <v>28.9</v>
      </c>
      <c r="AC78" s="76">
        <v>28.9</v>
      </c>
      <c r="AD78" s="76">
        <v>28.8</v>
      </c>
      <c r="AE78" s="76">
        <v>28.8</v>
      </c>
      <c r="AF78" s="76">
        <v>28.8</v>
      </c>
      <c r="AG78" s="66">
        <v>32</v>
      </c>
      <c r="AH78" s="48">
        <f t="shared" si="8"/>
        <v>28.9</v>
      </c>
      <c r="AI78" s="49">
        <f t="shared" si="9"/>
        <v>8.5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33.799999999999997</v>
      </c>
      <c r="BG78" s="82">
        <f t="shared" si="29"/>
        <v>35.5</v>
      </c>
      <c r="BH78" s="82">
        <f t="shared" si="29"/>
        <v>37</v>
      </c>
      <c r="BI78" s="82">
        <f t="shared" si="29"/>
        <v>39.5</v>
      </c>
      <c r="BJ78" s="82">
        <f t="shared" si="29"/>
        <v>44</v>
      </c>
      <c r="BK78" s="82">
        <f t="shared" si="29"/>
        <v>42.9</v>
      </c>
      <c r="BL78" s="82">
        <f t="shared" si="29"/>
        <v>38.9</v>
      </c>
      <c r="BM78" s="82">
        <f t="shared" si="29"/>
        <v>43.3</v>
      </c>
      <c r="BN78" s="82">
        <f t="shared" si="29"/>
        <v>43.4</v>
      </c>
      <c r="BO78" s="82">
        <f t="shared" si="29"/>
        <v>45</v>
      </c>
      <c r="BP78" s="82">
        <f t="shared" si="29"/>
        <v>45.6</v>
      </c>
      <c r="BQ78" s="82">
        <f t="shared" si="29"/>
        <v>29.1</v>
      </c>
      <c r="BR78" s="82">
        <f t="shared" si="29"/>
        <v>0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>
        <v>9.9</v>
      </c>
      <c r="C79" s="78">
        <v>9.9</v>
      </c>
      <c r="D79" s="78">
        <v>10.199999999999999</v>
      </c>
      <c r="E79" s="78">
        <v>5.8</v>
      </c>
      <c r="F79" s="78">
        <v>10</v>
      </c>
      <c r="G79" s="78">
        <v>10</v>
      </c>
      <c r="H79" s="78">
        <v>10</v>
      </c>
      <c r="I79" s="78">
        <v>10</v>
      </c>
      <c r="J79" s="78">
        <v>10</v>
      </c>
      <c r="K79" s="78">
        <v>3.1</v>
      </c>
      <c r="L79" s="78">
        <v>3.9</v>
      </c>
      <c r="M79" s="78">
        <v>6.1</v>
      </c>
      <c r="N79" s="78">
        <v>10.1</v>
      </c>
      <c r="O79" s="78">
        <v>5.0999999999999996</v>
      </c>
      <c r="P79" s="78">
        <v>7.3</v>
      </c>
      <c r="Q79" s="78">
        <v>8.1999999999999993</v>
      </c>
      <c r="R79" s="78">
        <v>10.1</v>
      </c>
      <c r="S79" s="78">
        <v>10.4</v>
      </c>
      <c r="T79" s="78">
        <v>10.4</v>
      </c>
      <c r="U79" s="78">
        <v>10.4</v>
      </c>
      <c r="V79" s="78">
        <v>10.4</v>
      </c>
      <c r="W79" s="78">
        <v>6</v>
      </c>
      <c r="X79" s="78">
        <v>6</v>
      </c>
      <c r="Y79" s="78">
        <v>6</v>
      </c>
      <c r="Z79" s="78">
        <v>10</v>
      </c>
      <c r="AA79" s="78">
        <v>10.5</v>
      </c>
      <c r="AB79" s="78">
        <v>10.5</v>
      </c>
      <c r="AC79" s="78">
        <v>10.5</v>
      </c>
      <c r="AD79" s="78">
        <v>10.5</v>
      </c>
      <c r="AE79" s="78">
        <v>10.5</v>
      </c>
      <c r="AF79" s="78">
        <v>10.5</v>
      </c>
      <c r="AG79" s="79">
        <v>14</v>
      </c>
      <c r="AH79" s="48">
        <f t="shared" si="8"/>
        <v>10.5</v>
      </c>
      <c r="AI79" s="49">
        <f t="shared" si="9"/>
        <v>3.1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98.5</v>
      </c>
      <c r="BG79" s="82">
        <f t="shared" si="29"/>
        <v>111</v>
      </c>
      <c r="BH79" s="82">
        <f t="shared" si="29"/>
        <v>115.3</v>
      </c>
      <c r="BI79" s="82">
        <f t="shared" si="29"/>
        <v>127</v>
      </c>
      <c r="BJ79" s="82">
        <f t="shared" si="29"/>
        <v>125</v>
      </c>
      <c r="BK79" s="82">
        <f t="shared" si="29"/>
        <v>120.6</v>
      </c>
      <c r="BL79" s="82">
        <f t="shared" si="29"/>
        <v>115.4</v>
      </c>
      <c r="BM79" s="82">
        <f t="shared" si="29"/>
        <v>138.19999999999999</v>
      </c>
      <c r="BN79" s="82">
        <f t="shared" si="29"/>
        <v>123.2</v>
      </c>
      <c r="BO79" s="82">
        <f t="shared" si="29"/>
        <v>141</v>
      </c>
      <c r="BP79" s="82">
        <f t="shared" si="29"/>
        <v>101</v>
      </c>
      <c r="BQ79" s="82">
        <f t="shared" si="29"/>
        <v>92.1</v>
      </c>
      <c r="BR79" s="82">
        <f t="shared" si="29"/>
        <v>0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>B77+B78+B79</f>
        <v>96.100000000000009</v>
      </c>
      <c r="C80" s="71">
        <f>C77+C78+C79</f>
        <v>96.100000000000009</v>
      </c>
      <c r="D80" s="71">
        <f t="shared" ref="D80:AF80" si="32">D77+D78+D79</f>
        <v>97.2</v>
      </c>
      <c r="E80" s="71">
        <f t="shared" ref="E80:L80" si="33">E77+E78+E79</f>
        <v>62.199999999999996</v>
      </c>
      <c r="F80" s="71">
        <f t="shared" si="33"/>
        <v>96.9</v>
      </c>
      <c r="G80" s="71">
        <f t="shared" si="33"/>
        <v>96.9</v>
      </c>
      <c r="H80" s="71">
        <f t="shared" si="33"/>
        <v>96.9</v>
      </c>
      <c r="I80" s="71">
        <f t="shared" si="33"/>
        <v>96.9</v>
      </c>
      <c r="J80" s="71">
        <f t="shared" si="33"/>
        <v>96.9</v>
      </c>
      <c r="K80" s="71">
        <f t="shared" si="33"/>
        <v>42.1</v>
      </c>
      <c r="L80" s="71">
        <f t="shared" si="33"/>
        <v>54.6</v>
      </c>
      <c r="M80" s="71">
        <f t="shared" si="32"/>
        <v>62.9</v>
      </c>
      <c r="N80" s="71">
        <f t="shared" si="32"/>
        <v>97.5</v>
      </c>
      <c r="O80" s="71">
        <f t="shared" si="32"/>
        <v>48.300000000000004</v>
      </c>
      <c r="P80" s="71">
        <f t="shared" si="32"/>
        <v>72.8</v>
      </c>
      <c r="Q80" s="71">
        <f t="shared" si="32"/>
        <v>86.100000000000009</v>
      </c>
      <c r="R80" s="71">
        <f t="shared" si="32"/>
        <v>96.8</v>
      </c>
      <c r="S80" s="71">
        <f t="shared" si="32"/>
        <v>98.2</v>
      </c>
      <c r="T80" s="71">
        <f t="shared" si="32"/>
        <v>98.2</v>
      </c>
      <c r="U80" s="71">
        <f t="shared" si="32"/>
        <v>98.2</v>
      </c>
      <c r="V80" s="71">
        <f t="shared" si="32"/>
        <v>98.2</v>
      </c>
      <c r="W80" s="71">
        <f t="shared" si="32"/>
        <v>62.1</v>
      </c>
      <c r="X80" s="71">
        <f t="shared" si="32"/>
        <v>62.1</v>
      </c>
      <c r="Y80" s="71">
        <f t="shared" si="32"/>
        <v>62.1</v>
      </c>
      <c r="Z80" s="71">
        <f t="shared" si="32"/>
        <v>97.1</v>
      </c>
      <c r="AA80" s="71">
        <f t="shared" si="32"/>
        <v>98.8</v>
      </c>
      <c r="AB80" s="71">
        <f t="shared" si="32"/>
        <v>99</v>
      </c>
      <c r="AC80" s="71">
        <f t="shared" si="32"/>
        <v>99</v>
      </c>
      <c r="AD80" s="71">
        <f t="shared" si="32"/>
        <v>98.9</v>
      </c>
      <c r="AE80" s="71">
        <f t="shared" si="32"/>
        <v>98.8</v>
      </c>
      <c r="AF80" s="71">
        <f t="shared" si="32"/>
        <v>98.8</v>
      </c>
      <c r="AG80" s="72">
        <f>SUM(AG77:AG79)</f>
        <v>106</v>
      </c>
      <c r="AH80" s="48">
        <f t="shared" si="8"/>
        <v>99</v>
      </c>
      <c r="AI80" s="49">
        <f t="shared" si="9"/>
        <v>42.1</v>
      </c>
      <c r="AK80" s="51"/>
      <c r="AZ80" s="82">
        <f t="shared" si="29"/>
        <v>47</v>
      </c>
      <c r="BA80" s="82">
        <f t="shared" si="29"/>
        <v>48.4</v>
      </c>
      <c r="BB80" s="82">
        <f t="shared" si="29"/>
        <v>45.4</v>
      </c>
      <c r="BC80" s="82">
        <f t="shared" si="29"/>
        <v>45</v>
      </c>
      <c r="BD80" s="82">
        <f t="shared" si="29"/>
        <v>43.9</v>
      </c>
      <c r="BE80" s="82">
        <f t="shared" si="29"/>
        <v>40.299999999999997</v>
      </c>
      <c r="BF80" s="82">
        <f t="shared" si="29"/>
        <v>44.2</v>
      </c>
      <c r="BG80" s="82">
        <f t="shared" si="29"/>
        <v>50</v>
      </c>
      <c r="BH80" s="82">
        <f t="shared" si="29"/>
        <v>59</v>
      </c>
      <c r="BI80" s="82">
        <f t="shared" si="29"/>
        <v>54</v>
      </c>
      <c r="BJ80" s="82">
        <f t="shared" si="29"/>
        <v>49.4</v>
      </c>
      <c r="BK80" s="82">
        <f t="shared" si="29"/>
        <v>52.6</v>
      </c>
      <c r="BL80" s="82">
        <f t="shared" si="29"/>
        <v>52.3</v>
      </c>
      <c r="BM80" s="82">
        <f t="shared" si="29"/>
        <v>51.6</v>
      </c>
      <c r="BN80" s="82">
        <f t="shared" si="29"/>
        <v>53.6</v>
      </c>
      <c r="BO80" s="82">
        <f t="shared" si="29"/>
        <v>50</v>
      </c>
      <c r="BP80" s="82">
        <f t="shared" si="29"/>
        <v>45.3</v>
      </c>
      <c r="BQ80" s="82">
        <f t="shared" si="29"/>
        <v>40.299999999999997</v>
      </c>
      <c r="BR80" s="82">
        <f t="shared" si="29"/>
        <v>38.5</v>
      </c>
      <c r="BS80" s="82">
        <f t="shared" si="29"/>
        <v>37.4</v>
      </c>
      <c r="BT80" s="82">
        <f t="shared" si="29"/>
        <v>36</v>
      </c>
      <c r="BU80" s="82">
        <f t="shared" si="29"/>
        <v>41.4</v>
      </c>
      <c r="BV80" s="82">
        <f t="shared" si="29"/>
        <v>50.3</v>
      </c>
      <c r="BW80" s="82">
        <f t="shared" si="29"/>
        <v>48.9</v>
      </c>
    </row>
    <row r="81" spans="1:64" x14ac:dyDescent="0.25">
      <c r="A81" s="45" t="s">
        <v>104</v>
      </c>
      <c r="B81" s="46">
        <v>22.8</v>
      </c>
      <c r="C81" s="46">
        <v>21.8</v>
      </c>
      <c r="D81" s="46">
        <v>20.6</v>
      </c>
      <c r="E81" s="46">
        <v>23</v>
      </c>
      <c r="F81" s="46">
        <v>24.2</v>
      </c>
      <c r="G81" s="46">
        <v>22.6</v>
      </c>
      <c r="H81" s="46">
        <v>26.8</v>
      </c>
      <c r="I81" s="46">
        <v>33</v>
      </c>
      <c r="J81" s="46">
        <v>63.8</v>
      </c>
      <c r="K81" s="46">
        <v>61.2</v>
      </c>
      <c r="L81" s="46">
        <v>67.900000000000006</v>
      </c>
      <c r="M81" s="46">
        <v>63.2</v>
      </c>
      <c r="N81" s="46">
        <v>61.6</v>
      </c>
      <c r="O81" s="46">
        <v>68.3</v>
      </c>
      <c r="P81" s="46">
        <v>69.8</v>
      </c>
      <c r="Q81" s="46">
        <v>70</v>
      </c>
      <c r="R81" s="46">
        <v>67.5</v>
      </c>
      <c r="S81" s="46">
        <v>59.3</v>
      </c>
      <c r="T81" s="46">
        <v>63.2</v>
      </c>
      <c r="U81" s="46">
        <v>68</v>
      </c>
      <c r="V81" s="46">
        <v>70</v>
      </c>
      <c r="W81" s="46">
        <v>69.400000000000006</v>
      </c>
      <c r="X81" s="46">
        <v>53.3</v>
      </c>
      <c r="Y81" s="46">
        <v>49.5</v>
      </c>
      <c r="Z81" s="46">
        <v>39.799999999999997</v>
      </c>
      <c r="AA81" s="46">
        <v>57.2</v>
      </c>
      <c r="AB81" s="46">
        <v>57.1</v>
      </c>
      <c r="AC81" s="46">
        <v>62</v>
      </c>
      <c r="AD81" s="46">
        <v>59.3</v>
      </c>
      <c r="AE81" s="46">
        <v>62.7</v>
      </c>
      <c r="AF81" s="46">
        <v>61.9</v>
      </c>
      <c r="AG81" s="61"/>
      <c r="AH81" s="48">
        <f t="shared" si="8"/>
        <v>70</v>
      </c>
      <c r="AI81" s="49">
        <f t="shared" si="9"/>
        <v>20.6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68.8</v>
      </c>
      <c r="K82" s="76">
        <v>72.8</v>
      </c>
      <c r="L82" s="76">
        <v>78.8</v>
      </c>
      <c r="M82" s="76">
        <v>84.3</v>
      </c>
      <c r="N82" s="76">
        <v>87</v>
      </c>
      <c r="O82" s="76">
        <v>0</v>
      </c>
      <c r="P82" s="76">
        <v>95</v>
      </c>
      <c r="Q82" s="76">
        <v>93.3</v>
      </c>
      <c r="R82" s="76">
        <v>91.3</v>
      </c>
      <c r="S82" s="76">
        <v>95.4</v>
      </c>
      <c r="T82" s="76">
        <v>94.6</v>
      </c>
      <c r="U82" s="76">
        <v>98.5</v>
      </c>
      <c r="V82" s="76">
        <v>84.3</v>
      </c>
      <c r="W82" s="76">
        <v>71.400000000000006</v>
      </c>
      <c r="X82" s="76">
        <v>71.099999999999994</v>
      </c>
      <c r="Y82" s="76">
        <v>72.2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4">MAX(B82:AF82)</f>
        <v>98.5</v>
      </c>
      <c r="AI82" s="49">
        <f t="shared" ref="AI82:AI125" si="35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40</v>
      </c>
      <c r="D83" s="76">
        <v>90</v>
      </c>
      <c r="E83" s="76">
        <v>86.7</v>
      </c>
      <c r="F83" s="76">
        <v>86.2</v>
      </c>
      <c r="G83" s="76">
        <v>93.6</v>
      </c>
      <c r="H83" s="76">
        <v>89.4</v>
      </c>
      <c r="I83" s="76">
        <v>104.5</v>
      </c>
      <c r="J83" s="76">
        <v>235.6</v>
      </c>
      <c r="K83" s="76">
        <v>291.3</v>
      </c>
      <c r="L83" s="76">
        <v>298.89999999999998</v>
      </c>
      <c r="M83" s="76">
        <v>328.9</v>
      </c>
      <c r="N83" s="76">
        <v>308.8</v>
      </c>
      <c r="O83" s="76">
        <v>412</v>
      </c>
      <c r="P83" s="76">
        <v>354</v>
      </c>
      <c r="Q83" s="76">
        <v>389.5</v>
      </c>
      <c r="R83" s="76">
        <v>430</v>
      </c>
      <c r="S83" s="76">
        <v>469</v>
      </c>
      <c r="T83" s="76">
        <v>456</v>
      </c>
      <c r="U83" s="76">
        <v>415</v>
      </c>
      <c r="V83" s="76">
        <v>413</v>
      </c>
      <c r="W83" s="76">
        <v>468</v>
      </c>
      <c r="X83" s="76">
        <v>345</v>
      </c>
      <c r="Y83" s="76">
        <v>289</v>
      </c>
      <c r="Z83" s="76">
        <v>189</v>
      </c>
      <c r="AA83" s="76">
        <v>87</v>
      </c>
      <c r="AB83" s="76">
        <v>173</v>
      </c>
      <c r="AC83" s="76">
        <v>197.9</v>
      </c>
      <c r="AD83" s="76">
        <v>186.8</v>
      </c>
      <c r="AE83" s="76">
        <v>135</v>
      </c>
      <c r="AF83" s="76">
        <v>175</v>
      </c>
      <c r="AG83" s="88"/>
      <c r="AH83" s="48">
        <f t="shared" si="34"/>
        <v>469</v>
      </c>
      <c r="AI83" s="49">
        <f t="shared" si="35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89">
        <v>0</v>
      </c>
      <c r="C84" s="89">
        <v>0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28.5</v>
      </c>
      <c r="K84" s="76">
        <v>33.799999999999997</v>
      </c>
      <c r="L84" s="76">
        <v>38.1</v>
      </c>
      <c r="M84" s="89">
        <v>35.5</v>
      </c>
      <c r="N84" s="89">
        <v>37</v>
      </c>
      <c r="O84" s="89">
        <v>39.5</v>
      </c>
      <c r="P84" s="89">
        <v>44</v>
      </c>
      <c r="Q84" s="89">
        <v>42.9</v>
      </c>
      <c r="R84" s="89">
        <v>38.9</v>
      </c>
      <c r="S84" s="89">
        <v>43.3</v>
      </c>
      <c r="T84" s="89">
        <v>43.4</v>
      </c>
      <c r="U84" s="89">
        <v>45</v>
      </c>
      <c r="V84" s="89">
        <v>45.6</v>
      </c>
      <c r="W84" s="89">
        <v>43.5</v>
      </c>
      <c r="X84" s="89">
        <v>29.1</v>
      </c>
      <c r="Y84" s="89">
        <v>0</v>
      </c>
      <c r="Z84" s="89">
        <v>0</v>
      </c>
      <c r="AA84" s="89">
        <v>0</v>
      </c>
      <c r="AB84" s="89"/>
      <c r="AC84" s="89"/>
      <c r="AD84" s="89"/>
      <c r="AE84" s="89"/>
      <c r="AF84" s="89"/>
      <c r="AG84" s="88"/>
      <c r="AH84" s="48">
        <f t="shared" si="34"/>
        <v>45.6</v>
      </c>
      <c r="AI84" s="49">
        <f t="shared" si="35"/>
        <v>0</v>
      </c>
      <c r="AK84" s="51"/>
      <c r="AY84" s="82"/>
      <c r="BF84" s="81"/>
      <c r="BG84" s="82">
        <f t="array" ref="BG84:BL107">TRANSPOSE(AZ68:BW73)</f>
        <v>22</v>
      </c>
      <c r="BH84" s="82">
        <v>0</v>
      </c>
      <c r="BI84" s="82">
        <v>40</v>
      </c>
      <c r="BJ84" s="82">
        <v>0</v>
      </c>
      <c r="BK84" s="82">
        <v>0</v>
      </c>
      <c r="BL84" s="82">
        <v>47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107.1</v>
      </c>
      <c r="K85" s="46">
        <v>98.5</v>
      </c>
      <c r="L85" s="46">
        <v>111.4</v>
      </c>
      <c r="M85" s="46">
        <v>111</v>
      </c>
      <c r="N85" s="46">
        <v>115.3</v>
      </c>
      <c r="O85" s="46">
        <v>127</v>
      </c>
      <c r="P85" s="46">
        <v>125</v>
      </c>
      <c r="Q85" s="46">
        <v>120.6</v>
      </c>
      <c r="R85" s="46">
        <v>115.4</v>
      </c>
      <c r="S85" s="46">
        <v>138.19999999999999</v>
      </c>
      <c r="T85" s="46">
        <v>123.2</v>
      </c>
      <c r="U85" s="46">
        <v>141</v>
      </c>
      <c r="V85" s="46">
        <v>101</v>
      </c>
      <c r="W85" s="46">
        <v>118.3</v>
      </c>
      <c r="X85" s="46">
        <v>92.1</v>
      </c>
      <c r="Y85" s="46">
        <v>90.3</v>
      </c>
      <c r="Z85" s="46">
        <v>0</v>
      </c>
      <c r="AA85" s="46">
        <v>0</v>
      </c>
      <c r="AB85" s="46"/>
      <c r="AC85" s="46"/>
      <c r="AD85" s="46"/>
      <c r="AE85" s="46"/>
      <c r="AF85" s="46"/>
      <c r="AG85" s="88"/>
      <c r="AH85" s="48">
        <f t="shared" si="34"/>
        <v>141</v>
      </c>
      <c r="AI85" s="49">
        <f t="shared" si="35"/>
        <v>0</v>
      </c>
      <c r="AK85" s="51"/>
      <c r="AY85" s="82"/>
      <c r="BF85" s="81"/>
      <c r="BG85" s="82">
        <v>20.6</v>
      </c>
      <c r="BH85" s="82">
        <v>0</v>
      </c>
      <c r="BI85" s="82">
        <v>90</v>
      </c>
      <c r="BJ85" s="82">
        <v>0</v>
      </c>
      <c r="BK85" s="82">
        <v>0</v>
      </c>
      <c r="BL85" s="82">
        <v>48.4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4"/>
        <v>0</v>
      </c>
      <c r="AI86" s="49">
        <f t="shared" si="35"/>
        <v>0</v>
      </c>
      <c r="AK86" s="51"/>
      <c r="AY86" s="82"/>
      <c r="BF86" s="81"/>
      <c r="BG86" s="82">
        <v>23</v>
      </c>
      <c r="BH86" s="82">
        <v>0</v>
      </c>
      <c r="BI86" s="82">
        <v>86.7</v>
      </c>
      <c r="BJ86" s="82">
        <v>0</v>
      </c>
      <c r="BK86" s="82">
        <v>0</v>
      </c>
      <c r="BL86" s="82">
        <v>45.4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4"/>
        <v>0</v>
      </c>
      <c r="AI87" s="49">
        <f t="shared" si="35"/>
        <v>0</v>
      </c>
      <c r="AK87" s="51"/>
      <c r="AL87" s="91" t="s">
        <v>111</v>
      </c>
      <c r="AM87" s="91"/>
      <c r="AY87" s="82"/>
      <c r="BF87" s="82"/>
      <c r="BG87" s="82">
        <v>24.2</v>
      </c>
      <c r="BH87" s="82">
        <v>0</v>
      </c>
      <c r="BI87" s="82">
        <v>86.2</v>
      </c>
      <c r="BJ87" s="82">
        <v>0</v>
      </c>
      <c r="BK87" s="82">
        <v>0</v>
      </c>
      <c r="BL87" s="82">
        <v>45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4"/>
        <v>0</v>
      </c>
      <c r="AI88" s="49">
        <f t="shared" si="35"/>
        <v>0</v>
      </c>
      <c r="AK88" s="92"/>
      <c r="AL88" s="93"/>
      <c r="AM88" s="93"/>
      <c r="AN88" s="94"/>
      <c r="AY88" s="82"/>
      <c r="BF88" s="82"/>
      <c r="BG88" s="82">
        <v>22.6</v>
      </c>
      <c r="BH88" s="82">
        <v>0</v>
      </c>
      <c r="BI88" s="82">
        <v>93.6</v>
      </c>
      <c r="BJ88" s="82">
        <v>0</v>
      </c>
      <c r="BK88" s="82">
        <v>0</v>
      </c>
      <c r="BL88" s="82">
        <v>43.9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4"/>
        <v>0</v>
      </c>
      <c r="AI89" s="49">
        <f t="shared" si="35"/>
        <v>0</v>
      </c>
      <c r="AK89" s="95" t="s">
        <v>114</v>
      </c>
      <c r="AL89" s="76"/>
      <c r="AM89" s="89"/>
      <c r="AN89" s="96"/>
      <c r="AY89" s="82"/>
      <c r="BF89" s="82"/>
      <c r="BG89" s="82">
        <v>33</v>
      </c>
      <c r="BH89" s="82">
        <v>0</v>
      </c>
      <c r="BI89" s="82">
        <v>104.5</v>
      </c>
      <c r="BJ89" s="82">
        <v>0</v>
      </c>
      <c r="BK89" s="82">
        <v>0</v>
      </c>
      <c r="BL89" s="82">
        <v>40.299999999999997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4"/>
        <v>0</v>
      </c>
      <c r="AI90" s="49">
        <f t="shared" si="35"/>
        <v>0</v>
      </c>
      <c r="AK90" s="95" t="s">
        <v>116</v>
      </c>
      <c r="AL90" s="89"/>
      <c r="AM90" s="89"/>
      <c r="AN90" s="96"/>
      <c r="AY90" s="82"/>
      <c r="BF90" s="82"/>
      <c r="BG90" s="82">
        <v>61.2</v>
      </c>
      <c r="BH90" s="82">
        <v>72.8</v>
      </c>
      <c r="BI90" s="82">
        <v>291.3</v>
      </c>
      <c r="BJ90" s="82">
        <v>33.799999999999997</v>
      </c>
      <c r="BK90" s="82">
        <v>98.5</v>
      </c>
      <c r="BL90" s="82">
        <v>44.2</v>
      </c>
    </row>
    <row r="91" spans="1:64" ht="15.75" thickBot="1" x14ac:dyDescent="0.3">
      <c r="A91" s="97" t="s">
        <v>117</v>
      </c>
      <c r="B91" s="90">
        <v>48.9</v>
      </c>
      <c r="C91" s="90">
        <v>47.1</v>
      </c>
      <c r="D91" s="90">
        <v>48.4</v>
      </c>
      <c r="E91" s="90">
        <v>45.4</v>
      </c>
      <c r="F91" s="90">
        <v>45</v>
      </c>
      <c r="G91" s="90">
        <v>43.9</v>
      </c>
      <c r="H91" s="90">
        <v>40.6</v>
      </c>
      <c r="I91" s="90">
        <v>40.299999999999997</v>
      </c>
      <c r="J91" s="90">
        <v>42.6</v>
      </c>
      <c r="K91" s="90">
        <v>44.2</v>
      </c>
      <c r="L91" s="90">
        <v>44.8</v>
      </c>
      <c r="M91" s="90">
        <v>50</v>
      </c>
      <c r="N91" s="90">
        <v>59</v>
      </c>
      <c r="O91" s="90">
        <v>54</v>
      </c>
      <c r="P91" s="90">
        <v>49.4</v>
      </c>
      <c r="Q91" s="90">
        <v>52.6</v>
      </c>
      <c r="R91" s="90">
        <v>52.3</v>
      </c>
      <c r="S91" s="90">
        <v>51.6</v>
      </c>
      <c r="T91" s="90">
        <v>53.6</v>
      </c>
      <c r="U91" s="90">
        <v>50</v>
      </c>
      <c r="V91" s="90">
        <v>45.3</v>
      </c>
      <c r="W91" s="90">
        <v>41.6</v>
      </c>
      <c r="X91" s="90">
        <v>40.299999999999997</v>
      </c>
      <c r="Y91" s="90">
        <v>38</v>
      </c>
      <c r="Z91" s="90">
        <v>38.5</v>
      </c>
      <c r="AA91" s="90">
        <v>39</v>
      </c>
      <c r="AB91" s="90">
        <v>37.4</v>
      </c>
      <c r="AC91" s="90">
        <v>37.299999999999997</v>
      </c>
      <c r="AD91" s="90">
        <v>36</v>
      </c>
      <c r="AE91" s="90">
        <v>41.4</v>
      </c>
      <c r="AF91" s="90">
        <v>50.3</v>
      </c>
      <c r="AG91" s="98"/>
      <c r="AH91" s="48">
        <f t="shared" si="34"/>
        <v>59</v>
      </c>
      <c r="AI91" s="49">
        <f t="shared" si="35"/>
        <v>36</v>
      </c>
      <c r="AK91" s="99"/>
      <c r="AL91" s="46"/>
      <c r="AM91" s="46"/>
      <c r="AN91" s="100"/>
      <c r="AY91" s="82"/>
      <c r="BF91" s="82"/>
      <c r="BG91" s="82">
        <v>63.2</v>
      </c>
      <c r="BH91" s="82">
        <v>84.3</v>
      </c>
      <c r="BI91" s="82">
        <v>328.9</v>
      </c>
      <c r="BJ91" s="82">
        <v>35.5</v>
      </c>
      <c r="BK91" s="82">
        <v>111</v>
      </c>
      <c r="BL91" s="82">
        <v>50</v>
      </c>
    </row>
    <row r="92" spans="1:64" ht="15.75" thickBot="1" x14ac:dyDescent="0.3">
      <c r="A92" s="87" t="s">
        <v>118</v>
      </c>
      <c r="B92" s="71">
        <f>SUMIF(B81:B91,"&gt;0")</f>
        <v>71.7</v>
      </c>
      <c r="C92" s="71">
        <f t="shared" ref="C92:AF92" si="36">SUMIF(C81:C91,"&gt;0")</f>
        <v>108.9</v>
      </c>
      <c r="D92" s="71">
        <f t="shared" si="36"/>
        <v>159</v>
      </c>
      <c r="E92" s="71">
        <f t="shared" ref="E92:L92" si="37">SUMIF(E81:E91,"&gt;0")</f>
        <v>155.1</v>
      </c>
      <c r="F92" s="71">
        <f t="shared" si="37"/>
        <v>155.4</v>
      </c>
      <c r="G92" s="71">
        <f t="shared" si="37"/>
        <v>160.1</v>
      </c>
      <c r="H92" s="71">
        <f t="shared" si="37"/>
        <v>156.80000000000001</v>
      </c>
      <c r="I92" s="71">
        <f t="shared" si="37"/>
        <v>177.8</v>
      </c>
      <c r="J92" s="71">
        <f t="shared" si="37"/>
        <v>546.4</v>
      </c>
      <c r="K92" s="71">
        <f t="shared" si="37"/>
        <v>601.80000000000007</v>
      </c>
      <c r="L92" s="71">
        <f t="shared" si="37"/>
        <v>639.9</v>
      </c>
      <c r="M92" s="71">
        <f t="shared" si="36"/>
        <v>672.9</v>
      </c>
      <c r="N92" s="71">
        <f t="shared" si="36"/>
        <v>668.69999999999993</v>
      </c>
      <c r="O92" s="71">
        <f t="shared" si="36"/>
        <v>700.8</v>
      </c>
      <c r="P92" s="71">
        <f t="shared" si="36"/>
        <v>737.19999999999993</v>
      </c>
      <c r="Q92" s="71">
        <f t="shared" si="36"/>
        <v>768.9</v>
      </c>
      <c r="R92" s="71">
        <f t="shared" si="36"/>
        <v>795.39999999999986</v>
      </c>
      <c r="S92" s="71">
        <f t="shared" si="36"/>
        <v>856.80000000000007</v>
      </c>
      <c r="T92" s="71">
        <f t="shared" si="36"/>
        <v>834</v>
      </c>
      <c r="U92" s="71">
        <f t="shared" si="36"/>
        <v>817.5</v>
      </c>
      <c r="V92" s="71">
        <f t="shared" si="36"/>
        <v>759.19999999999993</v>
      </c>
      <c r="W92" s="71">
        <f t="shared" si="36"/>
        <v>812.19999999999993</v>
      </c>
      <c r="X92" s="71">
        <f t="shared" si="36"/>
        <v>630.9</v>
      </c>
      <c r="Y92" s="71">
        <f t="shared" si="36"/>
        <v>539</v>
      </c>
      <c r="Z92" s="71">
        <f t="shared" si="36"/>
        <v>267.3</v>
      </c>
      <c r="AA92" s="71">
        <f t="shared" si="36"/>
        <v>183.2</v>
      </c>
      <c r="AB92" s="71">
        <f t="shared" si="36"/>
        <v>267.5</v>
      </c>
      <c r="AC92" s="71">
        <f t="shared" si="36"/>
        <v>297.2</v>
      </c>
      <c r="AD92" s="71">
        <f t="shared" si="36"/>
        <v>282.10000000000002</v>
      </c>
      <c r="AE92" s="71">
        <f t="shared" si="36"/>
        <v>239.1</v>
      </c>
      <c r="AF92" s="71">
        <f t="shared" si="36"/>
        <v>287.2</v>
      </c>
      <c r="AG92" s="101">
        <f>SUM(AG81:AG91)</f>
        <v>0</v>
      </c>
      <c r="AH92" s="48">
        <f t="shared" si="34"/>
        <v>856.80000000000007</v>
      </c>
      <c r="AI92" s="49">
        <f t="shared" si="35"/>
        <v>71.7</v>
      </c>
      <c r="AK92" s="99"/>
      <c r="AL92" s="90"/>
      <c r="AM92" s="102"/>
      <c r="AN92" s="202"/>
      <c r="AY92" s="82"/>
      <c r="BF92" s="82"/>
      <c r="BG92" s="82">
        <v>61.6</v>
      </c>
      <c r="BH92" s="82">
        <v>87</v>
      </c>
      <c r="BI92" s="82">
        <v>308.8</v>
      </c>
      <c r="BJ92" s="82">
        <v>37</v>
      </c>
      <c r="BK92" s="82">
        <v>115.3</v>
      </c>
      <c r="BL92" s="82">
        <v>59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4"/>
        <v>0</v>
      </c>
      <c r="AI93" s="49">
        <f t="shared" si="35"/>
        <v>0</v>
      </c>
      <c r="AK93" s="99"/>
      <c r="AL93" s="90"/>
      <c r="AM93" s="90"/>
      <c r="AN93" s="203"/>
      <c r="BF93" s="82"/>
      <c r="BG93" s="82">
        <v>68.3</v>
      </c>
      <c r="BH93" s="82">
        <v>0</v>
      </c>
      <c r="BI93" s="82">
        <v>412</v>
      </c>
      <c r="BJ93" s="82">
        <v>39.5</v>
      </c>
      <c r="BK93" s="82">
        <v>127</v>
      </c>
      <c r="BL93" s="82">
        <v>54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4"/>
        <v>0</v>
      </c>
      <c r="AI94" s="49">
        <f t="shared" si="35"/>
        <v>0</v>
      </c>
      <c r="AK94" s="104"/>
      <c r="AL94" s="105"/>
      <c r="AM94" s="105"/>
      <c r="AN94" s="106"/>
      <c r="BF94" s="82"/>
      <c r="BG94" s="82">
        <v>69.8</v>
      </c>
      <c r="BH94" s="82">
        <v>95</v>
      </c>
      <c r="BI94" s="82">
        <v>354</v>
      </c>
      <c r="BJ94" s="82">
        <v>44</v>
      </c>
      <c r="BK94" s="82">
        <v>125</v>
      </c>
      <c r="BL94" s="82">
        <v>49.4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4"/>
        <v>0</v>
      </c>
      <c r="AI95" s="49">
        <f t="shared" si="35"/>
        <v>0</v>
      </c>
      <c r="BF95" s="82"/>
      <c r="BG95" s="82">
        <v>70</v>
      </c>
      <c r="BH95" s="82">
        <v>93.3</v>
      </c>
      <c r="BI95" s="82">
        <v>389.5</v>
      </c>
      <c r="BJ95" s="82">
        <v>42.9</v>
      </c>
      <c r="BK95" s="82">
        <v>120.6</v>
      </c>
      <c r="BL95" s="82">
        <v>52.6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4"/>
        <v>0</v>
      </c>
      <c r="AI96" s="49">
        <f t="shared" si="35"/>
        <v>0</v>
      </c>
      <c r="BF96" s="82"/>
      <c r="BG96" s="82">
        <v>67.5</v>
      </c>
      <c r="BH96" s="82">
        <v>91.3</v>
      </c>
      <c r="BI96" s="82">
        <v>430</v>
      </c>
      <c r="BJ96" s="82">
        <v>38.9</v>
      </c>
      <c r="BK96" s="82">
        <v>115.4</v>
      </c>
      <c r="BL96" s="82">
        <v>52.3</v>
      </c>
    </row>
    <row r="97" spans="1:64" ht="15.75" thickBot="1" x14ac:dyDescent="0.3">
      <c r="A97" s="87" t="s">
        <v>123</v>
      </c>
      <c r="B97" s="108">
        <f>B58+B62+B80+B76+B92+B96</f>
        <v>1240.3400000000001</v>
      </c>
      <c r="C97" s="108">
        <f t="shared" ref="C97:AG97" si="38">C58+C62+C80+C76+C92+C96</f>
        <v>1157.7400000000002</v>
      </c>
      <c r="D97" s="108">
        <f t="shared" si="38"/>
        <v>1203.24</v>
      </c>
      <c r="E97" s="108">
        <f t="shared" ref="E97:L97" si="39">E58+E62+E80+E76+E92+E96</f>
        <v>1190.74</v>
      </c>
      <c r="F97" s="108">
        <f t="shared" si="39"/>
        <v>1171.3400000000001</v>
      </c>
      <c r="G97" s="108">
        <f t="shared" si="39"/>
        <v>1199.8399999999999</v>
      </c>
      <c r="H97" s="108">
        <f t="shared" si="39"/>
        <v>1207.04</v>
      </c>
      <c r="I97" s="108">
        <f t="shared" si="39"/>
        <v>1248.04</v>
      </c>
      <c r="J97" s="108">
        <f t="shared" si="39"/>
        <v>1550.6399999999999</v>
      </c>
      <c r="K97" s="108">
        <f t="shared" si="39"/>
        <v>1562.54</v>
      </c>
      <c r="L97" s="108">
        <f t="shared" si="39"/>
        <v>1614.6400000000003</v>
      </c>
      <c r="M97" s="108">
        <f t="shared" si="38"/>
        <v>1622.94</v>
      </c>
      <c r="N97" s="108">
        <f t="shared" si="38"/>
        <v>1612.6399999999999</v>
      </c>
      <c r="O97" s="108">
        <f t="shared" si="38"/>
        <v>1668.84</v>
      </c>
      <c r="P97" s="108">
        <f t="shared" si="38"/>
        <v>1709.3400000000001</v>
      </c>
      <c r="Q97" s="108">
        <f t="shared" si="38"/>
        <v>1686.94</v>
      </c>
      <c r="R97" s="108">
        <f t="shared" si="38"/>
        <v>1754.44</v>
      </c>
      <c r="S97" s="108">
        <f t="shared" si="38"/>
        <v>1815.1400000000003</v>
      </c>
      <c r="T97" s="108">
        <f t="shared" si="38"/>
        <v>1783.94</v>
      </c>
      <c r="U97" s="108">
        <f t="shared" si="38"/>
        <v>1761.44</v>
      </c>
      <c r="V97" s="108">
        <f t="shared" si="38"/>
        <v>1672.6399999999999</v>
      </c>
      <c r="W97" s="108">
        <f t="shared" si="38"/>
        <v>1645.04</v>
      </c>
      <c r="X97" s="108">
        <f t="shared" si="38"/>
        <v>1493.64</v>
      </c>
      <c r="Y97" s="108">
        <f t="shared" si="38"/>
        <v>1494.3000000000002</v>
      </c>
      <c r="Z97" s="108">
        <f t="shared" si="38"/>
        <v>1580.9000000000003</v>
      </c>
      <c r="AA97" s="108">
        <f t="shared" si="38"/>
        <v>1698.0000000000002</v>
      </c>
      <c r="AB97" s="108">
        <f t="shared" si="38"/>
        <v>1579.8400000000001</v>
      </c>
      <c r="AC97" s="108">
        <f t="shared" si="38"/>
        <v>1586.64</v>
      </c>
      <c r="AD97" s="108">
        <f t="shared" si="38"/>
        <v>1554.54</v>
      </c>
      <c r="AE97" s="108">
        <f t="shared" si="38"/>
        <v>1468.64</v>
      </c>
      <c r="AF97" s="108">
        <f t="shared" si="38"/>
        <v>1432.8400000000001</v>
      </c>
      <c r="AG97" s="72">
        <f t="shared" si="38"/>
        <v>2231.81</v>
      </c>
      <c r="AH97" s="48">
        <f t="shared" si="34"/>
        <v>1815.1400000000003</v>
      </c>
      <c r="AI97" s="49">
        <f t="shared" si="35"/>
        <v>1157.7400000000002</v>
      </c>
      <c r="BF97" s="82"/>
      <c r="BG97" s="82">
        <v>59.3</v>
      </c>
      <c r="BH97" s="82">
        <v>95.4</v>
      </c>
      <c r="BI97" s="82">
        <v>469</v>
      </c>
      <c r="BJ97" s="82">
        <v>43.3</v>
      </c>
      <c r="BK97" s="82">
        <v>138.19999999999999</v>
      </c>
      <c r="BL97" s="82">
        <v>51.6</v>
      </c>
    </row>
    <row r="98" spans="1:64" ht="15.75" thickBot="1" x14ac:dyDescent="0.3">
      <c r="A98" s="109" t="s">
        <v>124</v>
      </c>
      <c r="B98" s="110">
        <v>200</v>
      </c>
      <c r="C98" s="110">
        <v>200</v>
      </c>
      <c r="D98" s="110">
        <v>200</v>
      </c>
      <c r="E98" s="110">
        <v>200</v>
      </c>
      <c r="F98" s="110">
        <v>200</v>
      </c>
      <c r="G98" s="110">
        <v>200</v>
      </c>
      <c r="H98" s="110">
        <v>220</v>
      </c>
      <c r="I98" s="110">
        <v>220</v>
      </c>
      <c r="J98" s="110">
        <v>0</v>
      </c>
      <c r="K98" s="110">
        <v>0</v>
      </c>
      <c r="L98" s="110">
        <v>1</v>
      </c>
      <c r="M98" s="110">
        <v>0</v>
      </c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>
        <v>200</v>
      </c>
      <c r="Y98" s="110">
        <v>200</v>
      </c>
      <c r="Z98" s="110">
        <v>200</v>
      </c>
      <c r="AA98" s="110">
        <v>200</v>
      </c>
      <c r="AB98" s="110">
        <v>200</v>
      </c>
      <c r="AC98" s="110">
        <v>200</v>
      </c>
      <c r="AD98" s="110">
        <v>200</v>
      </c>
      <c r="AE98" s="110">
        <v>350</v>
      </c>
      <c r="AF98" s="110">
        <v>350</v>
      </c>
      <c r="AG98" s="101"/>
      <c r="AH98" s="48">
        <f t="shared" si="34"/>
        <v>350</v>
      </c>
      <c r="AI98" s="49">
        <f t="shared" si="35"/>
        <v>0</v>
      </c>
      <c r="BF98" s="82"/>
      <c r="BG98" s="82">
        <v>63.2</v>
      </c>
      <c r="BH98" s="82">
        <v>94.6</v>
      </c>
      <c r="BI98" s="82">
        <v>456</v>
      </c>
      <c r="BJ98" s="82">
        <v>43.4</v>
      </c>
      <c r="BK98" s="82">
        <v>123.2</v>
      </c>
      <c r="BL98" s="82">
        <v>53.6</v>
      </c>
    </row>
    <row r="99" spans="1:64" ht="15.75" thickBot="1" x14ac:dyDescent="0.3">
      <c r="A99" s="87" t="s">
        <v>125</v>
      </c>
      <c r="B99" s="108">
        <f>B97+B98</f>
        <v>1440.3400000000001</v>
      </c>
      <c r="C99" s="108">
        <f t="shared" ref="C99:AF99" si="40">C97+C98</f>
        <v>1357.7400000000002</v>
      </c>
      <c r="D99" s="108">
        <f t="shared" si="40"/>
        <v>1403.24</v>
      </c>
      <c r="E99" s="108">
        <f t="shared" ref="E99:L99" si="41">E97+E98</f>
        <v>1390.74</v>
      </c>
      <c r="F99" s="108">
        <f t="shared" si="41"/>
        <v>1371.3400000000001</v>
      </c>
      <c r="G99" s="108">
        <f t="shared" si="41"/>
        <v>1399.84</v>
      </c>
      <c r="H99" s="108">
        <f t="shared" si="41"/>
        <v>1427.04</v>
      </c>
      <c r="I99" s="108">
        <f t="shared" si="41"/>
        <v>1468.04</v>
      </c>
      <c r="J99" s="108">
        <f t="shared" si="41"/>
        <v>1550.6399999999999</v>
      </c>
      <c r="K99" s="108">
        <f t="shared" si="41"/>
        <v>1562.54</v>
      </c>
      <c r="L99" s="108">
        <f t="shared" si="41"/>
        <v>1615.6400000000003</v>
      </c>
      <c r="M99" s="108">
        <f t="shared" si="40"/>
        <v>1622.94</v>
      </c>
      <c r="N99" s="108">
        <f t="shared" si="40"/>
        <v>1612.6399999999999</v>
      </c>
      <c r="O99" s="108">
        <f t="shared" si="40"/>
        <v>1668.84</v>
      </c>
      <c r="P99" s="108">
        <f t="shared" si="40"/>
        <v>1709.3400000000001</v>
      </c>
      <c r="Q99" s="108">
        <f t="shared" si="40"/>
        <v>1686.94</v>
      </c>
      <c r="R99" s="108">
        <f t="shared" si="40"/>
        <v>1754.44</v>
      </c>
      <c r="S99" s="108">
        <f t="shared" si="40"/>
        <v>1815.1400000000003</v>
      </c>
      <c r="T99" s="108">
        <f t="shared" si="40"/>
        <v>1783.94</v>
      </c>
      <c r="U99" s="108">
        <f t="shared" si="40"/>
        <v>1761.44</v>
      </c>
      <c r="V99" s="108">
        <f t="shared" si="40"/>
        <v>1672.6399999999999</v>
      </c>
      <c r="W99" s="108">
        <f t="shared" si="40"/>
        <v>1645.04</v>
      </c>
      <c r="X99" s="108">
        <f t="shared" si="40"/>
        <v>1693.64</v>
      </c>
      <c r="Y99" s="108">
        <f t="shared" si="40"/>
        <v>1694.3000000000002</v>
      </c>
      <c r="Z99" s="108">
        <f t="shared" si="40"/>
        <v>1780.9000000000003</v>
      </c>
      <c r="AA99" s="108">
        <f t="shared" si="40"/>
        <v>1898.0000000000002</v>
      </c>
      <c r="AB99" s="108">
        <f t="shared" si="40"/>
        <v>1779.8400000000001</v>
      </c>
      <c r="AC99" s="108">
        <f t="shared" si="40"/>
        <v>1786.64</v>
      </c>
      <c r="AD99" s="108">
        <f t="shared" si="40"/>
        <v>1754.54</v>
      </c>
      <c r="AE99" s="108">
        <f t="shared" si="40"/>
        <v>1818.64</v>
      </c>
      <c r="AF99" s="108">
        <f t="shared" si="40"/>
        <v>1782.8400000000001</v>
      </c>
      <c r="AG99" s="101">
        <f>AG96+AG92+AG80+AG76+AG58+AG98</f>
        <v>1693.71</v>
      </c>
      <c r="AH99" s="48">
        <f t="shared" si="34"/>
        <v>1898.0000000000002</v>
      </c>
      <c r="AI99" s="49">
        <f t="shared" si="35"/>
        <v>1357.7400000000002</v>
      </c>
      <c r="BF99" s="82"/>
      <c r="BG99" s="82">
        <v>68</v>
      </c>
      <c r="BH99" s="82">
        <v>98.5</v>
      </c>
      <c r="BI99" s="82">
        <v>415</v>
      </c>
      <c r="BJ99" s="82">
        <v>45</v>
      </c>
      <c r="BK99" s="82">
        <v>141</v>
      </c>
      <c r="BL99" s="82">
        <v>50</v>
      </c>
    </row>
    <row r="100" spans="1:64" ht="15.75" thickBot="1" x14ac:dyDescent="0.3">
      <c r="A100" s="87" t="s">
        <v>126</v>
      </c>
      <c r="B100" s="108">
        <f>B99-(B107)</f>
        <v>1440.3400000000001</v>
      </c>
      <c r="C100" s="108">
        <f t="shared" ref="C100:AF100" si="42">C99-(C107)</f>
        <v>1357.7400000000002</v>
      </c>
      <c r="D100" s="108">
        <f t="shared" si="42"/>
        <v>1403.24</v>
      </c>
      <c r="E100" s="108">
        <f t="shared" ref="E100:L100" si="43">E99-(E107)</f>
        <v>1390.74</v>
      </c>
      <c r="F100" s="108">
        <f t="shared" si="43"/>
        <v>1371.3400000000001</v>
      </c>
      <c r="G100" s="108">
        <f t="shared" si="43"/>
        <v>1399.84</v>
      </c>
      <c r="H100" s="108">
        <f t="shared" si="43"/>
        <v>1427.04</v>
      </c>
      <c r="I100" s="108">
        <f t="shared" si="43"/>
        <v>1468.04</v>
      </c>
      <c r="J100" s="108">
        <f t="shared" si="43"/>
        <v>1550.6399999999999</v>
      </c>
      <c r="K100" s="108">
        <f t="shared" si="43"/>
        <v>1562.54</v>
      </c>
      <c r="L100" s="108">
        <f t="shared" si="43"/>
        <v>1615.6400000000003</v>
      </c>
      <c r="M100" s="108">
        <f t="shared" si="42"/>
        <v>1622.94</v>
      </c>
      <c r="N100" s="108">
        <f t="shared" si="42"/>
        <v>1612.6399999999999</v>
      </c>
      <c r="O100" s="108">
        <f t="shared" si="42"/>
        <v>1668.84</v>
      </c>
      <c r="P100" s="108">
        <f t="shared" si="42"/>
        <v>1709.3400000000001</v>
      </c>
      <c r="Q100" s="108">
        <f t="shared" si="42"/>
        <v>1686.94</v>
      </c>
      <c r="R100" s="108">
        <f t="shared" si="42"/>
        <v>1754.44</v>
      </c>
      <c r="S100" s="108">
        <f t="shared" si="42"/>
        <v>1815.1400000000003</v>
      </c>
      <c r="T100" s="108">
        <f t="shared" si="42"/>
        <v>1783.94</v>
      </c>
      <c r="U100" s="108">
        <f t="shared" si="42"/>
        <v>1761.44</v>
      </c>
      <c r="V100" s="108">
        <f t="shared" si="42"/>
        <v>1672.6399999999999</v>
      </c>
      <c r="W100" s="108">
        <f t="shared" si="42"/>
        <v>1645.04</v>
      </c>
      <c r="X100" s="108">
        <f t="shared" si="42"/>
        <v>1693.64</v>
      </c>
      <c r="Y100" s="108">
        <f t="shared" si="42"/>
        <v>1694.3000000000002</v>
      </c>
      <c r="Z100" s="108">
        <f t="shared" si="42"/>
        <v>1780.9000000000003</v>
      </c>
      <c r="AA100" s="108">
        <f t="shared" si="42"/>
        <v>1898.0000000000002</v>
      </c>
      <c r="AB100" s="108">
        <f t="shared" si="42"/>
        <v>1779.8400000000001</v>
      </c>
      <c r="AC100" s="108">
        <f t="shared" si="42"/>
        <v>1786.64</v>
      </c>
      <c r="AD100" s="108">
        <f t="shared" si="42"/>
        <v>1754.54</v>
      </c>
      <c r="AE100" s="108">
        <f t="shared" si="42"/>
        <v>1818.64</v>
      </c>
      <c r="AF100" s="108">
        <f t="shared" si="42"/>
        <v>1782.8400000000001</v>
      </c>
      <c r="AG100" s="101"/>
      <c r="AH100" s="48">
        <f t="shared" si="34"/>
        <v>1898.0000000000002</v>
      </c>
      <c r="AI100" s="49">
        <f t="shared" si="35"/>
        <v>1357.7400000000002</v>
      </c>
      <c r="BF100" s="82"/>
      <c r="BG100" s="82">
        <v>70</v>
      </c>
      <c r="BH100" s="82">
        <v>84.3</v>
      </c>
      <c r="BI100" s="82">
        <v>413</v>
      </c>
      <c r="BJ100" s="82">
        <v>45.6</v>
      </c>
      <c r="BK100" s="82">
        <v>101</v>
      </c>
      <c r="BL100" s="82">
        <v>45.3</v>
      </c>
    </row>
    <row r="101" spans="1:64" x14ac:dyDescent="0.25">
      <c r="A101" s="45" t="s">
        <v>107</v>
      </c>
      <c r="B101" s="89">
        <f>IF(B84&lt;0,B84*-1,0)</f>
        <v>0</v>
      </c>
      <c r="C101" s="89">
        <f t="shared" ref="C101:AF101" si="44">IF(C84&lt;0,C84*-1,0)</f>
        <v>0</v>
      </c>
      <c r="D101" s="89">
        <f t="shared" si="44"/>
        <v>0</v>
      </c>
      <c r="E101" s="89">
        <f t="shared" ref="E101:L101" si="45">IF(E84&lt;0,E84*-1,0)</f>
        <v>0</v>
      </c>
      <c r="F101" s="89">
        <f t="shared" si="45"/>
        <v>0</v>
      </c>
      <c r="G101" s="89">
        <f t="shared" si="45"/>
        <v>0</v>
      </c>
      <c r="H101" s="89">
        <f t="shared" si="45"/>
        <v>0</v>
      </c>
      <c r="I101" s="89">
        <f t="shared" si="45"/>
        <v>0</v>
      </c>
      <c r="J101" s="89">
        <f t="shared" si="45"/>
        <v>0</v>
      </c>
      <c r="K101" s="89">
        <f t="shared" si="45"/>
        <v>0</v>
      </c>
      <c r="L101" s="89">
        <f t="shared" si="45"/>
        <v>0</v>
      </c>
      <c r="M101" s="89">
        <f t="shared" si="44"/>
        <v>0</v>
      </c>
      <c r="N101" s="89">
        <f t="shared" si="44"/>
        <v>0</v>
      </c>
      <c r="O101" s="89">
        <f t="shared" si="44"/>
        <v>0</v>
      </c>
      <c r="P101" s="89">
        <f t="shared" si="44"/>
        <v>0</v>
      </c>
      <c r="Q101" s="89">
        <f t="shared" si="44"/>
        <v>0</v>
      </c>
      <c r="R101" s="89">
        <f t="shared" si="44"/>
        <v>0</v>
      </c>
      <c r="S101" s="89">
        <f t="shared" si="44"/>
        <v>0</v>
      </c>
      <c r="T101" s="89">
        <f t="shared" si="44"/>
        <v>0</v>
      </c>
      <c r="U101" s="89">
        <f t="shared" si="44"/>
        <v>0</v>
      </c>
      <c r="V101" s="89">
        <f t="shared" si="44"/>
        <v>0</v>
      </c>
      <c r="W101" s="89">
        <f t="shared" si="44"/>
        <v>0</v>
      </c>
      <c r="X101" s="89">
        <f t="shared" si="44"/>
        <v>0</v>
      </c>
      <c r="Y101" s="89">
        <f t="shared" si="44"/>
        <v>0</v>
      </c>
      <c r="Z101" s="89">
        <f t="shared" si="44"/>
        <v>0</v>
      </c>
      <c r="AA101" s="89">
        <f t="shared" si="44"/>
        <v>0</v>
      </c>
      <c r="AB101" s="89">
        <f t="shared" si="44"/>
        <v>0</v>
      </c>
      <c r="AC101" s="89">
        <f t="shared" si="44"/>
        <v>0</v>
      </c>
      <c r="AD101" s="89">
        <f t="shared" si="44"/>
        <v>0</v>
      </c>
      <c r="AE101" s="89">
        <f t="shared" si="44"/>
        <v>0</v>
      </c>
      <c r="AF101" s="89">
        <f t="shared" si="44"/>
        <v>0</v>
      </c>
      <c r="AG101" s="61"/>
      <c r="AH101" s="48">
        <f t="shared" si="34"/>
        <v>0</v>
      </c>
      <c r="AI101" s="49">
        <f t="shared" si="35"/>
        <v>0</v>
      </c>
      <c r="BF101" s="81"/>
      <c r="BG101" s="82">
        <v>53.3</v>
      </c>
      <c r="BH101" s="82">
        <v>71.099999999999994</v>
      </c>
      <c r="BI101" s="82">
        <v>345</v>
      </c>
      <c r="BJ101" s="82">
        <v>29.1</v>
      </c>
      <c r="BK101" s="82">
        <v>92.1</v>
      </c>
      <c r="BL101" s="82">
        <v>40.299999999999997</v>
      </c>
    </row>
    <row r="102" spans="1:64" x14ac:dyDescent="0.25">
      <c r="A102" s="65" t="s">
        <v>105</v>
      </c>
      <c r="B102" s="89">
        <f>IF(B82&lt;0,B82*-1,0)</f>
        <v>0</v>
      </c>
      <c r="C102" s="89">
        <f t="shared" ref="C102:AF102" si="46">IF(C82&lt;0,C82*-1,0)</f>
        <v>0</v>
      </c>
      <c r="D102" s="89">
        <f t="shared" si="46"/>
        <v>0</v>
      </c>
      <c r="E102" s="89">
        <f t="shared" ref="E102:L102" si="47">IF(E82&lt;0,E82*-1,0)</f>
        <v>0</v>
      </c>
      <c r="F102" s="89">
        <f t="shared" si="47"/>
        <v>0</v>
      </c>
      <c r="G102" s="89">
        <f t="shared" si="47"/>
        <v>0</v>
      </c>
      <c r="H102" s="89">
        <f t="shared" si="47"/>
        <v>0</v>
      </c>
      <c r="I102" s="89">
        <f t="shared" si="47"/>
        <v>0</v>
      </c>
      <c r="J102" s="89">
        <f t="shared" si="47"/>
        <v>0</v>
      </c>
      <c r="K102" s="89">
        <f t="shared" si="47"/>
        <v>0</v>
      </c>
      <c r="L102" s="89">
        <f t="shared" si="47"/>
        <v>0</v>
      </c>
      <c r="M102" s="89">
        <f t="shared" si="46"/>
        <v>0</v>
      </c>
      <c r="N102" s="89">
        <f t="shared" si="46"/>
        <v>0</v>
      </c>
      <c r="O102" s="89">
        <f t="shared" si="46"/>
        <v>0</v>
      </c>
      <c r="P102" s="89">
        <f t="shared" si="46"/>
        <v>0</v>
      </c>
      <c r="Q102" s="89">
        <f t="shared" si="46"/>
        <v>0</v>
      </c>
      <c r="R102" s="89">
        <f t="shared" si="46"/>
        <v>0</v>
      </c>
      <c r="S102" s="89">
        <f t="shared" si="46"/>
        <v>0</v>
      </c>
      <c r="T102" s="89">
        <f t="shared" si="46"/>
        <v>0</v>
      </c>
      <c r="U102" s="89">
        <f t="shared" si="46"/>
        <v>0</v>
      </c>
      <c r="V102" s="89">
        <f t="shared" si="46"/>
        <v>0</v>
      </c>
      <c r="W102" s="89">
        <f t="shared" si="46"/>
        <v>0</v>
      </c>
      <c r="X102" s="89">
        <f t="shared" si="46"/>
        <v>0</v>
      </c>
      <c r="Y102" s="89">
        <f t="shared" si="46"/>
        <v>0</v>
      </c>
      <c r="Z102" s="89">
        <f t="shared" si="46"/>
        <v>0</v>
      </c>
      <c r="AA102" s="89">
        <f t="shared" si="46"/>
        <v>0</v>
      </c>
      <c r="AB102" s="89">
        <f t="shared" si="46"/>
        <v>0</v>
      </c>
      <c r="AC102" s="89">
        <f t="shared" si="46"/>
        <v>0</v>
      </c>
      <c r="AD102" s="89">
        <f t="shared" si="46"/>
        <v>0</v>
      </c>
      <c r="AE102" s="89">
        <f t="shared" si="46"/>
        <v>0</v>
      </c>
      <c r="AF102" s="89">
        <f t="shared" si="46"/>
        <v>0</v>
      </c>
      <c r="AG102" s="66"/>
      <c r="AH102" s="48">
        <f t="shared" si="34"/>
        <v>0</v>
      </c>
      <c r="AI102" s="49">
        <f t="shared" si="35"/>
        <v>0</v>
      </c>
      <c r="BF102" s="81"/>
      <c r="BG102" s="82">
        <v>39.799999999999997</v>
      </c>
      <c r="BH102" s="82">
        <v>0</v>
      </c>
      <c r="BI102" s="82">
        <v>189</v>
      </c>
      <c r="BJ102" s="82">
        <v>0</v>
      </c>
      <c r="BK102" s="82">
        <v>0</v>
      </c>
      <c r="BL102" s="82">
        <v>38.5</v>
      </c>
    </row>
    <row r="103" spans="1:64" x14ac:dyDescent="0.25">
      <c r="A103" s="97" t="s">
        <v>127</v>
      </c>
      <c r="B103" s="89">
        <f>IF(B85&lt;0,B85*-1,0)</f>
        <v>0</v>
      </c>
      <c r="C103" s="89">
        <f t="shared" ref="C103:AF103" si="48">IF(C85&lt;0,C85*-1,0)</f>
        <v>0</v>
      </c>
      <c r="D103" s="89">
        <f t="shared" si="48"/>
        <v>0</v>
      </c>
      <c r="E103" s="89">
        <f t="shared" ref="E103:L103" si="49">IF(E85&lt;0,E85*-1,0)</f>
        <v>0</v>
      </c>
      <c r="F103" s="89">
        <f t="shared" si="49"/>
        <v>0</v>
      </c>
      <c r="G103" s="89">
        <f t="shared" si="49"/>
        <v>0</v>
      </c>
      <c r="H103" s="89">
        <f t="shared" si="49"/>
        <v>0</v>
      </c>
      <c r="I103" s="89">
        <f t="shared" si="49"/>
        <v>0</v>
      </c>
      <c r="J103" s="89">
        <f t="shared" si="49"/>
        <v>0</v>
      </c>
      <c r="K103" s="89">
        <f t="shared" si="49"/>
        <v>0</v>
      </c>
      <c r="L103" s="89">
        <f t="shared" si="49"/>
        <v>0</v>
      </c>
      <c r="M103" s="89">
        <f t="shared" si="48"/>
        <v>0</v>
      </c>
      <c r="N103" s="89">
        <f t="shared" si="48"/>
        <v>0</v>
      </c>
      <c r="O103" s="89">
        <f t="shared" si="48"/>
        <v>0</v>
      </c>
      <c r="P103" s="89">
        <f t="shared" si="48"/>
        <v>0</v>
      </c>
      <c r="Q103" s="89">
        <f t="shared" si="48"/>
        <v>0</v>
      </c>
      <c r="R103" s="89">
        <f t="shared" si="48"/>
        <v>0</v>
      </c>
      <c r="S103" s="89">
        <f t="shared" si="48"/>
        <v>0</v>
      </c>
      <c r="T103" s="89">
        <f t="shared" si="48"/>
        <v>0</v>
      </c>
      <c r="U103" s="89">
        <f t="shared" si="48"/>
        <v>0</v>
      </c>
      <c r="V103" s="89">
        <f t="shared" si="48"/>
        <v>0</v>
      </c>
      <c r="W103" s="89">
        <f t="shared" si="48"/>
        <v>0</v>
      </c>
      <c r="X103" s="89">
        <f t="shared" si="48"/>
        <v>0</v>
      </c>
      <c r="Y103" s="89">
        <f t="shared" si="48"/>
        <v>0</v>
      </c>
      <c r="Z103" s="89">
        <f t="shared" si="48"/>
        <v>0</v>
      </c>
      <c r="AA103" s="89">
        <f t="shared" si="48"/>
        <v>0</v>
      </c>
      <c r="AB103" s="89">
        <f t="shared" si="48"/>
        <v>0</v>
      </c>
      <c r="AC103" s="89">
        <f t="shared" si="48"/>
        <v>0</v>
      </c>
      <c r="AD103" s="89">
        <f t="shared" si="48"/>
        <v>0</v>
      </c>
      <c r="AE103" s="89">
        <f t="shared" si="48"/>
        <v>0</v>
      </c>
      <c r="AF103" s="89">
        <f t="shared" si="48"/>
        <v>0</v>
      </c>
      <c r="AG103" s="111"/>
      <c r="AH103" s="48">
        <f t="shared" si="34"/>
        <v>0</v>
      </c>
      <c r="AI103" s="49">
        <f t="shared" si="35"/>
        <v>0</v>
      </c>
      <c r="BF103" s="81"/>
      <c r="BG103" s="82">
        <v>57.1</v>
      </c>
      <c r="BH103" s="82">
        <v>0</v>
      </c>
      <c r="BI103" s="82">
        <v>173</v>
      </c>
      <c r="BJ103" s="82">
        <v>0</v>
      </c>
      <c r="BK103" s="82">
        <v>0</v>
      </c>
      <c r="BL103" s="82">
        <v>37.4</v>
      </c>
    </row>
    <row r="104" spans="1:64" x14ac:dyDescent="0.25">
      <c r="A104" s="97" t="s">
        <v>128</v>
      </c>
      <c r="B104" s="89">
        <f>IF(B83&lt;0,B83*-1,0)</f>
        <v>0</v>
      </c>
      <c r="C104" s="89">
        <f t="shared" ref="C104:AF104" si="50">IF(C83&lt;0,C83*-1,0)</f>
        <v>0</v>
      </c>
      <c r="D104" s="89">
        <f t="shared" si="50"/>
        <v>0</v>
      </c>
      <c r="E104" s="89">
        <f t="shared" ref="E104:L104" si="51">IF(E83&lt;0,E83*-1,0)</f>
        <v>0</v>
      </c>
      <c r="F104" s="89">
        <f t="shared" si="51"/>
        <v>0</v>
      </c>
      <c r="G104" s="89">
        <f t="shared" si="51"/>
        <v>0</v>
      </c>
      <c r="H104" s="89">
        <f t="shared" si="51"/>
        <v>0</v>
      </c>
      <c r="I104" s="89">
        <f t="shared" si="51"/>
        <v>0</v>
      </c>
      <c r="J104" s="89">
        <f t="shared" si="51"/>
        <v>0</v>
      </c>
      <c r="K104" s="89">
        <f t="shared" si="51"/>
        <v>0</v>
      </c>
      <c r="L104" s="89">
        <f t="shared" si="51"/>
        <v>0</v>
      </c>
      <c r="M104" s="89">
        <f t="shared" si="50"/>
        <v>0</v>
      </c>
      <c r="N104" s="89">
        <f t="shared" si="50"/>
        <v>0</v>
      </c>
      <c r="O104" s="89">
        <f t="shared" si="50"/>
        <v>0</v>
      </c>
      <c r="P104" s="89">
        <f t="shared" si="50"/>
        <v>0</v>
      </c>
      <c r="Q104" s="89">
        <f t="shared" si="50"/>
        <v>0</v>
      </c>
      <c r="R104" s="89">
        <f t="shared" si="50"/>
        <v>0</v>
      </c>
      <c r="S104" s="89">
        <f t="shared" si="50"/>
        <v>0</v>
      </c>
      <c r="T104" s="89">
        <f t="shared" si="50"/>
        <v>0</v>
      </c>
      <c r="U104" s="89">
        <f t="shared" si="50"/>
        <v>0</v>
      </c>
      <c r="V104" s="89">
        <f t="shared" si="50"/>
        <v>0</v>
      </c>
      <c r="W104" s="89">
        <f t="shared" si="50"/>
        <v>0</v>
      </c>
      <c r="X104" s="89">
        <f t="shared" si="50"/>
        <v>0</v>
      </c>
      <c r="Y104" s="89">
        <f t="shared" si="50"/>
        <v>0</v>
      </c>
      <c r="Z104" s="89">
        <f t="shared" si="50"/>
        <v>0</v>
      </c>
      <c r="AA104" s="89">
        <f t="shared" si="50"/>
        <v>0</v>
      </c>
      <c r="AB104" s="89">
        <f t="shared" si="50"/>
        <v>0</v>
      </c>
      <c r="AC104" s="89">
        <f t="shared" si="50"/>
        <v>0</v>
      </c>
      <c r="AD104" s="89">
        <f t="shared" si="50"/>
        <v>0</v>
      </c>
      <c r="AE104" s="89">
        <f t="shared" si="50"/>
        <v>0</v>
      </c>
      <c r="AF104" s="89">
        <f t="shared" si="50"/>
        <v>0</v>
      </c>
      <c r="AG104" s="111"/>
      <c r="AH104" s="48">
        <f t="shared" si="34"/>
        <v>0</v>
      </c>
      <c r="AI104" s="49">
        <f t="shared" si="35"/>
        <v>0</v>
      </c>
      <c r="BF104" s="81"/>
      <c r="BG104" s="82">
        <v>59.3</v>
      </c>
      <c r="BH104" s="82">
        <v>0</v>
      </c>
      <c r="BI104" s="82">
        <v>186.8</v>
      </c>
      <c r="BJ104" s="82">
        <v>0</v>
      </c>
      <c r="BK104" s="82">
        <v>0</v>
      </c>
      <c r="BL104" s="82">
        <v>36</v>
      </c>
    </row>
    <row r="105" spans="1:64" x14ac:dyDescent="0.25">
      <c r="A105" s="97" t="s">
        <v>104</v>
      </c>
      <c r="B105" s="89">
        <f>IF(B81&lt;0,B81*-1,0)</f>
        <v>0</v>
      </c>
      <c r="C105" s="89">
        <f t="shared" ref="C105:AF105" si="52">IF(C81&lt;0,C81*-1,0)</f>
        <v>0</v>
      </c>
      <c r="D105" s="89">
        <f t="shared" si="52"/>
        <v>0</v>
      </c>
      <c r="E105" s="89">
        <f t="shared" ref="E105:L105" si="53">IF(E81&lt;0,E81*-1,0)</f>
        <v>0</v>
      </c>
      <c r="F105" s="89">
        <f t="shared" si="53"/>
        <v>0</v>
      </c>
      <c r="G105" s="89">
        <f t="shared" si="53"/>
        <v>0</v>
      </c>
      <c r="H105" s="89">
        <f t="shared" si="53"/>
        <v>0</v>
      </c>
      <c r="I105" s="89">
        <f t="shared" si="53"/>
        <v>0</v>
      </c>
      <c r="J105" s="89">
        <f t="shared" si="53"/>
        <v>0</v>
      </c>
      <c r="K105" s="89">
        <f t="shared" si="53"/>
        <v>0</v>
      </c>
      <c r="L105" s="89">
        <f t="shared" si="53"/>
        <v>0</v>
      </c>
      <c r="M105" s="89">
        <f t="shared" si="52"/>
        <v>0</v>
      </c>
      <c r="N105" s="89">
        <f t="shared" si="52"/>
        <v>0</v>
      </c>
      <c r="O105" s="89">
        <f t="shared" si="52"/>
        <v>0</v>
      </c>
      <c r="P105" s="89">
        <f t="shared" si="52"/>
        <v>0</v>
      </c>
      <c r="Q105" s="89">
        <f t="shared" si="52"/>
        <v>0</v>
      </c>
      <c r="R105" s="89">
        <f t="shared" si="52"/>
        <v>0</v>
      </c>
      <c r="S105" s="89">
        <f t="shared" si="52"/>
        <v>0</v>
      </c>
      <c r="T105" s="89">
        <f t="shared" si="52"/>
        <v>0</v>
      </c>
      <c r="U105" s="89">
        <f t="shared" si="52"/>
        <v>0</v>
      </c>
      <c r="V105" s="89">
        <f t="shared" si="52"/>
        <v>0</v>
      </c>
      <c r="W105" s="89">
        <f t="shared" si="52"/>
        <v>0</v>
      </c>
      <c r="X105" s="89">
        <f t="shared" si="52"/>
        <v>0</v>
      </c>
      <c r="Y105" s="89">
        <f t="shared" si="52"/>
        <v>0</v>
      </c>
      <c r="Z105" s="89">
        <f t="shared" si="52"/>
        <v>0</v>
      </c>
      <c r="AA105" s="89">
        <f t="shared" si="52"/>
        <v>0</v>
      </c>
      <c r="AB105" s="89">
        <f t="shared" si="52"/>
        <v>0</v>
      </c>
      <c r="AC105" s="89">
        <f t="shared" si="52"/>
        <v>0</v>
      </c>
      <c r="AD105" s="89">
        <f t="shared" si="52"/>
        <v>0</v>
      </c>
      <c r="AE105" s="89">
        <f t="shared" si="52"/>
        <v>0</v>
      </c>
      <c r="AF105" s="89">
        <f t="shared" si="52"/>
        <v>0</v>
      </c>
      <c r="AG105" s="111"/>
      <c r="AH105" s="48">
        <f t="shared" si="34"/>
        <v>0</v>
      </c>
      <c r="AI105" s="49">
        <f t="shared" si="35"/>
        <v>0</v>
      </c>
      <c r="BF105" s="81"/>
      <c r="BG105" s="82">
        <v>62.7</v>
      </c>
      <c r="BH105" s="82">
        <v>0</v>
      </c>
      <c r="BI105" s="82">
        <v>135</v>
      </c>
      <c r="BJ105" s="82">
        <v>0</v>
      </c>
      <c r="BK105" s="82">
        <v>0</v>
      </c>
      <c r="BL105" s="82">
        <v>41.4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4"/>
        <v>0</v>
      </c>
      <c r="AI106" s="49">
        <f t="shared" si="35"/>
        <v>0</v>
      </c>
      <c r="BG106" s="82">
        <v>61.9</v>
      </c>
      <c r="BH106" s="82">
        <v>0</v>
      </c>
      <c r="BI106" s="82">
        <v>175</v>
      </c>
      <c r="BJ106" s="82">
        <v>0</v>
      </c>
      <c r="BK106" s="82">
        <v>0</v>
      </c>
      <c r="BL106" s="82">
        <v>50.3</v>
      </c>
    </row>
    <row r="107" spans="1:64" ht="15.75" thickBot="1" x14ac:dyDescent="0.3">
      <c r="A107" s="112" t="s">
        <v>130</v>
      </c>
      <c r="B107" s="71">
        <f>SUM(B101:B106)</f>
        <v>0</v>
      </c>
      <c r="C107" s="71">
        <f t="shared" ref="C107:AF107" si="54">SUM(C101:C106)</f>
        <v>0</v>
      </c>
      <c r="D107" s="71">
        <f t="shared" si="54"/>
        <v>0</v>
      </c>
      <c r="E107" s="71">
        <f t="shared" ref="E107:L107" si="55">SUM(E101:E106)</f>
        <v>0</v>
      </c>
      <c r="F107" s="71">
        <f t="shared" si="55"/>
        <v>0</v>
      </c>
      <c r="G107" s="71">
        <f t="shared" si="55"/>
        <v>0</v>
      </c>
      <c r="H107" s="71">
        <f t="shared" si="55"/>
        <v>0</v>
      </c>
      <c r="I107" s="71">
        <f t="shared" si="55"/>
        <v>0</v>
      </c>
      <c r="J107" s="71">
        <f t="shared" si="55"/>
        <v>0</v>
      </c>
      <c r="K107" s="71">
        <f t="shared" si="55"/>
        <v>0</v>
      </c>
      <c r="L107" s="71">
        <f t="shared" si="55"/>
        <v>0</v>
      </c>
      <c r="M107" s="71">
        <f t="shared" si="54"/>
        <v>0</v>
      </c>
      <c r="N107" s="71">
        <f t="shared" si="54"/>
        <v>0</v>
      </c>
      <c r="O107" s="71">
        <f t="shared" si="54"/>
        <v>0</v>
      </c>
      <c r="P107" s="71">
        <f t="shared" si="54"/>
        <v>0</v>
      </c>
      <c r="Q107" s="71">
        <f t="shared" si="54"/>
        <v>0</v>
      </c>
      <c r="R107" s="71">
        <f t="shared" si="54"/>
        <v>0</v>
      </c>
      <c r="S107" s="71">
        <f t="shared" si="54"/>
        <v>0</v>
      </c>
      <c r="T107" s="71">
        <f t="shared" si="54"/>
        <v>0</v>
      </c>
      <c r="U107" s="71">
        <f t="shared" si="54"/>
        <v>0</v>
      </c>
      <c r="V107" s="71">
        <f t="shared" si="54"/>
        <v>0</v>
      </c>
      <c r="W107" s="71">
        <f t="shared" si="54"/>
        <v>0</v>
      </c>
      <c r="X107" s="71">
        <f t="shared" si="54"/>
        <v>0</v>
      </c>
      <c r="Y107" s="71">
        <f t="shared" si="54"/>
        <v>0</v>
      </c>
      <c r="Z107" s="71">
        <f t="shared" si="54"/>
        <v>0</v>
      </c>
      <c r="AA107" s="71">
        <f t="shared" si="54"/>
        <v>0</v>
      </c>
      <c r="AB107" s="71">
        <f t="shared" si="54"/>
        <v>0</v>
      </c>
      <c r="AC107" s="71">
        <f t="shared" si="54"/>
        <v>0</v>
      </c>
      <c r="AD107" s="71">
        <f t="shared" si="54"/>
        <v>0</v>
      </c>
      <c r="AE107" s="71">
        <f t="shared" si="54"/>
        <v>0</v>
      </c>
      <c r="AF107" s="71">
        <f t="shared" si="54"/>
        <v>0</v>
      </c>
      <c r="AG107" s="101"/>
      <c r="AH107" s="48">
        <f t="shared" si="34"/>
        <v>0</v>
      </c>
      <c r="AI107" s="49">
        <f t="shared" si="35"/>
        <v>0</v>
      </c>
      <c r="AK107" s="51"/>
      <c r="BG107" s="82">
        <v>22.8</v>
      </c>
      <c r="BH107" s="82">
        <v>0</v>
      </c>
      <c r="BI107" s="82">
        <v>0</v>
      </c>
      <c r="BJ107" s="82">
        <v>0</v>
      </c>
      <c r="BK107" s="82">
        <v>0</v>
      </c>
      <c r="BL107" s="82">
        <v>48.9</v>
      </c>
    </row>
    <row r="108" spans="1:64" ht="15.75" thickBot="1" x14ac:dyDescent="0.3">
      <c r="A108" s="87" t="s">
        <v>131</v>
      </c>
      <c r="B108" s="71">
        <f>B92-B107</f>
        <v>71.7</v>
      </c>
      <c r="C108" s="71">
        <f t="shared" ref="C108:AF108" si="56">C92-C107</f>
        <v>108.9</v>
      </c>
      <c r="D108" s="71">
        <f t="shared" si="56"/>
        <v>159</v>
      </c>
      <c r="E108" s="71">
        <f t="shared" ref="E108:L108" si="57">E92-E107</f>
        <v>155.1</v>
      </c>
      <c r="F108" s="71">
        <f t="shared" si="57"/>
        <v>155.4</v>
      </c>
      <c r="G108" s="71">
        <f t="shared" si="57"/>
        <v>160.1</v>
      </c>
      <c r="H108" s="71">
        <f t="shared" si="57"/>
        <v>156.80000000000001</v>
      </c>
      <c r="I108" s="71">
        <f t="shared" si="57"/>
        <v>177.8</v>
      </c>
      <c r="J108" s="71">
        <f t="shared" si="57"/>
        <v>546.4</v>
      </c>
      <c r="K108" s="71">
        <f t="shared" si="57"/>
        <v>601.80000000000007</v>
      </c>
      <c r="L108" s="71">
        <f t="shared" si="57"/>
        <v>639.9</v>
      </c>
      <c r="M108" s="71">
        <f t="shared" si="56"/>
        <v>672.9</v>
      </c>
      <c r="N108" s="71">
        <f t="shared" si="56"/>
        <v>668.69999999999993</v>
      </c>
      <c r="O108" s="71">
        <f t="shared" si="56"/>
        <v>700.8</v>
      </c>
      <c r="P108" s="71">
        <f t="shared" si="56"/>
        <v>737.19999999999993</v>
      </c>
      <c r="Q108" s="71">
        <f t="shared" si="56"/>
        <v>768.9</v>
      </c>
      <c r="R108" s="71">
        <f t="shared" si="56"/>
        <v>795.39999999999986</v>
      </c>
      <c r="S108" s="71">
        <f t="shared" si="56"/>
        <v>856.80000000000007</v>
      </c>
      <c r="T108" s="71">
        <f t="shared" si="56"/>
        <v>834</v>
      </c>
      <c r="U108" s="71">
        <f t="shared" si="56"/>
        <v>817.5</v>
      </c>
      <c r="V108" s="71">
        <f t="shared" si="56"/>
        <v>759.19999999999993</v>
      </c>
      <c r="W108" s="71">
        <f t="shared" si="56"/>
        <v>812.19999999999993</v>
      </c>
      <c r="X108" s="71">
        <f t="shared" si="56"/>
        <v>630.9</v>
      </c>
      <c r="Y108" s="71">
        <f t="shared" si="56"/>
        <v>539</v>
      </c>
      <c r="Z108" s="71">
        <f t="shared" si="56"/>
        <v>267.3</v>
      </c>
      <c r="AA108" s="71">
        <f t="shared" si="56"/>
        <v>183.2</v>
      </c>
      <c r="AB108" s="71">
        <f t="shared" si="56"/>
        <v>267.5</v>
      </c>
      <c r="AC108" s="71">
        <f t="shared" si="56"/>
        <v>297.2</v>
      </c>
      <c r="AD108" s="71">
        <f t="shared" si="56"/>
        <v>282.10000000000002</v>
      </c>
      <c r="AE108" s="71">
        <f t="shared" si="56"/>
        <v>239.1</v>
      </c>
      <c r="AF108" s="71">
        <f t="shared" si="56"/>
        <v>287.2</v>
      </c>
      <c r="AG108" s="101"/>
      <c r="AH108" s="48">
        <f t="shared" si="34"/>
        <v>856.80000000000007</v>
      </c>
      <c r="AI108" s="49">
        <f t="shared" si="35"/>
        <v>71.7</v>
      </c>
    </row>
    <row r="109" spans="1:64" x14ac:dyDescent="0.25">
      <c r="A109" s="113" t="s">
        <v>132</v>
      </c>
      <c r="B109" s="114">
        <v>50.04</v>
      </c>
      <c r="C109" s="114">
        <v>50.06</v>
      </c>
      <c r="D109" s="114">
        <v>49.99</v>
      </c>
      <c r="E109" s="114">
        <v>49.96</v>
      </c>
      <c r="F109" s="114">
        <v>50.04</v>
      </c>
      <c r="G109" s="114">
        <v>49.99</v>
      </c>
      <c r="H109" s="114">
        <v>49.95</v>
      </c>
      <c r="I109" s="114">
        <v>50</v>
      </c>
      <c r="J109" s="114">
        <v>50.06</v>
      </c>
      <c r="K109" s="114">
        <v>50.02</v>
      </c>
      <c r="L109" s="114">
        <v>50.01</v>
      </c>
      <c r="M109" s="114">
        <v>50.106999999999999</v>
      </c>
      <c r="N109" s="114">
        <v>49.92</v>
      </c>
      <c r="O109" s="114">
        <v>50.009</v>
      </c>
      <c r="P109" s="114">
        <v>49.948999999999998</v>
      </c>
      <c r="Q109" s="114">
        <v>49.98</v>
      </c>
      <c r="R109" s="114">
        <v>49.972999999999999</v>
      </c>
      <c r="S109" s="114">
        <v>50.024999999999999</v>
      </c>
      <c r="T109" s="114">
        <v>49.930999999999997</v>
      </c>
      <c r="U109" s="114">
        <v>50.02</v>
      </c>
      <c r="V109" s="114">
        <v>50.119</v>
      </c>
      <c r="W109" s="114">
        <v>49.970999999999997</v>
      </c>
      <c r="X109" s="114">
        <v>50.127000000000002</v>
      </c>
      <c r="Y109" s="114">
        <v>49.98</v>
      </c>
      <c r="Z109" s="114">
        <v>50.084000000000003</v>
      </c>
      <c r="AA109" s="114">
        <v>49.99</v>
      </c>
      <c r="AB109" s="114">
        <v>50.036999999999999</v>
      </c>
      <c r="AC109" s="114">
        <v>50.054000000000002</v>
      </c>
      <c r="AD109" s="114">
        <v>49.95</v>
      </c>
      <c r="AE109" s="114">
        <v>50</v>
      </c>
      <c r="AF109" s="114">
        <v>50.01</v>
      </c>
      <c r="AG109" s="115"/>
      <c r="AH109" s="48">
        <f t="shared" si="34"/>
        <v>50.127000000000002</v>
      </c>
      <c r="AI109" s="49">
        <f t="shared" si="35"/>
        <v>49.92</v>
      </c>
    </row>
    <row r="110" spans="1:64" x14ac:dyDescent="0.25">
      <c r="A110" s="116" t="s">
        <v>133</v>
      </c>
      <c r="B110" s="76">
        <v>130.4</v>
      </c>
      <c r="C110" s="76">
        <v>130.4</v>
      </c>
      <c r="D110" s="76">
        <v>131</v>
      </c>
      <c r="E110" s="76">
        <v>131.4</v>
      </c>
      <c r="F110" s="76">
        <v>131.4</v>
      </c>
      <c r="G110" s="76">
        <v>131.69999999999999</v>
      </c>
      <c r="H110" s="76">
        <v>131.69999999999999</v>
      </c>
      <c r="I110" s="76">
        <v>130.9</v>
      </c>
      <c r="J110" s="76">
        <v>130.9</v>
      </c>
      <c r="K110" s="76">
        <v>126.3</v>
      </c>
      <c r="L110" s="76">
        <v>126.3</v>
      </c>
      <c r="M110" s="76">
        <v>126.3</v>
      </c>
      <c r="N110" s="76">
        <v>126.8</v>
      </c>
      <c r="O110" s="76">
        <v>123.7</v>
      </c>
      <c r="P110" s="76">
        <v>124</v>
      </c>
      <c r="Q110" s="76">
        <v>123.9</v>
      </c>
      <c r="R110" s="76">
        <v>124.9</v>
      </c>
      <c r="S110" s="76">
        <v>123.2</v>
      </c>
      <c r="T110" s="76">
        <v>123.7</v>
      </c>
      <c r="U110" s="76">
        <v>125.6</v>
      </c>
      <c r="V110" s="76">
        <v>126.4</v>
      </c>
      <c r="W110" s="76">
        <v>126.1</v>
      </c>
      <c r="X110" s="76">
        <v>129.6</v>
      </c>
      <c r="Y110" s="76">
        <v>129.19999999999999</v>
      </c>
      <c r="Z110" s="76">
        <v>126.6</v>
      </c>
      <c r="AA110" s="76">
        <v>124.4</v>
      </c>
      <c r="AB110" s="76">
        <v>127.3</v>
      </c>
      <c r="AC110" s="76">
        <v>127.4</v>
      </c>
      <c r="AD110" s="76">
        <v>127.4</v>
      </c>
      <c r="AE110" s="76">
        <v>128.19999999999999</v>
      </c>
      <c r="AF110" s="76">
        <v>128.30000000000001</v>
      </c>
      <c r="AG110" s="117"/>
      <c r="AH110" s="48">
        <f t="shared" si="34"/>
        <v>131.69999999999999</v>
      </c>
      <c r="AI110" s="49">
        <f t="shared" si="35"/>
        <v>123.2</v>
      </c>
    </row>
    <row r="111" spans="1:64" x14ac:dyDescent="0.25">
      <c r="A111" s="116" t="s">
        <v>134</v>
      </c>
      <c r="B111" s="76">
        <v>133.1</v>
      </c>
      <c r="C111" s="76">
        <v>133.1</v>
      </c>
      <c r="D111" s="76">
        <v>134</v>
      </c>
      <c r="E111" s="76">
        <v>67.900000000000006</v>
      </c>
      <c r="F111" s="76">
        <v>67.900000000000006</v>
      </c>
      <c r="G111" s="76">
        <v>134.19999999999999</v>
      </c>
      <c r="H111" s="76">
        <v>134.19999999999999</v>
      </c>
      <c r="I111" s="76">
        <v>132.6</v>
      </c>
      <c r="J111" s="76">
        <v>132.6</v>
      </c>
      <c r="K111" s="76">
        <v>128.5</v>
      </c>
      <c r="L111" s="76">
        <v>128.5</v>
      </c>
      <c r="M111" s="76">
        <v>128.5</v>
      </c>
      <c r="N111" s="76">
        <v>129.19999999999999</v>
      </c>
      <c r="O111" s="76">
        <v>126.5</v>
      </c>
      <c r="P111" s="76">
        <v>127</v>
      </c>
      <c r="Q111" s="76">
        <v>126.7</v>
      </c>
      <c r="R111" s="76">
        <v>127.5</v>
      </c>
      <c r="S111" s="76">
        <v>126.3</v>
      </c>
      <c r="T111" s="76">
        <v>126.2</v>
      </c>
      <c r="U111" s="76">
        <v>127.5</v>
      </c>
      <c r="V111" s="76">
        <v>128.6</v>
      </c>
      <c r="W111" s="76">
        <v>128.1</v>
      </c>
      <c r="X111" s="76">
        <v>131.19999999999999</v>
      </c>
      <c r="Y111" s="76">
        <v>130.69999999999999</v>
      </c>
      <c r="Z111" s="76">
        <v>129</v>
      </c>
      <c r="AA111" s="76">
        <v>127</v>
      </c>
      <c r="AB111" s="76">
        <v>130.1</v>
      </c>
      <c r="AC111" s="76">
        <v>130.4</v>
      </c>
      <c r="AD111" s="76">
        <v>130.80000000000001</v>
      </c>
      <c r="AE111" s="76">
        <v>131.69999999999999</v>
      </c>
      <c r="AF111" s="76">
        <v>131.9</v>
      </c>
      <c r="AG111" s="117"/>
      <c r="AH111" s="48">
        <f t="shared" si="34"/>
        <v>134.19999999999999</v>
      </c>
      <c r="AI111" s="49">
        <f t="shared" si="35"/>
        <v>67.900000000000006</v>
      </c>
    </row>
    <row r="112" spans="1:64" x14ac:dyDescent="0.25">
      <c r="A112" s="116" t="s">
        <v>135</v>
      </c>
      <c r="B112" s="76">
        <v>131</v>
      </c>
      <c r="C112" s="76">
        <v>131</v>
      </c>
      <c r="D112" s="76">
        <v>130</v>
      </c>
      <c r="E112" s="76">
        <v>130.5</v>
      </c>
      <c r="F112" s="76">
        <v>130.5</v>
      </c>
      <c r="G112" s="76">
        <v>131.6</v>
      </c>
      <c r="H112" s="76">
        <v>131.6</v>
      </c>
      <c r="I112" s="76">
        <v>129.9</v>
      </c>
      <c r="J112" s="76">
        <v>129.9</v>
      </c>
      <c r="K112" s="76">
        <v>128.30000000000001</v>
      </c>
      <c r="L112" s="76">
        <v>128.30000000000001</v>
      </c>
      <c r="M112" s="76">
        <v>128.30000000000001</v>
      </c>
      <c r="N112" s="76"/>
      <c r="O112" s="76"/>
      <c r="P112" s="76"/>
      <c r="Q112" s="76">
        <v>125.3</v>
      </c>
      <c r="R112" s="76">
        <v>122.9</v>
      </c>
      <c r="S112" s="76">
        <v>123.7</v>
      </c>
      <c r="T112" s="76">
        <v>124.1</v>
      </c>
      <c r="U112" s="76">
        <v>128</v>
      </c>
      <c r="V112" s="76">
        <v>129.30000000000001</v>
      </c>
      <c r="W112" s="76">
        <v>129.4</v>
      </c>
      <c r="X112" s="76">
        <v>127.8</v>
      </c>
      <c r="Y112" s="76">
        <v>127.5</v>
      </c>
      <c r="Z112" s="76">
        <v>125.8</v>
      </c>
      <c r="AA112" s="76">
        <v>128.19999999999999</v>
      </c>
      <c r="AB112" s="76">
        <v>129.6</v>
      </c>
      <c r="AC112" s="76">
        <v>126.1</v>
      </c>
      <c r="AD112" s="76">
        <v>127</v>
      </c>
      <c r="AE112" s="76">
        <v>131</v>
      </c>
      <c r="AF112" s="76">
        <v>130.80000000000001</v>
      </c>
      <c r="AG112" s="117"/>
      <c r="AH112" s="48">
        <f t="shared" si="34"/>
        <v>131.6</v>
      </c>
      <c r="AI112" s="49">
        <f t="shared" si="35"/>
        <v>122.9</v>
      </c>
    </row>
    <row r="113" spans="1:35" x14ac:dyDescent="0.25">
      <c r="A113" s="118" t="s">
        <v>136</v>
      </c>
      <c r="B113" s="76">
        <v>131.4</v>
      </c>
      <c r="C113" s="76">
        <v>131.4</v>
      </c>
      <c r="D113" s="76">
        <v>130.80000000000001</v>
      </c>
      <c r="E113" s="76">
        <v>131.4</v>
      </c>
      <c r="F113" s="76">
        <v>131.4</v>
      </c>
      <c r="G113" s="76">
        <v>132</v>
      </c>
      <c r="H113" s="76">
        <v>132</v>
      </c>
      <c r="I113" s="76">
        <v>131.69999999999999</v>
      </c>
      <c r="J113" s="76">
        <v>131.69999999999999</v>
      </c>
      <c r="K113" s="76">
        <v>131.69999999999999</v>
      </c>
      <c r="L113" s="76">
        <v>131.69999999999999</v>
      </c>
      <c r="M113" s="76">
        <v>131.69999999999999</v>
      </c>
      <c r="N113" s="76"/>
      <c r="O113" s="76"/>
      <c r="P113" s="76"/>
      <c r="Q113" s="76">
        <v>131</v>
      </c>
      <c r="R113" s="76">
        <v>129.30000000000001</v>
      </c>
      <c r="S113" s="76">
        <v>128.30000000000001</v>
      </c>
      <c r="T113" s="76">
        <v>128.69999999999999</v>
      </c>
      <c r="U113" s="76">
        <v>129</v>
      </c>
      <c r="V113" s="76">
        <v>132.4</v>
      </c>
      <c r="W113" s="76">
        <v>131.19999999999999</v>
      </c>
      <c r="X113" s="76">
        <v>133.6</v>
      </c>
      <c r="Y113" s="76">
        <v>132.80000000000001</v>
      </c>
      <c r="Z113" s="76">
        <v>124.7</v>
      </c>
      <c r="AA113" s="76">
        <v>126.4</v>
      </c>
      <c r="AB113" s="76">
        <v>128.30000000000001</v>
      </c>
      <c r="AC113" s="76">
        <v>124.1</v>
      </c>
      <c r="AD113" s="76">
        <v>125.6</v>
      </c>
      <c r="AE113" s="76">
        <v>130</v>
      </c>
      <c r="AF113" s="76">
        <v>131.6</v>
      </c>
      <c r="AG113" s="117"/>
      <c r="AH113" s="48">
        <f t="shared" si="34"/>
        <v>133.6</v>
      </c>
      <c r="AI113" s="49">
        <f t="shared" si="35"/>
        <v>124.1</v>
      </c>
    </row>
    <row r="114" spans="1:35" x14ac:dyDescent="0.25">
      <c r="A114" s="118" t="s">
        <v>137</v>
      </c>
      <c r="B114" s="119">
        <v>132.30000000000001</v>
      </c>
      <c r="C114" s="119">
        <v>132.30000000000001</v>
      </c>
      <c r="D114" s="119">
        <v>134</v>
      </c>
      <c r="E114" s="119">
        <v>133.6</v>
      </c>
      <c r="F114" s="119">
        <v>133.6</v>
      </c>
      <c r="G114" s="119">
        <v>134.19999999999999</v>
      </c>
      <c r="H114" s="119">
        <v>134.19999999999999</v>
      </c>
      <c r="I114" s="119">
        <v>130.4</v>
      </c>
      <c r="J114" s="119">
        <v>130.4</v>
      </c>
      <c r="K114" s="119">
        <v>133.80000000000001</v>
      </c>
      <c r="L114" s="119">
        <v>133.80000000000001</v>
      </c>
      <c r="M114" s="119">
        <v>133.80000000000001</v>
      </c>
      <c r="N114" s="119">
        <v>134.69999999999999</v>
      </c>
      <c r="O114" s="119">
        <v>132.4</v>
      </c>
      <c r="P114" s="119">
        <v>132.5</v>
      </c>
      <c r="Q114" s="119">
        <v>133</v>
      </c>
      <c r="R114" s="119">
        <v>135.4</v>
      </c>
      <c r="S114" s="119">
        <v>129</v>
      </c>
      <c r="T114" s="119">
        <v>131.80000000000001</v>
      </c>
      <c r="U114" s="119">
        <v>129.4</v>
      </c>
      <c r="V114" s="119">
        <v>130.5</v>
      </c>
      <c r="W114" s="119">
        <v>132.30000000000001</v>
      </c>
      <c r="X114" s="119">
        <v>136</v>
      </c>
      <c r="Y114" s="119">
        <v>135</v>
      </c>
      <c r="Z114" s="119">
        <v>136</v>
      </c>
      <c r="AA114" s="119">
        <v>131.30000000000001</v>
      </c>
      <c r="AB114" s="119">
        <v>135</v>
      </c>
      <c r="AC114" s="119">
        <v>134.80000000000001</v>
      </c>
      <c r="AD114" s="119">
        <v>133</v>
      </c>
      <c r="AE114" s="119">
        <v>134.6</v>
      </c>
      <c r="AF114" s="119">
        <v>131.4</v>
      </c>
      <c r="AG114" s="120"/>
      <c r="AH114" s="48">
        <f t="shared" si="34"/>
        <v>136</v>
      </c>
      <c r="AI114" s="49">
        <f t="shared" si="35"/>
        <v>129</v>
      </c>
    </row>
    <row r="115" spans="1:35" x14ac:dyDescent="0.25">
      <c r="A115" s="116" t="s">
        <v>138</v>
      </c>
      <c r="B115" s="76">
        <v>129.9</v>
      </c>
      <c r="C115" s="76">
        <v>129.9</v>
      </c>
      <c r="D115" s="76">
        <v>131.30000000000001</v>
      </c>
      <c r="E115" s="76">
        <v>132.30000000000001</v>
      </c>
      <c r="F115" s="76">
        <v>132.30000000000001</v>
      </c>
      <c r="G115" s="76">
        <v>134.6</v>
      </c>
      <c r="H115" s="76">
        <v>134.6</v>
      </c>
      <c r="I115" s="76">
        <v>131</v>
      </c>
      <c r="J115" s="76">
        <v>131</v>
      </c>
      <c r="K115" s="76">
        <v>130.1</v>
      </c>
      <c r="L115" s="76">
        <v>130.1</v>
      </c>
      <c r="M115" s="76">
        <v>130.1</v>
      </c>
      <c r="N115" s="76">
        <v>126.6</v>
      </c>
      <c r="O115" s="76">
        <v>127</v>
      </c>
      <c r="P115" s="76">
        <v>121.9</v>
      </c>
      <c r="Q115" s="76">
        <v>131</v>
      </c>
      <c r="R115" s="76">
        <v>130.6</v>
      </c>
      <c r="S115" s="76">
        <v>121</v>
      </c>
      <c r="T115" s="76">
        <v>127</v>
      </c>
      <c r="U115" s="76">
        <v>128.69999999999999</v>
      </c>
      <c r="V115" s="76">
        <v>127.2</v>
      </c>
      <c r="W115" s="76">
        <v>127</v>
      </c>
      <c r="X115" s="76">
        <v>128.5</v>
      </c>
      <c r="Y115" s="76">
        <v>129.19999999999999</v>
      </c>
      <c r="Z115" s="76">
        <v>129.69999999999999</v>
      </c>
      <c r="AA115" s="76">
        <v>123.9</v>
      </c>
      <c r="AB115" s="76">
        <v>131</v>
      </c>
      <c r="AC115" s="76">
        <v>131.80000000000001</v>
      </c>
      <c r="AD115" s="76">
        <v>128.19999999999999</v>
      </c>
      <c r="AE115" s="76">
        <v>131.1</v>
      </c>
      <c r="AF115" s="76">
        <v>128.80000000000001</v>
      </c>
      <c r="AG115" s="117"/>
      <c r="AH115" s="48">
        <f t="shared" si="34"/>
        <v>134.6</v>
      </c>
      <c r="AI115" s="49">
        <f t="shared" si="35"/>
        <v>121</v>
      </c>
    </row>
    <row r="116" spans="1:35" ht="15.75" thickBot="1" x14ac:dyDescent="0.3">
      <c r="A116" s="116" t="s">
        <v>139</v>
      </c>
      <c r="B116" s="105">
        <v>67.400000000000006</v>
      </c>
      <c r="C116" s="105">
        <v>67.400000000000006</v>
      </c>
      <c r="D116" s="105">
        <v>67.7</v>
      </c>
      <c r="E116" s="105">
        <v>67.900000000000006</v>
      </c>
      <c r="F116" s="105">
        <v>67.900000000000006</v>
      </c>
      <c r="G116" s="105">
        <v>68</v>
      </c>
      <c r="H116" s="105">
        <v>68</v>
      </c>
      <c r="I116" s="105">
        <v>66.900000000000006</v>
      </c>
      <c r="J116" s="105">
        <v>66.900000000000006</v>
      </c>
      <c r="K116" s="105">
        <v>66.900000000000006</v>
      </c>
      <c r="L116" s="105">
        <v>66.900000000000006</v>
      </c>
      <c r="M116" s="105">
        <v>66.900000000000006</v>
      </c>
      <c r="N116" s="105">
        <v>64.7</v>
      </c>
      <c r="O116" s="105">
        <v>63.7</v>
      </c>
      <c r="P116" s="105">
        <v>64</v>
      </c>
      <c r="Q116" s="105">
        <v>63.8</v>
      </c>
      <c r="R116" s="105">
        <v>64.2</v>
      </c>
      <c r="S116" s="105">
        <v>63.6</v>
      </c>
      <c r="T116" s="105">
        <v>63.7</v>
      </c>
      <c r="U116" s="105">
        <v>64.2</v>
      </c>
      <c r="V116" s="105">
        <v>64.849999999999994</v>
      </c>
      <c r="W116" s="105">
        <v>64.8</v>
      </c>
      <c r="X116" s="105">
        <v>66.2</v>
      </c>
      <c r="Y116" s="105">
        <v>66</v>
      </c>
      <c r="Z116" s="105">
        <v>65.2</v>
      </c>
      <c r="AA116" s="105">
        <v>64.400000000000006</v>
      </c>
      <c r="AB116" s="105">
        <v>65.7</v>
      </c>
      <c r="AC116" s="105">
        <v>65.8</v>
      </c>
      <c r="AD116" s="105">
        <v>66</v>
      </c>
      <c r="AE116" s="105">
        <v>66.3</v>
      </c>
      <c r="AF116" s="105">
        <v>66.5</v>
      </c>
      <c r="AG116" s="121"/>
      <c r="AH116" s="48">
        <f t="shared" si="34"/>
        <v>68</v>
      </c>
      <c r="AI116" s="49">
        <f t="shared" si="35"/>
        <v>63.6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4"/>
        <v>0</v>
      </c>
      <c r="AI117" s="49">
        <f t="shared" si="35"/>
        <v>0</v>
      </c>
    </row>
    <row r="118" spans="1:35" ht="15.75" thickBot="1" x14ac:dyDescent="0.3">
      <c r="A118" s="123" t="s">
        <v>141</v>
      </c>
      <c r="B118" s="124">
        <f t="shared" ref="B118:O118" si="58">SUM(B22,B28,B31:B32,B66,B68:B69,B71,B73,B119:B123,B155,B161,B167,B176,B178,B190,B197,B200:B201,B208,B210,B212,B216:B218,B220:B222,B227,B233:B234,B236:B238,B246,B251)</f>
        <v>133.63999999999999</v>
      </c>
      <c r="C118" s="124">
        <f t="shared" si="58"/>
        <v>125.94000000000001</v>
      </c>
      <c r="D118" s="124">
        <f t="shared" si="58"/>
        <v>123.03999999999999</v>
      </c>
      <c r="E118" s="124">
        <f t="shared" si="58"/>
        <v>120.74000000000001</v>
      </c>
      <c r="F118" s="124">
        <f t="shared" si="58"/>
        <v>129.42999999999995</v>
      </c>
      <c r="G118" s="124">
        <f t="shared" si="58"/>
        <v>158.84</v>
      </c>
      <c r="H118" s="124">
        <f t="shared" si="58"/>
        <v>191.54</v>
      </c>
      <c r="I118" s="124">
        <f t="shared" si="58"/>
        <v>225.54</v>
      </c>
      <c r="J118" s="124">
        <f t="shared" si="58"/>
        <v>273.03999999999996</v>
      </c>
      <c r="K118" s="124">
        <f t="shared" si="58"/>
        <v>296.94</v>
      </c>
      <c r="L118" s="124">
        <f t="shared" si="58"/>
        <v>315.83999999999997</v>
      </c>
      <c r="M118" s="124">
        <f t="shared" si="58"/>
        <v>307.33999999999997</v>
      </c>
      <c r="N118" s="124">
        <f t="shared" si="58"/>
        <v>263.04000000000002</v>
      </c>
      <c r="O118" s="124">
        <f t="shared" si="58"/>
        <v>299.23999999999995</v>
      </c>
      <c r="P118" s="124">
        <v>42</v>
      </c>
      <c r="Q118" s="124">
        <f t="shared" ref="Q118:X118" si="59">SUM(Q22,Q28,Q31:Q32,Q66,Q68:Q69,Q71,Q73,Q119:Q123,Q155,Q161,Q167,Q176,Q178,Q190,Q197,Q200:Q201,Q208,Q210,Q212,Q216:Q218,Q220:Q222,Q227,Q233:Q234,Q236:Q238,Q246,Q251)</f>
        <v>310.43999999999994</v>
      </c>
      <c r="R118" s="124">
        <f t="shared" si="59"/>
        <v>271.03999999999996</v>
      </c>
      <c r="S118" s="124">
        <f t="shared" si="59"/>
        <v>296.24</v>
      </c>
      <c r="T118" s="124">
        <f t="shared" si="59"/>
        <v>317.23999999999995</v>
      </c>
      <c r="U118" s="124">
        <f t="shared" si="59"/>
        <v>278.23999999999995</v>
      </c>
      <c r="V118" s="124">
        <f t="shared" si="59"/>
        <v>308.14</v>
      </c>
      <c r="W118" s="124">
        <f t="shared" si="59"/>
        <v>306.03999999999996</v>
      </c>
      <c r="X118" s="124">
        <f t="shared" si="59"/>
        <v>302.03999999999996</v>
      </c>
      <c r="Y118" s="124">
        <f>SUM(Y20,Y26,Y37:Y38,Y66,Y68:Y69,Y71,Y73,Y119:Y123,Y148,Y154,Y160,Y169,Y171,Y183,Y190,Y193:Y194,Y201,Y203,Y205,Y209:Y211,Y213:Y215,Y220,Y226:Y227,Y229:Y231,Y239,Y244)</f>
        <v>326.29999999999995</v>
      </c>
      <c r="Z118" s="124">
        <f>SUM(Z20,Z26,Z37:Z38,Z66,Z68:Z69,Z71,Z73,Z119:Z123,Z148,Z154,Z160,Z169,Z171,Z183,Z190,Z193:Z194,Z201,Z203,Z205,Z209:Z211,Z213:Z215,Z220,Z226:Z227,Z229:Z231,Z239,Z244)</f>
        <v>355.5</v>
      </c>
      <c r="AA118" s="124">
        <f t="shared" ref="AA118:AF118" si="60">SUM(AA22,AA28,AA31:AA32,AA66,AA68:AA69,AA71,AA73,AA119:AA123,AA155,AA161,AA167,AA176,AA178,AA190,AA197,AA200:AA201,AA208,AA210,AA212,AA216:AA218,AA220:AA222,AA227,AA233:AA234,AA236:AA238,AA246,AA251)</f>
        <v>371.03999999999996</v>
      </c>
      <c r="AB118" s="124">
        <f t="shared" si="60"/>
        <v>310.74</v>
      </c>
      <c r="AC118" s="124">
        <f t="shared" si="60"/>
        <v>299.14</v>
      </c>
      <c r="AD118" s="124">
        <f t="shared" si="60"/>
        <v>309.04000000000002</v>
      </c>
      <c r="AE118" s="124">
        <f t="shared" si="60"/>
        <v>212.23999999999998</v>
      </c>
      <c r="AF118" s="124">
        <f t="shared" si="60"/>
        <v>159.23999999999998</v>
      </c>
      <c r="AG118" s="125"/>
      <c r="AH118" s="48">
        <f t="shared" si="34"/>
        <v>371.03999999999996</v>
      </c>
      <c r="AI118" s="49">
        <f t="shared" si="35"/>
        <v>42</v>
      </c>
    </row>
    <row r="119" spans="1:35" x14ac:dyDescent="0.25">
      <c r="A119" s="126" t="s">
        <v>142</v>
      </c>
      <c r="B119" s="127">
        <v>19.7</v>
      </c>
      <c r="C119" s="127">
        <v>3.2</v>
      </c>
      <c r="D119" s="127">
        <v>4.2</v>
      </c>
      <c r="E119" s="127">
        <v>-0.6</v>
      </c>
      <c r="F119" s="127">
        <v>6.7</v>
      </c>
      <c r="G119" s="127">
        <v>7.9</v>
      </c>
      <c r="H119" s="127">
        <v>16.3</v>
      </c>
      <c r="I119" s="127">
        <v>9.9</v>
      </c>
      <c r="J119" s="127">
        <v>19</v>
      </c>
      <c r="K119" s="127">
        <v>21.8</v>
      </c>
      <c r="L119" s="127">
        <v>23.6</v>
      </c>
      <c r="M119" s="127">
        <v>18.3</v>
      </c>
      <c r="N119" s="127">
        <v>16.899999999999999</v>
      </c>
      <c r="O119" s="127">
        <v>13.7</v>
      </c>
      <c r="P119" s="127">
        <v>4.2</v>
      </c>
      <c r="Q119" s="127">
        <v>5.2</v>
      </c>
      <c r="R119" s="127">
        <v>10.1</v>
      </c>
      <c r="S119" s="127">
        <v>2.8</v>
      </c>
      <c r="T119" s="127">
        <v>6.7</v>
      </c>
      <c r="U119" s="127">
        <v>6</v>
      </c>
      <c r="V119" s="127">
        <v>6.8</v>
      </c>
      <c r="W119" s="127">
        <v>-0.7</v>
      </c>
      <c r="X119" s="127">
        <v>17.5</v>
      </c>
      <c r="Y119" s="127">
        <v>21.7</v>
      </c>
      <c r="Z119" s="127">
        <v>25.7</v>
      </c>
      <c r="AA119" s="127">
        <v>33.1</v>
      </c>
      <c r="AB119" s="127">
        <v>33.799999999999997</v>
      </c>
      <c r="AC119" s="127">
        <v>34.4</v>
      </c>
      <c r="AD119" s="127" t="s">
        <v>284</v>
      </c>
      <c r="AE119" s="127">
        <v>31.2</v>
      </c>
      <c r="AF119" s="127">
        <v>35.200000000000003</v>
      </c>
      <c r="AG119" s="128">
        <v>75</v>
      </c>
      <c r="AH119" s="48">
        <f t="shared" si="34"/>
        <v>35.200000000000003</v>
      </c>
      <c r="AI119" s="49">
        <f t="shared" si="35"/>
        <v>-0.7</v>
      </c>
    </row>
    <row r="120" spans="1:35" x14ac:dyDescent="0.25">
      <c r="A120" s="129" t="s">
        <v>143</v>
      </c>
      <c r="B120" s="130">
        <v>37.700000000000003</v>
      </c>
      <c r="C120" s="130">
        <v>13.7</v>
      </c>
      <c r="D120" s="130">
        <v>14.2</v>
      </c>
      <c r="E120" s="130">
        <v>5.9</v>
      </c>
      <c r="F120" s="130">
        <v>17.89</v>
      </c>
      <c r="G120" s="130">
        <v>18</v>
      </c>
      <c r="H120" s="130">
        <v>28.8</v>
      </c>
      <c r="I120" s="130">
        <v>20.5</v>
      </c>
      <c r="J120" s="130">
        <v>20.7</v>
      </c>
      <c r="K120" s="130">
        <v>24.3</v>
      </c>
      <c r="L120" s="130">
        <v>25.9</v>
      </c>
      <c r="M120" s="130">
        <v>18.8</v>
      </c>
      <c r="N120" s="130">
        <v>15.4</v>
      </c>
      <c r="O120" s="130">
        <v>11.5</v>
      </c>
      <c r="P120" s="130">
        <v>0.2</v>
      </c>
      <c r="Q120" s="130">
        <v>0.1</v>
      </c>
      <c r="R120" s="130">
        <v>8.4</v>
      </c>
      <c r="S120" s="130">
        <v>-1.2</v>
      </c>
      <c r="T120" s="130">
        <v>4.3</v>
      </c>
      <c r="U120" s="130">
        <v>3</v>
      </c>
      <c r="V120" s="130">
        <v>3</v>
      </c>
      <c r="W120" s="130">
        <v>-6.7</v>
      </c>
      <c r="X120" s="130">
        <v>24.1</v>
      </c>
      <c r="Y120" s="130">
        <v>31</v>
      </c>
      <c r="Z120" s="130">
        <v>35.6</v>
      </c>
      <c r="AA120" s="130">
        <v>44.8</v>
      </c>
      <c r="AB120" s="130">
        <v>48.5</v>
      </c>
      <c r="AC120" s="130">
        <v>49.9</v>
      </c>
      <c r="AD120" s="130">
        <v>56.2</v>
      </c>
      <c r="AE120" s="130">
        <v>47.8</v>
      </c>
      <c r="AF120" s="130">
        <v>54.9</v>
      </c>
      <c r="AG120" s="128">
        <v>240</v>
      </c>
      <c r="AH120" s="48">
        <f t="shared" si="34"/>
        <v>56.2</v>
      </c>
      <c r="AI120" s="49">
        <f t="shared" si="35"/>
        <v>-6.7</v>
      </c>
    </row>
    <row r="121" spans="1:35" x14ac:dyDescent="0.25">
      <c r="A121" s="129" t="s">
        <v>144</v>
      </c>
      <c r="B121" s="130">
        <f>-28.3-38.8</f>
        <v>-67.099999999999994</v>
      </c>
      <c r="C121" s="130">
        <f>-22.6-32.9</f>
        <v>-55.5</v>
      </c>
      <c r="D121" s="130">
        <f>-24-34.5</f>
        <v>-58.5</v>
      </c>
      <c r="E121" s="130">
        <v>-55</v>
      </c>
      <c r="F121" s="130">
        <v>-51.7</v>
      </c>
      <c r="G121" s="130">
        <v>-43.1</v>
      </c>
      <c r="H121" s="130">
        <v>-33.9</v>
      </c>
      <c r="I121" s="130">
        <v>47.6</v>
      </c>
      <c r="J121" s="130">
        <v>-1</v>
      </c>
      <c r="K121" s="130">
        <v>2.6</v>
      </c>
      <c r="L121" s="130">
        <v>7.6</v>
      </c>
      <c r="M121" s="130">
        <v>12</v>
      </c>
      <c r="N121" s="130">
        <v>-26</v>
      </c>
      <c r="O121" s="130">
        <v>-10</v>
      </c>
      <c r="P121" s="130">
        <v>16</v>
      </c>
      <c r="Q121" s="130">
        <v>18.100000000000001</v>
      </c>
      <c r="R121" s="130">
        <v>-22</v>
      </c>
      <c r="S121" s="130">
        <v>18</v>
      </c>
      <c r="T121" s="130">
        <v>22</v>
      </c>
      <c r="U121" s="130">
        <v>20</v>
      </c>
      <c r="V121" s="130">
        <v>33</v>
      </c>
      <c r="W121" s="130">
        <v>37</v>
      </c>
      <c r="X121" s="130">
        <v>24</v>
      </c>
      <c r="Y121" s="130">
        <v>26</v>
      </c>
      <c r="Z121" s="130">
        <v>8</v>
      </c>
      <c r="AA121" s="130">
        <v>7</v>
      </c>
      <c r="AB121" s="130">
        <v>-9.4</v>
      </c>
      <c r="AC121" s="130">
        <f>-2.1-11.3</f>
        <v>-13.4</v>
      </c>
      <c r="AD121" s="130">
        <v>35</v>
      </c>
      <c r="AE121" s="130">
        <f>-16.4-27</f>
        <v>-43.4</v>
      </c>
      <c r="AF121" s="130">
        <f>-27.6-38.2</f>
        <v>-65.800000000000011</v>
      </c>
      <c r="AG121" s="128">
        <v>240</v>
      </c>
      <c r="AH121" s="48">
        <f t="shared" si="34"/>
        <v>47.6</v>
      </c>
      <c r="AI121" s="49">
        <f t="shared" si="35"/>
        <v>-67.099999999999994</v>
      </c>
    </row>
    <row r="122" spans="1:35" ht="15.75" thickBot="1" x14ac:dyDescent="0.3">
      <c r="A122" s="129" t="s">
        <v>145</v>
      </c>
      <c r="B122" s="130">
        <v>22.3</v>
      </c>
      <c r="C122" s="130">
        <v>22.9</v>
      </c>
      <c r="D122" s="130">
        <v>23.3</v>
      </c>
      <c r="E122" s="130">
        <v>14.7</v>
      </c>
      <c r="F122" s="130">
        <v>24.7</v>
      </c>
      <c r="G122" s="130">
        <v>27.8</v>
      </c>
      <c r="H122" s="130">
        <v>32.6</v>
      </c>
      <c r="I122" s="130">
        <v>45.4</v>
      </c>
      <c r="J122" s="130">
        <v>23</v>
      </c>
      <c r="K122" s="130">
        <v>16.7</v>
      </c>
      <c r="L122" s="130">
        <v>21.2</v>
      </c>
      <c r="M122" s="130">
        <v>20.9</v>
      </c>
      <c r="N122" s="130">
        <v>30.1</v>
      </c>
      <c r="O122" s="130">
        <v>18</v>
      </c>
      <c r="P122" s="130">
        <v>26.4</v>
      </c>
      <c r="Q122" s="130">
        <v>28.2</v>
      </c>
      <c r="R122" s="130">
        <v>29.2</v>
      </c>
      <c r="S122" s="130">
        <v>28</v>
      </c>
      <c r="T122" s="130">
        <v>32</v>
      </c>
      <c r="U122" s="130">
        <v>13</v>
      </c>
      <c r="V122" s="130">
        <v>43.1</v>
      </c>
      <c r="W122" s="130">
        <v>36.200000000000003</v>
      </c>
      <c r="X122" s="130">
        <v>35.1</v>
      </c>
      <c r="Y122" s="130">
        <v>38</v>
      </c>
      <c r="Z122" s="130">
        <v>44</v>
      </c>
      <c r="AA122" s="130">
        <v>45</v>
      </c>
      <c r="AB122" s="130">
        <v>39.200000000000003</v>
      </c>
      <c r="AC122" s="130">
        <v>37.799999999999997</v>
      </c>
      <c r="AD122" s="130">
        <v>56</v>
      </c>
      <c r="AE122" s="130">
        <v>29.2</v>
      </c>
      <c r="AF122" s="130">
        <v>23.1</v>
      </c>
      <c r="AG122" s="128">
        <v>60</v>
      </c>
      <c r="AH122" s="48">
        <f t="shared" si="34"/>
        <v>56</v>
      </c>
      <c r="AI122" s="49">
        <f t="shared" si="35"/>
        <v>13</v>
      </c>
    </row>
    <row r="123" spans="1:35" x14ac:dyDescent="0.25">
      <c r="A123" s="126" t="s">
        <v>146</v>
      </c>
      <c r="B123" s="131">
        <v>0.9</v>
      </c>
      <c r="C123" s="131">
        <v>21.7</v>
      </c>
      <c r="D123" s="131">
        <v>16.7</v>
      </c>
      <c r="E123" s="131">
        <v>32.6</v>
      </c>
      <c r="F123" s="131">
        <v>8.6999999999999993</v>
      </c>
      <c r="G123" s="131">
        <v>25.1</v>
      </c>
      <c r="H123" s="131">
        <v>24.6</v>
      </c>
      <c r="I123" s="131">
        <v>-21</v>
      </c>
      <c r="J123" s="131">
        <v>88.2</v>
      </c>
      <c r="K123" s="131">
        <v>104.7</v>
      </c>
      <c r="L123" s="131">
        <v>109.4</v>
      </c>
      <c r="M123" s="131">
        <v>111.6</v>
      </c>
      <c r="N123" s="131">
        <v>95.8</v>
      </c>
      <c r="O123" s="131">
        <v>132.4</v>
      </c>
      <c r="P123" s="131">
        <v>131</v>
      </c>
      <c r="Q123" s="131">
        <v>124.8</v>
      </c>
      <c r="R123" s="131">
        <v>112.1</v>
      </c>
      <c r="S123" s="131">
        <v>118</v>
      </c>
      <c r="T123" s="131">
        <v>124</v>
      </c>
      <c r="U123" s="131">
        <v>114</v>
      </c>
      <c r="V123" s="131">
        <v>110.4</v>
      </c>
      <c r="W123" s="131">
        <v>130</v>
      </c>
      <c r="X123" s="131">
        <v>91.7</v>
      </c>
      <c r="Y123" s="131">
        <v>93.6</v>
      </c>
      <c r="Z123" s="131">
        <v>126.2</v>
      </c>
      <c r="AA123" s="131">
        <v>132</v>
      </c>
      <c r="AB123" s="131">
        <v>88</v>
      </c>
      <c r="AC123" s="131">
        <v>79.8</v>
      </c>
      <c r="AD123" s="131">
        <v>51</v>
      </c>
      <c r="AE123" s="131">
        <v>30.8</v>
      </c>
      <c r="AF123" s="131">
        <v>-4.8</v>
      </c>
      <c r="AG123" s="132">
        <v>120</v>
      </c>
      <c r="AH123" s="48">
        <f t="shared" si="34"/>
        <v>132.4</v>
      </c>
      <c r="AI123" s="49">
        <f t="shared" si="35"/>
        <v>-21</v>
      </c>
    </row>
    <row r="124" spans="1:35" x14ac:dyDescent="0.25">
      <c r="A124" s="129" t="s">
        <v>147</v>
      </c>
      <c r="B124" s="131">
        <v>25.5</v>
      </c>
      <c r="C124" s="131">
        <v>36.5</v>
      </c>
      <c r="D124" s="131">
        <v>33.700000000000003</v>
      </c>
      <c r="E124" s="131">
        <v>39.799999999999997</v>
      </c>
      <c r="F124" s="131">
        <v>28.7</v>
      </c>
      <c r="G124" s="131">
        <v>35.4</v>
      </c>
      <c r="H124" s="131">
        <v>34.799999999999997</v>
      </c>
      <c r="I124" s="131">
        <v>46.1</v>
      </c>
      <c r="J124" s="131">
        <v>64.400000000000006</v>
      </c>
      <c r="K124" s="131">
        <v>72</v>
      </c>
      <c r="L124" s="131">
        <v>73.3</v>
      </c>
      <c r="M124" s="131">
        <v>79</v>
      </c>
      <c r="N124" s="131">
        <v>70.7</v>
      </c>
      <c r="O124" s="131">
        <v>87.9</v>
      </c>
      <c r="P124" s="131">
        <v>88.2</v>
      </c>
      <c r="Q124" s="131">
        <v>84.6</v>
      </c>
      <c r="R124" s="131">
        <v>78.7</v>
      </c>
      <c r="S124" s="131">
        <v>81.3</v>
      </c>
      <c r="T124" s="131">
        <v>83.3</v>
      </c>
      <c r="U124" s="131">
        <v>80</v>
      </c>
      <c r="V124" s="131">
        <v>77.400000000000006</v>
      </c>
      <c r="W124" s="131">
        <v>86.1</v>
      </c>
      <c r="X124" s="131">
        <v>68.099999999999994</v>
      </c>
      <c r="Y124" s="131">
        <v>69</v>
      </c>
      <c r="Z124" s="131">
        <v>84.4</v>
      </c>
      <c r="AA124" s="131">
        <v>88</v>
      </c>
      <c r="AB124" s="131">
        <v>66</v>
      </c>
      <c r="AC124" s="131">
        <v>63</v>
      </c>
      <c r="AD124" s="131">
        <v>50</v>
      </c>
      <c r="AE124" s="131">
        <v>38.6</v>
      </c>
      <c r="AF124" s="131">
        <v>20.399999999999999</v>
      </c>
      <c r="AG124" s="132"/>
      <c r="AH124" s="48">
        <f t="shared" si="34"/>
        <v>88.2</v>
      </c>
      <c r="AI124" s="49">
        <f t="shared" si="35"/>
        <v>20.399999999999999</v>
      </c>
    </row>
    <row r="125" spans="1:35" x14ac:dyDescent="0.25">
      <c r="A125" s="129" t="s">
        <v>148</v>
      </c>
      <c r="B125" s="131">
        <v>-20.9</v>
      </c>
      <c r="C125" s="131">
        <v>5.5</v>
      </c>
      <c r="D125" s="131">
        <v>2.5</v>
      </c>
      <c r="E125" s="131">
        <v>18.399999999999999</v>
      </c>
      <c r="F125" s="131">
        <v>-6</v>
      </c>
      <c r="G125" s="131">
        <v>-7.4</v>
      </c>
      <c r="H125" s="131">
        <v>-27.1</v>
      </c>
      <c r="I125" s="131">
        <v>-27.1</v>
      </c>
      <c r="J125" s="131">
        <v>-14.2</v>
      </c>
      <c r="K125" s="131">
        <v>-15.4</v>
      </c>
      <c r="L125" s="131">
        <v>-19.399999999999999</v>
      </c>
      <c r="M125" s="131">
        <v>-13.8</v>
      </c>
      <c r="N125" s="131">
        <v>-18.100000000000001</v>
      </c>
      <c r="O125" s="131">
        <v>11</v>
      </c>
      <c r="P125" s="131">
        <v>17.399999999999999</v>
      </c>
      <c r="Q125" s="131">
        <v>12.2</v>
      </c>
      <c r="R125" s="131">
        <v>8.6</v>
      </c>
      <c r="S125" s="131">
        <v>11.4</v>
      </c>
      <c r="T125" s="131">
        <v>16</v>
      </c>
      <c r="U125" s="131">
        <v>0</v>
      </c>
      <c r="V125" s="131">
        <v>-6.1</v>
      </c>
      <c r="W125" s="131">
        <v>7</v>
      </c>
      <c r="X125" s="131">
        <v>-31.8</v>
      </c>
      <c r="Y125" s="131">
        <v>-44</v>
      </c>
      <c r="Z125" s="131">
        <v>-32.200000000000003</v>
      </c>
      <c r="AA125" s="131">
        <v>-42</v>
      </c>
      <c r="AB125" s="131">
        <v>-45.5</v>
      </c>
      <c r="AC125" s="131">
        <v>-45.4</v>
      </c>
      <c r="AD125" s="131">
        <v>-54</v>
      </c>
      <c r="AE125" s="131">
        <v>-40.200000000000003</v>
      </c>
      <c r="AF125" s="131">
        <v>-42.3</v>
      </c>
      <c r="AG125" s="132"/>
      <c r="AH125" s="48">
        <f t="shared" si="34"/>
        <v>18.399999999999999</v>
      </c>
      <c r="AI125" s="49">
        <f t="shared" si="35"/>
        <v>-54</v>
      </c>
    </row>
    <row r="126" spans="1:35" ht="15.75" thickBot="1" x14ac:dyDescent="0.3">
      <c r="A126" s="129" t="s">
        <v>149</v>
      </c>
      <c r="B126" s="131">
        <v>20.9</v>
      </c>
      <c r="C126" s="131">
        <v>35.6</v>
      </c>
      <c r="D126" s="131">
        <v>35.6</v>
      </c>
      <c r="E126" s="131">
        <v>42.3</v>
      </c>
      <c r="F126" s="131">
        <v>25.9</v>
      </c>
      <c r="G126" s="131">
        <v>34.4</v>
      </c>
      <c r="H126" s="131">
        <v>27.5</v>
      </c>
      <c r="I126" s="131">
        <v>42.6</v>
      </c>
      <c r="J126" s="131">
        <v>65.8</v>
      </c>
      <c r="K126" s="131">
        <v>77.400000000000006</v>
      </c>
      <c r="L126" s="131">
        <v>77.3</v>
      </c>
      <c r="M126" s="131">
        <v>82</v>
      </c>
      <c r="N126" s="131">
        <v>70.099999999999994</v>
      </c>
      <c r="O126" s="131">
        <v>94.6</v>
      </c>
      <c r="P126" s="131">
        <v>94</v>
      </c>
      <c r="Q126" s="131">
        <v>102</v>
      </c>
      <c r="R126" s="131">
        <v>90.3</v>
      </c>
      <c r="S126" s="131">
        <v>91</v>
      </c>
      <c r="T126" s="131">
        <v>95</v>
      </c>
      <c r="U126" s="131">
        <v>90</v>
      </c>
      <c r="V126" s="131">
        <v>81.8</v>
      </c>
      <c r="W126" s="131">
        <v>92.8</v>
      </c>
      <c r="X126" s="131">
        <v>66</v>
      </c>
      <c r="Y126" s="131">
        <v>64</v>
      </c>
      <c r="Z126" s="131">
        <v>70</v>
      </c>
      <c r="AA126" s="131">
        <v>73</v>
      </c>
      <c r="AB126" s="131">
        <v>62</v>
      </c>
      <c r="AC126" s="131">
        <v>103.4</v>
      </c>
      <c r="AD126" s="131">
        <v>40</v>
      </c>
      <c r="AE126" s="131">
        <v>35</v>
      </c>
      <c r="AF126" s="131">
        <v>12.7</v>
      </c>
      <c r="AG126" s="128"/>
      <c r="AH126" s="48">
        <f>MAX(B126:AF126)</f>
        <v>103.4</v>
      </c>
      <c r="AI126" s="49">
        <f>MIN(B126:AF126)</f>
        <v>12.7</v>
      </c>
    </row>
    <row r="127" spans="1:35" x14ac:dyDescent="0.25">
      <c r="A127" s="126" t="s">
        <v>150</v>
      </c>
      <c r="B127" s="131">
        <v>-108.2</v>
      </c>
      <c r="C127" s="131">
        <v>-78.2</v>
      </c>
      <c r="D127" s="131">
        <v>-75.400000000000006</v>
      </c>
      <c r="E127" s="131">
        <v>-80.3</v>
      </c>
      <c r="F127" s="131">
        <v>-66.099999999999994</v>
      </c>
      <c r="G127" s="131">
        <v>-63.8</v>
      </c>
      <c r="H127" s="131">
        <v>-62.9</v>
      </c>
      <c r="I127" s="131">
        <v>-62.3</v>
      </c>
      <c r="J127" s="131">
        <v>0</v>
      </c>
      <c r="K127" s="131">
        <v>2.4</v>
      </c>
      <c r="L127" s="131">
        <v>4.2</v>
      </c>
      <c r="M127" s="131">
        <v>25.7</v>
      </c>
      <c r="N127" s="131">
        <v>18</v>
      </c>
      <c r="O127" s="131">
        <v>0.4</v>
      </c>
      <c r="P127" s="131">
        <v>0.1</v>
      </c>
      <c r="Q127" s="131">
        <v>34</v>
      </c>
      <c r="R127" s="131">
        <v>27.9</v>
      </c>
      <c r="S127" s="131">
        <v>46.6</v>
      </c>
      <c r="T127" s="131">
        <v>35.200000000000003</v>
      </c>
      <c r="U127" s="131">
        <v>30</v>
      </c>
      <c r="V127" s="131">
        <v>28</v>
      </c>
      <c r="W127" s="131">
        <v>38</v>
      </c>
      <c r="X127" s="131">
        <v>4.5999999999999996</v>
      </c>
      <c r="Y127" s="131">
        <v>-1.3</v>
      </c>
      <c r="Z127" s="131">
        <v>-184</v>
      </c>
      <c r="AA127" s="131">
        <v>-184</v>
      </c>
      <c r="AB127" s="131">
        <v>-107</v>
      </c>
      <c r="AC127" s="131">
        <v>-99.6</v>
      </c>
      <c r="AD127" s="131">
        <v>-102</v>
      </c>
      <c r="AE127" s="131">
        <v>-109.9</v>
      </c>
      <c r="AF127" s="131">
        <v>-114.3</v>
      </c>
      <c r="AG127" s="128"/>
      <c r="AH127" s="48">
        <f>MAX(B127:AF127)</f>
        <v>46.6</v>
      </c>
      <c r="AI127" s="49">
        <f>MIN(B127:AF127)</f>
        <v>-184</v>
      </c>
    </row>
    <row r="128" spans="1:35" x14ac:dyDescent="0.25">
      <c r="A128" s="129" t="s">
        <v>151</v>
      </c>
      <c r="B128" s="119">
        <v>9.6999999999999993</v>
      </c>
      <c r="C128" s="119">
        <v>11.4</v>
      </c>
      <c r="D128" s="119">
        <v>10.1</v>
      </c>
      <c r="E128" s="119">
        <v>12.7</v>
      </c>
      <c r="F128" s="119">
        <v>8.4</v>
      </c>
      <c r="G128" s="119">
        <v>9</v>
      </c>
      <c r="H128" s="119">
        <v>4.7</v>
      </c>
      <c r="I128" s="119">
        <v>4.7</v>
      </c>
      <c r="J128" s="119">
        <v>-3.3</v>
      </c>
      <c r="K128" s="119">
        <v>-2.8</v>
      </c>
      <c r="L128" s="119">
        <v>-7.9</v>
      </c>
      <c r="M128" s="119">
        <v>-8.4</v>
      </c>
      <c r="N128" s="119"/>
      <c r="O128" s="119"/>
      <c r="P128" s="119"/>
      <c r="Q128" s="119">
        <v>-13.6</v>
      </c>
      <c r="R128" s="119">
        <v>-15.5</v>
      </c>
      <c r="S128" s="119">
        <v>-24</v>
      </c>
      <c r="T128" s="119">
        <v>-23</v>
      </c>
      <c r="U128" s="119">
        <v>-24.5</v>
      </c>
      <c r="V128" s="119">
        <v>-28.4</v>
      </c>
      <c r="W128" s="119">
        <v>-24.4</v>
      </c>
      <c r="X128" s="119">
        <v>-35</v>
      </c>
      <c r="Y128" s="119">
        <v>-37.200000000000003</v>
      </c>
      <c r="Z128" s="119">
        <v>-49.6</v>
      </c>
      <c r="AA128" s="119">
        <v>-51</v>
      </c>
      <c r="AB128" s="119">
        <v>-46.1</v>
      </c>
      <c r="AC128" s="119">
        <v>-44.9</v>
      </c>
      <c r="AD128" s="119">
        <v>-44.2</v>
      </c>
      <c r="AE128" s="119">
        <v>-42.1</v>
      </c>
      <c r="AF128" s="119">
        <v>-31.8</v>
      </c>
      <c r="AG128" s="128"/>
      <c r="AH128" s="48">
        <f>MAX(B128:AF128)</f>
        <v>12.7</v>
      </c>
      <c r="AI128" s="49">
        <f>MIN(B128:AF128)</f>
        <v>-51</v>
      </c>
    </row>
    <row r="129" spans="1:37" x14ac:dyDescent="0.25">
      <c r="A129" s="129" t="s">
        <v>152</v>
      </c>
      <c r="B129" s="119">
        <v>53.4</v>
      </c>
      <c r="C129" s="119">
        <v>49.6</v>
      </c>
      <c r="D129" s="119">
        <v>47.8</v>
      </c>
      <c r="E129" s="119">
        <v>45.8</v>
      </c>
      <c r="F129" s="119">
        <v>48.2</v>
      </c>
      <c r="G129" s="119">
        <v>42.5</v>
      </c>
      <c r="H129" s="119">
        <v>44.3</v>
      </c>
      <c r="I129" s="119">
        <v>50.4</v>
      </c>
      <c r="J129" s="119">
        <v>38.299999999999997</v>
      </c>
      <c r="K129" s="119">
        <v>45.1</v>
      </c>
      <c r="L129" s="119">
        <v>50.8</v>
      </c>
      <c r="M129" s="119">
        <v>48.9</v>
      </c>
      <c r="N129" s="119">
        <v>49.7</v>
      </c>
      <c r="O129" s="119">
        <v>92.7</v>
      </c>
      <c r="P129" s="119">
        <v>51.8</v>
      </c>
      <c r="Q129" s="119">
        <v>32.1</v>
      </c>
      <c r="R129" s="119">
        <v>75.599999999999994</v>
      </c>
      <c r="S129" s="119">
        <v>75.5</v>
      </c>
      <c r="T129" s="119">
        <v>74</v>
      </c>
      <c r="U129" s="119">
        <v>70.5</v>
      </c>
      <c r="V129" s="119">
        <v>62.5</v>
      </c>
      <c r="W129" s="119">
        <v>61.6</v>
      </c>
      <c r="X129" s="119">
        <v>52.7</v>
      </c>
      <c r="Y129" s="119">
        <v>55.1</v>
      </c>
      <c r="Z129" s="119">
        <v>118.9</v>
      </c>
      <c r="AA129" s="119">
        <v>117.3</v>
      </c>
      <c r="AB129" s="119">
        <v>90.2</v>
      </c>
      <c r="AC129" s="119">
        <v>103.4</v>
      </c>
      <c r="AD129" s="119">
        <v>112.5</v>
      </c>
      <c r="AE129" s="119">
        <v>98.9</v>
      </c>
      <c r="AF129" s="119">
        <v>94.9</v>
      </c>
      <c r="AG129" s="128"/>
      <c r="AH129" s="48">
        <f>MAX(B129:AF129)</f>
        <v>118.9</v>
      </c>
      <c r="AI129" s="49">
        <f>MIN(B129:AF129)</f>
        <v>32.1</v>
      </c>
    </row>
    <row r="130" spans="1:37" ht="15.75" thickBot="1" x14ac:dyDescent="0.3">
      <c r="A130" s="129" t="s">
        <v>153</v>
      </c>
      <c r="B130" s="119">
        <v>68</v>
      </c>
      <c r="C130" s="119">
        <v>61.3</v>
      </c>
      <c r="D130" s="119">
        <v>59</v>
      </c>
      <c r="E130" s="119">
        <v>57.1</v>
      </c>
      <c r="F130" s="119">
        <v>59.6</v>
      </c>
      <c r="G130" s="119">
        <v>58</v>
      </c>
      <c r="H130" s="119">
        <v>56.8</v>
      </c>
      <c r="I130" s="119">
        <v>61.5</v>
      </c>
      <c r="J130" s="119">
        <v>43.3</v>
      </c>
      <c r="K130" s="119">
        <v>51.8</v>
      </c>
      <c r="L130" s="119">
        <v>58.7</v>
      </c>
      <c r="M130" s="119">
        <v>56.5</v>
      </c>
      <c r="N130" s="119">
        <v>61.2</v>
      </c>
      <c r="O130" s="119">
        <v>98.9</v>
      </c>
      <c r="P130" s="119">
        <v>59.3</v>
      </c>
      <c r="Q130" s="119">
        <v>43.3</v>
      </c>
      <c r="R130" s="119">
        <v>84.5</v>
      </c>
      <c r="S130" s="119">
        <v>80.900000000000006</v>
      </c>
      <c r="T130" s="119">
        <v>82</v>
      </c>
      <c r="U130" s="119">
        <v>77</v>
      </c>
      <c r="V130" s="119">
        <v>72.7</v>
      </c>
      <c r="W130" s="119">
        <v>74.599999999999994</v>
      </c>
      <c r="X130" s="119">
        <v>61.1</v>
      </c>
      <c r="Y130" s="119">
        <v>62.3</v>
      </c>
      <c r="Z130" s="119">
        <v>124</v>
      </c>
      <c r="AA130" s="119">
        <v>126</v>
      </c>
      <c r="AB130" s="119">
        <v>98</v>
      </c>
      <c r="AC130" s="119">
        <v>104</v>
      </c>
      <c r="AD130" s="119">
        <v>118.2</v>
      </c>
      <c r="AE130" s="119">
        <v>110.5</v>
      </c>
      <c r="AF130" s="119">
        <v>96.3</v>
      </c>
      <c r="AG130" s="128"/>
      <c r="AH130" s="48">
        <f>MAX(B130:AF130)</f>
        <v>126</v>
      </c>
      <c r="AI130" s="49">
        <f>MIN(B130:AF130)</f>
        <v>43.3</v>
      </c>
    </row>
    <row r="131" spans="1:37" x14ac:dyDescent="0.25">
      <c r="A131" s="133" t="s">
        <v>154</v>
      </c>
      <c r="B131" s="135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8">
        <v>1982.95</v>
      </c>
      <c r="C132" s="137">
        <v>1982.85</v>
      </c>
      <c r="D132" s="137">
        <v>1982.85</v>
      </c>
      <c r="E132" s="137">
        <v>1982.67</v>
      </c>
      <c r="F132" s="137">
        <v>1982.75</v>
      </c>
      <c r="G132" s="137">
        <v>1982.82</v>
      </c>
      <c r="H132" s="137"/>
      <c r="I132" s="137">
        <v>1982.83</v>
      </c>
      <c r="J132" s="137"/>
      <c r="K132" s="137">
        <v>1982.95</v>
      </c>
      <c r="L132" s="137"/>
      <c r="M132" s="137">
        <v>1983.25</v>
      </c>
      <c r="N132" s="137">
        <v>1983.59</v>
      </c>
      <c r="O132" s="137">
        <v>1983.7</v>
      </c>
      <c r="P132" s="137">
        <v>1983.85</v>
      </c>
      <c r="Q132" s="137">
        <v>1983.95</v>
      </c>
      <c r="R132" s="137">
        <v>1984.25</v>
      </c>
      <c r="S132" s="137">
        <v>1984.5</v>
      </c>
      <c r="T132" s="137">
        <v>1984.78</v>
      </c>
      <c r="U132" s="137">
        <v>1984.99</v>
      </c>
      <c r="V132" s="137">
        <v>1985.25</v>
      </c>
      <c r="W132" s="137"/>
      <c r="X132" s="137">
        <v>1985.45</v>
      </c>
      <c r="Y132" s="137"/>
      <c r="Z132" s="137">
        <v>1985.28</v>
      </c>
      <c r="AA132" s="137"/>
      <c r="AB132" s="137">
        <v>1984.25</v>
      </c>
      <c r="AC132" s="137"/>
      <c r="AD132" s="137">
        <v>1983.55</v>
      </c>
      <c r="AE132" s="137">
        <v>1983.14</v>
      </c>
      <c r="AF132" s="138">
        <v>1982.88</v>
      </c>
      <c r="AG132" s="139"/>
      <c r="AH132" s="48"/>
      <c r="AI132" s="49"/>
    </row>
    <row r="133" spans="1:37" x14ac:dyDescent="0.25">
      <c r="A133" s="136" t="s">
        <v>156</v>
      </c>
      <c r="B133" s="141">
        <v>520.57000000000005</v>
      </c>
      <c r="C133" s="140">
        <v>520.46</v>
      </c>
      <c r="D133" s="140">
        <v>520.55999999999995</v>
      </c>
      <c r="E133" s="140">
        <v>520.27</v>
      </c>
      <c r="F133" s="140"/>
      <c r="G133" s="140">
        <v>520.95000000000005</v>
      </c>
      <c r="H133" s="140"/>
      <c r="I133" s="140">
        <v>521.04999999999995</v>
      </c>
      <c r="J133" s="140"/>
      <c r="K133" s="140">
        <v>521.14</v>
      </c>
      <c r="L133" s="140"/>
      <c r="M133" s="140">
        <v>521.25</v>
      </c>
      <c r="N133" s="140">
        <v>521.36</v>
      </c>
      <c r="O133" s="140">
        <v>521.53</v>
      </c>
      <c r="P133" s="140">
        <v>521.65</v>
      </c>
      <c r="Q133" s="140">
        <v>521.76</v>
      </c>
      <c r="R133" s="140">
        <v>521.86</v>
      </c>
      <c r="S133" s="140">
        <v>521.9</v>
      </c>
      <c r="T133" s="140">
        <v>521.86</v>
      </c>
      <c r="U133" s="140">
        <v>521.78</v>
      </c>
      <c r="V133" s="140">
        <v>521.71</v>
      </c>
      <c r="W133" s="140"/>
      <c r="X133" s="140">
        <v>521.79999999999995</v>
      </c>
      <c r="Y133" s="140"/>
      <c r="Z133" s="140">
        <v>521.72</v>
      </c>
      <c r="AA133" s="140"/>
      <c r="AB133" s="140">
        <v>521.32000000000005</v>
      </c>
      <c r="AC133" s="140"/>
      <c r="AD133" s="140">
        <v>520.84</v>
      </c>
      <c r="AE133" s="140">
        <v>520.38</v>
      </c>
      <c r="AF133" s="141">
        <v>520.22</v>
      </c>
      <c r="AG133" s="139"/>
      <c r="AH133" s="48"/>
      <c r="AI133" s="49"/>
    </row>
    <row r="134" spans="1:37" x14ac:dyDescent="0.25">
      <c r="A134" s="136" t="s">
        <v>157</v>
      </c>
      <c r="B134" s="141">
        <v>623.57000000000005</v>
      </c>
      <c r="C134" s="140">
        <v>623.32000000000005</v>
      </c>
      <c r="D134" s="140">
        <v>623.35</v>
      </c>
      <c r="E134" s="140">
        <v>623.61</v>
      </c>
      <c r="F134" s="140"/>
      <c r="G134" s="140">
        <v>624.16</v>
      </c>
      <c r="H134" s="140"/>
      <c r="I134" s="140">
        <v>624.22</v>
      </c>
      <c r="J134" s="140"/>
      <c r="K134" s="140">
        <v>624.28</v>
      </c>
      <c r="L134" s="140"/>
      <c r="M134" s="140">
        <v>624.10500000000002</v>
      </c>
      <c r="N134" s="140">
        <v>624.1</v>
      </c>
      <c r="O134" s="140">
        <v>624.19000000000005</v>
      </c>
      <c r="P134" s="140">
        <v>624.21</v>
      </c>
      <c r="Q134" s="140">
        <v>624.28</v>
      </c>
      <c r="R134" s="140">
        <v>624.23</v>
      </c>
      <c r="S134" s="140">
        <v>621.1</v>
      </c>
      <c r="T134" s="140">
        <v>624</v>
      </c>
      <c r="U134" s="140">
        <v>623.95000000000005</v>
      </c>
      <c r="V134" s="140">
        <v>623.87</v>
      </c>
      <c r="W134" s="140"/>
      <c r="X134" s="140">
        <v>624.11</v>
      </c>
      <c r="Y134" s="140"/>
      <c r="Z134" s="140">
        <v>624.07000000000005</v>
      </c>
      <c r="AA134" s="140"/>
      <c r="AB134" s="140">
        <v>623.79</v>
      </c>
      <c r="AC134" s="140"/>
      <c r="AD134" s="140">
        <v>623.41999999999996</v>
      </c>
      <c r="AE134" s="140">
        <v>623.09</v>
      </c>
      <c r="AF134" s="141">
        <v>622.65</v>
      </c>
      <c r="AG134" s="139"/>
      <c r="AH134" s="48"/>
      <c r="AI134" s="49"/>
    </row>
    <row r="135" spans="1:37" x14ac:dyDescent="0.25">
      <c r="A135" s="136" t="s">
        <v>158</v>
      </c>
      <c r="B135" s="141">
        <v>336.17</v>
      </c>
      <c r="C135" s="140">
        <v>336.34</v>
      </c>
      <c r="D135" s="140">
        <v>336.5</v>
      </c>
      <c r="E135" s="140">
        <v>336.66</v>
      </c>
      <c r="F135" s="140"/>
      <c r="G135" s="140">
        <v>336.9</v>
      </c>
      <c r="H135" s="140"/>
      <c r="I135" s="140">
        <v>336.96</v>
      </c>
      <c r="J135" s="140"/>
      <c r="K135" s="140">
        <v>336.93</v>
      </c>
      <c r="L135" s="140"/>
      <c r="M135" s="140">
        <v>336.7</v>
      </c>
      <c r="N135" s="140">
        <v>336.41</v>
      </c>
      <c r="O135" s="140">
        <v>336.15</v>
      </c>
      <c r="P135" s="140">
        <v>336.15</v>
      </c>
      <c r="Q135" s="140">
        <v>336.11</v>
      </c>
      <c r="R135" s="140">
        <v>336.37</v>
      </c>
      <c r="S135" s="140">
        <v>336.57</v>
      </c>
      <c r="T135" s="140">
        <v>336.71</v>
      </c>
      <c r="U135" s="140">
        <v>336.81</v>
      </c>
      <c r="V135" s="140">
        <v>336.9</v>
      </c>
      <c r="W135" s="140"/>
      <c r="X135" s="140">
        <v>337.07</v>
      </c>
      <c r="Y135" s="140"/>
      <c r="Z135" s="140">
        <v>337.16</v>
      </c>
      <c r="AA135" s="140"/>
      <c r="AB135" s="140">
        <v>337.04</v>
      </c>
      <c r="AC135" s="140"/>
      <c r="AD135" s="140">
        <v>336.89</v>
      </c>
      <c r="AE135" s="140">
        <v>336.69</v>
      </c>
      <c r="AF135" s="141">
        <v>336.43</v>
      </c>
      <c r="AG135" s="139"/>
      <c r="AH135" s="48"/>
      <c r="AI135" s="49"/>
    </row>
    <row r="136" spans="1:37" x14ac:dyDescent="0.25">
      <c r="A136" s="136" t="s">
        <v>159</v>
      </c>
      <c r="B136" s="141">
        <v>883.8</v>
      </c>
      <c r="C136" s="140"/>
      <c r="D136" s="140">
        <v>883.6</v>
      </c>
      <c r="E136" s="140"/>
      <c r="F136" s="140"/>
      <c r="G136" s="140">
        <v>884.4</v>
      </c>
      <c r="H136" s="140"/>
      <c r="I136" s="140"/>
      <c r="J136" s="140"/>
      <c r="K136" s="140">
        <v>884.4</v>
      </c>
      <c r="L136" s="140"/>
      <c r="M136" s="140">
        <v>884.4</v>
      </c>
      <c r="N136" s="140">
        <v>884.6</v>
      </c>
      <c r="O136" s="140">
        <v>884.7</v>
      </c>
      <c r="P136" s="140">
        <v>884.6</v>
      </c>
      <c r="Q136" s="140">
        <v>884.5</v>
      </c>
      <c r="R136" s="140">
        <v>884.2</v>
      </c>
      <c r="S136" s="140">
        <v>884.2</v>
      </c>
      <c r="T136" s="140">
        <v>885</v>
      </c>
      <c r="U136" s="140">
        <v>885.6</v>
      </c>
      <c r="V136" s="140">
        <v>886.4</v>
      </c>
      <c r="W136" s="140"/>
      <c r="X136" s="140">
        <v>886.9</v>
      </c>
      <c r="Y136" s="140"/>
      <c r="Z136" s="140">
        <v>886.7</v>
      </c>
      <c r="AA136" s="140"/>
      <c r="AB136" s="140">
        <v>885</v>
      </c>
      <c r="AC136" s="140"/>
      <c r="AD136" s="140">
        <v>884.4</v>
      </c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3">
        <v>1499.3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>
        <v>1499.02</v>
      </c>
      <c r="N137" s="142"/>
      <c r="O137" s="142"/>
      <c r="P137" s="142">
        <v>1498.93</v>
      </c>
      <c r="Q137" s="142">
        <v>1498.9</v>
      </c>
      <c r="R137" s="142"/>
      <c r="S137" s="142" t="s">
        <v>283</v>
      </c>
      <c r="T137" s="142"/>
      <c r="U137" s="142">
        <v>1498.74</v>
      </c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>
        <v>7074</v>
      </c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>
        <v>3111</v>
      </c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>
        <v>15335</v>
      </c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>
        <f>Q141+Q142+Q143</f>
        <v>25520</v>
      </c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>
        <f>Q144/24</f>
        <v>1063.3333333333333</v>
      </c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>
        <v>198</v>
      </c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>
        <f>Q144+Q147</f>
        <v>25718</v>
      </c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>
        <f>Q148/24</f>
        <v>1071.5833333333333</v>
      </c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>
        <v>7364</v>
      </c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>
        <v>2600</v>
      </c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>
        <f>Q148+Q151+Q152</f>
        <v>35682</v>
      </c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61">SUM(B139:B243)</f>
        <v>0</v>
      </c>
      <c r="C244" s="161">
        <f t="shared" si="61"/>
        <v>0</v>
      </c>
      <c r="D244" s="161">
        <f t="shared" si="61"/>
        <v>0</v>
      </c>
      <c r="E244" s="161">
        <f t="shared" si="61"/>
        <v>0</v>
      </c>
      <c r="F244" s="161">
        <f t="shared" si="61"/>
        <v>0</v>
      </c>
      <c r="G244" s="161">
        <f t="shared" si="61"/>
        <v>0</v>
      </c>
      <c r="H244" s="161">
        <f t="shared" si="61"/>
        <v>0</v>
      </c>
      <c r="I244" s="161">
        <f t="shared" si="61"/>
        <v>0</v>
      </c>
      <c r="J244" s="161">
        <f t="shared" si="61"/>
        <v>0</v>
      </c>
      <c r="K244" s="161">
        <f t="shared" si="61"/>
        <v>0</v>
      </c>
      <c r="L244" s="161">
        <f t="shared" si="61"/>
        <v>0</v>
      </c>
      <c r="M244" s="161">
        <f t="shared" si="61"/>
        <v>0</v>
      </c>
      <c r="N244" s="161">
        <f t="shared" si="61"/>
        <v>0</v>
      </c>
      <c r="O244" s="161">
        <f t="shared" si="61"/>
        <v>0</v>
      </c>
      <c r="P244" s="161">
        <f t="shared" si="61"/>
        <v>0</v>
      </c>
      <c r="Q244" s="161">
        <f t="shared" si="61"/>
        <v>124736.91666666667</v>
      </c>
      <c r="R244" s="161">
        <f t="shared" si="61"/>
        <v>0</v>
      </c>
      <c r="S244" s="161">
        <f t="shared" si="61"/>
        <v>0</v>
      </c>
      <c r="T244" s="161">
        <f t="shared" si="61"/>
        <v>0</v>
      </c>
      <c r="U244" s="161">
        <f t="shared" si="61"/>
        <v>0</v>
      </c>
      <c r="V244" s="161">
        <f t="shared" si="61"/>
        <v>0</v>
      </c>
      <c r="W244" s="161">
        <f t="shared" si="61"/>
        <v>0</v>
      </c>
      <c r="X244" s="161">
        <f t="shared" si="61"/>
        <v>0</v>
      </c>
      <c r="Y244" s="161">
        <f t="shared" si="61"/>
        <v>0</v>
      </c>
      <c r="Z244" s="161">
        <f t="shared" si="61"/>
        <v>0</v>
      </c>
      <c r="AA244" s="161">
        <f t="shared" si="61"/>
        <v>0</v>
      </c>
      <c r="AB244" s="161">
        <f t="shared" si="61"/>
        <v>0</v>
      </c>
      <c r="AC244" s="161">
        <f t="shared" si="61"/>
        <v>0</v>
      </c>
      <c r="AD244" s="161">
        <f t="shared" si="61"/>
        <v>0</v>
      </c>
      <c r="AE244" s="161">
        <f t="shared" si="61"/>
        <v>0</v>
      </c>
      <c r="AF244" s="162">
        <f t="shared" si="61"/>
        <v>0</v>
      </c>
      <c r="AG244" s="163">
        <f t="shared" si="61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62">AF246</f>
        <v>0.3</v>
      </c>
      <c r="C246" s="166">
        <v>0.3</v>
      </c>
      <c r="D246" s="166">
        <f t="shared" ref="D246:S251" si="63">C246</f>
        <v>0.3</v>
      </c>
      <c r="E246" s="166">
        <f t="shared" si="63"/>
        <v>0.3</v>
      </c>
      <c r="F246" s="166">
        <f t="shared" si="63"/>
        <v>0.3</v>
      </c>
      <c r="G246" s="166">
        <f t="shared" si="63"/>
        <v>0.3</v>
      </c>
      <c r="H246" s="166">
        <f t="shared" si="63"/>
        <v>0.3</v>
      </c>
      <c r="I246" s="166">
        <f t="shared" si="63"/>
        <v>0.3</v>
      </c>
      <c r="J246" s="166">
        <f t="shared" si="63"/>
        <v>0.3</v>
      </c>
      <c r="K246" s="166">
        <f t="shared" si="63"/>
        <v>0.3</v>
      </c>
      <c r="L246" s="166">
        <f t="shared" si="63"/>
        <v>0.3</v>
      </c>
      <c r="M246" s="166">
        <f t="shared" si="63"/>
        <v>0.3</v>
      </c>
      <c r="N246" s="166">
        <f t="shared" si="63"/>
        <v>0.3</v>
      </c>
      <c r="O246" s="166">
        <f t="shared" si="63"/>
        <v>0.3</v>
      </c>
      <c r="P246" s="166">
        <f t="shared" si="63"/>
        <v>0.3</v>
      </c>
      <c r="Q246" s="166">
        <f t="shared" si="63"/>
        <v>0.3</v>
      </c>
      <c r="R246" s="166">
        <f t="shared" si="63"/>
        <v>0.3</v>
      </c>
      <c r="S246" s="166">
        <f t="shared" si="63"/>
        <v>0.3</v>
      </c>
      <c r="T246" s="166">
        <f t="shared" ref="T246:AF251" si="64">S246</f>
        <v>0.3</v>
      </c>
      <c r="U246" s="166">
        <f t="shared" si="64"/>
        <v>0.3</v>
      </c>
      <c r="V246" s="166">
        <f t="shared" si="64"/>
        <v>0.3</v>
      </c>
      <c r="W246" s="166">
        <f t="shared" si="64"/>
        <v>0.3</v>
      </c>
      <c r="X246" s="166">
        <f t="shared" si="64"/>
        <v>0.3</v>
      </c>
      <c r="Y246" s="166">
        <f t="shared" si="64"/>
        <v>0.3</v>
      </c>
      <c r="Z246" s="166">
        <f t="shared" si="64"/>
        <v>0.3</v>
      </c>
      <c r="AA246" s="166">
        <f t="shared" si="64"/>
        <v>0.3</v>
      </c>
      <c r="AB246" s="166">
        <f t="shared" si="64"/>
        <v>0.3</v>
      </c>
      <c r="AC246" s="166">
        <f t="shared" si="64"/>
        <v>0.3</v>
      </c>
      <c r="AD246" s="166">
        <f t="shared" si="64"/>
        <v>0.3</v>
      </c>
      <c r="AE246" s="166">
        <f t="shared" si="64"/>
        <v>0.3</v>
      </c>
      <c r="AF246" s="166">
        <f t="shared" si="64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62"/>
        <v>0.4</v>
      </c>
      <c r="C247" s="152">
        <v>0.4</v>
      </c>
      <c r="D247" s="152">
        <f t="shared" si="63"/>
        <v>0.4</v>
      </c>
      <c r="E247" s="152">
        <f t="shared" si="63"/>
        <v>0.4</v>
      </c>
      <c r="F247" s="152">
        <f t="shared" si="63"/>
        <v>0.4</v>
      </c>
      <c r="G247" s="152">
        <f t="shared" si="63"/>
        <v>0.4</v>
      </c>
      <c r="H247" s="152">
        <f t="shared" si="63"/>
        <v>0.4</v>
      </c>
      <c r="I247" s="152">
        <f t="shared" si="63"/>
        <v>0.4</v>
      </c>
      <c r="J247" s="152">
        <f t="shared" si="63"/>
        <v>0.4</v>
      </c>
      <c r="K247" s="152">
        <f t="shared" si="63"/>
        <v>0.4</v>
      </c>
      <c r="L247" s="152">
        <f t="shared" si="63"/>
        <v>0.4</v>
      </c>
      <c r="M247" s="152">
        <f t="shared" si="63"/>
        <v>0.4</v>
      </c>
      <c r="N247" s="152">
        <f t="shared" si="63"/>
        <v>0.4</v>
      </c>
      <c r="O247" s="152">
        <f t="shared" si="63"/>
        <v>0.4</v>
      </c>
      <c r="P247" s="152">
        <f t="shared" si="63"/>
        <v>0.4</v>
      </c>
      <c r="Q247" s="152">
        <f t="shared" si="63"/>
        <v>0.4</v>
      </c>
      <c r="R247" s="152">
        <f t="shared" si="63"/>
        <v>0.4</v>
      </c>
      <c r="S247" s="152">
        <f t="shared" si="63"/>
        <v>0.4</v>
      </c>
      <c r="T247" s="152">
        <f t="shared" si="64"/>
        <v>0.4</v>
      </c>
      <c r="U247" s="152">
        <f t="shared" si="64"/>
        <v>0.4</v>
      </c>
      <c r="V247" s="152">
        <f t="shared" si="64"/>
        <v>0.4</v>
      </c>
      <c r="W247" s="152">
        <f t="shared" si="64"/>
        <v>0.4</v>
      </c>
      <c r="X247" s="152">
        <f t="shared" si="64"/>
        <v>0.4</v>
      </c>
      <c r="Y247" s="152">
        <f t="shared" si="64"/>
        <v>0.4</v>
      </c>
      <c r="Z247" s="152">
        <f t="shared" si="64"/>
        <v>0.4</v>
      </c>
      <c r="AA247" s="152">
        <f t="shared" si="64"/>
        <v>0.4</v>
      </c>
      <c r="AB247" s="152">
        <f t="shared" si="64"/>
        <v>0.4</v>
      </c>
      <c r="AC247" s="152">
        <f t="shared" si="64"/>
        <v>0.4</v>
      </c>
      <c r="AD247" s="152">
        <f t="shared" si="64"/>
        <v>0.4</v>
      </c>
      <c r="AE247" s="152">
        <f t="shared" si="64"/>
        <v>0.4</v>
      </c>
      <c r="AF247" s="152">
        <f t="shared" si="64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62"/>
        <v>1.5</v>
      </c>
      <c r="C248" s="152">
        <v>1.5</v>
      </c>
      <c r="D248" s="152">
        <f t="shared" si="63"/>
        <v>1.5</v>
      </c>
      <c r="E248" s="152">
        <f t="shared" si="63"/>
        <v>1.5</v>
      </c>
      <c r="F248" s="152">
        <f t="shared" si="63"/>
        <v>1.5</v>
      </c>
      <c r="G248" s="152">
        <f t="shared" si="63"/>
        <v>1.5</v>
      </c>
      <c r="H248" s="152">
        <f t="shared" si="63"/>
        <v>1.5</v>
      </c>
      <c r="I248" s="152">
        <f t="shared" si="63"/>
        <v>1.5</v>
      </c>
      <c r="J248" s="152">
        <f t="shared" si="63"/>
        <v>1.5</v>
      </c>
      <c r="K248" s="152">
        <f t="shared" si="63"/>
        <v>1.5</v>
      </c>
      <c r="L248" s="152">
        <f t="shared" si="63"/>
        <v>1.5</v>
      </c>
      <c r="M248" s="152">
        <f t="shared" si="63"/>
        <v>1.5</v>
      </c>
      <c r="N248" s="152">
        <f t="shared" si="63"/>
        <v>1.5</v>
      </c>
      <c r="O248" s="152">
        <f t="shared" si="63"/>
        <v>1.5</v>
      </c>
      <c r="P248" s="152">
        <f t="shared" si="63"/>
        <v>1.5</v>
      </c>
      <c r="Q248" s="152">
        <f t="shared" si="63"/>
        <v>1.5</v>
      </c>
      <c r="R248" s="152">
        <f t="shared" si="63"/>
        <v>1.5</v>
      </c>
      <c r="S248" s="152">
        <f t="shared" si="63"/>
        <v>1.5</v>
      </c>
      <c r="T248" s="152">
        <f t="shared" si="64"/>
        <v>1.5</v>
      </c>
      <c r="U248" s="152">
        <f t="shared" si="64"/>
        <v>1.5</v>
      </c>
      <c r="V248" s="152">
        <f t="shared" si="64"/>
        <v>1.5</v>
      </c>
      <c r="W248" s="152">
        <f t="shared" si="64"/>
        <v>1.5</v>
      </c>
      <c r="X248" s="152">
        <f t="shared" si="64"/>
        <v>1.5</v>
      </c>
      <c r="Y248" s="152">
        <f t="shared" si="64"/>
        <v>1.5</v>
      </c>
      <c r="Z248" s="152">
        <f t="shared" si="64"/>
        <v>1.5</v>
      </c>
      <c r="AA248" s="152">
        <f t="shared" si="64"/>
        <v>1.5</v>
      </c>
      <c r="AB248" s="152">
        <f t="shared" si="64"/>
        <v>1.5</v>
      </c>
      <c r="AC248" s="152">
        <f t="shared" si="64"/>
        <v>1.5</v>
      </c>
      <c r="AD248" s="152">
        <f t="shared" si="64"/>
        <v>1.5</v>
      </c>
      <c r="AE248" s="152">
        <f t="shared" si="64"/>
        <v>1.5</v>
      </c>
      <c r="AF248" s="152">
        <f t="shared" si="64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62"/>
        <v>0.3</v>
      </c>
      <c r="C249" s="152">
        <v>0.3</v>
      </c>
      <c r="D249" s="152">
        <f t="shared" si="63"/>
        <v>0.3</v>
      </c>
      <c r="E249" s="152">
        <f t="shared" si="63"/>
        <v>0.3</v>
      </c>
      <c r="F249" s="152">
        <f t="shared" si="63"/>
        <v>0.3</v>
      </c>
      <c r="G249" s="152">
        <f t="shared" si="63"/>
        <v>0.3</v>
      </c>
      <c r="H249" s="152">
        <f t="shared" si="63"/>
        <v>0.3</v>
      </c>
      <c r="I249" s="152">
        <f t="shared" si="63"/>
        <v>0.3</v>
      </c>
      <c r="J249" s="152">
        <f t="shared" si="63"/>
        <v>0.3</v>
      </c>
      <c r="K249" s="152">
        <f t="shared" si="63"/>
        <v>0.3</v>
      </c>
      <c r="L249" s="152">
        <f t="shared" si="63"/>
        <v>0.3</v>
      </c>
      <c r="M249" s="152">
        <f t="shared" si="63"/>
        <v>0.3</v>
      </c>
      <c r="N249" s="152">
        <f t="shared" si="63"/>
        <v>0.3</v>
      </c>
      <c r="O249" s="152">
        <f t="shared" si="63"/>
        <v>0.3</v>
      </c>
      <c r="P249" s="152">
        <f t="shared" si="63"/>
        <v>0.3</v>
      </c>
      <c r="Q249" s="152">
        <f t="shared" si="63"/>
        <v>0.3</v>
      </c>
      <c r="R249" s="152">
        <f t="shared" si="63"/>
        <v>0.3</v>
      </c>
      <c r="S249" s="152">
        <f t="shared" si="63"/>
        <v>0.3</v>
      </c>
      <c r="T249" s="152">
        <f t="shared" si="64"/>
        <v>0.3</v>
      </c>
      <c r="U249" s="152">
        <f t="shared" si="64"/>
        <v>0.3</v>
      </c>
      <c r="V249" s="152">
        <f t="shared" si="64"/>
        <v>0.3</v>
      </c>
      <c r="W249" s="152">
        <f t="shared" si="64"/>
        <v>0.3</v>
      </c>
      <c r="X249" s="152">
        <f t="shared" si="64"/>
        <v>0.3</v>
      </c>
      <c r="Y249" s="152">
        <f t="shared" si="64"/>
        <v>0.3</v>
      </c>
      <c r="Z249" s="152">
        <f t="shared" si="64"/>
        <v>0.3</v>
      </c>
      <c r="AA249" s="152">
        <f t="shared" si="64"/>
        <v>0.3</v>
      </c>
      <c r="AB249" s="152">
        <f t="shared" si="64"/>
        <v>0.3</v>
      </c>
      <c r="AC249" s="152">
        <f t="shared" si="64"/>
        <v>0.3</v>
      </c>
      <c r="AD249" s="152">
        <f t="shared" si="64"/>
        <v>0.3</v>
      </c>
      <c r="AE249" s="152">
        <f t="shared" si="64"/>
        <v>0.3</v>
      </c>
      <c r="AF249" s="152">
        <f t="shared" si="64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62"/>
        <v>0.4</v>
      </c>
      <c r="C250" s="152">
        <v>0.4</v>
      </c>
      <c r="D250" s="152">
        <f t="shared" si="63"/>
        <v>0.4</v>
      </c>
      <c r="E250" s="152">
        <f t="shared" si="63"/>
        <v>0.4</v>
      </c>
      <c r="F250" s="152">
        <f t="shared" si="63"/>
        <v>0.4</v>
      </c>
      <c r="G250" s="152">
        <f t="shared" si="63"/>
        <v>0.4</v>
      </c>
      <c r="H250" s="152">
        <f t="shared" si="63"/>
        <v>0.4</v>
      </c>
      <c r="I250" s="152">
        <f t="shared" si="63"/>
        <v>0.4</v>
      </c>
      <c r="J250" s="152">
        <f t="shared" si="63"/>
        <v>0.4</v>
      </c>
      <c r="K250" s="152">
        <f t="shared" si="63"/>
        <v>0.4</v>
      </c>
      <c r="L250" s="152">
        <f t="shared" si="63"/>
        <v>0.4</v>
      </c>
      <c r="M250" s="152">
        <f t="shared" si="63"/>
        <v>0.4</v>
      </c>
      <c r="N250" s="152">
        <f t="shared" si="63"/>
        <v>0.4</v>
      </c>
      <c r="O250" s="152">
        <f t="shared" si="63"/>
        <v>0.4</v>
      </c>
      <c r="P250" s="152">
        <f t="shared" si="63"/>
        <v>0.4</v>
      </c>
      <c r="Q250" s="152">
        <f t="shared" si="63"/>
        <v>0.4</v>
      </c>
      <c r="R250" s="152">
        <f t="shared" si="63"/>
        <v>0.4</v>
      </c>
      <c r="S250" s="152">
        <f t="shared" si="63"/>
        <v>0.4</v>
      </c>
      <c r="T250" s="152">
        <f t="shared" si="64"/>
        <v>0.4</v>
      </c>
      <c r="U250" s="152">
        <f t="shared" si="64"/>
        <v>0.4</v>
      </c>
      <c r="V250" s="152">
        <f t="shared" si="64"/>
        <v>0.4</v>
      </c>
      <c r="W250" s="152">
        <f t="shared" si="64"/>
        <v>0.4</v>
      </c>
      <c r="X250" s="152">
        <f t="shared" si="64"/>
        <v>0.4</v>
      </c>
      <c r="Y250" s="152">
        <f t="shared" si="64"/>
        <v>0.4</v>
      </c>
      <c r="Z250" s="152">
        <f t="shared" si="64"/>
        <v>0.4</v>
      </c>
      <c r="AA250" s="152">
        <f t="shared" si="64"/>
        <v>0.4</v>
      </c>
      <c r="AB250" s="152">
        <f t="shared" si="64"/>
        <v>0.4</v>
      </c>
      <c r="AC250" s="152">
        <f t="shared" si="64"/>
        <v>0.4</v>
      </c>
      <c r="AD250" s="152">
        <f t="shared" si="64"/>
        <v>0.4</v>
      </c>
      <c r="AE250" s="152">
        <f t="shared" si="64"/>
        <v>0.4</v>
      </c>
      <c r="AF250" s="152">
        <f t="shared" si="64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62"/>
        <v>0.64</v>
      </c>
      <c r="C251" s="157">
        <v>0.64</v>
      </c>
      <c r="D251" s="157">
        <f t="shared" si="63"/>
        <v>0.64</v>
      </c>
      <c r="E251" s="157">
        <f t="shared" si="63"/>
        <v>0.64</v>
      </c>
      <c r="F251" s="157">
        <f t="shared" si="63"/>
        <v>0.64</v>
      </c>
      <c r="G251" s="157">
        <f t="shared" si="63"/>
        <v>0.64</v>
      </c>
      <c r="H251" s="157">
        <f t="shared" si="63"/>
        <v>0.64</v>
      </c>
      <c r="I251" s="157">
        <f t="shared" si="63"/>
        <v>0.64</v>
      </c>
      <c r="J251" s="157">
        <f t="shared" si="63"/>
        <v>0.64</v>
      </c>
      <c r="K251" s="157">
        <f t="shared" si="63"/>
        <v>0.64</v>
      </c>
      <c r="L251" s="157">
        <f t="shared" si="63"/>
        <v>0.64</v>
      </c>
      <c r="M251" s="157">
        <f t="shared" si="63"/>
        <v>0.64</v>
      </c>
      <c r="N251" s="157">
        <f t="shared" si="63"/>
        <v>0.64</v>
      </c>
      <c r="O251" s="157">
        <f t="shared" si="63"/>
        <v>0.64</v>
      </c>
      <c r="P251" s="157">
        <f t="shared" si="63"/>
        <v>0.64</v>
      </c>
      <c r="Q251" s="157">
        <f t="shared" si="63"/>
        <v>0.64</v>
      </c>
      <c r="R251" s="157">
        <f t="shared" si="63"/>
        <v>0.64</v>
      </c>
      <c r="S251" s="157">
        <f t="shared" si="63"/>
        <v>0.64</v>
      </c>
      <c r="T251" s="157">
        <f t="shared" si="64"/>
        <v>0.64</v>
      </c>
      <c r="U251" s="157">
        <f t="shared" si="64"/>
        <v>0.64</v>
      </c>
      <c r="V251" s="157">
        <f t="shared" si="64"/>
        <v>0.64</v>
      </c>
      <c r="W251" s="157">
        <f t="shared" si="64"/>
        <v>0.64</v>
      </c>
      <c r="X251" s="157">
        <f t="shared" si="64"/>
        <v>0.64</v>
      </c>
      <c r="Y251" s="157">
        <f t="shared" si="64"/>
        <v>0.64</v>
      </c>
      <c r="Z251" s="157">
        <f t="shared" si="64"/>
        <v>0.64</v>
      </c>
      <c r="AA251" s="157">
        <f t="shared" si="64"/>
        <v>0.64</v>
      </c>
      <c r="AB251" s="157">
        <f t="shared" si="64"/>
        <v>0.64</v>
      </c>
      <c r="AC251" s="157">
        <f t="shared" si="64"/>
        <v>0.64</v>
      </c>
      <c r="AD251" s="157">
        <f t="shared" si="64"/>
        <v>0.64</v>
      </c>
      <c r="AE251" s="157">
        <f t="shared" si="64"/>
        <v>0.64</v>
      </c>
      <c r="AF251" s="157">
        <f t="shared" si="64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65">SUM(B246:B251)</f>
        <v>3.54</v>
      </c>
      <c r="C252" s="161">
        <f t="shared" si="65"/>
        <v>3.54</v>
      </c>
      <c r="D252" s="161">
        <f t="shared" si="65"/>
        <v>3.54</v>
      </c>
      <c r="E252" s="161">
        <f t="shared" si="65"/>
        <v>3.54</v>
      </c>
      <c r="F252" s="161">
        <f t="shared" si="65"/>
        <v>3.54</v>
      </c>
      <c r="G252" s="161">
        <f t="shared" si="65"/>
        <v>3.54</v>
      </c>
      <c r="H252" s="161">
        <f t="shared" si="65"/>
        <v>3.54</v>
      </c>
      <c r="I252" s="161">
        <f t="shared" si="65"/>
        <v>3.54</v>
      </c>
      <c r="J252" s="161">
        <f t="shared" si="65"/>
        <v>3.54</v>
      </c>
      <c r="K252" s="161">
        <f t="shared" si="65"/>
        <v>3.54</v>
      </c>
      <c r="L252" s="161">
        <f t="shared" si="65"/>
        <v>3.54</v>
      </c>
      <c r="M252" s="161">
        <f t="shared" si="65"/>
        <v>3.54</v>
      </c>
      <c r="N252" s="161">
        <f t="shared" si="65"/>
        <v>3.54</v>
      </c>
      <c r="O252" s="161">
        <f t="shared" si="65"/>
        <v>3.54</v>
      </c>
      <c r="P252" s="161">
        <f t="shared" si="65"/>
        <v>3.54</v>
      </c>
      <c r="Q252" s="161">
        <f t="shared" si="65"/>
        <v>3.54</v>
      </c>
      <c r="R252" s="161">
        <f t="shared" si="65"/>
        <v>3.54</v>
      </c>
      <c r="S252" s="161">
        <f t="shared" si="65"/>
        <v>3.54</v>
      </c>
      <c r="T252" s="161">
        <f t="shared" si="65"/>
        <v>3.54</v>
      </c>
      <c r="U252" s="161">
        <f t="shared" si="65"/>
        <v>3.54</v>
      </c>
      <c r="V252" s="161">
        <f t="shared" si="65"/>
        <v>3.54</v>
      </c>
      <c r="W252" s="161">
        <f t="shared" si="65"/>
        <v>3.54</v>
      </c>
      <c r="X252" s="161">
        <f t="shared" si="65"/>
        <v>3.54</v>
      </c>
      <c r="Y252" s="161">
        <f t="shared" si="65"/>
        <v>3.54</v>
      </c>
      <c r="Z252" s="161">
        <f t="shared" si="65"/>
        <v>3.54</v>
      </c>
      <c r="AA252" s="161">
        <f t="shared" si="65"/>
        <v>3.54</v>
      </c>
      <c r="AB252" s="161">
        <f t="shared" si="65"/>
        <v>3.54</v>
      </c>
      <c r="AC252" s="161">
        <f t="shared" si="65"/>
        <v>3.54</v>
      </c>
      <c r="AD252" s="161">
        <f t="shared" si="65"/>
        <v>3.54</v>
      </c>
      <c r="AE252" s="161">
        <f t="shared" si="65"/>
        <v>3.54</v>
      </c>
      <c r="AF252" s="161">
        <f t="shared" si="65"/>
        <v>3.54</v>
      </c>
      <c r="AG252" s="171">
        <f t="shared" si="65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1622.94</v>
      </c>
      <c r="C256" s="174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637" priority="119">
      <formula>$AH11=0</formula>
    </cfRule>
  </conditionalFormatting>
  <conditionalFormatting sqref="A132:A253">
    <cfRule type="expression" dxfId="4636" priority="120">
      <formula>$AH132=0</formula>
    </cfRule>
  </conditionalFormatting>
  <conditionalFormatting sqref="B8">
    <cfRule type="expression" dxfId="4635" priority="174">
      <formula>AND(C$9&gt;=14/24,C$9&lt;20/24)</formula>
    </cfRule>
    <cfRule type="expression" dxfId="4634" priority="175">
      <formula>AND(C$9&gt;=8/24,C$9&lt;14/24)</formula>
    </cfRule>
    <cfRule type="expression" dxfId="4633" priority="176">
      <formula>C$9&lt;8/24</formula>
    </cfRule>
    <cfRule type="expression" dxfId="4632" priority="177">
      <formula>C$9&gt;=20/24</formula>
    </cfRule>
  </conditionalFormatting>
  <conditionalFormatting sqref="B12:L55 M36:AF55 M12:AA35 M57:AD74 D58:L74 B58:C80">
    <cfRule type="expression" dxfId="4631" priority="4">
      <formula>B12&gt;$AG12</formula>
    </cfRule>
  </conditionalFormatting>
  <conditionalFormatting sqref="B57:L57">
    <cfRule type="expression" dxfId="4630" priority="18">
      <formula>B57&gt;$AG57</formula>
    </cfRule>
  </conditionalFormatting>
  <conditionalFormatting sqref="B59:L68">
    <cfRule type="expression" dxfId="4629" priority="22">
      <formula>B$9&gt;=20/24</formula>
    </cfRule>
    <cfRule type="expression" dxfId="4628" priority="23">
      <formula>AND(B$9&gt;=14/24,B$9&lt;20/24)</formula>
    </cfRule>
    <cfRule type="expression" dxfId="4627" priority="24">
      <formula>AND(B$9&gt;=8/24,B$9&lt;14/24)</formula>
    </cfRule>
    <cfRule type="expression" dxfId="4626" priority="25">
      <formula>B$9&lt;8/24</formula>
    </cfRule>
  </conditionalFormatting>
  <conditionalFormatting sqref="B56:Q56 R56:AF57">
    <cfRule type="expression" dxfId="4625" priority="76">
      <formula>B$9&gt;=20/24</formula>
    </cfRule>
    <cfRule type="expression" dxfId="4624" priority="77">
      <formula>AND(B$9&gt;=14/24,B$9&lt;20/24)</formula>
    </cfRule>
    <cfRule type="expression" dxfId="4623" priority="78">
      <formula>AND(B$9&gt;=8/24,B$9&lt;14/24)</formula>
    </cfRule>
    <cfRule type="expression" dxfId="4622" priority="83">
      <formula>B$9&lt;8/24</formula>
    </cfRule>
  </conditionalFormatting>
  <conditionalFormatting sqref="B57:Q57">
    <cfRule type="expression" dxfId="4621" priority="19">
      <formula>B$9&gt;=20/24</formula>
    </cfRule>
    <cfRule type="expression" dxfId="4620" priority="20">
      <formula>AND(B$9&gt;=14/24,B$9&lt;20/24)</formula>
    </cfRule>
    <cfRule type="expression" dxfId="4619" priority="21">
      <formula>AND(B$9&gt;=8/24,B$9&lt;14/24)</formula>
    </cfRule>
    <cfRule type="expression" dxfId="4618" priority="30">
      <formula>B$9&lt;8/24</formula>
    </cfRule>
  </conditionalFormatting>
  <conditionalFormatting sqref="B11:AD11">
    <cfRule type="expression" dxfId="4617" priority="13">
      <formula>B11&gt;$AG11</formula>
    </cfRule>
    <cfRule type="expression" dxfId="4616" priority="14">
      <formula>B$9&gt;=20/24</formula>
    </cfRule>
    <cfRule type="expression" dxfId="4615" priority="15">
      <formula>AND(B$9&gt;=14/24,B$9&lt;20/24)</formula>
    </cfRule>
    <cfRule type="expression" dxfId="4614" priority="16">
      <formula>AND(B$9&gt;=8/24,B$9&lt;14/24)</formula>
    </cfRule>
    <cfRule type="expression" dxfId="4613" priority="17">
      <formula>B$9&lt;8/24</formula>
    </cfRule>
  </conditionalFormatting>
  <conditionalFormatting sqref="B9:AF10 AB17:AF35 N69:AF74 D77:D91 E77:AF99 C92:D99 B244:AF244 B246:B252">
    <cfRule type="expression" dxfId="4612" priority="72">
      <formula>AND(B$9&gt;=14/24,B$9&lt;20/24)</formula>
    </cfRule>
    <cfRule type="expression" dxfId="4611" priority="73">
      <formula>AND(B$9&gt;=8/24,B$9&lt;14/24)</formula>
    </cfRule>
    <cfRule type="expression" dxfId="4610" priority="74">
      <formula>B$9&lt;8/24</formula>
    </cfRule>
  </conditionalFormatting>
  <conditionalFormatting sqref="B53:AF54">
    <cfRule type="expression" dxfId="4609" priority="1">
      <formula>B$9&gt;=20/24</formula>
    </cfRule>
    <cfRule type="expression" dxfId="4608" priority="2">
      <formula>AND(B$9&gt;=14/24,B$9&lt;20/24)</formula>
    </cfRule>
    <cfRule type="expression" dxfId="4607" priority="3">
      <formula>AND(B$9&gt;=8/24,B$9&lt;14/24)</formula>
    </cfRule>
  </conditionalFormatting>
  <conditionalFormatting sqref="B53:AF55">
    <cfRule type="expression" dxfId="4606" priority="12">
      <formula>B$9&lt;8/24</formula>
    </cfRule>
  </conditionalFormatting>
  <conditionalFormatting sqref="B55:AF55">
    <cfRule type="expression" dxfId="4605" priority="9">
      <formula>B$9&gt;=20/24</formula>
    </cfRule>
    <cfRule type="expression" dxfId="4604" priority="10">
      <formula>AND(B$9&gt;=14/24,B$9&lt;20/24)</formula>
    </cfRule>
    <cfRule type="expression" dxfId="4603" priority="11">
      <formula>AND(B$9&gt;=8/24,B$9&lt;14/24)</formula>
    </cfRule>
  </conditionalFormatting>
  <conditionalFormatting sqref="D246:AF252">
    <cfRule type="expression" dxfId="4602" priority="159">
      <formula>D$9&gt;=20/24</formula>
    </cfRule>
    <cfRule type="expression" dxfId="4601" priority="160">
      <formula>AND(D$9&gt;=14/24,D$9&lt;20/24)</formula>
    </cfRule>
    <cfRule type="expression" dxfId="4600" priority="161">
      <formula>AND(D$9&gt;=8/24,D$9&lt;14/24)</formula>
    </cfRule>
    <cfRule type="expression" dxfId="4599" priority="162">
      <formula>D$9&lt;8/24</formula>
    </cfRule>
  </conditionalFormatting>
  <conditionalFormatting sqref="M8 S8 AB8">
    <cfRule type="expression" dxfId="4598" priority="166">
      <formula>AND(N$9&gt;=14/24,N$9&lt;20/24)</formula>
    </cfRule>
    <cfRule type="expression" dxfId="4597" priority="167">
      <formula>AND(N$9&gt;=8/24,N$9&lt;14/24)</formula>
    </cfRule>
    <cfRule type="expression" dxfId="4596" priority="168">
      <formula>N$9&lt;8/24</formula>
    </cfRule>
  </conditionalFormatting>
  <conditionalFormatting sqref="M63:Z68">
    <cfRule type="expression" dxfId="4595" priority="107">
      <formula>M$9&gt;=20/24</formula>
    </cfRule>
    <cfRule type="expression" dxfId="4594" priority="108">
      <formula>AND(M$9&gt;=14/24,M$9&lt;20/24)</formula>
    </cfRule>
    <cfRule type="expression" dxfId="4593" priority="109">
      <formula>AND(M$9&gt;=8/24,M$9&lt;14/24)</formula>
    </cfRule>
    <cfRule type="expression" dxfId="4592" priority="110">
      <formula>M$9&lt;8/24</formula>
    </cfRule>
  </conditionalFormatting>
  <conditionalFormatting sqref="M12:AA35 B12:L52 M36:AF52 B69:M74 C77:C91 B77:B99 B101:AF117 B119:AF137">
    <cfRule type="expression" dxfId="4591" priority="5">
      <formula>B$9&gt;=20/24</formula>
    </cfRule>
    <cfRule type="expression" dxfId="4590" priority="6">
      <formula>AND(B$9&gt;=14/24,B$9&lt;20/24)</formula>
    </cfRule>
    <cfRule type="expression" dxfId="4589" priority="7">
      <formula>AND(B$9&gt;=8/24,B$9&lt;14/24)</formula>
    </cfRule>
    <cfRule type="expression" dxfId="4588" priority="8">
      <formula>B$9&lt;8/24</formula>
    </cfRule>
  </conditionalFormatting>
  <conditionalFormatting sqref="M59:AF62">
    <cfRule type="expression" dxfId="4587" priority="97">
      <formula>M$9&gt;=20/24</formula>
    </cfRule>
    <cfRule type="expression" dxfId="4586" priority="98">
      <formula>AND(M$9&gt;=14/24,M$9&lt;20/24)</formula>
    </cfRule>
    <cfRule type="expression" dxfId="4585" priority="99">
      <formula>AND(M$9&gt;=8/24,M$9&lt;14/24)</formula>
    </cfRule>
    <cfRule type="expression" dxfId="4584" priority="100">
      <formula>M$9&lt;8/24</formula>
    </cfRule>
  </conditionalFormatting>
  <conditionalFormatting sqref="O3:P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583" priority="165">
      <formula>N$9&gt;=20/24</formula>
    </cfRule>
  </conditionalFormatting>
  <conditionalFormatting sqref="S8">
    <cfRule type="expression" dxfId="4582" priority="152">
      <formula>U$9&gt;=20/24</formula>
    </cfRule>
    <cfRule type="expression" dxfId="4581" priority="153">
      <formula>AND(U$9&gt;=14/24,U$9&lt;20/24)</formula>
    </cfRule>
    <cfRule type="expression" dxfId="4580" priority="154">
      <formula>AND(U$9&gt;=8/24,U$9&lt;14/24)</formula>
    </cfRule>
    <cfRule type="expression" dxfId="4579" priority="155">
      <formula>U$9&lt;8/24</formula>
    </cfRule>
  </conditionalFormatting>
  <conditionalFormatting sqref="T63:AF68">
    <cfRule type="expression" dxfId="4578" priority="101">
      <formula>T$9&gt;=20/24</formula>
    </cfRule>
    <cfRule type="expression" dxfId="4577" priority="102">
      <formula>AND(T$9&gt;=14/24,T$9&lt;20/24)</formula>
    </cfRule>
    <cfRule type="expression" dxfId="4576" priority="103">
      <formula>AND(T$9&gt;=8/24,T$9&lt;14/24)</formula>
    </cfRule>
    <cfRule type="expression" dxfId="4575" priority="104">
      <formula>T$9&lt;8/24</formula>
    </cfRule>
  </conditionalFormatting>
  <conditionalFormatting sqref="V3 AB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574" priority="148">
      <formula>AD$9&gt;=20/24</formula>
    </cfRule>
    <cfRule type="expression" dxfId="4573" priority="149">
      <formula>AND(AD$9&gt;=14/24,AD$9&lt;20/24)</formula>
    </cfRule>
    <cfRule type="expression" dxfId="4572" priority="150">
      <formula>AND(AD$9&gt;=8/24,AD$9&lt;14/24)</formula>
    </cfRule>
    <cfRule type="expression" dxfId="4571" priority="151">
      <formula>AD$9&lt;8/24</formula>
    </cfRule>
  </conditionalFormatting>
  <conditionalFormatting sqref="AB17:AF35 B56:AD56 AE56:AF74 AG62 D75:AF80 AG80">
    <cfRule type="expression" dxfId="4570" priority="70">
      <formula>B17&gt;$AG17</formula>
    </cfRule>
  </conditionalFormatting>
  <conditionalFormatting sqref="AB17:AF35 N69:AF74 D77:D91 E77:AF99 B9:AF10 C92:D99 B244:AF244 B246:B252">
    <cfRule type="expression" dxfId="4569" priority="71">
      <formula>B$9&gt;=20/24</formula>
    </cfRule>
  </conditionalFormatting>
  <conditionalFormatting sqref="AE11:AF16 AB12:AD16">
    <cfRule type="expression" dxfId="4568" priority="88">
      <formula>AB11&gt;$AG11</formula>
    </cfRule>
    <cfRule type="expression" dxfId="4567" priority="89">
      <formula>AB$9&gt;=20/24</formula>
    </cfRule>
    <cfRule type="expression" dxfId="4566" priority="90">
      <formula>AND(AB$9&gt;=14/24,AB$9&lt;20/24)</formula>
    </cfRule>
    <cfRule type="expression" dxfId="4565" priority="91">
      <formula>AND(AB$9&gt;=8/24,AB$9&lt;14/24)</formula>
    </cfRule>
    <cfRule type="expression" dxfId="4564" priority="92">
      <formula>AB$9&lt;8/24</formula>
    </cfRule>
  </conditionalFormatting>
  <conditionalFormatting sqref="AG58">
    <cfRule type="expression" dxfId="4563" priority="143">
      <formula>AG58&gt;$AG58</formula>
    </cfRule>
  </conditionalFormatting>
  <conditionalFormatting sqref="AG62">
    <cfRule type="expression" dxfId="4562" priority="126">
      <formula>AG$9&gt;=20/24</formula>
    </cfRule>
    <cfRule type="expression" dxfId="4561" priority="127">
      <formula>AND(AG$9&gt;=14/24,AG$9&lt;20/24)</formula>
    </cfRule>
    <cfRule type="expression" dxfId="4560" priority="128">
      <formula>AND(AG$9&gt;=8/24,AG$9&lt;14/24)</formula>
    </cfRule>
    <cfRule type="expression" dxfId="4559" priority="129">
      <formula>AG$9&lt;8/24</formula>
    </cfRule>
  </conditionalFormatting>
  <conditionalFormatting sqref="AG75:AG76">
    <cfRule type="expression" dxfId="4558" priority="121">
      <formula>AG75&gt;$AG75</formula>
    </cfRule>
  </conditionalFormatting>
  <conditionalFormatting sqref="AG80">
    <cfRule type="expression" dxfId="4557" priority="122">
      <formula>AG$9&gt;=20/24</formula>
    </cfRule>
    <cfRule type="expression" dxfId="4556" priority="123">
      <formula>AND(AG$9&gt;=14/24,AG$9&lt;20/24)</formula>
    </cfRule>
    <cfRule type="expression" dxfId="4555" priority="124">
      <formula>AND(AG$9&gt;=8/24,AG$9&lt;14/24)</formula>
    </cfRule>
    <cfRule type="expression" dxfId="4554" priority="125">
      <formula>AG$9&lt;8/24</formula>
    </cfRule>
  </conditionalFormatting>
  <conditionalFormatting sqref="AG97">
    <cfRule type="expression" dxfId="4553" priority="144">
      <formula>AG$9&gt;=20/24</formula>
    </cfRule>
    <cfRule type="expression" dxfId="4552" priority="145">
      <formula>AND(AG$9&gt;=14/24,AG$9&lt;20/24)</formula>
    </cfRule>
    <cfRule type="expression" dxfId="4551" priority="146">
      <formula>AND(AG$9&gt;=8/24,AG$9&lt;14/24)</formula>
    </cfRule>
    <cfRule type="expression" dxfId="4550" priority="147">
      <formula>AG$9&lt;8/24</formula>
    </cfRule>
  </conditionalFormatting>
  <conditionalFormatting sqref="AL4:AL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549" priority="169">
      <formula>AJ$9&gt;=20/24</formula>
    </cfRule>
    <cfRule type="expression" dxfId="4548" priority="170">
      <formula>AND(AJ$9&gt;=14/24,AJ$9&lt;20/24)</formula>
    </cfRule>
    <cfRule type="expression" dxfId="4547" priority="171">
      <formula>AND(AJ$9&gt;=8/24,AJ$9&lt;14/24)</formula>
    </cfRule>
    <cfRule type="expression" dxfId="4546" priority="172">
      <formula>AJ$9&lt;8/24</formula>
    </cfRule>
  </conditionalFormatting>
  <conditionalFormatting sqref="AL88:AN88 AL94:AN94">
    <cfRule type="expression" dxfId="4545" priority="136">
      <formula>AL$9&gt;=20/24</formula>
    </cfRule>
    <cfRule type="expression" dxfId="4544" priority="137">
      <formula>AND(AL$9&gt;=14/24,AL$9&lt;20/24)</formula>
    </cfRule>
    <cfRule type="expression" dxfId="4543" priority="138">
      <formula>AND(AL$9&gt;=8/24,AL$9&lt;14/24)</formula>
    </cfRule>
    <cfRule type="expression" dxfId="4542" priority="139">
      <formula>AL$9&lt;8/24</formula>
    </cfRule>
  </conditionalFormatting>
  <conditionalFormatting sqref="AM15:AM21 AN16:AR21">
    <cfRule type="expression" dxfId="4541" priority="43">
      <formula>AX$9&gt;=20/24</formula>
    </cfRule>
    <cfRule type="expression" dxfId="4540" priority="44">
      <formula>AND(AX$9&gt;=14/24,AX$9&lt;20/24)</formula>
    </cfRule>
    <cfRule type="expression" dxfId="4539" priority="45">
      <formula>AND(AX$9&gt;=8/24,AX$9&lt;14/24)</formula>
    </cfRule>
    <cfRule type="expression" dxfId="4538" priority="46">
      <formula>AX$9&lt;8/24</formula>
    </cfRule>
  </conditionalFormatting>
  <conditionalFormatting sqref="AN89:AN92">
    <cfRule type="expression" dxfId="4537" priority="132">
      <formula>AN$9&gt;=20/24</formula>
    </cfRule>
    <cfRule type="expression" dxfId="4536" priority="133">
      <formula>AND(AN$9&gt;=14/24,AN$9&lt;20/24)</formula>
    </cfRule>
    <cfRule type="expression" dxfId="4535" priority="134">
      <formula>AND(AN$9&gt;=8/24,AN$9&lt;14/24)</formula>
    </cfRule>
    <cfRule type="expression" dxfId="4534" priority="135">
      <formula>AN$9&lt;8/24</formula>
    </cfRule>
  </conditionalFormatting>
  <conditionalFormatting sqref="AN15:AR15">
    <cfRule type="expression" dxfId="4533" priority="31">
      <formula>U$9&gt;=20/24</formula>
    </cfRule>
    <cfRule type="expression" dxfId="4532" priority="32">
      <formula>AND(U$9&gt;=14/24,U$9&lt;20/24)</formula>
    </cfRule>
    <cfRule type="expression" dxfId="4531" priority="33">
      <formula>AND(U$9&gt;=8/24,U$9&lt;14/24)</formula>
    </cfRule>
    <cfRule type="expression" dxfId="4530" priority="34">
      <formula>U$9&lt;8/24</formula>
    </cfRule>
  </conditionalFormatting>
  <conditionalFormatting sqref="AS15">
    <cfRule type="expression" dxfId="4529" priority="39">
      <formula>AA$9&gt;=20/24</formula>
    </cfRule>
    <cfRule type="expression" dxfId="4528" priority="40">
      <formula>AND(AA$9&gt;=14/24,AA$9&lt;20/24)</formula>
    </cfRule>
    <cfRule type="expression" dxfId="4527" priority="41">
      <formula>AND(AA$9&gt;=8/24,AA$9&lt;14/24)</formula>
    </cfRule>
    <cfRule type="expression" dxfId="4526" priority="42">
      <formula>AA$9&lt;8/24</formula>
    </cfRule>
  </conditionalFormatting>
  <conditionalFormatting sqref="AS16:AS21">
    <cfRule type="expression" dxfId="4525" priority="47">
      <formula>BE$9&gt;=20/24</formula>
    </cfRule>
    <cfRule type="expression" dxfId="4524" priority="48">
      <formula>AND(BE$9&gt;=14/24,BE$9&lt;20/24)</formula>
    </cfRule>
    <cfRule type="expression" dxfId="4523" priority="49">
      <formula>AND(BE$9&gt;=8/24,BE$9&lt;14/24)</formula>
    </cfRule>
    <cfRule type="expression" dxfId="4522" priority="50">
      <formula>BE$9&lt;8/24</formula>
    </cfRule>
  </conditionalFormatting>
  <conditionalFormatting sqref="AT15 AX15:BJ15">
    <cfRule type="expression" dxfId="4521" priority="51">
      <formula>AC$9&gt;=20/24</formula>
    </cfRule>
    <cfRule type="expression" dxfId="4520" priority="52">
      <formula>AND(AC$9&gt;=14/24,AC$9&lt;20/24)</formula>
    </cfRule>
    <cfRule type="expression" dxfId="4519" priority="53">
      <formula>AND(AC$9&gt;=8/24,AC$9&lt;14/24)</formula>
    </cfRule>
    <cfRule type="expression" dxfId="4518" priority="54">
      <formula>AC$9&lt;8/24</formula>
    </cfRule>
  </conditionalFormatting>
  <conditionalFormatting sqref="AT16:AT21">
    <cfRule type="expression" dxfId="4517" priority="55">
      <formula>BG$9&gt;=20/24</formula>
    </cfRule>
    <cfRule type="expression" dxfId="4516" priority="56">
      <formula>AND(BG$9&gt;=14/24,BG$9&lt;20/24)</formula>
    </cfRule>
    <cfRule type="expression" dxfId="4515" priority="57">
      <formula>AND(BG$9&gt;=8/24,BG$9&lt;14/24)</formula>
    </cfRule>
    <cfRule type="expression" dxfId="4514" priority="58">
      <formula>BG$9&lt;8/24</formula>
    </cfRule>
  </conditionalFormatting>
  <conditionalFormatting sqref="AU15:AV15">
    <cfRule type="expression" dxfId="4513" priority="59">
      <formula>AE$9&gt;=20/24</formula>
    </cfRule>
    <cfRule type="expression" dxfId="4512" priority="60">
      <formula>AND(AE$9&gt;=14/24,AE$9&lt;20/24)</formula>
    </cfRule>
    <cfRule type="expression" dxfId="4511" priority="61">
      <formula>AND(AE$9&gt;=8/24,AE$9&lt;14/24)</formula>
    </cfRule>
    <cfRule type="expression" dxfId="4510" priority="62">
      <formula>AE$9&lt;8/24</formula>
    </cfRule>
  </conditionalFormatting>
  <conditionalFormatting sqref="AU16:BJ21">
    <cfRule type="expression" dxfId="4509" priority="63">
      <formula>BI$9&gt;=20/24</formula>
    </cfRule>
    <cfRule type="expression" dxfId="4508" priority="64">
      <formula>AND(BI$9&gt;=14/24,BI$9&lt;20/24)</formula>
    </cfRule>
    <cfRule type="expression" dxfId="4507" priority="65">
      <formula>AND(BI$9&gt;=8/24,BI$9&lt;14/24)</formula>
    </cfRule>
    <cfRule type="expression" dxfId="4506" priority="66">
      <formula>BI$9&lt;8/24</formula>
    </cfRule>
  </conditionalFormatting>
  <conditionalFormatting sqref="AW15">
    <cfRule type="expression" dxfId="4505" priority="35">
      <formula>B$9&gt;=20/24</formula>
    </cfRule>
    <cfRule type="expression" dxfId="4504" priority="36">
      <formula>AND(B$9&gt;=14/24,B$9&lt;20/24)</formula>
    </cfRule>
    <cfRule type="expression" dxfId="4503" priority="37">
      <formula>AND(B$9&gt;=8/24,B$9&lt;14/24)</formula>
    </cfRule>
    <cfRule type="expression" dxfId="4502" priority="3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FCE9-EEC2-413E-BFD2-D6268EE7DB18}">
  <sheetPr codeName="Sheet2"/>
  <dimension ref="A1:CJ294"/>
  <sheetViews>
    <sheetView zoomScale="110" zoomScaleNormal="110" workbookViewId="0">
      <pane xSplit="1" ySplit="10" topLeftCell="Q8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B135" sqref="AB1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</v>
      </c>
      <c r="C4" s="187"/>
      <c r="D4" s="187"/>
      <c r="E4" s="188" t="str">
        <f ca="1">"2080/"&amp;"10/"&amp;INT(MID(CELL("filename",G6),FIND("]",CELL("filename",G6))+1,200))</f>
        <v>2080/10/2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193.5</v>
      </c>
      <c r="C5" s="30">
        <f t="shared" si="0"/>
        <v>212.9</v>
      </c>
      <c r="D5" s="30">
        <f t="shared" si="0"/>
        <v>168.7</v>
      </c>
      <c r="E5" s="30">
        <f t="shared" si="0"/>
        <v>157.1</v>
      </c>
      <c r="F5" s="30">
        <f t="shared" si="0"/>
        <v>160.5</v>
      </c>
      <c r="G5" s="30">
        <f t="shared" si="0"/>
        <v>171.5</v>
      </c>
      <c r="H5" s="30">
        <f t="shared" si="0"/>
        <v>159</v>
      </c>
      <c r="I5" s="30">
        <f t="shared" si="0"/>
        <v>494</v>
      </c>
      <c r="J5" s="30">
        <f t="shared" si="0"/>
        <v>645</v>
      </c>
      <c r="K5" s="30">
        <f t="shared" si="0"/>
        <v>665.4</v>
      </c>
      <c r="L5" s="30">
        <f t="shared" si="0"/>
        <v>705.5</v>
      </c>
      <c r="M5" s="30">
        <f t="shared" si="0"/>
        <v>748</v>
      </c>
      <c r="N5" s="30">
        <f t="shared" si="0"/>
        <v>792</v>
      </c>
      <c r="O5" s="30">
        <f t="shared" si="0"/>
        <v>744</v>
      </c>
      <c r="P5" s="30">
        <f t="shared" si="0"/>
        <v>746</v>
      </c>
      <c r="Q5" s="30">
        <f t="shared" si="0"/>
        <v>808.69999999999993</v>
      </c>
      <c r="R5" s="30">
        <f t="shared" si="0"/>
        <v>870.8</v>
      </c>
      <c r="S5" s="30">
        <f t="shared" si="0"/>
        <v>879.19999999999993</v>
      </c>
      <c r="T5" s="30">
        <f t="shared" si="0"/>
        <v>894</v>
      </c>
      <c r="U5" s="30">
        <f t="shared" si="0"/>
        <v>830.19999999999993</v>
      </c>
      <c r="V5" s="30">
        <f t="shared" si="0"/>
        <v>781.80000000000007</v>
      </c>
      <c r="W5" s="30">
        <f t="shared" si="0"/>
        <v>659.7</v>
      </c>
      <c r="X5" s="30">
        <f t="shared" si="0"/>
        <v>207.89999999999998</v>
      </c>
      <c r="Y5" s="30">
        <f t="shared" si="0"/>
        <v>180.1</v>
      </c>
      <c r="Z5" s="30">
        <f t="shared" si="0"/>
        <v>197.00000000000003</v>
      </c>
      <c r="AA5" s="30">
        <f t="shared" si="0"/>
        <v>137.4</v>
      </c>
      <c r="AB5" s="30">
        <f t="shared" si="0"/>
        <v>132.10000000000002</v>
      </c>
      <c r="AC5" s="30">
        <f t="shared" si="0"/>
        <v>149.4</v>
      </c>
      <c r="AD5" s="30">
        <f t="shared" si="0"/>
        <v>149.4</v>
      </c>
      <c r="AE5" s="30">
        <f t="shared" si="0"/>
        <v>85.6</v>
      </c>
      <c r="AF5" s="30">
        <f>B92</f>
        <v>190.7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Load=1445</v>
      </c>
      <c r="B7" s="35">
        <f t="shared" ref="B7:AF7" si="1">B100</f>
        <v>1680.5400000000002</v>
      </c>
      <c r="C7" s="35">
        <f t="shared" si="1"/>
        <v>1615.2400000000002</v>
      </c>
      <c r="D7" s="35">
        <f t="shared" si="1"/>
        <v>1574.7400000000002</v>
      </c>
      <c r="E7" s="35">
        <f t="shared" si="1"/>
        <v>1550.64</v>
      </c>
      <c r="F7" s="35">
        <f t="shared" si="1"/>
        <v>1532.94</v>
      </c>
      <c r="G7" s="35">
        <f t="shared" si="1"/>
        <v>1528.24</v>
      </c>
      <c r="H7" s="35">
        <f t="shared" si="1"/>
        <v>1552.34</v>
      </c>
      <c r="I7" s="35">
        <f t="shared" si="1"/>
        <v>1506.94</v>
      </c>
      <c r="J7" s="35">
        <f t="shared" si="1"/>
        <v>1445.44</v>
      </c>
      <c r="K7" s="35">
        <f t="shared" si="1"/>
        <v>1609.9800000000002</v>
      </c>
      <c r="L7" s="35">
        <f t="shared" si="1"/>
        <v>1665.64</v>
      </c>
      <c r="M7" s="35">
        <f t="shared" si="1"/>
        <v>1693.14</v>
      </c>
      <c r="N7" s="35">
        <f t="shared" si="1"/>
        <v>1736.8400000000001</v>
      </c>
      <c r="O7" s="35">
        <f t="shared" si="1"/>
        <v>1740.8400000000001</v>
      </c>
      <c r="P7" s="35">
        <f t="shared" si="1"/>
        <v>1732.64</v>
      </c>
      <c r="Q7" s="35">
        <f t="shared" si="1"/>
        <v>1743.8400000000001</v>
      </c>
      <c r="R7" s="35">
        <f t="shared" si="1"/>
        <v>1632.1399999999999</v>
      </c>
      <c r="S7" s="35">
        <f t="shared" si="1"/>
        <v>1796.48</v>
      </c>
      <c r="T7" s="35">
        <f t="shared" si="1"/>
        <v>1797.08</v>
      </c>
      <c r="U7" s="35">
        <f t="shared" si="1"/>
        <v>1795.88</v>
      </c>
      <c r="V7" s="35">
        <f t="shared" si="1"/>
        <v>1688.28</v>
      </c>
      <c r="W7" s="35">
        <f t="shared" si="1"/>
        <v>1604.78</v>
      </c>
      <c r="X7" s="35">
        <f t="shared" si="1"/>
        <v>1476.9800000000002</v>
      </c>
      <c r="Y7" s="35">
        <f t="shared" si="1"/>
        <v>1708.04</v>
      </c>
      <c r="Z7" s="35">
        <f t="shared" si="1"/>
        <v>1726.54</v>
      </c>
      <c r="AA7" s="35">
        <f t="shared" si="1"/>
        <v>1809.24</v>
      </c>
      <c r="AB7" s="35">
        <f t="shared" si="1"/>
        <v>1787.14</v>
      </c>
      <c r="AC7" s="35">
        <f t="shared" si="1"/>
        <v>1753.8400000000001</v>
      </c>
      <c r="AD7" s="35">
        <f t="shared" si="1"/>
        <v>1733.24</v>
      </c>
      <c r="AE7" s="35">
        <f t="shared" si="1"/>
        <v>1643.24</v>
      </c>
      <c r="AF7" s="35">
        <f t="shared" si="1"/>
        <v>1555.4399999999998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1797.08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1797.08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21.9</v>
      </c>
      <c r="C11" s="46">
        <v>21.9</v>
      </c>
      <c r="D11" s="46">
        <v>22.5</v>
      </c>
      <c r="E11" s="46">
        <v>22.5</v>
      </c>
      <c r="F11" s="46">
        <v>22.5</v>
      </c>
      <c r="G11" s="46">
        <v>21.9</v>
      </c>
      <c r="H11" s="46">
        <v>19.3</v>
      </c>
      <c r="I11" s="46">
        <v>21.9</v>
      </c>
      <c r="J11" s="46">
        <v>25.2</v>
      </c>
      <c r="K11" s="46">
        <v>21.9</v>
      </c>
      <c r="L11" s="46">
        <v>21.9</v>
      </c>
      <c r="M11" s="46">
        <v>21.9</v>
      </c>
      <c r="N11" s="46">
        <v>21.9</v>
      </c>
      <c r="O11" s="46">
        <v>21.9</v>
      </c>
      <c r="P11" s="46">
        <v>21.9</v>
      </c>
      <c r="Q11" s="46">
        <v>21.9</v>
      </c>
      <c r="R11" s="46">
        <v>22</v>
      </c>
      <c r="S11" s="46">
        <v>23.6</v>
      </c>
      <c r="T11" s="46">
        <v>24.7</v>
      </c>
      <c r="U11" s="46">
        <v>25.9</v>
      </c>
      <c r="V11" s="46">
        <v>25.9</v>
      </c>
      <c r="W11" s="46">
        <v>25.9</v>
      </c>
      <c r="X11" s="46">
        <v>29.4</v>
      </c>
      <c r="Y11" s="46">
        <v>29.4</v>
      </c>
      <c r="Z11" s="46">
        <v>29.4</v>
      </c>
      <c r="AA11" s="46">
        <v>54.9</v>
      </c>
      <c r="AB11" s="46">
        <v>54.9</v>
      </c>
      <c r="AC11" s="46">
        <v>54.9</v>
      </c>
      <c r="AD11" s="46">
        <v>54.9</v>
      </c>
      <c r="AE11" s="46">
        <v>54.9</v>
      </c>
      <c r="AF11" s="46">
        <v>54.9</v>
      </c>
      <c r="AG11" s="47">
        <v>86</v>
      </c>
      <c r="AH11" s="48">
        <f t="shared" ref="AH11:AH16" si="2">MAX(B11:AF11)</f>
        <v>54.9</v>
      </c>
      <c r="AI11" s="49">
        <f t="shared" ref="AI11:AI16" si="3">MIN(B11:AF11)</f>
        <v>19.3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12</v>
      </c>
      <c r="AC12" s="46">
        <v>12</v>
      </c>
      <c r="AD12" s="46">
        <v>12</v>
      </c>
      <c r="AE12" s="46">
        <v>12</v>
      </c>
      <c r="AF12" s="46">
        <v>12</v>
      </c>
      <c r="AG12" s="50">
        <v>54</v>
      </c>
      <c r="AH12" s="48">
        <f t="shared" si="2"/>
        <v>12</v>
      </c>
      <c r="AI12" s="49">
        <f t="shared" si="3"/>
        <v>12</v>
      </c>
      <c r="AK12" s="51"/>
      <c r="AL12" s="52" t="str">
        <f ca="1">MID(CELL("filename",C7),FIND("]",CELL("filename",C7))+1,600)</f>
        <v>02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16.899999999999999</v>
      </c>
      <c r="C13" s="46">
        <v>16.899999999999999</v>
      </c>
      <c r="D13" s="46">
        <v>16.899999999999999</v>
      </c>
      <c r="E13" s="46">
        <v>16.899999999999999</v>
      </c>
      <c r="F13" s="46">
        <v>16.899999999999999</v>
      </c>
      <c r="G13" s="46">
        <v>16.899999999999999</v>
      </c>
      <c r="H13" s="46">
        <v>16.899999999999999</v>
      </c>
      <c r="I13" s="46">
        <v>16.899999999999999</v>
      </c>
      <c r="J13" s="46">
        <v>16.899999999999999</v>
      </c>
      <c r="K13" s="46">
        <v>16.899999999999999</v>
      </c>
      <c r="L13" s="46">
        <v>16.899999999999999</v>
      </c>
      <c r="M13" s="46">
        <v>16.899999999999999</v>
      </c>
      <c r="N13" s="46">
        <v>16.899999999999999</v>
      </c>
      <c r="O13" s="46">
        <v>16.899999999999999</v>
      </c>
      <c r="P13" s="46">
        <v>16.899999999999999</v>
      </c>
      <c r="Q13" s="46">
        <v>16.899999999999999</v>
      </c>
      <c r="R13" s="46">
        <v>12.9</v>
      </c>
      <c r="S13" s="46">
        <v>14.4</v>
      </c>
      <c r="T13" s="46">
        <v>14.4</v>
      </c>
      <c r="U13" s="46">
        <v>14.4</v>
      </c>
      <c r="V13" s="46">
        <v>14.4</v>
      </c>
      <c r="W13" s="46">
        <v>14.4</v>
      </c>
      <c r="X13" s="46">
        <v>14.4</v>
      </c>
      <c r="Y13" s="46">
        <v>14.4</v>
      </c>
      <c r="Z13" s="46">
        <v>14.4</v>
      </c>
      <c r="AA13" s="46">
        <v>14.4</v>
      </c>
      <c r="AB13" s="46">
        <v>14.4</v>
      </c>
      <c r="AC13" s="46">
        <v>14.4</v>
      </c>
      <c r="AD13" s="46">
        <v>14.4</v>
      </c>
      <c r="AE13" s="46">
        <v>14.4</v>
      </c>
      <c r="AF13" s="46">
        <v>14.4</v>
      </c>
      <c r="AG13" s="50">
        <v>54</v>
      </c>
      <c r="AH13" s="48">
        <f t="shared" si="2"/>
        <v>16.899999999999999</v>
      </c>
      <c r="AI13" s="49">
        <f t="shared" si="3"/>
        <v>12.9</v>
      </c>
      <c r="AK13" s="51"/>
      <c r="AL13" s="52" t="str">
        <f ca="1">"Daily Load Curve(Excluding of Export) of Nepal ("&amp;A4&amp;" "&amp;B4&amp;")"</f>
        <v>Daily Load Curve(Excluding of Export) of Nepal (Nepali Date: 2080/10/2)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53">
        <v>50.2</v>
      </c>
      <c r="C15" s="53">
        <v>50.2</v>
      </c>
      <c r="D15" s="53">
        <v>50.2</v>
      </c>
      <c r="E15" s="53">
        <v>50.2</v>
      </c>
      <c r="F15" s="53">
        <v>50.2</v>
      </c>
      <c r="G15" s="53">
        <v>50.2</v>
      </c>
      <c r="H15" s="53">
        <v>50.2</v>
      </c>
      <c r="I15" s="53">
        <v>50.2</v>
      </c>
      <c r="J15" s="53">
        <v>50.2</v>
      </c>
      <c r="K15" s="53">
        <v>50.2</v>
      </c>
      <c r="L15" s="53">
        <v>50.2</v>
      </c>
      <c r="M15" s="53">
        <v>50.2</v>
      </c>
      <c r="N15" s="53">
        <v>50.2</v>
      </c>
      <c r="O15" s="53">
        <v>50.2</v>
      </c>
      <c r="P15" s="53">
        <v>50.2</v>
      </c>
      <c r="Q15" s="53">
        <v>50.2</v>
      </c>
      <c r="R15" s="53">
        <v>50.5</v>
      </c>
      <c r="S15" s="46">
        <v>50.5</v>
      </c>
      <c r="T15" s="46">
        <v>50.5</v>
      </c>
      <c r="U15" s="46">
        <v>50.5</v>
      </c>
      <c r="V15" s="46">
        <v>50.5</v>
      </c>
      <c r="W15" s="46">
        <v>50.5</v>
      </c>
      <c r="X15" s="46">
        <v>50.5</v>
      </c>
      <c r="Y15" s="46">
        <v>50.5</v>
      </c>
      <c r="Z15" s="46">
        <v>50.5</v>
      </c>
      <c r="AA15" s="46">
        <v>50.5</v>
      </c>
      <c r="AB15" s="46">
        <v>50.5</v>
      </c>
      <c r="AC15" s="46">
        <v>50.5</v>
      </c>
      <c r="AD15" s="46">
        <v>50.5</v>
      </c>
      <c r="AE15" s="46">
        <v>50.5</v>
      </c>
      <c r="AF15" s="46">
        <v>50.5</v>
      </c>
      <c r="AG15" s="50">
        <v>50</v>
      </c>
      <c r="AH15" s="48">
        <f t="shared" si="2"/>
        <v>50.5</v>
      </c>
      <c r="AI15" s="49">
        <f t="shared" si="3"/>
        <v>50.2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15.1</v>
      </c>
      <c r="C16" s="46">
        <v>15.1</v>
      </c>
      <c r="D16" s="46">
        <v>15.1</v>
      </c>
      <c r="E16" s="46">
        <v>15.1</v>
      </c>
      <c r="F16" s="46">
        <v>15.1</v>
      </c>
      <c r="G16" s="46">
        <v>15.1</v>
      </c>
      <c r="H16" s="46">
        <v>15.1</v>
      </c>
      <c r="I16" s="46">
        <v>15.1</v>
      </c>
      <c r="J16" s="46">
        <v>15.1</v>
      </c>
      <c r="K16" s="46">
        <v>15.1</v>
      </c>
      <c r="L16" s="46">
        <v>15.1</v>
      </c>
      <c r="M16" s="46">
        <v>15.1</v>
      </c>
      <c r="N16" s="46">
        <v>15.1</v>
      </c>
      <c r="O16" s="46">
        <v>15.1</v>
      </c>
      <c r="P16" s="46">
        <v>15.1</v>
      </c>
      <c r="Q16" s="46">
        <v>15.1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15.1</v>
      </c>
      <c r="AK16" s="51"/>
      <c r="AL16" s="54" t="s">
        <v>7</v>
      </c>
      <c r="AM16" s="59">
        <f t="shared" ref="AM16:AR16" si="4">B58</f>
        <v>528.10000000000014</v>
      </c>
      <c r="AN16" s="59">
        <f t="shared" si="4"/>
        <v>528.10000000000014</v>
      </c>
      <c r="AO16" s="59">
        <f t="shared" si="4"/>
        <v>529.30000000000007</v>
      </c>
      <c r="AP16" s="59">
        <f t="shared" si="4"/>
        <v>529.30000000000007</v>
      </c>
      <c r="AQ16" s="59">
        <f t="shared" si="4"/>
        <v>529.30000000000007</v>
      </c>
      <c r="AR16" s="59">
        <f t="shared" si="4"/>
        <v>528.70000000000005</v>
      </c>
      <c r="AS16" s="59">
        <f>I58</f>
        <v>524.70000000000005</v>
      </c>
      <c r="AT16" s="59">
        <f>K58</f>
        <v>524.70000000000005</v>
      </c>
      <c r="AU16" s="59">
        <f t="shared" ref="AU16:BD16" si="5">M58</f>
        <v>524.70000000000005</v>
      </c>
      <c r="AV16" s="59">
        <f t="shared" si="5"/>
        <v>524.70000000000005</v>
      </c>
      <c r="AW16" s="59">
        <f t="shared" si="5"/>
        <v>524.70000000000005</v>
      </c>
      <c r="AX16" s="59">
        <f t="shared" si="5"/>
        <v>524.70000000000005</v>
      </c>
      <c r="AY16" s="59">
        <f t="shared" si="5"/>
        <v>524.70000000000005</v>
      </c>
      <c r="AZ16" s="59">
        <f t="shared" si="5"/>
        <v>474.90000000000003</v>
      </c>
      <c r="BA16" s="59">
        <f t="shared" si="5"/>
        <v>502.34000000000009</v>
      </c>
      <c r="BB16" s="59">
        <f t="shared" si="5"/>
        <v>503.44000000000005</v>
      </c>
      <c r="BC16" s="59">
        <f t="shared" si="5"/>
        <v>504.64000000000004</v>
      </c>
      <c r="BD16" s="59">
        <f t="shared" si="5"/>
        <v>504.64000000000004</v>
      </c>
      <c r="BE16" s="60">
        <f>X58</f>
        <v>516.1400000000001</v>
      </c>
      <c r="BF16" s="60">
        <f>Z58</f>
        <v>515.6400000000001</v>
      </c>
      <c r="BG16" s="60">
        <f>AB58</f>
        <v>556.1</v>
      </c>
      <c r="BH16" s="60">
        <f>AD58</f>
        <v>556.1</v>
      </c>
      <c r="BI16" s="60">
        <f>AE58</f>
        <v>556.1</v>
      </c>
      <c r="BJ16" s="60">
        <f>AF58</f>
        <v>556.1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</v>
      </c>
      <c r="U17" s="46">
        <v>16</v>
      </c>
      <c r="V17" s="46">
        <v>16</v>
      </c>
      <c r="W17" s="46">
        <v>16</v>
      </c>
      <c r="X17" s="46">
        <v>16</v>
      </c>
      <c r="Y17" s="46">
        <v>16</v>
      </c>
      <c r="Z17" s="46">
        <v>16</v>
      </c>
      <c r="AA17" s="46">
        <v>16</v>
      </c>
      <c r="AB17" s="46">
        <v>16</v>
      </c>
      <c r="AC17" s="46">
        <v>16</v>
      </c>
      <c r="AD17" s="46">
        <v>16</v>
      </c>
      <c r="AE17" s="46">
        <v>16</v>
      </c>
      <c r="AF17" s="46">
        <v>16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164.2</v>
      </c>
      <c r="AN17" s="59">
        <f t="shared" si="6"/>
        <v>143.69999999999999</v>
      </c>
      <c r="AO17" s="59">
        <f t="shared" si="6"/>
        <v>105.30000000000001</v>
      </c>
      <c r="AP17" s="59">
        <f t="shared" si="6"/>
        <v>126.10000000000001</v>
      </c>
      <c r="AQ17" s="59">
        <f t="shared" si="6"/>
        <v>126.10000000000001</v>
      </c>
      <c r="AR17" s="59">
        <f t="shared" si="6"/>
        <v>125.10000000000001</v>
      </c>
      <c r="AS17" s="59">
        <f>I62</f>
        <v>196.4</v>
      </c>
      <c r="AT17" s="59">
        <f>K62</f>
        <v>40.200000000000003</v>
      </c>
      <c r="AU17" s="59">
        <f t="shared" ref="AU17:BD17" si="7">M62</f>
        <v>39.5</v>
      </c>
      <c r="AV17" s="59">
        <f t="shared" si="7"/>
        <v>39.5</v>
      </c>
      <c r="AW17" s="59">
        <f t="shared" si="7"/>
        <v>39.5</v>
      </c>
      <c r="AX17" s="59">
        <f t="shared" si="7"/>
        <v>39.5</v>
      </c>
      <c r="AY17" s="59">
        <f t="shared" si="7"/>
        <v>39.5</v>
      </c>
      <c r="AZ17" s="59">
        <f t="shared" si="7"/>
        <v>36.9</v>
      </c>
      <c r="BA17" s="59">
        <f t="shared" si="7"/>
        <v>36.6</v>
      </c>
      <c r="BB17" s="59">
        <f t="shared" si="7"/>
        <v>36.5</v>
      </c>
      <c r="BC17" s="59">
        <f t="shared" si="7"/>
        <v>37.400000000000006</v>
      </c>
      <c r="BD17" s="59">
        <f t="shared" si="7"/>
        <v>38.799999999999997</v>
      </c>
      <c r="BE17" s="60">
        <f>X62</f>
        <v>42.7</v>
      </c>
      <c r="BF17" s="60">
        <f>Z62</f>
        <v>350.5</v>
      </c>
      <c r="BG17" s="60">
        <f>AB62</f>
        <v>400.1</v>
      </c>
      <c r="BH17" s="60">
        <f>AD62</f>
        <v>351.1</v>
      </c>
      <c r="BI17" s="60">
        <f>AE62</f>
        <v>261.10000000000002</v>
      </c>
      <c r="BJ17" s="60">
        <f>AF62</f>
        <v>261.10000000000002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15.5</v>
      </c>
      <c r="C18" s="46">
        <v>15.5</v>
      </c>
      <c r="D18" s="46">
        <v>15.5</v>
      </c>
      <c r="E18" s="46">
        <v>15.5</v>
      </c>
      <c r="F18" s="46">
        <v>15.5</v>
      </c>
      <c r="G18" s="46">
        <v>15.5</v>
      </c>
      <c r="H18" s="46">
        <v>15.5</v>
      </c>
      <c r="I18" s="46">
        <v>15.5</v>
      </c>
      <c r="J18" s="46">
        <v>15.5</v>
      </c>
      <c r="K18" s="46">
        <v>15.5</v>
      </c>
      <c r="L18" s="46">
        <v>15.5</v>
      </c>
      <c r="M18" s="46">
        <v>15.5</v>
      </c>
      <c r="N18" s="46">
        <v>15.5</v>
      </c>
      <c r="O18" s="46">
        <v>15.5</v>
      </c>
      <c r="P18" s="46">
        <v>15.5</v>
      </c>
      <c r="Q18" s="46">
        <v>15.5</v>
      </c>
      <c r="R18" s="46">
        <v>0</v>
      </c>
      <c r="S18" s="46">
        <v>12</v>
      </c>
      <c r="T18" s="46">
        <v>12</v>
      </c>
      <c r="U18" s="46">
        <v>12</v>
      </c>
      <c r="V18" s="46">
        <v>12</v>
      </c>
      <c r="W18" s="46">
        <v>12</v>
      </c>
      <c r="X18" s="46">
        <v>12</v>
      </c>
      <c r="Y18" s="46">
        <v>12</v>
      </c>
      <c r="Z18" s="46">
        <v>12</v>
      </c>
      <c r="AA18" s="46">
        <v>19</v>
      </c>
      <c r="AB18" s="46">
        <v>19</v>
      </c>
      <c r="AC18" s="46">
        <v>19</v>
      </c>
      <c r="AD18" s="46">
        <v>19</v>
      </c>
      <c r="AE18" s="46">
        <v>19</v>
      </c>
      <c r="AF18" s="46">
        <v>19</v>
      </c>
      <c r="AG18" s="50">
        <v>42</v>
      </c>
      <c r="AH18" s="48">
        <f t="shared" ref="AH18:AH81" si="8">MAX(B18:AF18)</f>
        <v>19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348.73999999999995</v>
      </c>
      <c r="AN18" s="59">
        <f t="shared" si="10"/>
        <v>301.14000000000004</v>
      </c>
      <c r="AO18" s="59">
        <f t="shared" si="10"/>
        <v>278.44000000000005</v>
      </c>
      <c r="AP18" s="59">
        <f t="shared" si="10"/>
        <v>277.74</v>
      </c>
      <c r="AQ18" s="59">
        <f t="shared" si="10"/>
        <v>271.64000000000004</v>
      </c>
      <c r="AR18" s="59">
        <f t="shared" si="10"/>
        <v>266.44</v>
      </c>
      <c r="AS18" s="59">
        <f>I76</f>
        <v>329.34000000000003</v>
      </c>
      <c r="AT18" s="59">
        <f>K76</f>
        <v>302.74000000000007</v>
      </c>
      <c r="AU18" s="59">
        <f t="shared" ref="AU18:BD18" si="11">M76</f>
        <v>329.34000000000003</v>
      </c>
      <c r="AV18" s="59">
        <f t="shared" si="11"/>
        <v>331.54</v>
      </c>
      <c r="AW18" s="59">
        <f t="shared" si="11"/>
        <v>292.54000000000002</v>
      </c>
      <c r="AX18" s="59">
        <f t="shared" si="11"/>
        <v>331.54</v>
      </c>
      <c r="AY18" s="59">
        <f t="shared" si="11"/>
        <v>343.54</v>
      </c>
      <c r="AZ18" s="59">
        <f t="shared" si="11"/>
        <v>218.64</v>
      </c>
      <c r="BA18" s="59">
        <f t="shared" si="11"/>
        <v>288.74</v>
      </c>
      <c r="BB18" s="59">
        <f t="shared" si="11"/>
        <v>280.53999999999996</v>
      </c>
      <c r="BC18" s="59">
        <f t="shared" si="11"/>
        <v>261.83999999999997</v>
      </c>
      <c r="BD18" s="59">
        <f t="shared" si="11"/>
        <v>217.64</v>
      </c>
      <c r="BE18" s="60">
        <f>X76</f>
        <v>197.73999999999995</v>
      </c>
      <c r="BF18" s="60">
        <f>Z76</f>
        <v>334.49999999999994</v>
      </c>
      <c r="BG18" s="60">
        <f>AB76</f>
        <v>347.23999999999995</v>
      </c>
      <c r="BH18" s="60">
        <f>AD76</f>
        <v>330.34</v>
      </c>
      <c r="BI18" s="60">
        <f>AE76</f>
        <v>330.34</v>
      </c>
      <c r="BJ18" s="60">
        <f>AF76</f>
        <v>306.33999999999997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22.4</v>
      </c>
      <c r="C19" s="46">
        <v>22.4</v>
      </c>
      <c r="D19" s="46">
        <v>22.4</v>
      </c>
      <c r="E19" s="46">
        <v>22.4</v>
      </c>
      <c r="F19" s="46">
        <v>22.4</v>
      </c>
      <c r="G19" s="46">
        <v>22.4</v>
      </c>
      <c r="H19" s="46">
        <v>22.4</v>
      </c>
      <c r="I19" s="46">
        <v>22.4</v>
      </c>
      <c r="J19" s="46">
        <v>22.4</v>
      </c>
      <c r="K19" s="46">
        <v>22.4</v>
      </c>
      <c r="L19" s="46">
        <v>22.4</v>
      </c>
      <c r="M19" s="46">
        <v>22.4</v>
      </c>
      <c r="N19" s="46">
        <v>22.4</v>
      </c>
      <c r="O19" s="46">
        <v>22.4</v>
      </c>
      <c r="P19" s="46">
        <v>22.4</v>
      </c>
      <c r="Q19" s="46">
        <v>22.4</v>
      </c>
      <c r="R19" s="46">
        <v>22.4</v>
      </c>
      <c r="S19" s="46">
        <v>17.739999999999998</v>
      </c>
      <c r="T19" s="46">
        <v>17.739999999999998</v>
      </c>
      <c r="U19" s="46">
        <v>17.739999999999998</v>
      </c>
      <c r="V19" s="46">
        <v>17.739999999999998</v>
      </c>
      <c r="W19" s="46">
        <v>17.739999999999998</v>
      </c>
      <c r="X19" s="46">
        <v>17.739999999999998</v>
      </c>
      <c r="Y19" s="46">
        <v>17.739999999999998</v>
      </c>
      <c r="Z19" s="46">
        <v>17.739999999999998</v>
      </c>
      <c r="AA19" s="46">
        <v>19.899999999999999</v>
      </c>
      <c r="AB19" s="46">
        <v>19.899999999999999</v>
      </c>
      <c r="AC19" s="46">
        <v>19.899999999999999</v>
      </c>
      <c r="AD19" s="46">
        <v>19.899999999999999</v>
      </c>
      <c r="AE19" s="46">
        <v>19.899999999999999</v>
      </c>
      <c r="AF19" s="46">
        <v>19.899999999999999</v>
      </c>
      <c r="AG19" s="50">
        <v>38.46</v>
      </c>
      <c r="AH19" s="48">
        <f t="shared" si="8"/>
        <v>22.4</v>
      </c>
      <c r="AI19" s="49">
        <f t="shared" si="9"/>
        <v>17.739999999999998</v>
      </c>
      <c r="AK19" s="51"/>
      <c r="AL19" s="54" t="s">
        <v>31</v>
      </c>
      <c r="AM19" s="59">
        <f t="shared" ref="AM19:AR19" si="12">B92</f>
        <v>190.7</v>
      </c>
      <c r="AN19" s="59">
        <f t="shared" si="12"/>
        <v>193.5</v>
      </c>
      <c r="AO19" s="59">
        <f t="shared" si="12"/>
        <v>212.9</v>
      </c>
      <c r="AP19" s="59">
        <f t="shared" si="12"/>
        <v>168.7</v>
      </c>
      <c r="AQ19" s="59">
        <f t="shared" si="12"/>
        <v>157.1</v>
      </c>
      <c r="AR19" s="59">
        <f t="shared" si="12"/>
        <v>160.5</v>
      </c>
      <c r="AS19" s="59">
        <f>I92</f>
        <v>159</v>
      </c>
      <c r="AT19" s="59">
        <f>K92</f>
        <v>645</v>
      </c>
      <c r="AU19" s="59">
        <f t="shared" ref="AU19:BD19" si="13">M92</f>
        <v>705.5</v>
      </c>
      <c r="AV19" s="59">
        <f t="shared" si="13"/>
        <v>748</v>
      </c>
      <c r="AW19" s="59">
        <f t="shared" si="13"/>
        <v>792</v>
      </c>
      <c r="AX19" s="59">
        <f t="shared" si="13"/>
        <v>744</v>
      </c>
      <c r="AY19" s="59">
        <f t="shared" si="13"/>
        <v>746</v>
      </c>
      <c r="AZ19" s="59">
        <f t="shared" si="13"/>
        <v>808.69999999999993</v>
      </c>
      <c r="BA19" s="59">
        <f t="shared" si="13"/>
        <v>870.8</v>
      </c>
      <c r="BB19" s="59">
        <f t="shared" si="13"/>
        <v>879.19999999999993</v>
      </c>
      <c r="BC19" s="59">
        <f t="shared" si="13"/>
        <v>894</v>
      </c>
      <c r="BD19" s="59">
        <f t="shared" si="13"/>
        <v>830.19999999999993</v>
      </c>
      <c r="BE19" s="60">
        <f>X92</f>
        <v>659.7</v>
      </c>
      <c r="BF19" s="60">
        <f>Z92</f>
        <v>180.1</v>
      </c>
      <c r="BG19" s="60">
        <f>AB92</f>
        <v>137.4</v>
      </c>
      <c r="BH19" s="60">
        <f>AD92</f>
        <v>149.4</v>
      </c>
      <c r="BI19" s="60">
        <f>AE92</f>
        <v>149.4</v>
      </c>
      <c r="BJ19" s="60">
        <f>AF92</f>
        <v>85.6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12</v>
      </c>
      <c r="C20" s="46">
        <v>12</v>
      </c>
      <c r="D20" s="46">
        <v>12</v>
      </c>
      <c r="E20" s="46">
        <v>12</v>
      </c>
      <c r="F20" s="46">
        <v>12</v>
      </c>
      <c r="G20" s="46">
        <v>12</v>
      </c>
      <c r="H20" s="46">
        <v>12</v>
      </c>
      <c r="I20" s="46">
        <v>12</v>
      </c>
      <c r="J20" s="46">
        <v>12</v>
      </c>
      <c r="K20" s="46">
        <v>12</v>
      </c>
      <c r="L20" s="46">
        <v>12</v>
      </c>
      <c r="M20" s="46">
        <v>12</v>
      </c>
      <c r="N20" s="46">
        <v>12</v>
      </c>
      <c r="O20" s="46">
        <v>12</v>
      </c>
      <c r="P20" s="46">
        <v>12</v>
      </c>
      <c r="Q20" s="46">
        <v>12</v>
      </c>
      <c r="R20" s="46">
        <v>12</v>
      </c>
      <c r="S20" s="46">
        <v>12</v>
      </c>
      <c r="T20" s="46">
        <v>12</v>
      </c>
      <c r="U20" s="46">
        <v>12</v>
      </c>
      <c r="V20" s="46">
        <v>12</v>
      </c>
      <c r="W20" s="46">
        <v>12</v>
      </c>
      <c r="X20" s="46">
        <v>12</v>
      </c>
      <c r="Y20" s="46">
        <v>12</v>
      </c>
      <c r="Z20" s="46">
        <v>12</v>
      </c>
      <c r="AA20" s="46">
        <v>12</v>
      </c>
      <c r="AB20" s="46">
        <v>12</v>
      </c>
      <c r="AC20" s="46">
        <v>12</v>
      </c>
      <c r="AD20" s="46">
        <v>12</v>
      </c>
      <c r="AE20" s="46">
        <v>12</v>
      </c>
      <c r="AF20" s="46">
        <v>12</v>
      </c>
      <c r="AG20" s="50">
        <v>38.46</v>
      </c>
      <c r="AH20" s="48">
        <f t="shared" si="8"/>
        <v>12</v>
      </c>
      <c r="AI20" s="49">
        <f t="shared" si="9"/>
        <v>12</v>
      </c>
      <c r="AK20" s="51"/>
      <c r="AL20" s="54" t="s">
        <v>33</v>
      </c>
      <c r="AM20" s="59">
        <f t="shared" ref="AM20:AR20" si="14">B80</f>
        <v>98.8</v>
      </c>
      <c r="AN20" s="59">
        <f t="shared" si="14"/>
        <v>98.8</v>
      </c>
      <c r="AO20" s="59">
        <f t="shared" si="14"/>
        <v>98.8</v>
      </c>
      <c r="AP20" s="59">
        <f t="shared" si="14"/>
        <v>98.8</v>
      </c>
      <c r="AQ20" s="59">
        <f t="shared" si="14"/>
        <v>98.8</v>
      </c>
      <c r="AR20" s="59">
        <f t="shared" si="14"/>
        <v>97.5</v>
      </c>
      <c r="AS20" s="59">
        <f>I80</f>
        <v>97.5</v>
      </c>
      <c r="AT20" s="59">
        <f>K80</f>
        <v>97.34</v>
      </c>
      <c r="AU20" s="59">
        <f t="shared" ref="AU20:BD20" si="15">M80</f>
        <v>94.1</v>
      </c>
      <c r="AV20" s="59">
        <f t="shared" si="15"/>
        <v>94.1</v>
      </c>
      <c r="AW20" s="59">
        <f t="shared" si="15"/>
        <v>94.1</v>
      </c>
      <c r="AX20" s="59">
        <f t="shared" si="15"/>
        <v>95.899999999999991</v>
      </c>
      <c r="AY20" s="59">
        <f t="shared" si="15"/>
        <v>94.1</v>
      </c>
      <c r="AZ20" s="59">
        <f t="shared" si="15"/>
        <v>98</v>
      </c>
      <c r="BA20" s="59">
        <f t="shared" si="15"/>
        <v>98</v>
      </c>
      <c r="BB20" s="59">
        <f t="shared" si="15"/>
        <v>97.4</v>
      </c>
      <c r="BC20" s="59">
        <f t="shared" si="15"/>
        <v>98</v>
      </c>
      <c r="BD20" s="59">
        <f t="shared" si="15"/>
        <v>97</v>
      </c>
      <c r="BE20" s="60">
        <f>X80</f>
        <v>60.7</v>
      </c>
      <c r="BF20" s="60">
        <f>Z80</f>
        <v>95.8</v>
      </c>
      <c r="BG20" s="60">
        <f>AB80</f>
        <v>96.300000000000011</v>
      </c>
      <c r="BH20" s="60">
        <f>AD80</f>
        <v>96.300000000000011</v>
      </c>
      <c r="BI20" s="60">
        <f>AE80</f>
        <v>96.300000000000011</v>
      </c>
      <c r="BJ20" s="60">
        <f>AF80</f>
        <v>96.300000000000011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350</v>
      </c>
      <c r="AN21" s="59">
        <f t="shared" si="16"/>
        <v>350</v>
      </c>
      <c r="AO21" s="59">
        <f t="shared" si="16"/>
        <v>350</v>
      </c>
      <c r="AP21" s="59">
        <f t="shared" si="16"/>
        <v>350</v>
      </c>
      <c r="AQ21" s="59">
        <f t="shared" si="16"/>
        <v>350</v>
      </c>
      <c r="AR21" s="59">
        <f t="shared" si="16"/>
        <v>350</v>
      </c>
      <c r="AS21" s="59">
        <f>I98</f>
        <v>200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250</v>
      </c>
      <c r="BG21" s="60">
        <f>AB98</f>
        <v>250</v>
      </c>
      <c r="BH21" s="60">
        <f>AD98</f>
        <v>250</v>
      </c>
      <c r="BI21" s="60">
        <f>AE98</f>
        <v>250</v>
      </c>
      <c r="BJ21" s="60">
        <f>AF98</f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12</v>
      </c>
      <c r="C22" s="46">
        <v>12</v>
      </c>
      <c r="D22" s="46">
        <v>11.2</v>
      </c>
      <c r="E22" s="46">
        <v>11.2</v>
      </c>
      <c r="F22" s="46">
        <v>11.2</v>
      </c>
      <c r="G22" s="46">
        <v>11.2</v>
      </c>
      <c r="H22" s="46">
        <v>11.2</v>
      </c>
      <c r="I22" s="46">
        <v>11.2</v>
      </c>
      <c r="J22" s="46">
        <v>11.2</v>
      </c>
      <c r="K22" s="46">
        <v>11.2</v>
      </c>
      <c r="L22" s="46">
        <v>11.2</v>
      </c>
      <c r="M22" s="46">
        <v>11.2</v>
      </c>
      <c r="N22" s="46">
        <v>11.2</v>
      </c>
      <c r="O22" s="46">
        <v>11.2</v>
      </c>
      <c r="P22" s="46">
        <v>11.2</v>
      </c>
      <c r="Q22" s="46">
        <v>11.2</v>
      </c>
      <c r="R22" s="46">
        <v>9.6</v>
      </c>
      <c r="S22" s="46">
        <v>9.6</v>
      </c>
      <c r="T22" s="46">
        <v>9.6</v>
      </c>
      <c r="U22" s="46">
        <v>9.6</v>
      </c>
      <c r="V22" s="46">
        <v>9.6</v>
      </c>
      <c r="W22" s="46">
        <v>9.6</v>
      </c>
      <c r="X22" s="46">
        <v>9.6</v>
      </c>
      <c r="Y22" s="46">
        <v>9.6</v>
      </c>
      <c r="Z22" s="46">
        <v>9.6</v>
      </c>
      <c r="AA22" s="46">
        <v>9.6999999999999993</v>
      </c>
      <c r="AB22" s="46">
        <v>9.6999999999999993</v>
      </c>
      <c r="AC22" s="46">
        <v>9.6999999999999993</v>
      </c>
      <c r="AD22" s="46">
        <v>9.6999999999999993</v>
      </c>
      <c r="AE22" s="46">
        <v>9.6999999999999993</v>
      </c>
      <c r="AF22" s="46">
        <v>9.6999999999999993</v>
      </c>
      <c r="AG22" s="61">
        <v>30</v>
      </c>
      <c r="AH22" s="48">
        <f t="shared" si="8"/>
        <v>12</v>
      </c>
      <c r="AI22" s="49">
        <f t="shared" si="9"/>
        <v>9.6</v>
      </c>
      <c r="AK22" s="51"/>
      <c r="AL22" s="62" t="s">
        <v>37</v>
      </c>
      <c r="AM22" s="63">
        <f t="shared" ref="AM22:BJ22" si="18">SUM(AM16:AM21)</f>
        <v>1680.5400000000002</v>
      </c>
      <c r="AN22" s="63">
        <f t="shared" si="18"/>
        <v>1615.2400000000002</v>
      </c>
      <c r="AO22" s="63">
        <f t="shared" si="18"/>
        <v>1574.7400000000002</v>
      </c>
      <c r="AP22" s="63">
        <f t="shared" si="18"/>
        <v>1550.64</v>
      </c>
      <c r="AQ22" s="63">
        <f t="shared" si="18"/>
        <v>1532.94</v>
      </c>
      <c r="AR22" s="63">
        <f t="shared" si="18"/>
        <v>1528.24</v>
      </c>
      <c r="AS22" s="63">
        <f t="shared" si="18"/>
        <v>1506.94</v>
      </c>
      <c r="AT22" s="63">
        <f t="shared" si="18"/>
        <v>1609.98</v>
      </c>
      <c r="AU22" s="63">
        <f t="shared" si="18"/>
        <v>1693.1399999999999</v>
      </c>
      <c r="AV22" s="63">
        <f t="shared" si="18"/>
        <v>1737.84</v>
      </c>
      <c r="AW22" s="63">
        <f t="shared" si="18"/>
        <v>1742.84</v>
      </c>
      <c r="AX22" s="63">
        <f t="shared" si="18"/>
        <v>1735.64</v>
      </c>
      <c r="AY22" s="63">
        <f t="shared" si="18"/>
        <v>1747.84</v>
      </c>
      <c r="AZ22" s="63">
        <f t="shared" si="18"/>
        <v>1637.1399999999999</v>
      </c>
      <c r="BA22" s="63">
        <f t="shared" si="18"/>
        <v>1796.48</v>
      </c>
      <c r="BB22" s="63">
        <f t="shared" si="18"/>
        <v>1797.08</v>
      </c>
      <c r="BC22" s="63">
        <f t="shared" si="18"/>
        <v>1795.88</v>
      </c>
      <c r="BD22" s="63">
        <f t="shared" si="18"/>
        <v>1688.28</v>
      </c>
      <c r="BE22" s="63">
        <f t="shared" si="18"/>
        <v>1476.9800000000002</v>
      </c>
      <c r="BF22" s="63">
        <f t="shared" si="18"/>
        <v>1726.54</v>
      </c>
      <c r="BG22" s="63">
        <f t="shared" si="18"/>
        <v>1787.14</v>
      </c>
      <c r="BH22" s="63">
        <f t="shared" si="18"/>
        <v>1733.24</v>
      </c>
      <c r="BI22" s="63">
        <f t="shared" si="18"/>
        <v>1643.24</v>
      </c>
      <c r="BJ22" s="63">
        <f t="shared" si="18"/>
        <v>1555.4399999999998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</v>
      </c>
      <c r="C23" s="46">
        <v>7</v>
      </c>
      <c r="D23" s="46">
        <v>7</v>
      </c>
      <c r="E23" s="46">
        <v>7</v>
      </c>
      <c r="F23" s="46">
        <v>7</v>
      </c>
      <c r="G23" s="46">
        <v>7</v>
      </c>
      <c r="H23" s="46">
        <v>7</v>
      </c>
      <c r="I23" s="46">
        <v>7</v>
      </c>
      <c r="J23" s="46">
        <v>7</v>
      </c>
      <c r="K23" s="46">
        <v>7</v>
      </c>
      <c r="L23" s="46">
        <v>7</v>
      </c>
      <c r="M23" s="46">
        <v>7</v>
      </c>
      <c r="N23" s="46">
        <v>7</v>
      </c>
      <c r="O23" s="46">
        <v>7</v>
      </c>
      <c r="P23" s="46">
        <v>7</v>
      </c>
      <c r="Q23" s="46">
        <v>7</v>
      </c>
      <c r="R23" s="46">
        <v>7</v>
      </c>
      <c r="S23" s="46">
        <v>7</v>
      </c>
      <c r="T23" s="46">
        <v>7</v>
      </c>
      <c r="U23" s="46">
        <v>7</v>
      </c>
      <c r="V23" s="46">
        <v>7</v>
      </c>
      <c r="W23" s="46">
        <v>7</v>
      </c>
      <c r="X23" s="46">
        <v>7</v>
      </c>
      <c r="Y23" s="46">
        <v>7</v>
      </c>
      <c r="Z23" s="46">
        <v>7</v>
      </c>
      <c r="AA23" s="46">
        <v>7</v>
      </c>
      <c r="AB23" s="46">
        <v>7</v>
      </c>
      <c r="AC23" s="46">
        <v>7</v>
      </c>
      <c r="AD23" s="46">
        <v>7</v>
      </c>
      <c r="AE23" s="46">
        <v>7</v>
      </c>
      <c r="AF23" s="46">
        <v>7</v>
      </c>
      <c r="AG23" s="50">
        <v>24.2</v>
      </c>
      <c r="AH23" s="48">
        <f t="shared" si="8"/>
        <v>7</v>
      </c>
      <c r="AI23" s="49">
        <f t="shared" si="9"/>
        <v>7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-1</v>
      </c>
      <c r="AW23" s="63">
        <f t="shared" si="20"/>
        <v>-2</v>
      </c>
      <c r="AX23" s="63">
        <f t="shared" si="20"/>
        <v>-3</v>
      </c>
      <c r="AY23" s="63">
        <f t="shared" si="20"/>
        <v>-4</v>
      </c>
      <c r="AZ23" s="63">
        <f t="shared" si="20"/>
        <v>-5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6.2</v>
      </c>
      <c r="C24" s="46">
        <v>6.2</v>
      </c>
      <c r="D24" s="46">
        <v>6.7</v>
      </c>
      <c r="E24" s="46">
        <v>6.7</v>
      </c>
      <c r="F24" s="46">
        <v>6.7</v>
      </c>
      <c r="G24" s="46">
        <v>6.7</v>
      </c>
      <c r="H24" s="46">
        <v>6.7</v>
      </c>
      <c r="I24" s="46">
        <v>6.7</v>
      </c>
      <c r="J24" s="46">
        <v>6.7</v>
      </c>
      <c r="K24" s="46">
        <v>6.7</v>
      </c>
      <c r="L24" s="46">
        <v>6.7</v>
      </c>
      <c r="M24" s="46">
        <v>6.7</v>
      </c>
      <c r="N24" s="46">
        <v>6.7</v>
      </c>
      <c r="O24" s="46">
        <v>6.7</v>
      </c>
      <c r="P24" s="46">
        <v>6.7</v>
      </c>
      <c r="Q24" s="46">
        <v>6.7</v>
      </c>
      <c r="R24" s="46">
        <v>6.7</v>
      </c>
      <c r="S24" s="46">
        <v>6.6</v>
      </c>
      <c r="T24" s="46">
        <v>6.6</v>
      </c>
      <c r="U24" s="46">
        <v>6.6</v>
      </c>
      <c r="V24" s="46">
        <v>6.6</v>
      </c>
      <c r="W24" s="46">
        <v>6.6</v>
      </c>
      <c r="X24" s="46">
        <v>6.6</v>
      </c>
      <c r="Y24" s="46">
        <v>6.6</v>
      </c>
      <c r="Z24" s="46">
        <v>6.6</v>
      </c>
      <c r="AA24" s="46">
        <v>6.6</v>
      </c>
      <c r="AB24" s="46">
        <v>6.6</v>
      </c>
      <c r="AC24" s="46">
        <v>6.6</v>
      </c>
      <c r="AD24" s="46">
        <v>6.6</v>
      </c>
      <c r="AE24" s="46">
        <v>6.6</v>
      </c>
      <c r="AF24" s="46">
        <v>6.6</v>
      </c>
      <c r="AG24" s="50">
        <v>28</v>
      </c>
      <c r="AH24" s="48">
        <f t="shared" si="8"/>
        <v>6.7</v>
      </c>
      <c r="AI24" s="49">
        <f t="shared" si="9"/>
        <v>6.2</v>
      </c>
      <c r="AK24" s="51"/>
      <c r="AL24" s="62" t="s">
        <v>41</v>
      </c>
      <c r="AM24" s="63">
        <f t="shared" ref="AM24:BJ24" si="21">AM22+AM23</f>
        <v>1680.5400000000002</v>
      </c>
      <c r="AN24" s="63">
        <f t="shared" si="21"/>
        <v>1615.2400000000002</v>
      </c>
      <c r="AO24" s="63">
        <f t="shared" si="21"/>
        <v>1574.7400000000002</v>
      </c>
      <c r="AP24" s="63">
        <f t="shared" si="21"/>
        <v>1550.64</v>
      </c>
      <c r="AQ24" s="63">
        <f t="shared" si="21"/>
        <v>1532.94</v>
      </c>
      <c r="AR24" s="63">
        <f t="shared" si="21"/>
        <v>1528.24</v>
      </c>
      <c r="AS24" s="63">
        <f t="shared" si="21"/>
        <v>1506.94</v>
      </c>
      <c r="AT24" s="63">
        <f t="shared" si="21"/>
        <v>1609.98</v>
      </c>
      <c r="AU24" s="63">
        <f t="shared" si="21"/>
        <v>1693.1399999999999</v>
      </c>
      <c r="AV24" s="63">
        <f t="shared" si="21"/>
        <v>1736.84</v>
      </c>
      <c r="AW24" s="63">
        <f t="shared" si="21"/>
        <v>1740.84</v>
      </c>
      <c r="AX24" s="63">
        <f t="shared" si="21"/>
        <v>1732.64</v>
      </c>
      <c r="AY24" s="63">
        <f t="shared" si="21"/>
        <v>1743.84</v>
      </c>
      <c r="AZ24" s="63">
        <f t="shared" si="21"/>
        <v>1632.1399999999999</v>
      </c>
      <c r="BA24" s="63">
        <f t="shared" si="21"/>
        <v>1796.48</v>
      </c>
      <c r="BB24" s="63">
        <f t="shared" si="21"/>
        <v>1797.08</v>
      </c>
      <c r="BC24" s="63">
        <f t="shared" si="21"/>
        <v>1795.88</v>
      </c>
      <c r="BD24" s="63">
        <f t="shared" si="21"/>
        <v>1688.28</v>
      </c>
      <c r="BE24" s="63">
        <f t="shared" si="21"/>
        <v>1476.9800000000002</v>
      </c>
      <c r="BF24" s="63">
        <f t="shared" si="21"/>
        <v>1726.54</v>
      </c>
      <c r="BG24" s="63">
        <f t="shared" si="21"/>
        <v>1787.14</v>
      </c>
      <c r="BH24" s="63">
        <f t="shared" si="21"/>
        <v>1733.24</v>
      </c>
      <c r="BI24" s="63">
        <f t="shared" si="21"/>
        <v>1643.24</v>
      </c>
      <c r="BJ24" s="63">
        <f t="shared" si="21"/>
        <v>1555.4399999999998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7.8</v>
      </c>
      <c r="C25" s="46">
        <v>7.8</v>
      </c>
      <c r="D25" s="46">
        <v>7.8</v>
      </c>
      <c r="E25" s="46">
        <v>7.8</v>
      </c>
      <c r="F25" s="46">
        <v>7.8</v>
      </c>
      <c r="G25" s="46">
        <v>7.8</v>
      </c>
      <c r="H25" s="46">
        <v>7.8</v>
      </c>
      <c r="I25" s="46">
        <v>7.8</v>
      </c>
      <c r="J25" s="46">
        <v>7.8</v>
      </c>
      <c r="K25" s="46">
        <v>7.8</v>
      </c>
      <c r="L25" s="46">
        <v>7.8</v>
      </c>
      <c r="M25" s="46">
        <v>7.8</v>
      </c>
      <c r="N25" s="46">
        <v>7.8</v>
      </c>
      <c r="O25" s="46">
        <v>7.8</v>
      </c>
      <c r="P25" s="46">
        <v>7.8</v>
      </c>
      <c r="Q25" s="46">
        <v>7.8</v>
      </c>
      <c r="R25" s="46">
        <v>7.8</v>
      </c>
      <c r="S25" s="46">
        <v>5.4</v>
      </c>
      <c r="T25" s="46">
        <v>5.4</v>
      </c>
      <c r="U25" s="46">
        <v>5.4</v>
      </c>
      <c r="V25" s="46">
        <v>5.4</v>
      </c>
      <c r="W25" s="46">
        <v>5.4</v>
      </c>
      <c r="X25" s="46">
        <v>5.4</v>
      </c>
      <c r="Y25" s="46">
        <v>5.4</v>
      </c>
      <c r="Z25" s="46">
        <v>5.4</v>
      </c>
      <c r="AA25" s="46">
        <v>7.7</v>
      </c>
      <c r="AB25" s="46">
        <v>7.7</v>
      </c>
      <c r="AC25" s="46">
        <v>7.7</v>
      </c>
      <c r="AD25" s="46">
        <v>7.7</v>
      </c>
      <c r="AE25" s="46">
        <v>7.7</v>
      </c>
      <c r="AF25" s="46">
        <v>7.7</v>
      </c>
      <c r="AG25" s="61">
        <v>30</v>
      </c>
      <c r="AH25" s="48">
        <f t="shared" si="8"/>
        <v>7.8</v>
      </c>
      <c r="AI25" s="49">
        <f t="shared" si="9"/>
        <v>5.4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12.4</v>
      </c>
      <c r="C26" s="46">
        <v>12.4</v>
      </c>
      <c r="D26" s="46">
        <v>13.2</v>
      </c>
      <c r="E26" s="46">
        <v>13.2</v>
      </c>
      <c r="F26" s="46">
        <v>13.2</v>
      </c>
      <c r="G26" s="46">
        <v>13.2</v>
      </c>
      <c r="H26" s="46">
        <v>13.2</v>
      </c>
      <c r="I26" s="46">
        <v>13.2</v>
      </c>
      <c r="J26" s="46">
        <v>13.2</v>
      </c>
      <c r="K26" s="46">
        <v>13.2</v>
      </c>
      <c r="L26" s="46">
        <v>13.2</v>
      </c>
      <c r="M26" s="46">
        <v>13.2</v>
      </c>
      <c r="N26" s="46">
        <v>13.2</v>
      </c>
      <c r="O26" s="46">
        <v>13.2</v>
      </c>
      <c r="P26" s="46">
        <v>13.2</v>
      </c>
      <c r="Q26" s="46">
        <v>13.2</v>
      </c>
      <c r="R26" s="46">
        <v>6.6</v>
      </c>
      <c r="S26" s="46">
        <v>13</v>
      </c>
      <c r="T26" s="46">
        <v>13</v>
      </c>
      <c r="U26" s="46">
        <v>13</v>
      </c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13.2</v>
      </c>
      <c r="AI26" s="49">
        <f t="shared" si="9"/>
        <v>6.6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0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10</v>
      </c>
      <c r="C29" s="46">
        <v>10</v>
      </c>
      <c r="D29" s="46">
        <v>10</v>
      </c>
      <c r="E29" s="46">
        <v>10</v>
      </c>
      <c r="F29" s="46">
        <v>10</v>
      </c>
      <c r="G29" s="46">
        <v>10</v>
      </c>
      <c r="H29" s="46">
        <v>10</v>
      </c>
      <c r="I29" s="46">
        <v>10</v>
      </c>
      <c r="J29" s="46">
        <v>10</v>
      </c>
      <c r="K29" s="46">
        <v>10</v>
      </c>
      <c r="L29" s="46">
        <v>10</v>
      </c>
      <c r="M29" s="46">
        <v>10</v>
      </c>
      <c r="N29" s="46">
        <v>10</v>
      </c>
      <c r="O29" s="46">
        <v>10</v>
      </c>
      <c r="P29" s="46">
        <v>10</v>
      </c>
      <c r="Q29" s="46">
        <v>10</v>
      </c>
      <c r="R29" s="46">
        <v>7.6</v>
      </c>
      <c r="S29" s="46">
        <v>9</v>
      </c>
      <c r="T29" s="46">
        <v>9</v>
      </c>
      <c r="U29" s="46">
        <v>9</v>
      </c>
      <c r="V29" s="46">
        <v>9</v>
      </c>
      <c r="W29" s="46">
        <v>9</v>
      </c>
      <c r="X29" s="46">
        <v>9</v>
      </c>
      <c r="Y29" s="46">
        <v>9</v>
      </c>
      <c r="Z29" s="46">
        <v>9</v>
      </c>
      <c r="AA29" s="46">
        <v>9.6999999999999993</v>
      </c>
      <c r="AB29" s="46">
        <v>9.6999999999999993</v>
      </c>
      <c r="AC29" s="46">
        <v>9.6999999999999993</v>
      </c>
      <c r="AD29" s="46">
        <v>9.6999999999999993</v>
      </c>
      <c r="AE29" s="46">
        <v>9.6999999999999993</v>
      </c>
      <c r="AF29" s="46">
        <v>9.6999999999999993</v>
      </c>
      <c r="AG29" s="50">
        <v>25</v>
      </c>
      <c r="AH29" s="48">
        <f t="shared" si="8"/>
        <v>10</v>
      </c>
      <c r="AI29" s="49">
        <f t="shared" si="9"/>
        <v>7.6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5.0999999999999996</v>
      </c>
      <c r="C30" s="46">
        <v>5.0999999999999996</v>
      </c>
      <c r="D30" s="46">
        <v>5.4</v>
      </c>
      <c r="E30" s="46">
        <v>5.4</v>
      </c>
      <c r="F30" s="46">
        <v>5.4</v>
      </c>
      <c r="G30" s="46">
        <v>5.4</v>
      </c>
      <c r="H30" s="46">
        <v>5.4</v>
      </c>
      <c r="I30" s="46">
        <v>5.4</v>
      </c>
      <c r="J30" s="46">
        <v>5.4</v>
      </c>
      <c r="K30" s="46">
        <v>5.4</v>
      </c>
      <c r="L30" s="46">
        <v>5.4</v>
      </c>
      <c r="M30" s="46">
        <v>5.4</v>
      </c>
      <c r="N30" s="46">
        <v>5.4</v>
      </c>
      <c r="O30" s="46">
        <v>5.4</v>
      </c>
      <c r="P30" s="46">
        <v>5.4</v>
      </c>
      <c r="Q30" s="46">
        <v>5.4</v>
      </c>
      <c r="R30" s="46">
        <v>6.2</v>
      </c>
      <c r="S30" s="46">
        <v>6</v>
      </c>
      <c r="T30" s="46">
        <v>6</v>
      </c>
      <c r="U30" s="46">
        <v>6</v>
      </c>
      <c r="V30" s="46">
        <v>6</v>
      </c>
      <c r="W30" s="46">
        <v>6</v>
      </c>
      <c r="X30" s="46">
        <v>6</v>
      </c>
      <c r="Y30" s="46">
        <v>6</v>
      </c>
      <c r="Z30" s="46">
        <v>6</v>
      </c>
      <c r="AA30" s="46">
        <v>5.3</v>
      </c>
      <c r="AB30" s="46">
        <v>5.3</v>
      </c>
      <c r="AC30" s="46">
        <v>5.3</v>
      </c>
      <c r="AD30" s="46">
        <v>5.3</v>
      </c>
      <c r="AE30" s="46">
        <v>5.3</v>
      </c>
      <c r="AF30" s="46">
        <v>5.3</v>
      </c>
      <c r="AG30" s="50">
        <v>23.5</v>
      </c>
      <c r="AH30" s="48">
        <f t="shared" si="8"/>
        <v>6.2</v>
      </c>
      <c r="AI30" s="49">
        <f t="shared" si="9"/>
        <v>5.0999999999999996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10.5</v>
      </c>
      <c r="C34" s="46">
        <v>10.5</v>
      </c>
      <c r="D34" s="46">
        <v>10.3</v>
      </c>
      <c r="E34" s="46">
        <v>10.3</v>
      </c>
      <c r="F34" s="46">
        <v>10.3</v>
      </c>
      <c r="G34" s="46">
        <v>10.3</v>
      </c>
      <c r="H34" s="46">
        <v>10.3</v>
      </c>
      <c r="I34" s="46">
        <v>10.3</v>
      </c>
      <c r="J34" s="46">
        <v>10.3</v>
      </c>
      <c r="K34" s="46">
        <v>10.3</v>
      </c>
      <c r="L34" s="46">
        <v>10.3</v>
      </c>
      <c r="M34" s="46">
        <v>10.3</v>
      </c>
      <c r="N34" s="46">
        <v>10.3</v>
      </c>
      <c r="O34" s="46">
        <v>10.3</v>
      </c>
      <c r="P34" s="46">
        <v>10.3</v>
      </c>
      <c r="Q34" s="46">
        <v>10.3</v>
      </c>
      <c r="R34" s="46">
        <v>10.3</v>
      </c>
      <c r="S34" s="46">
        <v>4.5</v>
      </c>
      <c r="T34" s="46">
        <v>4.5</v>
      </c>
      <c r="U34" s="46">
        <v>4.5</v>
      </c>
      <c r="V34" s="46">
        <v>4.5</v>
      </c>
      <c r="W34" s="46">
        <v>4.5</v>
      </c>
      <c r="X34" s="46">
        <v>4.5</v>
      </c>
      <c r="Y34" s="46">
        <v>7</v>
      </c>
      <c r="Z34" s="46">
        <v>7</v>
      </c>
      <c r="AA34" s="46">
        <v>8</v>
      </c>
      <c r="AB34" s="46">
        <v>8</v>
      </c>
      <c r="AC34" s="46">
        <v>8</v>
      </c>
      <c r="AD34" s="46">
        <v>8</v>
      </c>
      <c r="AE34" s="46">
        <v>8</v>
      </c>
      <c r="AF34" s="46">
        <v>8</v>
      </c>
      <c r="AG34" s="50">
        <v>22</v>
      </c>
      <c r="AH34" s="48">
        <f t="shared" si="8"/>
        <v>10.5</v>
      </c>
      <c r="AI34" s="49">
        <f t="shared" si="9"/>
        <v>4.5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15.1</v>
      </c>
      <c r="C35" s="46">
        <v>15.1</v>
      </c>
      <c r="D35" s="46">
        <v>15.1</v>
      </c>
      <c r="E35" s="46">
        <v>15.1</v>
      </c>
      <c r="F35" s="46">
        <v>15.1</v>
      </c>
      <c r="G35" s="46">
        <v>15.1</v>
      </c>
      <c r="H35" s="46">
        <v>15.1</v>
      </c>
      <c r="I35" s="46">
        <v>15.1</v>
      </c>
      <c r="J35" s="46">
        <v>15.1</v>
      </c>
      <c r="K35" s="46">
        <v>15.1</v>
      </c>
      <c r="L35" s="46">
        <v>15.1</v>
      </c>
      <c r="M35" s="46">
        <v>15.1</v>
      </c>
      <c r="N35" s="46">
        <v>15.1</v>
      </c>
      <c r="O35" s="46">
        <v>15.1</v>
      </c>
      <c r="P35" s="46">
        <v>15.1</v>
      </c>
      <c r="Q35" s="46">
        <v>15.1</v>
      </c>
      <c r="R35" s="46">
        <v>15.1</v>
      </c>
      <c r="S35" s="46">
        <v>11</v>
      </c>
      <c r="T35" s="46">
        <v>11</v>
      </c>
      <c r="U35" s="46">
        <v>11</v>
      </c>
      <c r="V35" s="46">
        <v>11</v>
      </c>
      <c r="W35" s="46">
        <v>11</v>
      </c>
      <c r="X35" s="46">
        <v>11</v>
      </c>
      <c r="Y35" s="46">
        <v>11</v>
      </c>
      <c r="Z35" s="46">
        <v>11</v>
      </c>
      <c r="AA35" s="46">
        <v>13.4</v>
      </c>
      <c r="AB35" s="46">
        <v>13.4</v>
      </c>
      <c r="AC35" s="46">
        <v>13.4</v>
      </c>
      <c r="AD35" s="46">
        <v>13.4</v>
      </c>
      <c r="AE35" s="46">
        <v>13.4</v>
      </c>
      <c r="AF35" s="46">
        <v>13.4</v>
      </c>
      <c r="AG35" s="50">
        <v>20</v>
      </c>
      <c r="AH35" s="48">
        <f t="shared" si="8"/>
        <v>15.1</v>
      </c>
      <c r="AI35" s="49">
        <f t="shared" si="9"/>
        <v>11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5.8</v>
      </c>
      <c r="C37" s="46">
        <v>5.8</v>
      </c>
      <c r="D37" s="46">
        <v>5.8</v>
      </c>
      <c r="E37" s="46">
        <v>5.8</v>
      </c>
      <c r="F37" s="46">
        <v>5.8</v>
      </c>
      <c r="G37" s="46">
        <v>5.8</v>
      </c>
      <c r="H37" s="46">
        <v>5.8</v>
      </c>
      <c r="I37" s="46">
        <v>5.8</v>
      </c>
      <c r="J37" s="46">
        <v>5.8</v>
      </c>
      <c r="K37" s="46">
        <v>5.8</v>
      </c>
      <c r="L37" s="46">
        <v>5.8</v>
      </c>
      <c r="M37" s="46">
        <v>5.8</v>
      </c>
      <c r="N37" s="46">
        <v>5.8</v>
      </c>
      <c r="O37" s="46">
        <v>5.8</v>
      </c>
      <c r="P37" s="46">
        <v>5.8</v>
      </c>
      <c r="Q37" s="46">
        <v>5.8</v>
      </c>
      <c r="R37" s="46">
        <v>0</v>
      </c>
      <c r="S37" s="46">
        <v>5.8</v>
      </c>
      <c r="T37" s="46">
        <v>5.8</v>
      </c>
      <c r="U37" s="46">
        <v>5.8</v>
      </c>
      <c r="V37" s="46">
        <v>5.8</v>
      </c>
      <c r="W37" s="46">
        <v>5.8</v>
      </c>
      <c r="X37" s="46">
        <v>5.8</v>
      </c>
      <c r="Y37" s="46">
        <v>5.8</v>
      </c>
      <c r="Z37" s="46">
        <v>5.8</v>
      </c>
      <c r="AA37" s="46">
        <v>5.8</v>
      </c>
      <c r="AB37" s="46">
        <v>5.8</v>
      </c>
      <c r="AC37" s="46">
        <v>5.8</v>
      </c>
      <c r="AD37" s="46">
        <v>5.8</v>
      </c>
      <c r="AE37" s="46">
        <v>5.8</v>
      </c>
      <c r="AF37" s="46">
        <v>5.8</v>
      </c>
      <c r="AG37" s="50">
        <v>18</v>
      </c>
      <c r="AH37" s="48">
        <f t="shared" si="8"/>
        <v>5.8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8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8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0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0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13</v>
      </c>
      <c r="AH43" s="48">
        <f t="shared" si="8"/>
        <v>4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5.0999999999999996</v>
      </c>
      <c r="C45" s="46">
        <v>5.0999999999999996</v>
      </c>
      <c r="D45" s="46">
        <v>5.0999999999999996</v>
      </c>
      <c r="E45" s="46">
        <v>5.0999999999999996</v>
      </c>
      <c r="F45" s="46">
        <v>5.0999999999999996</v>
      </c>
      <c r="G45" s="46">
        <v>5.0999999999999996</v>
      </c>
      <c r="H45" s="46">
        <v>5.0999999999999996</v>
      </c>
      <c r="I45" s="46">
        <v>5.0999999999999996</v>
      </c>
      <c r="J45" s="46">
        <v>5.0999999999999996</v>
      </c>
      <c r="K45" s="46">
        <v>5.0999999999999996</v>
      </c>
      <c r="L45" s="46">
        <v>5.0999999999999996</v>
      </c>
      <c r="M45" s="46">
        <v>5.0999999999999996</v>
      </c>
      <c r="N45" s="46">
        <v>5.0999999999999996</v>
      </c>
      <c r="O45" s="46">
        <v>5.0999999999999996</v>
      </c>
      <c r="P45" s="46">
        <v>5.0999999999999996</v>
      </c>
      <c r="Q45" s="46">
        <v>5.0999999999999996</v>
      </c>
      <c r="R45" s="46">
        <v>5.0999999999999996</v>
      </c>
      <c r="S45" s="46">
        <v>5.0999999999999996</v>
      </c>
      <c r="T45" s="46">
        <v>5.0999999999999996</v>
      </c>
      <c r="U45" s="46">
        <v>5.0999999999999996</v>
      </c>
      <c r="V45" s="46">
        <v>5.0999999999999996</v>
      </c>
      <c r="W45" s="46">
        <v>5.0999999999999996</v>
      </c>
      <c r="X45" s="46">
        <v>5.0999999999999996</v>
      </c>
      <c r="Y45" s="46">
        <v>5.0999999999999996</v>
      </c>
      <c r="Z45" s="46">
        <v>5.0999999999999996</v>
      </c>
      <c r="AA45" s="46">
        <v>5.0999999999999996</v>
      </c>
      <c r="AB45" s="46">
        <v>5.0999999999999996</v>
      </c>
      <c r="AC45" s="46">
        <v>5.0999999999999996</v>
      </c>
      <c r="AD45" s="46">
        <v>5.0999999999999996</v>
      </c>
      <c r="AE45" s="46">
        <v>5.0999999999999996</v>
      </c>
      <c r="AF45" s="46">
        <v>5.0999999999999996</v>
      </c>
      <c r="AG45" s="50">
        <v>12</v>
      </c>
      <c r="AH45" s="48">
        <f t="shared" si="8"/>
        <v>5.0999999999999996</v>
      </c>
      <c r="AI45" s="49">
        <f t="shared" si="9"/>
        <v>5.0999999999999996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2.2000000000000002</v>
      </c>
      <c r="C50" s="46">
        <v>2.2000000000000002</v>
      </c>
      <c r="D50" s="46">
        <v>2.2000000000000002</v>
      </c>
      <c r="E50" s="46">
        <v>2.2000000000000002</v>
      </c>
      <c r="F50" s="46">
        <v>2.2000000000000002</v>
      </c>
      <c r="G50" s="46">
        <v>2.2000000000000002</v>
      </c>
      <c r="H50" s="46">
        <v>2.2000000000000002</v>
      </c>
      <c r="I50" s="46">
        <v>2.2000000000000002</v>
      </c>
      <c r="J50" s="46">
        <v>2.2000000000000002</v>
      </c>
      <c r="K50" s="46">
        <v>2.2000000000000002</v>
      </c>
      <c r="L50" s="46">
        <v>2.2000000000000002</v>
      </c>
      <c r="M50" s="46">
        <v>2.2000000000000002</v>
      </c>
      <c r="N50" s="46">
        <v>2.2000000000000002</v>
      </c>
      <c r="O50" s="46">
        <v>2.2000000000000002</v>
      </c>
      <c r="P50" s="46">
        <v>2.2000000000000002</v>
      </c>
      <c r="Q50" s="46">
        <v>2.2000000000000002</v>
      </c>
      <c r="R50" s="46">
        <v>2.2000000000000002</v>
      </c>
      <c r="S50" s="46">
        <v>2.2000000000000002</v>
      </c>
      <c r="T50" s="46">
        <v>2.2000000000000002</v>
      </c>
      <c r="U50" s="46">
        <v>2.2000000000000002</v>
      </c>
      <c r="V50" s="46">
        <v>2.2000000000000002</v>
      </c>
      <c r="W50" s="46">
        <v>2.2000000000000002</v>
      </c>
      <c r="X50" s="46">
        <v>2.2000000000000002</v>
      </c>
      <c r="Y50" s="46">
        <v>2.2000000000000002</v>
      </c>
      <c r="Z50" s="46">
        <v>2.2000000000000002</v>
      </c>
      <c r="AA50" s="46">
        <v>2.2000000000000002</v>
      </c>
      <c r="AB50" s="46">
        <v>2.2000000000000002</v>
      </c>
      <c r="AC50" s="46">
        <v>2.2000000000000002</v>
      </c>
      <c r="AD50" s="46">
        <v>2.2000000000000002</v>
      </c>
      <c r="AE50" s="46">
        <v>2.2000000000000002</v>
      </c>
      <c r="AF50" s="46">
        <v>2.2000000000000002</v>
      </c>
      <c r="AG50" s="66">
        <v>11</v>
      </c>
      <c r="AH50" s="48">
        <f t="shared" si="8"/>
        <v>2.2000000000000002</v>
      </c>
      <c r="AI50" s="49">
        <f t="shared" si="9"/>
        <v>2.2000000000000002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f>17.4+28.7</f>
        <v>46.099999999999994</v>
      </c>
      <c r="C57" s="68">
        <f>17.4+28.7</f>
        <v>46.099999999999994</v>
      </c>
      <c r="D57" s="68">
        <f>17.8+30.8</f>
        <v>48.6</v>
      </c>
      <c r="E57" s="68">
        <f>47.7</f>
        <v>47.7</v>
      </c>
      <c r="F57" s="68">
        <f>48.8</f>
        <v>48.8</v>
      </c>
      <c r="G57" s="68">
        <f>29.1+17.2</f>
        <v>46.3</v>
      </c>
      <c r="H57" s="68">
        <f>26.1+14.8</f>
        <v>40.900000000000006</v>
      </c>
      <c r="I57" s="68">
        <f>24.9+14.3</f>
        <v>39.200000000000003</v>
      </c>
      <c r="J57" s="68">
        <f>26.1+15.1</f>
        <v>41.2</v>
      </c>
      <c r="K57" s="53">
        <f t="shared" ref="K57:R57" si="22">27.6+16.9</f>
        <v>44.5</v>
      </c>
      <c r="L57" s="53">
        <f t="shared" si="22"/>
        <v>44.5</v>
      </c>
      <c r="M57" s="53">
        <f t="shared" si="22"/>
        <v>44.5</v>
      </c>
      <c r="N57" s="53">
        <f t="shared" si="22"/>
        <v>44.5</v>
      </c>
      <c r="O57" s="53">
        <f t="shared" si="22"/>
        <v>44.5</v>
      </c>
      <c r="P57" s="53">
        <f t="shared" si="22"/>
        <v>44.5</v>
      </c>
      <c r="Q57" s="53">
        <f t="shared" si="22"/>
        <v>44.5</v>
      </c>
      <c r="R57" s="53">
        <f t="shared" si="22"/>
        <v>44.5</v>
      </c>
      <c r="S57" s="53">
        <v>43.4</v>
      </c>
      <c r="T57" s="53">
        <f>16.5+26.2</f>
        <v>42.7</v>
      </c>
      <c r="U57" s="53">
        <f>14.6+25.8</f>
        <v>40.4</v>
      </c>
      <c r="V57" s="53">
        <f>14.6+25.8</f>
        <v>40.4</v>
      </c>
      <c r="W57" s="53">
        <f>14.6+25.8</f>
        <v>40.4</v>
      </c>
      <c r="X57" s="53">
        <f>14.6+25.8</f>
        <v>40.4</v>
      </c>
      <c r="Y57" s="53">
        <f t="shared" ref="Y57:AF57" si="23">15.4+24.2</f>
        <v>39.6</v>
      </c>
      <c r="Z57" s="53">
        <f t="shared" si="23"/>
        <v>39.6</v>
      </c>
      <c r="AA57" s="53">
        <f t="shared" si="23"/>
        <v>39.6</v>
      </c>
      <c r="AB57" s="53">
        <f t="shared" si="23"/>
        <v>39.6</v>
      </c>
      <c r="AC57" s="53">
        <f t="shared" si="23"/>
        <v>39.6</v>
      </c>
      <c r="AD57" s="53">
        <f t="shared" si="23"/>
        <v>39.6</v>
      </c>
      <c r="AE57" s="53">
        <f t="shared" si="23"/>
        <v>39.6</v>
      </c>
      <c r="AF57" s="53">
        <f t="shared" si="23"/>
        <v>39.6</v>
      </c>
      <c r="AG57" s="66">
        <v>240</v>
      </c>
      <c r="AH57" s="48">
        <f t="shared" si="8"/>
        <v>48.8</v>
      </c>
      <c r="AI57" s="49">
        <f t="shared" si="9"/>
        <v>39.200000000000003</v>
      </c>
      <c r="AK57" s="51"/>
    </row>
    <row r="58" spans="1:88" ht="15.75" thickBot="1" x14ac:dyDescent="0.3">
      <c r="A58" s="70" t="s">
        <v>75</v>
      </c>
      <c r="B58" s="71">
        <f t="shared" ref="B58:M58" si="24">SUM(B11:B56)</f>
        <v>528.10000000000014</v>
      </c>
      <c r="C58" s="71">
        <f t="shared" si="24"/>
        <v>528.10000000000014</v>
      </c>
      <c r="D58" s="71">
        <f t="shared" si="24"/>
        <v>529.30000000000007</v>
      </c>
      <c r="E58" s="71">
        <f t="shared" si="24"/>
        <v>529.30000000000007</v>
      </c>
      <c r="F58" s="71">
        <f t="shared" si="24"/>
        <v>529.30000000000007</v>
      </c>
      <c r="G58" s="71">
        <f t="shared" si="24"/>
        <v>528.70000000000005</v>
      </c>
      <c r="H58" s="71">
        <f t="shared" si="24"/>
        <v>522.1</v>
      </c>
      <c r="I58" s="71">
        <f t="shared" si="24"/>
        <v>524.70000000000005</v>
      </c>
      <c r="J58" s="71">
        <f t="shared" si="24"/>
        <v>528</v>
      </c>
      <c r="K58" s="71">
        <f t="shared" si="24"/>
        <v>524.70000000000005</v>
      </c>
      <c r="L58" s="71">
        <f t="shared" si="24"/>
        <v>524.70000000000005</v>
      </c>
      <c r="M58" s="71">
        <f t="shared" si="24"/>
        <v>524.70000000000005</v>
      </c>
      <c r="N58" s="71">
        <f>SUM(N11:N56)</f>
        <v>524.70000000000005</v>
      </c>
      <c r="O58" s="71">
        <f>SUM(O11:O56)</f>
        <v>524.70000000000005</v>
      </c>
      <c r="P58" s="71">
        <f>SUM(P11:P56)</f>
        <v>524.70000000000005</v>
      </c>
      <c r="Q58" s="71">
        <f>SUM(Q11:Q56)</f>
        <v>524.70000000000005</v>
      </c>
      <c r="R58" s="71">
        <f>SUM(R11:R56)</f>
        <v>474.90000000000003</v>
      </c>
      <c r="S58" s="71">
        <f t="shared" ref="S58:AF58" si="25">SUM(S11:S56)</f>
        <v>502.34000000000009</v>
      </c>
      <c r="T58" s="71">
        <f t="shared" si="25"/>
        <v>503.44000000000005</v>
      </c>
      <c r="U58" s="71">
        <f t="shared" si="25"/>
        <v>504.64000000000004</v>
      </c>
      <c r="V58" s="71">
        <f t="shared" si="25"/>
        <v>504.64000000000004</v>
      </c>
      <c r="W58" s="71">
        <f t="shared" si="25"/>
        <v>504.64000000000004</v>
      </c>
      <c r="X58" s="71">
        <f t="shared" si="25"/>
        <v>516.1400000000001</v>
      </c>
      <c r="Y58" s="71">
        <f t="shared" si="25"/>
        <v>515.6400000000001</v>
      </c>
      <c r="Z58" s="71">
        <f t="shared" si="25"/>
        <v>515.6400000000001</v>
      </c>
      <c r="AA58" s="71">
        <f t="shared" si="25"/>
        <v>556.1</v>
      </c>
      <c r="AB58" s="71">
        <f t="shared" si="25"/>
        <v>556.1</v>
      </c>
      <c r="AC58" s="71">
        <f t="shared" si="25"/>
        <v>556.1</v>
      </c>
      <c r="AD58" s="71">
        <f t="shared" si="25"/>
        <v>556.1</v>
      </c>
      <c r="AE58" s="71">
        <f t="shared" si="25"/>
        <v>556.1</v>
      </c>
      <c r="AF58" s="71">
        <f t="shared" si="25"/>
        <v>556.1</v>
      </c>
      <c r="AG58" s="72">
        <f>SUM(AG14:AG56)</f>
        <v>1042.4000000000001</v>
      </c>
      <c r="AH58" s="48">
        <f t="shared" si="8"/>
        <v>556.1</v>
      </c>
      <c r="AI58" s="49">
        <f t="shared" si="9"/>
        <v>474.90000000000003</v>
      </c>
      <c r="AK58" s="51"/>
    </row>
    <row r="59" spans="1:88" x14ac:dyDescent="0.25">
      <c r="A59" s="73" t="s">
        <v>76</v>
      </c>
      <c r="B59" s="46">
        <v>120.5</v>
      </c>
      <c r="C59" s="46">
        <v>100</v>
      </c>
      <c r="D59" s="46">
        <v>81.400000000000006</v>
      </c>
      <c r="E59" s="46">
        <v>81.3</v>
      </c>
      <c r="F59" s="46">
        <v>81.3</v>
      </c>
      <c r="G59" s="46">
        <v>80.3</v>
      </c>
      <c r="H59" s="46">
        <v>100</v>
      </c>
      <c r="I59" s="46">
        <v>152.4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74">
        <v>0</v>
      </c>
      <c r="T59" s="74">
        <v>0</v>
      </c>
      <c r="U59" s="74">
        <v>0</v>
      </c>
      <c r="V59" s="74">
        <v>0</v>
      </c>
      <c r="W59" s="46">
        <v>0</v>
      </c>
      <c r="X59" s="46">
        <v>0</v>
      </c>
      <c r="Y59" s="46">
        <v>250</v>
      </c>
      <c r="Z59" s="46">
        <v>301.2</v>
      </c>
      <c r="AA59" s="46">
        <v>319.5</v>
      </c>
      <c r="AB59" s="46">
        <v>349</v>
      </c>
      <c r="AC59" s="46">
        <v>330</v>
      </c>
      <c r="AD59" s="46">
        <v>300</v>
      </c>
      <c r="AE59" s="46">
        <v>210</v>
      </c>
      <c r="AF59" s="46">
        <v>210</v>
      </c>
      <c r="AG59" s="61">
        <v>456</v>
      </c>
      <c r="AH59" s="48">
        <f t="shared" si="8"/>
        <v>349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23.1</v>
      </c>
      <c r="C60" s="76">
        <v>23.1</v>
      </c>
      <c r="D60" s="76">
        <v>2.7</v>
      </c>
      <c r="E60" s="76">
        <v>23.6</v>
      </c>
      <c r="F60" s="76">
        <v>23.6</v>
      </c>
      <c r="G60" s="76">
        <v>23.6</v>
      </c>
      <c r="H60" s="76">
        <v>23.6</v>
      </c>
      <c r="I60" s="76">
        <v>22.8</v>
      </c>
      <c r="J60" s="76">
        <v>23.9</v>
      </c>
      <c r="K60" s="76">
        <v>23.2</v>
      </c>
      <c r="L60" s="76">
        <v>22.7</v>
      </c>
      <c r="M60" s="76">
        <v>22.7</v>
      </c>
      <c r="N60" s="76">
        <v>22.7</v>
      </c>
      <c r="O60" s="76">
        <v>22.7</v>
      </c>
      <c r="P60" s="76">
        <v>22.7</v>
      </c>
      <c r="Q60" s="76">
        <v>22.7</v>
      </c>
      <c r="R60" s="76">
        <v>23</v>
      </c>
      <c r="S60" s="76">
        <v>22.7</v>
      </c>
      <c r="T60" s="76">
        <v>22.6</v>
      </c>
      <c r="U60" s="76">
        <v>23.6</v>
      </c>
      <c r="V60" s="76">
        <v>24.9</v>
      </c>
      <c r="W60" s="76">
        <v>22.7</v>
      </c>
      <c r="X60" s="76">
        <v>24.4</v>
      </c>
      <c r="Y60" s="76">
        <v>23.5</v>
      </c>
      <c r="Z60" s="76">
        <v>31</v>
      </c>
      <c r="AA60" s="76">
        <v>32.799999999999997</v>
      </c>
      <c r="AB60" s="76">
        <v>32.799999999999997</v>
      </c>
      <c r="AC60" s="76">
        <v>32.799999999999997</v>
      </c>
      <c r="AD60" s="76">
        <v>32.799999999999997</v>
      </c>
      <c r="AE60" s="76">
        <v>32.799999999999997</v>
      </c>
      <c r="AF60" s="76">
        <v>32.799999999999997</v>
      </c>
      <c r="AG60" s="66">
        <v>60</v>
      </c>
      <c r="AH60" s="48">
        <f t="shared" si="8"/>
        <v>32.799999999999997</v>
      </c>
      <c r="AI60" s="49">
        <f t="shared" si="9"/>
        <v>2.7</v>
      </c>
      <c r="AK60" s="51"/>
    </row>
    <row r="61" spans="1:88" ht="15.75" thickBot="1" x14ac:dyDescent="0.3">
      <c r="A61" s="77" t="s">
        <v>78</v>
      </c>
      <c r="B61" s="78">
        <v>20.6</v>
      </c>
      <c r="C61" s="78">
        <v>20.6</v>
      </c>
      <c r="D61" s="78">
        <v>21.2</v>
      </c>
      <c r="E61" s="78">
        <v>21.2</v>
      </c>
      <c r="F61" s="78">
        <v>21.2</v>
      </c>
      <c r="G61" s="78">
        <v>21.2</v>
      </c>
      <c r="H61" s="78">
        <v>21.2</v>
      </c>
      <c r="I61" s="78">
        <v>21.2</v>
      </c>
      <c r="J61" s="78">
        <v>21.2</v>
      </c>
      <c r="K61" s="78">
        <v>17</v>
      </c>
      <c r="L61" s="78">
        <v>16.8</v>
      </c>
      <c r="M61" s="78">
        <v>16.8</v>
      </c>
      <c r="N61" s="78">
        <v>16.8</v>
      </c>
      <c r="O61" s="78">
        <v>16.8</v>
      </c>
      <c r="P61" s="78">
        <v>16.8</v>
      </c>
      <c r="Q61" s="78">
        <v>16.8</v>
      </c>
      <c r="R61" s="78">
        <v>13.9</v>
      </c>
      <c r="S61" s="78">
        <v>13.9</v>
      </c>
      <c r="T61" s="78">
        <v>13.9</v>
      </c>
      <c r="U61" s="78">
        <v>13.8</v>
      </c>
      <c r="V61" s="78">
        <v>13.9</v>
      </c>
      <c r="W61" s="78">
        <v>13.9</v>
      </c>
      <c r="X61" s="78">
        <v>18.3</v>
      </c>
      <c r="Y61" s="78">
        <v>18.3</v>
      </c>
      <c r="Z61" s="78">
        <v>18.3</v>
      </c>
      <c r="AA61" s="78">
        <v>18.3</v>
      </c>
      <c r="AB61" s="78">
        <v>18.3</v>
      </c>
      <c r="AC61" s="78">
        <v>18.3</v>
      </c>
      <c r="AD61" s="78">
        <v>18.3</v>
      </c>
      <c r="AE61" s="78">
        <v>18.3</v>
      </c>
      <c r="AF61" s="78">
        <v>18.3</v>
      </c>
      <c r="AG61" s="79">
        <v>22.1</v>
      </c>
      <c r="AH61" s="48">
        <f t="shared" si="8"/>
        <v>21.2</v>
      </c>
      <c r="AI61" s="49">
        <f t="shared" si="9"/>
        <v>13.8</v>
      </c>
      <c r="AK61" s="51"/>
    </row>
    <row r="62" spans="1:88" ht="15.75" thickBot="1" x14ac:dyDescent="0.3">
      <c r="A62" s="80" t="s">
        <v>79</v>
      </c>
      <c r="B62" s="71">
        <f>SUM(B59:B61)</f>
        <v>164.2</v>
      </c>
      <c r="C62" s="71">
        <f>SUM(C59:C61)</f>
        <v>143.69999999999999</v>
      </c>
      <c r="D62" s="71">
        <f>SUM(D59:D61)</f>
        <v>105.30000000000001</v>
      </c>
      <c r="E62" s="71">
        <f t="shared" ref="E62:AG62" si="26">SUM(E59:E61)</f>
        <v>126.10000000000001</v>
      </c>
      <c r="F62" s="71">
        <f t="shared" si="26"/>
        <v>126.10000000000001</v>
      </c>
      <c r="G62" s="71">
        <f t="shared" si="26"/>
        <v>125.10000000000001</v>
      </c>
      <c r="H62" s="71">
        <f t="shared" si="26"/>
        <v>144.79999999999998</v>
      </c>
      <c r="I62" s="71">
        <f t="shared" si="26"/>
        <v>196.4</v>
      </c>
      <c r="J62" s="71">
        <f t="shared" si="26"/>
        <v>45.099999999999994</v>
      </c>
      <c r="K62" s="71">
        <f>SUM(K59:K61)</f>
        <v>40.200000000000003</v>
      </c>
      <c r="L62" s="71">
        <f t="shared" si="26"/>
        <v>39.5</v>
      </c>
      <c r="M62" s="71">
        <f t="shared" si="26"/>
        <v>39.5</v>
      </c>
      <c r="N62" s="71">
        <f>SUM(N59:N61)</f>
        <v>39.5</v>
      </c>
      <c r="O62" s="71">
        <f>SUM(O59:O61)</f>
        <v>39.5</v>
      </c>
      <c r="P62" s="71">
        <f>SUM(P59:P61)</f>
        <v>39.5</v>
      </c>
      <c r="Q62" s="71">
        <f>SUM(Q59:Q61)</f>
        <v>39.5</v>
      </c>
      <c r="R62" s="71">
        <f>SUM(R59:R61)</f>
        <v>36.9</v>
      </c>
      <c r="S62" s="71">
        <f t="shared" si="26"/>
        <v>36.6</v>
      </c>
      <c r="T62" s="71">
        <f t="shared" si="26"/>
        <v>36.5</v>
      </c>
      <c r="U62" s="71">
        <f t="shared" si="26"/>
        <v>37.400000000000006</v>
      </c>
      <c r="V62" s="71">
        <f t="shared" si="26"/>
        <v>38.799999999999997</v>
      </c>
      <c r="W62" s="71">
        <f t="shared" si="26"/>
        <v>36.6</v>
      </c>
      <c r="X62" s="71">
        <f t="shared" si="26"/>
        <v>42.7</v>
      </c>
      <c r="Y62" s="71">
        <f t="shared" si="26"/>
        <v>291.8</v>
      </c>
      <c r="Z62" s="71">
        <f t="shared" si="26"/>
        <v>350.5</v>
      </c>
      <c r="AA62" s="71">
        <f t="shared" si="26"/>
        <v>370.6</v>
      </c>
      <c r="AB62" s="71">
        <f>SUM(AB59:AB61)</f>
        <v>400.1</v>
      </c>
      <c r="AC62" s="71">
        <f>SUM(AC59:AC61)</f>
        <v>381.1</v>
      </c>
      <c r="AD62" s="71">
        <f>SUM(AD59:AD61)</f>
        <v>351.1</v>
      </c>
      <c r="AE62" s="71">
        <f>SUM(AE59:AE61)</f>
        <v>261.10000000000002</v>
      </c>
      <c r="AF62" s="71">
        <f>SUM(AF59:AF61)</f>
        <v>261.10000000000002</v>
      </c>
      <c r="AG62" s="72">
        <f t="shared" si="26"/>
        <v>538.1</v>
      </c>
      <c r="AH62" s="48">
        <f t="shared" si="8"/>
        <v>400.1</v>
      </c>
      <c r="AI62" s="49">
        <f t="shared" si="9"/>
        <v>36.5</v>
      </c>
      <c r="AK62" s="51"/>
    </row>
    <row r="63" spans="1:88" x14ac:dyDescent="0.25">
      <c r="A63" s="45" t="s">
        <v>80</v>
      </c>
      <c r="B63" s="46">
        <v>101.6</v>
      </c>
      <c r="C63" s="46">
        <v>80</v>
      </c>
      <c r="D63" s="46">
        <v>61.2</v>
      </c>
      <c r="E63" s="46">
        <v>60.8</v>
      </c>
      <c r="F63" s="46">
        <v>61.2</v>
      </c>
      <c r="G63" s="46">
        <v>60.5</v>
      </c>
      <c r="H63" s="46">
        <v>60.5</v>
      </c>
      <c r="I63" s="46">
        <v>80.900000000000006</v>
      </c>
      <c r="J63" s="46">
        <v>60</v>
      </c>
      <c r="K63" s="46">
        <v>80</v>
      </c>
      <c r="L63" s="46">
        <v>97</v>
      </c>
      <c r="M63" s="46">
        <v>97</v>
      </c>
      <c r="N63" s="46">
        <v>97</v>
      </c>
      <c r="O63" s="46">
        <v>76</v>
      </c>
      <c r="P63" s="46">
        <v>97</v>
      </c>
      <c r="Q63" s="46">
        <v>97</v>
      </c>
      <c r="R63" s="46">
        <v>0</v>
      </c>
      <c r="S63" s="46">
        <v>97.2</v>
      </c>
      <c r="T63" s="46">
        <v>80.599999999999994</v>
      </c>
      <c r="U63" s="46">
        <v>80.599999999999994</v>
      </c>
      <c r="V63" s="46">
        <v>60</v>
      </c>
      <c r="W63" s="46">
        <v>30</v>
      </c>
      <c r="X63" s="46">
        <v>30.8</v>
      </c>
      <c r="Y63" s="46">
        <v>112.9</v>
      </c>
      <c r="Z63" s="46">
        <v>112.8</v>
      </c>
      <c r="AA63" s="46">
        <v>101</v>
      </c>
      <c r="AB63" s="46">
        <v>109</v>
      </c>
      <c r="AC63" s="46">
        <v>100</v>
      </c>
      <c r="AD63" s="46">
        <v>100</v>
      </c>
      <c r="AE63" s="46">
        <v>100</v>
      </c>
      <c r="AF63" s="46">
        <v>100</v>
      </c>
      <c r="AG63" s="61">
        <v>144</v>
      </c>
      <c r="AH63" s="48">
        <f t="shared" si="8"/>
        <v>112.9</v>
      </c>
      <c r="AI63" s="49">
        <f t="shared" si="9"/>
        <v>0</v>
      </c>
      <c r="AK63" s="51"/>
    </row>
    <row r="64" spans="1:88" x14ac:dyDescent="0.25">
      <c r="A64" s="65" t="s">
        <v>81</v>
      </c>
      <c r="B64" s="46">
        <v>59.8</v>
      </c>
      <c r="C64" s="46">
        <v>33.799999999999997</v>
      </c>
      <c r="D64" s="46">
        <v>33.700000000000003</v>
      </c>
      <c r="E64" s="76">
        <v>33.6</v>
      </c>
      <c r="F64" s="76">
        <v>24.5</v>
      </c>
      <c r="G64" s="76">
        <v>34.9</v>
      </c>
      <c r="H64" s="76">
        <v>34.9</v>
      </c>
      <c r="I64" s="76">
        <v>59.7</v>
      </c>
      <c r="J64" s="76">
        <v>50.9</v>
      </c>
      <c r="K64" s="76">
        <v>52.8</v>
      </c>
      <c r="L64" s="76">
        <v>70</v>
      </c>
      <c r="M64" s="76">
        <v>59</v>
      </c>
      <c r="N64" s="76">
        <v>59</v>
      </c>
      <c r="O64" s="76">
        <v>45</v>
      </c>
      <c r="P64" s="76">
        <v>59</v>
      </c>
      <c r="Q64" s="76">
        <v>59</v>
      </c>
      <c r="R64" s="76">
        <v>60.4</v>
      </c>
      <c r="S64" s="76">
        <v>55.8</v>
      </c>
      <c r="T64" s="76">
        <v>33.5</v>
      </c>
      <c r="U64" s="76">
        <v>33.1</v>
      </c>
      <c r="V64" s="76">
        <v>25</v>
      </c>
      <c r="W64" s="46">
        <v>23.9</v>
      </c>
      <c r="X64" s="46">
        <v>24.4</v>
      </c>
      <c r="Y64" s="46">
        <v>60.9</v>
      </c>
      <c r="Z64" s="46">
        <v>50</v>
      </c>
      <c r="AA64" s="46">
        <v>59</v>
      </c>
      <c r="AB64" s="46">
        <v>59</v>
      </c>
      <c r="AC64" s="46">
        <v>59</v>
      </c>
      <c r="AD64" s="46">
        <v>59</v>
      </c>
      <c r="AE64" s="46">
        <v>59</v>
      </c>
      <c r="AF64" s="46">
        <v>50</v>
      </c>
      <c r="AG64" s="66">
        <v>70</v>
      </c>
      <c r="AH64" s="48">
        <f t="shared" si="8"/>
        <v>70</v>
      </c>
      <c r="AI64" s="49">
        <f t="shared" si="9"/>
        <v>23.9</v>
      </c>
      <c r="AK64" s="51"/>
    </row>
    <row r="65" spans="1:75" x14ac:dyDescent="0.25">
      <c r="A65" s="65" t="s">
        <v>82</v>
      </c>
      <c r="B65" s="46">
        <v>69</v>
      </c>
      <c r="C65" s="46">
        <v>69</v>
      </c>
      <c r="D65" s="46">
        <v>69</v>
      </c>
      <c r="E65" s="76">
        <v>68.8</v>
      </c>
      <c r="F65" s="76">
        <v>68.599999999999994</v>
      </c>
      <c r="G65" s="76">
        <v>62.4</v>
      </c>
      <c r="H65" s="76">
        <v>62.4</v>
      </c>
      <c r="I65" s="76">
        <v>68.400000000000006</v>
      </c>
      <c r="J65" s="76">
        <v>48.5</v>
      </c>
      <c r="K65" s="76">
        <v>48.3</v>
      </c>
      <c r="L65" s="76">
        <v>48.3</v>
      </c>
      <c r="M65" s="76">
        <v>47</v>
      </c>
      <c r="N65" s="76">
        <v>47</v>
      </c>
      <c r="O65" s="76">
        <v>36</v>
      </c>
      <c r="P65" s="76">
        <v>40</v>
      </c>
      <c r="Q65" s="76">
        <v>47</v>
      </c>
      <c r="R65" s="76">
        <v>34.299999999999997</v>
      </c>
      <c r="S65" s="76">
        <v>34.200000000000003</v>
      </c>
      <c r="T65" s="76">
        <v>41.7</v>
      </c>
      <c r="U65" s="76">
        <v>44.8</v>
      </c>
      <c r="V65" s="76">
        <v>32</v>
      </c>
      <c r="W65" s="46">
        <v>31.9</v>
      </c>
      <c r="X65" s="46">
        <v>32</v>
      </c>
      <c r="Y65" s="46">
        <v>61.9</v>
      </c>
      <c r="Z65" s="46">
        <v>50</v>
      </c>
      <c r="AA65" s="46">
        <v>60</v>
      </c>
      <c r="AB65" s="46">
        <v>60</v>
      </c>
      <c r="AC65" s="46">
        <v>60</v>
      </c>
      <c r="AD65" s="46">
        <v>60</v>
      </c>
      <c r="AE65" s="46">
        <v>60</v>
      </c>
      <c r="AF65" s="46">
        <v>50</v>
      </c>
      <c r="AG65" s="66">
        <v>69</v>
      </c>
      <c r="AH65" s="48">
        <f t="shared" si="8"/>
        <v>69</v>
      </c>
      <c r="AI65" s="49">
        <f t="shared" si="9"/>
        <v>31.9</v>
      </c>
      <c r="AK65" s="51"/>
    </row>
    <row r="66" spans="1:75" x14ac:dyDescent="0.25">
      <c r="A66" s="65" t="s">
        <v>83</v>
      </c>
      <c r="B66" s="46">
        <v>55.4</v>
      </c>
      <c r="C66" s="46">
        <v>55.4</v>
      </c>
      <c r="D66" s="46">
        <v>55.9</v>
      </c>
      <c r="E66" s="76">
        <v>55.9</v>
      </c>
      <c r="F66" s="76">
        <v>59.5</v>
      </c>
      <c r="G66" s="76">
        <v>60</v>
      </c>
      <c r="H66" s="76">
        <v>60</v>
      </c>
      <c r="I66" s="76">
        <v>60</v>
      </c>
      <c r="J66" s="76">
        <v>60</v>
      </c>
      <c r="K66" s="68">
        <v>60</v>
      </c>
      <c r="L66" s="68">
        <v>60</v>
      </c>
      <c r="M66" s="68">
        <v>60</v>
      </c>
      <c r="N66" s="68">
        <v>60</v>
      </c>
      <c r="O66" s="68">
        <v>60</v>
      </c>
      <c r="P66" s="68">
        <v>60</v>
      </c>
      <c r="Q66" s="68">
        <v>60</v>
      </c>
      <c r="R66" s="68">
        <v>58.9</v>
      </c>
      <c r="S66" s="76">
        <v>29</v>
      </c>
      <c r="T66" s="76">
        <v>58.7</v>
      </c>
      <c r="U66" s="76">
        <v>56.2</v>
      </c>
      <c r="V66" s="76">
        <v>56.2</v>
      </c>
      <c r="W66" s="46">
        <v>54.4</v>
      </c>
      <c r="X66" s="46">
        <v>54.4</v>
      </c>
      <c r="Y66" s="46">
        <v>54.4</v>
      </c>
      <c r="Z66" s="46">
        <v>54.4</v>
      </c>
      <c r="AA66" s="46">
        <v>54.2</v>
      </c>
      <c r="AB66" s="46">
        <v>54.2</v>
      </c>
      <c r="AC66" s="46">
        <v>54.2</v>
      </c>
      <c r="AD66" s="46">
        <v>54.2</v>
      </c>
      <c r="AE66" s="46">
        <v>54.2</v>
      </c>
      <c r="AF66" s="46">
        <v>54.2</v>
      </c>
      <c r="AG66" s="66">
        <v>60</v>
      </c>
      <c r="AH66" s="48">
        <f t="shared" si="8"/>
        <v>60</v>
      </c>
      <c r="AI66" s="49">
        <f t="shared" si="9"/>
        <v>29</v>
      </c>
      <c r="AK66" s="51"/>
    </row>
    <row r="67" spans="1:75" x14ac:dyDescent="0.25">
      <c r="A67" s="65" t="s">
        <v>84</v>
      </c>
      <c r="B67" s="46">
        <v>14</v>
      </c>
      <c r="C67" s="46">
        <v>14</v>
      </c>
      <c r="D67" s="46">
        <v>10</v>
      </c>
      <c r="E67" s="46">
        <v>10</v>
      </c>
      <c r="F67" s="76">
        <v>9.1999999999999993</v>
      </c>
      <c r="G67" s="76">
        <v>0</v>
      </c>
      <c r="H67" s="76">
        <v>0</v>
      </c>
      <c r="I67" s="76">
        <v>10.4</v>
      </c>
      <c r="J67" s="76">
        <v>10</v>
      </c>
      <c r="K67" s="76">
        <v>10</v>
      </c>
      <c r="L67" s="76">
        <v>13.1</v>
      </c>
      <c r="M67" s="76">
        <v>12.8</v>
      </c>
      <c r="N67" s="76">
        <v>15</v>
      </c>
      <c r="O67" s="76">
        <v>22</v>
      </c>
      <c r="P67" s="76">
        <v>22</v>
      </c>
      <c r="Q67" s="76">
        <v>27</v>
      </c>
      <c r="R67" s="76">
        <v>14</v>
      </c>
      <c r="S67" s="76">
        <v>10</v>
      </c>
      <c r="T67" s="76">
        <v>10.199999999999999</v>
      </c>
      <c r="U67" s="76">
        <v>0</v>
      </c>
      <c r="V67" s="76">
        <v>0</v>
      </c>
      <c r="W67" s="46">
        <v>10.1</v>
      </c>
      <c r="X67" s="46">
        <v>9.6999999999999993</v>
      </c>
      <c r="Y67" s="46">
        <v>9.5</v>
      </c>
      <c r="Z67" s="46">
        <v>23.2</v>
      </c>
      <c r="AA67" s="46">
        <v>22.9</v>
      </c>
      <c r="AB67" s="46">
        <v>22.9</v>
      </c>
      <c r="AC67" s="46">
        <v>22.9</v>
      </c>
      <c r="AD67" s="46">
        <v>15</v>
      </c>
      <c r="AE67" s="46">
        <v>15</v>
      </c>
      <c r="AF67" s="46">
        <v>10</v>
      </c>
      <c r="AG67" s="66">
        <v>30</v>
      </c>
      <c r="AH67" s="48">
        <f t="shared" si="8"/>
        <v>27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1.3</v>
      </c>
      <c r="J68" s="46">
        <v>2.8</v>
      </c>
      <c r="K68" s="46">
        <v>3</v>
      </c>
      <c r="L68" s="46">
        <v>4.9000000000000004</v>
      </c>
      <c r="M68" s="46">
        <v>4.9000000000000004</v>
      </c>
      <c r="N68" s="46">
        <v>4.9000000000000004</v>
      </c>
      <c r="O68" s="46">
        <v>4.9000000000000004</v>
      </c>
      <c r="P68" s="46">
        <v>4.9000000000000004</v>
      </c>
      <c r="Q68" s="46">
        <v>4.9000000000000004</v>
      </c>
      <c r="R68" s="46">
        <v>15.1</v>
      </c>
      <c r="S68" s="76">
        <v>18</v>
      </c>
      <c r="T68" s="76">
        <v>12.1</v>
      </c>
      <c r="U68" s="76">
        <v>4.7</v>
      </c>
      <c r="V68" s="76">
        <v>2</v>
      </c>
      <c r="W68" s="46">
        <v>1.5</v>
      </c>
      <c r="X68" s="46">
        <v>1.1000000000000001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18</v>
      </c>
      <c r="AI68" s="49">
        <f t="shared" si="9"/>
        <v>0</v>
      </c>
      <c r="AK68" s="51"/>
      <c r="AY68" s="1" t="s">
        <v>86</v>
      </c>
      <c r="AZ68" s="82">
        <f>ROUND(C81,0)</f>
        <v>58</v>
      </c>
      <c r="BA68" s="81">
        <f t="shared" ref="BA68:BD72" si="27">D81</f>
        <v>56.8</v>
      </c>
      <c r="BB68" s="81">
        <f t="shared" si="27"/>
        <v>53</v>
      </c>
      <c r="BC68" s="81">
        <f t="shared" si="27"/>
        <v>51.6</v>
      </c>
      <c r="BD68" s="81">
        <f t="shared" si="27"/>
        <v>54</v>
      </c>
      <c r="BE68" s="82">
        <f>I81</f>
        <v>36</v>
      </c>
      <c r="BF68" s="82">
        <f>K81</f>
        <v>71</v>
      </c>
      <c r="BG68" s="82">
        <f t="shared" ref="BG68:BP72" si="28">M81</f>
        <v>72</v>
      </c>
      <c r="BH68" s="82">
        <f t="shared" si="28"/>
        <v>65</v>
      </c>
      <c r="BI68" s="82">
        <f t="shared" si="28"/>
        <v>67</v>
      </c>
      <c r="BJ68" s="82">
        <f t="shared" si="28"/>
        <v>0</v>
      </c>
      <c r="BK68" s="82">
        <f t="shared" si="28"/>
        <v>19</v>
      </c>
      <c r="BL68" s="82">
        <f t="shared" si="28"/>
        <v>69</v>
      </c>
      <c r="BM68" s="82">
        <f t="shared" si="28"/>
        <v>67.599999999999994</v>
      </c>
      <c r="BN68" s="82">
        <f t="shared" si="28"/>
        <v>59.2</v>
      </c>
      <c r="BO68" s="82">
        <f t="shared" si="28"/>
        <v>67.7</v>
      </c>
      <c r="BP68" s="82">
        <f t="shared" si="28"/>
        <v>65</v>
      </c>
      <c r="BQ68" s="82">
        <f>X81</f>
        <v>51.9</v>
      </c>
      <c r="BR68" s="82">
        <f>Z81</f>
        <v>36.5</v>
      </c>
      <c r="BS68" s="81">
        <f>AB81</f>
        <v>45</v>
      </c>
      <c r="BT68" s="81">
        <f t="shared" ref="BT68:BV72" si="29">AD81</f>
        <v>52</v>
      </c>
      <c r="BU68" s="81">
        <f t="shared" si="29"/>
        <v>52</v>
      </c>
      <c r="BV68" s="81">
        <f t="shared" si="29"/>
        <v>40</v>
      </c>
      <c r="BW68" s="81">
        <f>B81</f>
        <v>58.9</v>
      </c>
    </row>
    <row r="69" spans="1:75" x14ac:dyDescent="0.25">
      <c r="A69" s="65" t="s">
        <v>87</v>
      </c>
      <c r="B69" s="76">
        <v>14.4</v>
      </c>
      <c r="C69" s="76">
        <v>14.4</v>
      </c>
      <c r="D69" s="76">
        <v>14.5</v>
      </c>
      <c r="E69" s="76">
        <v>14.5</v>
      </c>
      <c r="F69" s="76">
        <v>14.5</v>
      </c>
      <c r="G69" s="76">
        <v>14.5</v>
      </c>
      <c r="H69" s="76">
        <v>14.5</v>
      </c>
      <c r="I69" s="76">
        <v>14.5</v>
      </c>
      <c r="J69" s="76">
        <v>14.5</v>
      </c>
      <c r="K69" s="76">
        <v>14.5</v>
      </c>
      <c r="L69" s="76">
        <v>14.5</v>
      </c>
      <c r="M69" s="76">
        <v>14.5</v>
      </c>
      <c r="N69" s="76">
        <v>14.5</v>
      </c>
      <c r="O69" s="76">
        <v>14.5</v>
      </c>
      <c r="P69" s="76">
        <v>14.5</v>
      </c>
      <c r="Q69" s="76">
        <v>14.5</v>
      </c>
      <c r="R69" s="76">
        <v>14</v>
      </c>
      <c r="S69" s="76">
        <v>14</v>
      </c>
      <c r="T69" s="76">
        <v>13.6</v>
      </c>
      <c r="U69" s="76">
        <v>13.5</v>
      </c>
      <c r="V69" s="76">
        <v>13.5</v>
      </c>
      <c r="W69" s="76">
        <v>13.6</v>
      </c>
      <c r="X69" s="76">
        <v>14.6</v>
      </c>
      <c r="Y69" s="76">
        <v>14.3</v>
      </c>
      <c r="Z69" s="76">
        <v>14.2</v>
      </c>
      <c r="AA69" s="76">
        <v>14.2</v>
      </c>
      <c r="AB69" s="76">
        <v>14.2</v>
      </c>
      <c r="AC69" s="76">
        <v>14.2</v>
      </c>
      <c r="AD69" s="76">
        <v>14.2</v>
      </c>
      <c r="AE69" s="76">
        <v>14.2</v>
      </c>
      <c r="AF69" s="76">
        <v>14.2</v>
      </c>
      <c r="AG69" s="66">
        <v>24</v>
      </c>
      <c r="AH69" s="48">
        <f t="shared" si="8"/>
        <v>14.6</v>
      </c>
      <c r="AI69" s="49">
        <f t="shared" si="9"/>
        <v>13.5</v>
      </c>
      <c r="AK69" s="51"/>
      <c r="AY69" s="1" t="s">
        <v>88</v>
      </c>
      <c r="AZ69" s="82">
        <f>ROUND(C82,0)</f>
        <v>0</v>
      </c>
      <c r="BA69" s="81">
        <f t="shared" si="27"/>
        <v>0</v>
      </c>
      <c r="BB69" s="81">
        <f t="shared" si="27"/>
        <v>0</v>
      </c>
      <c r="BC69" s="81">
        <f t="shared" si="27"/>
        <v>0</v>
      </c>
      <c r="BD69" s="81">
        <f t="shared" si="27"/>
        <v>0</v>
      </c>
      <c r="BE69" s="82">
        <f>I82</f>
        <v>0</v>
      </c>
      <c r="BF69" s="82">
        <f>K82</f>
        <v>81</v>
      </c>
      <c r="BG69" s="82">
        <f t="shared" si="28"/>
        <v>92</v>
      </c>
      <c r="BH69" s="82">
        <f t="shared" si="28"/>
        <v>96</v>
      </c>
      <c r="BI69" s="82">
        <f t="shared" si="28"/>
        <v>97</v>
      </c>
      <c r="BJ69" s="82">
        <f t="shared" si="28"/>
        <v>98</v>
      </c>
      <c r="BK69" s="82">
        <f t="shared" si="28"/>
        <v>98</v>
      </c>
      <c r="BL69" s="82">
        <f t="shared" si="28"/>
        <v>100.8</v>
      </c>
      <c r="BM69" s="82">
        <f t="shared" si="28"/>
        <v>99.3</v>
      </c>
      <c r="BN69" s="82">
        <f t="shared" si="28"/>
        <v>84.7</v>
      </c>
      <c r="BO69" s="82">
        <f t="shared" si="28"/>
        <v>99.2</v>
      </c>
      <c r="BP69" s="82">
        <f t="shared" si="28"/>
        <v>89.1</v>
      </c>
      <c r="BQ69" s="82">
        <f>X82</f>
        <v>74.8</v>
      </c>
      <c r="BR69" s="82">
        <f>Z82</f>
        <v>72.5</v>
      </c>
      <c r="BS69" s="81">
        <f>AB82</f>
        <v>0</v>
      </c>
      <c r="BT69" s="81">
        <f t="shared" si="29"/>
        <v>0</v>
      </c>
      <c r="BU69" s="81">
        <f t="shared" si="29"/>
        <v>0</v>
      </c>
      <c r="BV69" s="81">
        <f t="shared" si="29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90</v>
      </c>
      <c r="BA70" s="81">
        <f t="shared" si="27"/>
        <v>110.2</v>
      </c>
      <c r="BB70" s="81">
        <f t="shared" si="27"/>
        <v>71</v>
      </c>
      <c r="BC70" s="81">
        <f t="shared" si="27"/>
        <v>61</v>
      </c>
      <c r="BD70" s="81">
        <f t="shared" si="27"/>
        <v>64</v>
      </c>
      <c r="BE70" s="82">
        <f>I83</f>
        <v>85</v>
      </c>
      <c r="BF70" s="82">
        <f>K83</f>
        <v>310</v>
      </c>
      <c r="BG70" s="82">
        <f t="shared" si="28"/>
        <v>350</v>
      </c>
      <c r="BH70" s="82">
        <f t="shared" si="28"/>
        <v>390</v>
      </c>
      <c r="BI70" s="82">
        <f t="shared" si="28"/>
        <v>421</v>
      </c>
      <c r="BJ70" s="82">
        <f t="shared" si="28"/>
        <v>410</v>
      </c>
      <c r="BK70" s="82">
        <f t="shared" si="28"/>
        <v>401</v>
      </c>
      <c r="BL70" s="82">
        <f t="shared" si="28"/>
        <v>412</v>
      </c>
      <c r="BM70" s="82">
        <f t="shared" si="28"/>
        <v>469.9</v>
      </c>
      <c r="BN70" s="82">
        <f t="shared" si="28"/>
        <v>511.9</v>
      </c>
      <c r="BO70" s="82">
        <f t="shared" si="28"/>
        <v>480.8</v>
      </c>
      <c r="BP70" s="82">
        <f t="shared" si="28"/>
        <v>471</v>
      </c>
      <c r="BQ70" s="82">
        <f>X83</f>
        <v>361</v>
      </c>
      <c r="BR70" s="82">
        <f>Z83</f>
        <v>27</v>
      </c>
      <c r="BS70" s="81">
        <f>AB83</f>
        <v>46</v>
      </c>
      <c r="BT70" s="81">
        <f t="shared" si="29"/>
        <v>44</v>
      </c>
      <c r="BU70" s="81">
        <f t="shared" si="29"/>
        <v>44</v>
      </c>
      <c r="BV70" s="81">
        <f t="shared" si="29"/>
        <v>0</v>
      </c>
      <c r="BW70" s="81">
        <f>B83</f>
        <v>85</v>
      </c>
    </row>
    <row r="71" spans="1:75" s="83" customFormat="1" x14ac:dyDescent="0.25">
      <c r="A71" s="65" t="s">
        <v>91</v>
      </c>
      <c r="B71" s="76">
        <v>13.5</v>
      </c>
      <c r="C71" s="76">
        <v>13.5</v>
      </c>
      <c r="D71" s="76">
        <v>13.1</v>
      </c>
      <c r="E71" s="76">
        <v>13.1</v>
      </c>
      <c r="F71" s="76">
        <v>13.1</v>
      </c>
      <c r="G71" s="76">
        <v>13.1</v>
      </c>
      <c r="H71" s="76">
        <v>13.1</v>
      </c>
      <c r="I71" s="76">
        <v>13.1</v>
      </c>
      <c r="J71" s="76">
        <v>13.1</v>
      </c>
      <c r="K71" s="76">
        <v>13.1</v>
      </c>
      <c r="L71" s="76">
        <v>13.1</v>
      </c>
      <c r="M71" s="76">
        <v>13.1</v>
      </c>
      <c r="N71" s="76">
        <v>13.1</v>
      </c>
      <c r="O71" s="76">
        <v>13.1</v>
      </c>
      <c r="P71" s="76">
        <v>13.1</v>
      </c>
      <c r="Q71" s="76">
        <v>13.1</v>
      </c>
      <c r="R71" s="76">
        <v>11.4</v>
      </c>
      <c r="S71" s="76">
        <v>11.4</v>
      </c>
      <c r="T71" s="76">
        <v>10.9</v>
      </c>
      <c r="U71" s="76">
        <v>10.3</v>
      </c>
      <c r="V71" s="76">
        <v>10.3</v>
      </c>
      <c r="W71" s="76">
        <v>10.6</v>
      </c>
      <c r="X71" s="76">
        <v>11</v>
      </c>
      <c r="Y71" s="76">
        <v>10.6</v>
      </c>
      <c r="Z71" s="76">
        <v>5.7</v>
      </c>
      <c r="AA71" s="76">
        <v>5.7</v>
      </c>
      <c r="AB71" s="76">
        <v>5.7</v>
      </c>
      <c r="AC71" s="76">
        <v>5.7</v>
      </c>
      <c r="AD71" s="76">
        <v>5.7</v>
      </c>
      <c r="AE71" s="76">
        <v>5.7</v>
      </c>
      <c r="AF71" s="76">
        <v>5.7</v>
      </c>
      <c r="AG71" s="66">
        <v>14.1</v>
      </c>
      <c r="AH71" s="48">
        <f t="shared" si="8"/>
        <v>13.5</v>
      </c>
      <c r="AI71" s="49">
        <f t="shared" si="9"/>
        <v>5.7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7"/>
        <v>0</v>
      </c>
      <c r="BB71" s="81">
        <f t="shared" si="27"/>
        <v>0</v>
      </c>
      <c r="BC71" s="81">
        <f t="shared" si="27"/>
        <v>0</v>
      </c>
      <c r="BD71" s="81">
        <f t="shared" si="27"/>
        <v>0</v>
      </c>
      <c r="BE71" s="82">
        <f>I84</f>
        <v>0</v>
      </c>
      <c r="BF71" s="82">
        <f>K84</f>
        <v>28</v>
      </c>
      <c r="BG71" s="82">
        <f t="shared" si="28"/>
        <v>27</v>
      </c>
      <c r="BH71" s="82">
        <f t="shared" si="28"/>
        <v>35</v>
      </c>
      <c r="BI71" s="82">
        <f t="shared" si="28"/>
        <v>35</v>
      </c>
      <c r="BJ71" s="82">
        <f t="shared" si="28"/>
        <v>44</v>
      </c>
      <c r="BK71" s="82">
        <f t="shared" si="28"/>
        <v>42</v>
      </c>
      <c r="BL71" s="82">
        <f t="shared" si="28"/>
        <v>39.9</v>
      </c>
      <c r="BM71" s="82">
        <f t="shared" si="28"/>
        <v>43.7</v>
      </c>
      <c r="BN71" s="82">
        <f t="shared" si="28"/>
        <v>48.6</v>
      </c>
      <c r="BO71" s="82">
        <f t="shared" si="28"/>
        <v>54.3</v>
      </c>
      <c r="BP71" s="82">
        <f t="shared" si="28"/>
        <v>54.9</v>
      </c>
      <c r="BQ71" s="82">
        <f>X84</f>
        <v>45.9</v>
      </c>
      <c r="BR71" s="82">
        <f>Z84</f>
        <v>12.2</v>
      </c>
      <c r="BS71" s="81">
        <f>AB84</f>
        <v>11.4</v>
      </c>
      <c r="BT71" s="81">
        <f t="shared" si="29"/>
        <v>11.4</v>
      </c>
      <c r="BU71" s="81">
        <f t="shared" si="29"/>
        <v>11.4</v>
      </c>
      <c r="BV71" s="81">
        <f t="shared" si="29"/>
        <v>0</v>
      </c>
      <c r="BW71" s="81">
        <f>B84</f>
        <v>0</v>
      </c>
    </row>
    <row r="72" spans="1:75" x14ac:dyDescent="0.25">
      <c r="A72" s="84" t="s">
        <v>93</v>
      </c>
      <c r="B72" s="76">
        <v>10.5</v>
      </c>
      <c r="C72" s="76">
        <v>10.5</v>
      </c>
      <c r="D72" s="76">
        <v>10.5</v>
      </c>
      <c r="E72" s="76">
        <v>10.5</v>
      </c>
      <c r="F72" s="76">
        <v>10.5</v>
      </c>
      <c r="G72" s="76">
        <v>10.5</v>
      </c>
      <c r="H72" s="76">
        <v>10.5</v>
      </c>
      <c r="I72" s="76">
        <v>10.5</v>
      </c>
      <c r="J72" s="76">
        <v>10.5</v>
      </c>
      <c r="K72" s="76">
        <v>10.5</v>
      </c>
      <c r="L72" s="76">
        <v>10.5</v>
      </c>
      <c r="M72" s="76">
        <v>10.5</v>
      </c>
      <c r="N72" s="76">
        <v>10.5</v>
      </c>
      <c r="O72" s="76">
        <v>10.5</v>
      </c>
      <c r="P72" s="76">
        <v>10.5</v>
      </c>
      <c r="Q72" s="76">
        <v>10.5</v>
      </c>
      <c r="R72" s="76">
        <v>0</v>
      </c>
      <c r="S72" s="76">
        <v>8.6</v>
      </c>
      <c r="T72" s="76">
        <v>8.6999999999999993</v>
      </c>
      <c r="U72" s="76">
        <v>8.1</v>
      </c>
      <c r="V72" s="76">
        <v>8.1</v>
      </c>
      <c r="W72" s="76">
        <v>7.9</v>
      </c>
      <c r="X72" s="76">
        <v>9.1999999999999993</v>
      </c>
      <c r="Y72" s="76">
        <v>11.7</v>
      </c>
      <c r="Z72" s="76">
        <v>11.7</v>
      </c>
      <c r="AA72" s="76">
        <v>11.7</v>
      </c>
      <c r="AB72" s="76">
        <v>11.7</v>
      </c>
      <c r="AC72" s="76">
        <v>11.7</v>
      </c>
      <c r="AD72" s="76">
        <v>11.7</v>
      </c>
      <c r="AE72" s="76">
        <v>11.7</v>
      </c>
      <c r="AF72" s="76">
        <v>11.7</v>
      </c>
      <c r="AG72" s="66">
        <v>14</v>
      </c>
      <c r="AH72" s="48">
        <f t="shared" si="8"/>
        <v>11.7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27"/>
        <v>0</v>
      </c>
      <c r="BB72" s="81">
        <f t="shared" si="27"/>
        <v>0</v>
      </c>
      <c r="BC72" s="81">
        <f t="shared" si="27"/>
        <v>0</v>
      </c>
      <c r="BD72" s="81">
        <f t="shared" si="27"/>
        <v>0</v>
      </c>
      <c r="BE72" s="82">
        <f>I85</f>
        <v>0</v>
      </c>
      <c r="BF72" s="82">
        <f>K85</f>
        <v>105.5</v>
      </c>
      <c r="BG72" s="82">
        <f t="shared" si="28"/>
        <v>110</v>
      </c>
      <c r="BH72" s="82">
        <f t="shared" si="28"/>
        <v>110</v>
      </c>
      <c r="BI72" s="82">
        <f t="shared" si="28"/>
        <v>120</v>
      </c>
      <c r="BJ72" s="82">
        <f t="shared" si="28"/>
        <v>130</v>
      </c>
      <c r="BK72" s="82">
        <f t="shared" si="28"/>
        <v>135</v>
      </c>
      <c r="BL72" s="82">
        <f t="shared" si="28"/>
        <v>134.6</v>
      </c>
      <c r="BM72" s="82">
        <f t="shared" si="28"/>
        <v>146.80000000000001</v>
      </c>
      <c r="BN72" s="82">
        <f t="shared" si="28"/>
        <v>129.19999999999999</v>
      </c>
      <c r="BO72" s="82">
        <f t="shared" si="28"/>
        <v>145.9</v>
      </c>
      <c r="BP72" s="82">
        <f t="shared" si="28"/>
        <v>108.9</v>
      </c>
      <c r="BQ72" s="82">
        <f>X85</f>
        <v>80.5</v>
      </c>
      <c r="BR72" s="82">
        <f>Z85</f>
        <v>0</v>
      </c>
      <c r="BS72" s="81">
        <f>AB85</f>
        <v>0</v>
      </c>
      <c r="BT72" s="81">
        <f t="shared" si="29"/>
        <v>0</v>
      </c>
      <c r="BU72" s="81">
        <f t="shared" si="29"/>
        <v>0</v>
      </c>
      <c r="BV72" s="81">
        <f t="shared" si="29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46</v>
      </c>
      <c r="BA73" s="82">
        <f>D91</f>
        <v>45.9</v>
      </c>
      <c r="BB73" s="82">
        <f>E91</f>
        <v>44.7</v>
      </c>
      <c r="BC73" s="82">
        <f>F91</f>
        <v>44.5</v>
      </c>
      <c r="BD73" s="82">
        <f>G91</f>
        <v>42.5</v>
      </c>
      <c r="BE73" s="82">
        <f>I91</f>
        <v>38</v>
      </c>
      <c r="BF73" s="82">
        <f>K91</f>
        <v>49.5</v>
      </c>
      <c r="BG73" s="82">
        <f t="shared" ref="BG73:BP73" si="30">M91</f>
        <v>54.5</v>
      </c>
      <c r="BH73" s="82">
        <f t="shared" si="30"/>
        <v>52</v>
      </c>
      <c r="BI73" s="82">
        <f t="shared" si="30"/>
        <v>52</v>
      </c>
      <c r="BJ73" s="82">
        <f t="shared" si="30"/>
        <v>62</v>
      </c>
      <c r="BK73" s="82">
        <f t="shared" si="30"/>
        <v>51</v>
      </c>
      <c r="BL73" s="82">
        <f t="shared" si="30"/>
        <v>52.4</v>
      </c>
      <c r="BM73" s="82">
        <f t="shared" si="30"/>
        <v>43.5</v>
      </c>
      <c r="BN73" s="82">
        <f t="shared" si="30"/>
        <v>45.6</v>
      </c>
      <c r="BO73" s="82">
        <f t="shared" si="30"/>
        <v>46.1</v>
      </c>
      <c r="BP73" s="82">
        <f t="shared" si="30"/>
        <v>41.3</v>
      </c>
      <c r="BQ73" s="82">
        <f>X91</f>
        <v>45.6</v>
      </c>
      <c r="BR73" s="82">
        <f>Z91</f>
        <v>31.9</v>
      </c>
      <c r="BS73" s="82">
        <f>AB91</f>
        <v>35</v>
      </c>
      <c r="BT73" s="82">
        <f>AD91</f>
        <v>42</v>
      </c>
      <c r="BU73" s="82">
        <f>AE91</f>
        <v>42</v>
      </c>
      <c r="BV73" s="82">
        <f>AF91</f>
        <v>45.6</v>
      </c>
      <c r="BW73" s="82">
        <f>B91</f>
        <v>46.8</v>
      </c>
    </row>
    <row r="74" spans="1:75" x14ac:dyDescent="0.25">
      <c r="A74" s="65" t="s">
        <v>97</v>
      </c>
      <c r="B74" s="76">
        <v>2.5</v>
      </c>
      <c r="C74" s="76">
        <v>2.5</v>
      </c>
      <c r="D74" s="76">
        <v>2.5</v>
      </c>
      <c r="E74" s="76">
        <v>2.5</v>
      </c>
      <c r="F74" s="76">
        <v>2.5</v>
      </c>
      <c r="G74" s="76">
        <v>2.5</v>
      </c>
      <c r="H74" s="76">
        <v>2.5</v>
      </c>
      <c r="I74" s="76">
        <v>2.5</v>
      </c>
      <c r="J74" s="76">
        <v>2.5</v>
      </c>
      <c r="K74" s="76">
        <v>2.5</v>
      </c>
      <c r="L74" s="76">
        <v>2.5</v>
      </c>
      <c r="M74" s="76">
        <v>2.5</v>
      </c>
      <c r="N74" s="76">
        <v>2.5</v>
      </c>
      <c r="O74" s="76">
        <v>2.5</v>
      </c>
      <c r="P74" s="76">
        <v>2.5</v>
      </c>
      <c r="Q74" s="76">
        <v>2.5</v>
      </c>
      <c r="R74" s="76">
        <v>2.5</v>
      </c>
      <c r="S74" s="76">
        <v>2.5</v>
      </c>
      <c r="T74" s="76">
        <v>2.5</v>
      </c>
      <c r="U74" s="76">
        <v>2.5</v>
      </c>
      <c r="V74" s="76">
        <v>2.5</v>
      </c>
      <c r="W74" s="76">
        <v>2.5</v>
      </c>
      <c r="X74" s="76">
        <v>2.5</v>
      </c>
      <c r="Y74" s="76">
        <v>2.5</v>
      </c>
      <c r="Z74" s="76">
        <v>2.5</v>
      </c>
      <c r="AA74" s="76">
        <v>2.5</v>
      </c>
      <c r="AB74" s="76">
        <v>2.5</v>
      </c>
      <c r="AC74" s="76">
        <v>2.5</v>
      </c>
      <c r="AD74" s="76">
        <v>2.5</v>
      </c>
      <c r="AE74" s="76">
        <v>2.5</v>
      </c>
      <c r="AF74" s="76">
        <v>2.5</v>
      </c>
      <c r="AG74" s="66">
        <v>6.2</v>
      </c>
      <c r="AH74" s="48">
        <f t="shared" si="8"/>
        <v>2.5</v>
      </c>
      <c r="AI74" s="49">
        <f t="shared" si="9"/>
        <v>2.5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1">VALUE(AZ68)</f>
        <v>58</v>
      </c>
      <c r="BA75" s="82">
        <f t="shared" si="31"/>
        <v>56.8</v>
      </c>
      <c r="BB75" s="82">
        <f t="shared" si="31"/>
        <v>53</v>
      </c>
      <c r="BC75" s="82">
        <f t="shared" si="31"/>
        <v>51.6</v>
      </c>
      <c r="BD75" s="82">
        <f t="shared" si="31"/>
        <v>54</v>
      </c>
      <c r="BE75" s="82">
        <f t="shared" si="31"/>
        <v>36</v>
      </c>
      <c r="BF75" s="82">
        <f t="shared" si="31"/>
        <v>71</v>
      </c>
      <c r="BG75" s="82">
        <f t="shared" si="31"/>
        <v>72</v>
      </c>
      <c r="BH75" s="82">
        <f t="shared" si="31"/>
        <v>65</v>
      </c>
      <c r="BI75" s="82">
        <f t="shared" si="31"/>
        <v>67</v>
      </c>
      <c r="BJ75" s="82">
        <f t="shared" si="31"/>
        <v>0</v>
      </c>
      <c r="BK75" s="82">
        <f t="shared" si="31"/>
        <v>19</v>
      </c>
      <c r="BL75" s="82">
        <f t="shared" si="31"/>
        <v>69</v>
      </c>
      <c r="BM75" s="82">
        <f t="shared" si="31"/>
        <v>67.599999999999994</v>
      </c>
      <c r="BN75" s="82">
        <f t="shared" si="31"/>
        <v>59.2</v>
      </c>
      <c r="BO75" s="82">
        <f t="shared" si="31"/>
        <v>67.7</v>
      </c>
      <c r="BP75" s="82">
        <f t="shared" si="31"/>
        <v>65</v>
      </c>
      <c r="BQ75" s="82">
        <f t="shared" si="31"/>
        <v>51.9</v>
      </c>
      <c r="BR75" s="82">
        <f t="shared" si="31"/>
        <v>36.5</v>
      </c>
      <c r="BS75" s="82">
        <f t="shared" si="31"/>
        <v>45</v>
      </c>
      <c r="BT75" s="82">
        <f t="shared" si="31"/>
        <v>52</v>
      </c>
      <c r="BU75" s="82">
        <f t="shared" si="31"/>
        <v>52</v>
      </c>
      <c r="BV75" s="82">
        <f t="shared" si="31"/>
        <v>40</v>
      </c>
      <c r="BW75" s="82">
        <f t="shared" si="31"/>
        <v>58.9</v>
      </c>
    </row>
    <row r="76" spans="1:75" ht="15.75" thickBot="1" x14ac:dyDescent="0.3">
      <c r="A76" s="87" t="s">
        <v>99</v>
      </c>
      <c r="B76" s="71">
        <f>SUM(B63:B75)</f>
        <v>348.73999999999995</v>
      </c>
      <c r="C76" s="71">
        <f>SUM(C63:C75)</f>
        <v>301.14000000000004</v>
      </c>
      <c r="D76" s="71">
        <f>SUM(D63:D75)</f>
        <v>278.44000000000005</v>
      </c>
      <c r="E76" s="71">
        <f t="shared" ref="E76:AG76" si="32">SUM(E63:E75)</f>
        <v>277.74</v>
      </c>
      <c r="F76" s="71">
        <f t="shared" si="32"/>
        <v>271.64000000000004</v>
      </c>
      <c r="G76" s="71">
        <f t="shared" si="32"/>
        <v>266.44</v>
      </c>
      <c r="H76" s="71">
        <f t="shared" si="32"/>
        <v>266.44</v>
      </c>
      <c r="I76" s="71">
        <f t="shared" si="32"/>
        <v>329.34000000000003</v>
      </c>
      <c r="J76" s="71">
        <f t="shared" si="32"/>
        <v>280.84000000000003</v>
      </c>
      <c r="K76" s="71">
        <f>SUM(K63:K75)</f>
        <v>302.74000000000007</v>
      </c>
      <c r="L76" s="71">
        <f t="shared" si="32"/>
        <v>341.94000000000005</v>
      </c>
      <c r="M76" s="71">
        <f t="shared" si="32"/>
        <v>329.34000000000003</v>
      </c>
      <c r="N76" s="71">
        <f>SUM(N63:N75)</f>
        <v>331.54</v>
      </c>
      <c r="O76" s="71">
        <f>SUM(O63:O75)</f>
        <v>292.54000000000002</v>
      </c>
      <c r="P76" s="71">
        <f>SUM(P63:P75)</f>
        <v>331.54</v>
      </c>
      <c r="Q76" s="71">
        <f>SUM(Q63:Q75)</f>
        <v>343.54</v>
      </c>
      <c r="R76" s="71">
        <f>SUM(R63:R75)</f>
        <v>218.64</v>
      </c>
      <c r="S76" s="71">
        <f t="shared" si="32"/>
        <v>288.74</v>
      </c>
      <c r="T76" s="71">
        <f t="shared" si="32"/>
        <v>280.53999999999996</v>
      </c>
      <c r="U76" s="71">
        <f t="shared" si="32"/>
        <v>261.83999999999997</v>
      </c>
      <c r="V76" s="71">
        <f t="shared" si="32"/>
        <v>217.64</v>
      </c>
      <c r="W76" s="71">
        <f t="shared" si="32"/>
        <v>194.43999999999997</v>
      </c>
      <c r="X76" s="71">
        <f t="shared" si="32"/>
        <v>197.73999999999995</v>
      </c>
      <c r="Y76" s="71">
        <f t="shared" si="32"/>
        <v>346.70000000000005</v>
      </c>
      <c r="Z76" s="71">
        <f t="shared" si="32"/>
        <v>334.49999999999994</v>
      </c>
      <c r="AA76" s="71">
        <f t="shared" si="32"/>
        <v>339.23999999999995</v>
      </c>
      <c r="AB76" s="71">
        <f>SUM(AB63:AB75)</f>
        <v>347.23999999999995</v>
      </c>
      <c r="AC76" s="71">
        <f>SUM(AC63:AC75)</f>
        <v>338.23999999999995</v>
      </c>
      <c r="AD76" s="71">
        <f>SUM(AD63:AD75)</f>
        <v>330.34</v>
      </c>
      <c r="AE76" s="71">
        <f>SUM(AE63:AE75)</f>
        <v>330.34</v>
      </c>
      <c r="AF76" s="71">
        <f>SUM(AF63:AF75)</f>
        <v>306.33999999999997</v>
      </c>
      <c r="AG76" s="72">
        <f t="shared" si="32"/>
        <v>489.91</v>
      </c>
      <c r="AH76" s="48">
        <f t="shared" si="8"/>
        <v>348.73999999999995</v>
      </c>
      <c r="AI76" s="49">
        <f t="shared" si="9"/>
        <v>194.43999999999997</v>
      </c>
      <c r="AK76" s="51"/>
      <c r="AZ76" s="82">
        <f t="shared" si="31"/>
        <v>0</v>
      </c>
      <c r="BA76" s="82">
        <f t="shared" si="31"/>
        <v>0</v>
      </c>
      <c r="BB76" s="82">
        <f t="shared" si="31"/>
        <v>0</v>
      </c>
      <c r="BC76" s="82">
        <f t="shared" si="31"/>
        <v>0</v>
      </c>
      <c r="BD76" s="82">
        <f t="shared" si="31"/>
        <v>0</v>
      </c>
      <c r="BE76" s="82">
        <f t="shared" si="31"/>
        <v>0</v>
      </c>
      <c r="BF76" s="82">
        <f t="shared" si="31"/>
        <v>81</v>
      </c>
      <c r="BG76" s="82">
        <f t="shared" si="31"/>
        <v>92</v>
      </c>
      <c r="BH76" s="82">
        <f t="shared" si="31"/>
        <v>96</v>
      </c>
      <c r="BI76" s="82">
        <f t="shared" si="31"/>
        <v>97</v>
      </c>
      <c r="BJ76" s="82">
        <f t="shared" si="31"/>
        <v>98</v>
      </c>
      <c r="BK76" s="82">
        <f t="shared" si="31"/>
        <v>98</v>
      </c>
      <c r="BL76" s="82">
        <f t="shared" si="31"/>
        <v>100.8</v>
      </c>
      <c r="BM76" s="82">
        <f t="shared" si="31"/>
        <v>99.3</v>
      </c>
      <c r="BN76" s="82">
        <f t="shared" si="31"/>
        <v>84.7</v>
      </c>
      <c r="BO76" s="82">
        <f t="shared" si="31"/>
        <v>99.2</v>
      </c>
      <c r="BP76" s="82">
        <f t="shared" si="31"/>
        <v>89.1</v>
      </c>
      <c r="BQ76" s="82">
        <f t="shared" si="31"/>
        <v>74.8</v>
      </c>
      <c r="BR76" s="82">
        <f t="shared" si="31"/>
        <v>72.5</v>
      </c>
      <c r="BS76" s="82">
        <f t="shared" si="31"/>
        <v>0</v>
      </c>
      <c r="BT76" s="82">
        <f t="shared" si="31"/>
        <v>0</v>
      </c>
      <c r="BU76" s="82">
        <f t="shared" si="31"/>
        <v>0</v>
      </c>
      <c r="BV76" s="82">
        <f t="shared" si="31"/>
        <v>0</v>
      </c>
      <c r="BW76" s="82">
        <f t="shared" si="31"/>
        <v>0</v>
      </c>
    </row>
    <row r="77" spans="1:75" x14ac:dyDescent="0.25">
      <c r="A77" s="45" t="s">
        <v>100</v>
      </c>
      <c r="B77" s="46">
        <v>59.5</v>
      </c>
      <c r="C77" s="46">
        <v>59.5</v>
      </c>
      <c r="D77" s="46">
        <v>59.5</v>
      </c>
      <c r="E77" s="46">
        <v>59.5</v>
      </c>
      <c r="F77" s="46">
        <v>59.5</v>
      </c>
      <c r="G77" s="46">
        <v>59.3</v>
      </c>
      <c r="H77" s="46">
        <v>59.3</v>
      </c>
      <c r="I77" s="46">
        <v>59.3</v>
      </c>
      <c r="J77" s="46">
        <v>59.3</v>
      </c>
      <c r="K77" s="46">
        <v>58.6</v>
      </c>
      <c r="L77" s="46">
        <v>58.2</v>
      </c>
      <c r="M77" s="46">
        <v>58.2</v>
      </c>
      <c r="N77" s="46">
        <v>58.2</v>
      </c>
      <c r="O77" s="46">
        <v>58.2</v>
      </c>
      <c r="P77" s="46">
        <v>60</v>
      </c>
      <c r="Q77" s="46">
        <v>58.2</v>
      </c>
      <c r="R77" s="46">
        <v>59</v>
      </c>
      <c r="S77" s="46">
        <v>59</v>
      </c>
      <c r="T77" s="46">
        <v>59.2</v>
      </c>
      <c r="U77" s="46">
        <v>59</v>
      </c>
      <c r="V77" s="46">
        <v>59</v>
      </c>
      <c r="W77" s="46">
        <v>50</v>
      </c>
      <c r="X77" s="46">
        <v>39.299999999999997</v>
      </c>
      <c r="Y77" s="46">
        <v>58.8</v>
      </c>
      <c r="Z77" s="46">
        <v>59</v>
      </c>
      <c r="AA77" s="46">
        <v>59.3</v>
      </c>
      <c r="AB77" s="46">
        <v>59.3</v>
      </c>
      <c r="AC77" s="46">
        <v>59.3</v>
      </c>
      <c r="AD77" s="46">
        <v>59.3</v>
      </c>
      <c r="AE77" s="46">
        <v>59.3</v>
      </c>
      <c r="AF77" s="46">
        <v>59.3</v>
      </c>
      <c r="AG77" s="61">
        <v>60</v>
      </c>
      <c r="AH77" s="48">
        <f t="shared" si="8"/>
        <v>60</v>
      </c>
      <c r="AI77" s="49">
        <f t="shared" si="9"/>
        <v>39.299999999999997</v>
      </c>
      <c r="AK77" s="51"/>
      <c r="AZ77" s="82">
        <f t="shared" si="31"/>
        <v>90</v>
      </c>
      <c r="BA77" s="82">
        <f t="shared" si="31"/>
        <v>110.2</v>
      </c>
      <c r="BB77" s="82">
        <f t="shared" si="31"/>
        <v>71</v>
      </c>
      <c r="BC77" s="82">
        <f t="shared" si="31"/>
        <v>61</v>
      </c>
      <c r="BD77" s="82">
        <f t="shared" si="31"/>
        <v>64</v>
      </c>
      <c r="BE77" s="82">
        <f t="shared" si="31"/>
        <v>85</v>
      </c>
      <c r="BF77" s="82">
        <f t="shared" si="31"/>
        <v>310</v>
      </c>
      <c r="BG77" s="82">
        <f t="shared" si="31"/>
        <v>350</v>
      </c>
      <c r="BH77" s="82">
        <f t="shared" si="31"/>
        <v>390</v>
      </c>
      <c r="BI77" s="82">
        <f t="shared" si="31"/>
        <v>421</v>
      </c>
      <c r="BJ77" s="82">
        <f t="shared" si="31"/>
        <v>410</v>
      </c>
      <c r="BK77" s="82">
        <f t="shared" si="31"/>
        <v>401</v>
      </c>
      <c r="BL77" s="82">
        <f t="shared" si="31"/>
        <v>412</v>
      </c>
      <c r="BM77" s="82">
        <f t="shared" si="31"/>
        <v>469.9</v>
      </c>
      <c r="BN77" s="82">
        <f t="shared" si="31"/>
        <v>511.9</v>
      </c>
      <c r="BO77" s="82">
        <f t="shared" si="31"/>
        <v>480.8</v>
      </c>
      <c r="BP77" s="82">
        <f t="shared" si="31"/>
        <v>471</v>
      </c>
      <c r="BQ77" s="82">
        <f t="shared" si="31"/>
        <v>361</v>
      </c>
      <c r="BR77" s="82">
        <f t="shared" si="31"/>
        <v>27</v>
      </c>
      <c r="BS77" s="82">
        <f t="shared" si="31"/>
        <v>46</v>
      </c>
      <c r="BT77" s="82">
        <f t="shared" si="31"/>
        <v>44</v>
      </c>
      <c r="BU77" s="82">
        <f t="shared" si="31"/>
        <v>44</v>
      </c>
      <c r="BV77" s="82">
        <f t="shared" si="31"/>
        <v>0</v>
      </c>
      <c r="BW77" s="82">
        <f t="shared" si="31"/>
        <v>85</v>
      </c>
    </row>
    <row r="78" spans="1:75" x14ac:dyDescent="0.25">
      <c r="A78" s="65" t="s">
        <v>101</v>
      </c>
      <c r="B78" s="76">
        <v>28.8</v>
      </c>
      <c r="C78" s="76">
        <v>28.8</v>
      </c>
      <c r="D78" s="76">
        <v>28.8</v>
      </c>
      <c r="E78" s="76">
        <v>28.8</v>
      </c>
      <c r="F78" s="76">
        <v>28.8</v>
      </c>
      <c r="G78" s="76">
        <v>28</v>
      </c>
      <c r="H78" s="76">
        <v>28</v>
      </c>
      <c r="I78" s="76">
        <v>28</v>
      </c>
      <c r="J78" s="76">
        <v>28</v>
      </c>
      <c r="K78" s="76">
        <v>28.34</v>
      </c>
      <c r="L78" s="76">
        <v>26.3</v>
      </c>
      <c r="M78" s="76">
        <v>26.3</v>
      </c>
      <c r="N78" s="76">
        <v>26.3</v>
      </c>
      <c r="O78" s="76">
        <v>26.3</v>
      </c>
      <c r="P78" s="76">
        <v>26.3</v>
      </c>
      <c r="Q78" s="76">
        <v>26.3</v>
      </c>
      <c r="R78" s="76">
        <v>28.6</v>
      </c>
      <c r="S78" s="76">
        <v>28.6</v>
      </c>
      <c r="T78" s="76">
        <v>28</v>
      </c>
      <c r="U78" s="76">
        <v>28.6</v>
      </c>
      <c r="V78" s="76">
        <v>28</v>
      </c>
      <c r="W78" s="76">
        <v>27.3</v>
      </c>
      <c r="X78" s="76">
        <v>15.7</v>
      </c>
      <c r="Y78" s="76">
        <v>27.2</v>
      </c>
      <c r="Z78" s="76">
        <v>27</v>
      </c>
      <c r="AA78" s="76">
        <v>27.1</v>
      </c>
      <c r="AB78" s="76">
        <v>27.1</v>
      </c>
      <c r="AC78" s="76">
        <v>27.1</v>
      </c>
      <c r="AD78" s="76">
        <v>27.1</v>
      </c>
      <c r="AE78" s="76">
        <v>27.1</v>
      </c>
      <c r="AF78" s="76">
        <v>27.1</v>
      </c>
      <c r="AG78" s="66">
        <v>32</v>
      </c>
      <c r="AH78" s="48">
        <f t="shared" si="8"/>
        <v>28.8</v>
      </c>
      <c r="AI78" s="49">
        <f t="shared" si="9"/>
        <v>15.7</v>
      </c>
      <c r="AK78" s="51"/>
      <c r="AZ78" s="82">
        <f t="shared" si="31"/>
        <v>0</v>
      </c>
      <c r="BA78" s="82">
        <f t="shared" si="31"/>
        <v>0</v>
      </c>
      <c r="BB78" s="82">
        <f t="shared" si="31"/>
        <v>0</v>
      </c>
      <c r="BC78" s="82">
        <f t="shared" si="31"/>
        <v>0</v>
      </c>
      <c r="BD78" s="82">
        <f t="shared" si="31"/>
        <v>0</v>
      </c>
      <c r="BE78" s="82">
        <f t="shared" si="31"/>
        <v>0</v>
      </c>
      <c r="BF78" s="82">
        <f t="shared" si="31"/>
        <v>28</v>
      </c>
      <c r="BG78" s="82">
        <f t="shared" si="31"/>
        <v>27</v>
      </c>
      <c r="BH78" s="82">
        <f t="shared" si="31"/>
        <v>35</v>
      </c>
      <c r="BI78" s="82">
        <f t="shared" si="31"/>
        <v>35</v>
      </c>
      <c r="BJ78" s="82">
        <f t="shared" si="31"/>
        <v>44</v>
      </c>
      <c r="BK78" s="82">
        <f t="shared" si="31"/>
        <v>42</v>
      </c>
      <c r="BL78" s="82">
        <f t="shared" si="31"/>
        <v>39.9</v>
      </c>
      <c r="BM78" s="82">
        <f t="shared" si="31"/>
        <v>43.7</v>
      </c>
      <c r="BN78" s="82">
        <f t="shared" si="31"/>
        <v>48.6</v>
      </c>
      <c r="BO78" s="82">
        <f t="shared" si="31"/>
        <v>54.3</v>
      </c>
      <c r="BP78" s="82">
        <f t="shared" si="31"/>
        <v>54.9</v>
      </c>
      <c r="BQ78" s="82">
        <f t="shared" si="31"/>
        <v>45.9</v>
      </c>
      <c r="BR78" s="82">
        <f t="shared" si="31"/>
        <v>12.2</v>
      </c>
      <c r="BS78" s="82">
        <f t="shared" si="31"/>
        <v>11.4</v>
      </c>
      <c r="BT78" s="82">
        <f t="shared" si="31"/>
        <v>11.4</v>
      </c>
      <c r="BU78" s="82">
        <f t="shared" si="31"/>
        <v>11.4</v>
      </c>
      <c r="BV78" s="82">
        <f t="shared" si="31"/>
        <v>0</v>
      </c>
      <c r="BW78" s="82">
        <f t="shared" si="31"/>
        <v>0</v>
      </c>
    </row>
    <row r="79" spans="1:75" ht="15.75" thickBot="1" x14ac:dyDescent="0.3">
      <c r="A79" s="84" t="s">
        <v>102</v>
      </c>
      <c r="B79" s="78">
        <v>10.5</v>
      </c>
      <c r="C79" s="78">
        <v>10.5</v>
      </c>
      <c r="D79" s="78">
        <v>10.5</v>
      </c>
      <c r="E79" s="78">
        <v>10.5</v>
      </c>
      <c r="F79" s="78">
        <v>10.5</v>
      </c>
      <c r="G79" s="78">
        <v>10.199999999999999</v>
      </c>
      <c r="H79" s="78">
        <v>10.199999999999999</v>
      </c>
      <c r="I79" s="78">
        <v>10.199999999999999</v>
      </c>
      <c r="J79" s="78">
        <v>10.199999999999999</v>
      </c>
      <c r="K79" s="78">
        <v>10.4</v>
      </c>
      <c r="L79" s="78">
        <v>9.6</v>
      </c>
      <c r="M79" s="78">
        <v>9.6</v>
      </c>
      <c r="N79" s="78">
        <v>9.6</v>
      </c>
      <c r="O79" s="78">
        <v>9.6</v>
      </c>
      <c r="P79" s="78">
        <v>9.6</v>
      </c>
      <c r="Q79" s="78">
        <v>9.6</v>
      </c>
      <c r="R79" s="78">
        <v>10.4</v>
      </c>
      <c r="S79" s="78">
        <v>10.4</v>
      </c>
      <c r="T79" s="78">
        <v>10.199999999999999</v>
      </c>
      <c r="U79" s="78">
        <v>10.4</v>
      </c>
      <c r="V79" s="78">
        <v>10</v>
      </c>
      <c r="W79" s="78">
        <v>10</v>
      </c>
      <c r="X79" s="78">
        <v>5.7</v>
      </c>
      <c r="Y79" s="78">
        <v>10</v>
      </c>
      <c r="Z79" s="78">
        <v>9.8000000000000007</v>
      </c>
      <c r="AA79" s="78">
        <v>9.9</v>
      </c>
      <c r="AB79" s="78">
        <v>9.9</v>
      </c>
      <c r="AC79" s="78">
        <v>9.9</v>
      </c>
      <c r="AD79" s="78">
        <v>9.9</v>
      </c>
      <c r="AE79" s="78">
        <v>9.9</v>
      </c>
      <c r="AF79" s="78">
        <v>9.9</v>
      </c>
      <c r="AG79" s="79">
        <v>14</v>
      </c>
      <c r="AH79" s="48">
        <f t="shared" si="8"/>
        <v>10.5</v>
      </c>
      <c r="AI79" s="49">
        <f t="shared" si="9"/>
        <v>5.7</v>
      </c>
      <c r="AK79" s="51"/>
      <c r="AZ79" s="82">
        <f t="shared" si="31"/>
        <v>0</v>
      </c>
      <c r="BA79" s="82">
        <f t="shared" si="31"/>
        <v>0</v>
      </c>
      <c r="BB79" s="82">
        <f t="shared" si="31"/>
        <v>0</v>
      </c>
      <c r="BC79" s="82">
        <f t="shared" si="31"/>
        <v>0</v>
      </c>
      <c r="BD79" s="82">
        <f t="shared" si="31"/>
        <v>0</v>
      </c>
      <c r="BE79" s="82">
        <f t="shared" si="31"/>
        <v>0</v>
      </c>
      <c r="BF79" s="82">
        <f t="shared" si="31"/>
        <v>105.5</v>
      </c>
      <c r="BG79" s="82">
        <f t="shared" si="31"/>
        <v>110</v>
      </c>
      <c r="BH79" s="82">
        <f t="shared" si="31"/>
        <v>110</v>
      </c>
      <c r="BI79" s="82">
        <f t="shared" si="31"/>
        <v>120</v>
      </c>
      <c r="BJ79" s="82">
        <f t="shared" si="31"/>
        <v>130</v>
      </c>
      <c r="BK79" s="82">
        <f t="shared" si="31"/>
        <v>135</v>
      </c>
      <c r="BL79" s="82">
        <f t="shared" si="31"/>
        <v>134.6</v>
      </c>
      <c r="BM79" s="82">
        <f t="shared" si="31"/>
        <v>146.80000000000001</v>
      </c>
      <c r="BN79" s="82">
        <f t="shared" si="31"/>
        <v>129.19999999999999</v>
      </c>
      <c r="BO79" s="82">
        <f t="shared" si="31"/>
        <v>145.9</v>
      </c>
      <c r="BP79" s="82">
        <f t="shared" si="31"/>
        <v>108.9</v>
      </c>
      <c r="BQ79" s="82">
        <f t="shared" si="31"/>
        <v>80.5</v>
      </c>
      <c r="BR79" s="82">
        <f t="shared" si="31"/>
        <v>0</v>
      </c>
      <c r="BS79" s="82">
        <f t="shared" si="31"/>
        <v>0</v>
      </c>
      <c r="BT79" s="82">
        <f t="shared" si="31"/>
        <v>0</v>
      </c>
      <c r="BU79" s="82">
        <f t="shared" si="31"/>
        <v>0</v>
      </c>
      <c r="BV79" s="82">
        <f t="shared" si="31"/>
        <v>0</v>
      </c>
      <c r="BW79" s="82">
        <f t="shared" si="31"/>
        <v>0</v>
      </c>
    </row>
    <row r="80" spans="1:75" ht="15.75" thickBot="1" x14ac:dyDescent="0.3">
      <c r="A80" s="87" t="s">
        <v>103</v>
      </c>
      <c r="B80" s="71">
        <f>B77+B78+B79</f>
        <v>98.8</v>
      </c>
      <c r="C80" s="71">
        <f>C77+C78+C79</f>
        <v>98.8</v>
      </c>
      <c r="D80" s="71">
        <f>D77+D78+D79</f>
        <v>98.8</v>
      </c>
      <c r="E80" s="71">
        <f t="shared" ref="E80:AA80" si="33">E77+E78+E79</f>
        <v>98.8</v>
      </c>
      <c r="F80" s="71">
        <f t="shared" si="33"/>
        <v>98.8</v>
      </c>
      <c r="G80" s="71">
        <f t="shared" si="33"/>
        <v>97.5</v>
      </c>
      <c r="H80" s="71">
        <f t="shared" si="33"/>
        <v>97.5</v>
      </c>
      <c r="I80" s="71">
        <f t="shared" si="33"/>
        <v>97.5</v>
      </c>
      <c r="J80" s="71">
        <f t="shared" si="33"/>
        <v>97.5</v>
      </c>
      <c r="K80" s="71">
        <f t="shared" si="33"/>
        <v>97.34</v>
      </c>
      <c r="L80" s="71">
        <f t="shared" si="33"/>
        <v>94.1</v>
      </c>
      <c r="M80" s="71">
        <f t="shared" si="33"/>
        <v>94.1</v>
      </c>
      <c r="N80" s="71">
        <f>N77+N78+N79</f>
        <v>94.1</v>
      </c>
      <c r="O80" s="71">
        <f>O77+O78+O79</f>
        <v>94.1</v>
      </c>
      <c r="P80" s="71">
        <f>P77+P78+P79</f>
        <v>95.899999999999991</v>
      </c>
      <c r="Q80" s="71">
        <f>Q77+Q78+Q79</f>
        <v>94.1</v>
      </c>
      <c r="R80" s="71">
        <f>R77+R78+R79</f>
        <v>98</v>
      </c>
      <c r="S80" s="71">
        <f t="shared" si="33"/>
        <v>98</v>
      </c>
      <c r="T80" s="71">
        <f t="shared" si="33"/>
        <v>97.4</v>
      </c>
      <c r="U80" s="71">
        <f t="shared" si="33"/>
        <v>98</v>
      </c>
      <c r="V80" s="71">
        <f t="shared" si="33"/>
        <v>97</v>
      </c>
      <c r="W80" s="71">
        <f t="shared" si="33"/>
        <v>87.3</v>
      </c>
      <c r="X80" s="71">
        <f t="shared" si="33"/>
        <v>60.7</v>
      </c>
      <c r="Y80" s="71">
        <f t="shared" si="33"/>
        <v>96</v>
      </c>
      <c r="Z80" s="71">
        <f t="shared" si="33"/>
        <v>95.8</v>
      </c>
      <c r="AA80" s="71">
        <f t="shared" si="33"/>
        <v>96.300000000000011</v>
      </c>
      <c r="AB80" s="71">
        <f>AB77+AB78+AB79</f>
        <v>96.300000000000011</v>
      </c>
      <c r="AC80" s="71">
        <f>AC77+AC78+AC79</f>
        <v>96.300000000000011</v>
      </c>
      <c r="AD80" s="71">
        <f>AD77+AD78+AD79</f>
        <v>96.300000000000011</v>
      </c>
      <c r="AE80" s="71">
        <f>AE77+AE78+AE79</f>
        <v>96.300000000000011</v>
      </c>
      <c r="AF80" s="71">
        <f>AF77+AF78+AF79</f>
        <v>96.300000000000011</v>
      </c>
      <c r="AG80" s="72">
        <f>SUM(AG77:AG79)</f>
        <v>106</v>
      </c>
      <c r="AH80" s="48">
        <f t="shared" si="8"/>
        <v>98.8</v>
      </c>
      <c r="AI80" s="49">
        <f t="shared" si="9"/>
        <v>60.7</v>
      </c>
      <c r="AK80" s="51"/>
      <c r="AZ80" s="82">
        <f t="shared" si="31"/>
        <v>46</v>
      </c>
      <c r="BA80" s="82">
        <f t="shared" si="31"/>
        <v>45.9</v>
      </c>
      <c r="BB80" s="82">
        <f t="shared" si="31"/>
        <v>44.7</v>
      </c>
      <c r="BC80" s="82">
        <f t="shared" si="31"/>
        <v>44.5</v>
      </c>
      <c r="BD80" s="82">
        <f t="shared" si="31"/>
        <v>42.5</v>
      </c>
      <c r="BE80" s="82">
        <f t="shared" si="31"/>
        <v>38</v>
      </c>
      <c r="BF80" s="82">
        <f t="shared" si="31"/>
        <v>49.5</v>
      </c>
      <c r="BG80" s="82">
        <f t="shared" si="31"/>
        <v>54.5</v>
      </c>
      <c r="BH80" s="82">
        <f t="shared" si="31"/>
        <v>52</v>
      </c>
      <c r="BI80" s="82">
        <f t="shared" si="31"/>
        <v>52</v>
      </c>
      <c r="BJ80" s="82">
        <f t="shared" si="31"/>
        <v>62</v>
      </c>
      <c r="BK80" s="82">
        <f t="shared" si="31"/>
        <v>51</v>
      </c>
      <c r="BL80" s="82">
        <f t="shared" si="31"/>
        <v>52.4</v>
      </c>
      <c r="BM80" s="82">
        <f t="shared" si="31"/>
        <v>43.5</v>
      </c>
      <c r="BN80" s="82">
        <f t="shared" si="31"/>
        <v>45.6</v>
      </c>
      <c r="BO80" s="82">
        <f t="shared" si="31"/>
        <v>46.1</v>
      </c>
      <c r="BP80" s="82">
        <f t="shared" si="31"/>
        <v>41.3</v>
      </c>
      <c r="BQ80" s="82">
        <f t="shared" si="31"/>
        <v>45.6</v>
      </c>
      <c r="BR80" s="82">
        <f t="shared" si="31"/>
        <v>31.9</v>
      </c>
      <c r="BS80" s="82">
        <f t="shared" si="31"/>
        <v>35</v>
      </c>
      <c r="BT80" s="82">
        <f t="shared" si="31"/>
        <v>42</v>
      </c>
      <c r="BU80" s="82">
        <f t="shared" si="31"/>
        <v>42</v>
      </c>
      <c r="BV80" s="82">
        <f t="shared" si="31"/>
        <v>45.6</v>
      </c>
      <c r="BW80" s="82">
        <f t="shared" si="31"/>
        <v>46.8</v>
      </c>
    </row>
    <row r="81" spans="1:64" x14ac:dyDescent="0.25">
      <c r="A81" s="45" t="s">
        <v>104</v>
      </c>
      <c r="B81" s="46">
        <v>58.9</v>
      </c>
      <c r="C81" s="46">
        <v>58.4</v>
      </c>
      <c r="D81" s="46">
        <v>56.8</v>
      </c>
      <c r="E81" s="46">
        <v>53</v>
      </c>
      <c r="F81" s="46">
        <v>51.6</v>
      </c>
      <c r="G81" s="46">
        <v>54</v>
      </c>
      <c r="H81" s="46">
        <v>51.6</v>
      </c>
      <c r="I81" s="46">
        <v>36</v>
      </c>
      <c r="J81" s="46">
        <v>48</v>
      </c>
      <c r="K81" s="46">
        <v>71</v>
      </c>
      <c r="L81" s="46">
        <v>70</v>
      </c>
      <c r="M81" s="46">
        <v>72</v>
      </c>
      <c r="N81" s="46">
        <v>65</v>
      </c>
      <c r="O81" s="46">
        <v>67</v>
      </c>
      <c r="P81" s="46">
        <v>0</v>
      </c>
      <c r="Q81" s="46">
        <v>19</v>
      </c>
      <c r="R81" s="46">
        <v>69</v>
      </c>
      <c r="S81" s="46">
        <v>67.599999999999994</v>
      </c>
      <c r="T81" s="46">
        <v>59.2</v>
      </c>
      <c r="U81" s="46">
        <v>67.7</v>
      </c>
      <c r="V81" s="46">
        <v>65</v>
      </c>
      <c r="W81" s="46">
        <v>65</v>
      </c>
      <c r="X81" s="46">
        <v>51.9</v>
      </c>
      <c r="Y81" s="46">
        <v>45.8</v>
      </c>
      <c r="Z81" s="46">
        <v>36.5</v>
      </c>
      <c r="AA81" s="46">
        <v>45</v>
      </c>
      <c r="AB81" s="46">
        <v>45</v>
      </c>
      <c r="AC81" s="46">
        <v>40</v>
      </c>
      <c r="AD81" s="46">
        <v>52</v>
      </c>
      <c r="AE81" s="46">
        <v>52</v>
      </c>
      <c r="AF81" s="46">
        <v>40</v>
      </c>
      <c r="AG81" s="61"/>
      <c r="AH81" s="48">
        <f t="shared" si="8"/>
        <v>72</v>
      </c>
      <c r="AI81" s="49">
        <f t="shared" si="9"/>
        <v>0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/>
      <c r="F82" s="76"/>
      <c r="G82" s="76"/>
      <c r="H82" s="76"/>
      <c r="I82" s="76"/>
      <c r="J82" s="76">
        <v>68</v>
      </c>
      <c r="K82" s="76">
        <v>81</v>
      </c>
      <c r="L82" s="76">
        <v>90</v>
      </c>
      <c r="M82" s="76">
        <v>92</v>
      </c>
      <c r="N82" s="76">
        <v>96</v>
      </c>
      <c r="O82" s="76">
        <v>97</v>
      </c>
      <c r="P82" s="76">
        <v>98</v>
      </c>
      <c r="Q82" s="76">
        <v>98</v>
      </c>
      <c r="R82" s="76">
        <v>100.8</v>
      </c>
      <c r="S82" s="76">
        <v>99.3</v>
      </c>
      <c r="T82" s="76">
        <v>84.7</v>
      </c>
      <c r="U82" s="76">
        <v>99.2</v>
      </c>
      <c r="V82" s="76">
        <v>89.1</v>
      </c>
      <c r="W82" s="76">
        <v>78.400000000000006</v>
      </c>
      <c r="X82" s="76">
        <v>74.8</v>
      </c>
      <c r="Y82" s="76">
        <v>0</v>
      </c>
      <c r="Z82" s="76">
        <v>72.5</v>
      </c>
      <c r="AA82" s="76">
        <v>67.3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4">MAX(B82:AF82)</f>
        <v>100.8</v>
      </c>
      <c r="AI82" s="49">
        <f t="shared" ref="AI82:AI125" si="35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85</v>
      </c>
      <c r="C83" s="76">
        <v>89.5</v>
      </c>
      <c r="D83" s="76">
        <v>110.2</v>
      </c>
      <c r="E83" s="76">
        <v>71</v>
      </c>
      <c r="F83" s="76">
        <v>61</v>
      </c>
      <c r="G83" s="76">
        <v>64</v>
      </c>
      <c r="H83" s="76">
        <v>80.3</v>
      </c>
      <c r="I83" s="76">
        <v>85</v>
      </c>
      <c r="J83" s="76">
        <v>194</v>
      </c>
      <c r="K83" s="76">
        <v>310</v>
      </c>
      <c r="L83" s="76">
        <v>309</v>
      </c>
      <c r="M83" s="76">
        <v>350</v>
      </c>
      <c r="N83" s="76">
        <v>390</v>
      </c>
      <c r="O83" s="76">
        <v>421</v>
      </c>
      <c r="P83" s="76">
        <v>410</v>
      </c>
      <c r="Q83" s="76">
        <v>401</v>
      </c>
      <c r="R83" s="76">
        <v>412</v>
      </c>
      <c r="S83" s="76">
        <v>469.9</v>
      </c>
      <c r="T83" s="76">
        <v>511.9</v>
      </c>
      <c r="U83" s="76">
        <v>480.8</v>
      </c>
      <c r="V83" s="76">
        <v>471</v>
      </c>
      <c r="W83" s="76">
        <v>433.3</v>
      </c>
      <c r="X83" s="76">
        <v>361</v>
      </c>
      <c r="Y83" s="76">
        <v>110.1</v>
      </c>
      <c r="Z83" s="76">
        <v>27</v>
      </c>
      <c r="AA83" s="76">
        <v>42</v>
      </c>
      <c r="AB83" s="76">
        <v>46</v>
      </c>
      <c r="AC83" s="76">
        <v>40</v>
      </c>
      <c r="AD83" s="76">
        <v>44</v>
      </c>
      <c r="AE83" s="76">
        <v>44</v>
      </c>
      <c r="AF83" s="76">
        <v>0</v>
      </c>
      <c r="AG83" s="88"/>
      <c r="AH83" s="48">
        <f t="shared" si="34"/>
        <v>511.9</v>
      </c>
      <c r="AI83" s="49">
        <f t="shared" si="35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89"/>
      <c r="C84" s="89"/>
      <c r="D84" s="89"/>
      <c r="E84" s="89"/>
      <c r="F84" s="89"/>
      <c r="G84" s="89"/>
      <c r="H84" s="89"/>
      <c r="I84" s="89"/>
      <c r="J84" s="89">
        <v>40</v>
      </c>
      <c r="K84" s="89">
        <v>28</v>
      </c>
      <c r="L84" s="89">
        <v>25.7</v>
      </c>
      <c r="M84" s="89">
        <v>27</v>
      </c>
      <c r="N84" s="89">
        <v>35</v>
      </c>
      <c r="O84" s="89">
        <v>35</v>
      </c>
      <c r="P84" s="89">
        <v>44</v>
      </c>
      <c r="Q84" s="89">
        <v>42</v>
      </c>
      <c r="R84" s="89">
        <v>39.9</v>
      </c>
      <c r="S84" s="89">
        <v>43.7</v>
      </c>
      <c r="T84" s="89">
        <v>48.6</v>
      </c>
      <c r="U84" s="89">
        <v>54.3</v>
      </c>
      <c r="V84" s="89">
        <v>54.9</v>
      </c>
      <c r="W84" s="89">
        <v>55.1</v>
      </c>
      <c r="X84" s="89">
        <v>45.9</v>
      </c>
      <c r="Y84" s="89">
        <v>10.7</v>
      </c>
      <c r="Z84" s="89">
        <v>12.2</v>
      </c>
      <c r="AA84" s="89">
        <v>10.9</v>
      </c>
      <c r="AB84" s="89">
        <v>11.4</v>
      </c>
      <c r="AC84" s="89">
        <v>11.4</v>
      </c>
      <c r="AD84" s="89">
        <v>11.4</v>
      </c>
      <c r="AE84" s="89">
        <v>11.4</v>
      </c>
      <c r="AF84" s="89">
        <v>0</v>
      </c>
      <c r="AG84" s="88"/>
      <c r="AH84" s="48">
        <f t="shared" si="34"/>
        <v>55.1</v>
      </c>
      <c r="AI84" s="49">
        <f t="shared" si="35"/>
        <v>0</v>
      </c>
      <c r="AK84" s="51"/>
      <c r="AY84" s="82"/>
      <c r="BF84" s="81"/>
      <c r="BG84" s="82">
        <f t="array" ref="BG84:BL107">TRANSPOSE(AZ68:BW73)</f>
        <v>58</v>
      </c>
      <c r="BH84" s="82">
        <v>0</v>
      </c>
      <c r="BI84" s="82">
        <v>90</v>
      </c>
      <c r="BJ84" s="82">
        <v>0</v>
      </c>
      <c r="BK84" s="82">
        <v>0</v>
      </c>
      <c r="BL84" s="82">
        <v>46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99</v>
      </c>
      <c r="K85" s="46">
        <v>105.5</v>
      </c>
      <c r="L85" s="46">
        <v>120.8</v>
      </c>
      <c r="M85" s="46">
        <v>110</v>
      </c>
      <c r="N85" s="46">
        <v>110</v>
      </c>
      <c r="O85" s="46">
        <v>120</v>
      </c>
      <c r="P85" s="46">
        <v>130</v>
      </c>
      <c r="Q85" s="46">
        <v>135</v>
      </c>
      <c r="R85" s="46">
        <v>134.6</v>
      </c>
      <c r="S85" s="46">
        <v>146.80000000000001</v>
      </c>
      <c r="T85" s="46">
        <v>129.19999999999999</v>
      </c>
      <c r="U85" s="46">
        <v>145.9</v>
      </c>
      <c r="V85" s="46">
        <v>108.9</v>
      </c>
      <c r="W85" s="46">
        <v>106.1</v>
      </c>
      <c r="X85" s="46">
        <v>80.5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4"/>
        <v>146.80000000000001</v>
      </c>
      <c r="AI85" s="49">
        <f t="shared" si="35"/>
        <v>0</v>
      </c>
      <c r="AK85" s="51"/>
      <c r="AY85" s="82"/>
      <c r="BF85" s="81"/>
      <c r="BG85" s="82">
        <v>56.8</v>
      </c>
      <c r="BH85" s="82">
        <v>0</v>
      </c>
      <c r="BI85" s="82">
        <v>110.2</v>
      </c>
      <c r="BJ85" s="82">
        <v>0</v>
      </c>
      <c r="BK85" s="82">
        <v>0</v>
      </c>
      <c r="BL85" s="82">
        <v>45.9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4"/>
        <v>0</v>
      </c>
      <c r="AI86" s="49">
        <f t="shared" si="35"/>
        <v>0</v>
      </c>
      <c r="AK86" s="51"/>
      <c r="AY86" s="82"/>
      <c r="BF86" s="81"/>
      <c r="BG86" s="82">
        <v>53</v>
      </c>
      <c r="BH86" s="82">
        <v>0</v>
      </c>
      <c r="BI86" s="82">
        <v>71</v>
      </c>
      <c r="BJ86" s="82">
        <v>0</v>
      </c>
      <c r="BK86" s="82">
        <v>0</v>
      </c>
      <c r="BL86" s="82">
        <v>44.7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4"/>
        <v>0</v>
      </c>
      <c r="AI87" s="49">
        <f t="shared" si="35"/>
        <v>0</v>
      </c>
      <c r="AK87" s="51"/>
      <c r="AL87" s="91" t="s">
        <v>111</v>
      </c>
      <c r="AM87" s="91"/>
      <c r="AY87" s="82"/>
      <c r="BF87" s="82"/>
      <c r="BG87" s="82">
        <v>51.6</v>
      </c>
      <c r="BH87" s="82">
        <v>0</v>
      </c>
      <c r="BI87" s="82">
        <v>61</v>
      </c>
      <c r="BJ87" s="82">
        <v>0</v>
      </c>
      <c r="BK87" s="82">
        <v>0</v>
      </c>
      <c r="BL87" s="82">
        <v>44.5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4"/>
        <v>0</v>
      </c>
      <c r="AI88" s="49">
        <f t="shared" si="35"/>
        <v>0</v>
      </c>
      <c r="AK88" s="92"/>
      <c r="AL88" s="93"/>
      <c r="AM88" s="93"/>
      <c r="AN88" s="94"/>
      <c r="AY88" s="82"/>
      <c r="BF88" s="82"/>
      <c r="BG88" s="82">
        <v>54</v>
      </c>
      <c r="BH88" s="82">
        <v>0</v>
      </c>
      <c r="BI88" s="82">
        <v>64</v>
      </c>
      <c r="BJ88" s="82">
        <v>0</v>
      </c>
      <c r="BK88" s="82">
        <v>0</v>
      </c>
      <c r="BL88" s="82">
        <v>42.5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4"/>
        <v>0</v>
      </c>
      <c r="AI89" s="49">
        <f t="shared" si="35"/>
        <v>0</v>
      </c>
      <c r="AK89" s="95" t="s">
        <v>114</v>
      </c>
      <c r="AL89" s="76"/>
      <c r="AM89" s="89"/>
      <c r="AN89" s="96"/>
      <c r="AY89" s="82"/>
      <c r="BF89" s="82"/>
      <c r="BG89" s="82">
        <v>36</v>
      </c>
      <c r="BH89" s="82">
        <v>0</v>
      </c>
      <c r="BI89" s="82">
        <v>85</v>
      </c>
      <c r="BJ89" s="82">
        <v>0</v>
      </c>
      <c r="BK89" s="82">
        <v>0</v>
      </c>
      <c r="BL89" s="82">
        <v>38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4"/>
        <v>0</v>
      </c>
      <c r="AI90" s="49">
        <f t="shared" si="35"/>
        <v>0</v>
      </c>
      <c r="AK90" s="95" t="s">
        <v>116</v>
      </c>
      <c r="AL90" s="89"/>
      <c r="AM90" s="89"/>
      <c r="AN90" s="96"/>
      <c r="AY90" s="82"/>
      <c r="BF90" s="82"/>
      <c r="BG90" s="82">
        <v>71</v>
      </c>
      <c r="BH90" s="82">
        <v>81</v>
      </c>
      <c r="BI90" s="82">
        <v>310</v>
      </c>
      <c r="BJ90" s="82">
        <v>28</v>
      </c>
      <c r="BK90" s="82">
        <v>105.5</v>
      </c>
      <c r="BL90" s="82">
        <v>49.5</v>
      </c>
    </row>
    <row r="91" spans="1:64" ht="15.75" thickBot="1" x14ac:dyDescent="0.3">
      <c r="A91" s="97" t="s">
        <v>117</v>
      </c>
      <c r="B91" s="90">
        <v>46.8</v>
      </c>
      <c r="C91" s="90">
        <v>45.6</v>
      </c>
      <c r="D91" s="90">
        <v>45.9</v>
      </c>
      <c r="E91" s="90">
        <v>44.7</v>
      </c>
      <c r="F91" s="90">
        <v>44.5</v>
      </c>
      <c r="G91" s="90">
        <v>42.5</v>
      </c>
      <c r="H91" s="90">
        <v>39.6</v>
      </c>
      <c r="I91" s="90">
        <v>38</v>
      </c>
      <c r="J91" s="90">
        <v>45</v>
      </c>
      <c r="K91" s="90">
        <v>49.5</v>
      </c>
      <c r="L91" s="90">
        <v>49.9</v>
      </c>
      <c r="M91" s="90">
        <v>54.5</v>
      </c>
      <c r="N91" s="90">
        <v>52</v>
      </c>
      <c r="O91" s="90">
        <v>52</v>
      </c>
      <c r="P91" s="90">
        <v>62</v>
      </c>
      <c r="Q91" s="90">
        <v>51</v>
      </c>
      <c r="R91" s="90">
        <v>52.4</v>
      </c>
      <c r="S91" s="90">
        <v>43.5</v>
      </c>
      <c r="T91" s="90">
        <v>45.6</v>
      </c>
      <c r="U91" s="90">
        <v>46.1</v>
      </c>
      <c r="V91" s="90">
        <v>41.3</v>
      </c>
      <c r="W91" s="90">
        <v>43.9</v>
      </c>
      <c r="X91" s="90">
        <v>45.6</v>
      </c>
      <c r="Y91" s="90">
        <v>41.3</v>
      </c>
      <c r="Z91" s="90">
        <v>31.9</v>
      </c>
      <c r="AA91" s="90">
        <v>31.8</v>
      </c>
      <c r="AB91" s="90">
        <v>35</v>
      </c>
      <c r="AC91" s="90">
        <v>40.700000000000003</v>
      </c>
      <c r="AD91" s="90">
        <v>42</v>
      </c>
      <c r="AE91" s="90">
        <v>42</v>
      </c>
      <c r="AF91" s="90">
        <v>45.6</v>
      </c>
      <c r="AG91" s="98"/>
      <c r="AH91" s="48">
        <f t="shared" si="34"/>
        <v>62</v>
      </c>
      <c r="AI91" s="49">
        <f t="shared" si="35"/>
        <v>31.8</v>
      </c>
      <c r="AK91" s="99"/>
      <c r="AL91" s="46"/>
      <c r="AM91" s="46"/>
      <c r="AN91" s="100"/>
      <c r="AY91" s="82"/>
      <c r="BF91" s="82"/>
      <c r="BG91" s="82">
        <v>72</v>
      </c>
      <c r="BH91" s="82">
        <v>92</v>
      </c>
      <c r="BI91" s="82">
        <v>350</v>
      </c>
      <c r="BJ91" s="82">
        <v>27</v>
      </c>
      <c r="BK91" s="82">
        <v>110</v>
      </c>
      <c r="BL91" s="82">
        <v>54.5</v>
      </c>
    </row>
    <row r="92" spans="1:64" ht="15.75" thickBot="1" x14ac:dyDescent="0.3">
      <c r="A92" s="87" t="s">
        <v>118</v>
      </c>
      <c r="B92" s="71">
        <f>SUMIF(B81:B91,"&gt;0")</f>
        <v>190.7</v>
      </c>
      <c r="C92" s="71">
        <f t="shared" ref="C92:AA92" si="36">SUMIF(C81:C91,"&gt;0")</f>
        <v>193.5</v>
      </c>
      <c r="D92" s="71">
        <f t="shared" si="36"/>
        <v>212.9</v>
      </c>
      <c r="E92" s="71">
        <f t="shared" si="36"/>
        <v>168.7</v>
      </c>
      <c r="F92" s="71">
        <f t="shared" si="36"/>
        <v>157.1</v>
      </c>
      <c r="G92" s="71">
        <f t="shared" si="36"/>
        <v>160.5</v>
      </c>
      <c r="H92" s="71">
        <f t="shared" si="36"/>
        <v>171.5</v>
      </c>
      <c r="I92" s="71">
        <f t="shared" si="36"/>
        <v>159</v>
      </c>
      <c r="J92" s="71">
        <f t="shared" si="36"/>
        <v>494</v>
      </c>
      <c r="K92" s="71">
        <f t="shared" si="36"/>
        <v>645</v>
      </c>
      <c r="L92" s="71">
        <f t="shared" si="36"/>
        <v>665.4</v>
      </c>
      <c r="M92" s="71">
        <f t="shared" si="36"/>
        <v>705.5</v>
      </c>
      <c r="N92" s="71">
        <f>SUMIF(N81:N91,"&gt;0")</f>
        <v>748</v>
      </c>
      <c r="O92" s="71">
        <f>SUMIF(O81:O91,"&gt;0")</f>
        <v>792</v>
      </c>
      <c r="P92" s="71">
        <f>SUMIF(P81:P91,"&gt;0")</f>
        <v>744</v>
      </c>
      <c r="Q92" s="71">
        <f>SUMIF(Q81:Q91,"&gt;0")</f>
        <v>746</v>
      </c>
      <c r="R92" s="71">
        <f>SUMIF(R81:R91,"&gt;0")</f>
        <v>808.69999999999993</v>
      </c>
      <c r="S92" s="71">
        <f t="shared" si="36"/>
        <v>870.8</v>
      </c>
      <c r="T92" s="71">
        <f t="shared" si="36"/>
        <v>879.19999999999993</v>
      </c>
      <c r="U92" s="71">
        <f t="shared" si="36"/>
        <v>894</v>
      </c>
      <c r="V92" s="71">
        <f t="shared" si="36"/>
        <v>830.19999999999993</v>
      </c>
      <c r="W92" s="71">
        <f t="shared" si="36"/>
        <v>781.80000000000007</v>
      </c>
      <c r="X92" s="71">
        <f t="shared" si="36"/>
        <v>659.7</v>
      </c>
      <c r="Y92" s="71">
        <f t="shared" si="36"/>
        <v>207.89999999999998</v>
      </c>
      <c r="Z92" s="71">
        <f t="shared" si="36"/>
        <v>180.1</v>
      </c>
      <c r="AA92" s="71">
        <f t="shared" si="36"/>
        <v>197.00000000000003</v>
      </c>
      <c r="AB92" s="71">
        <f>SUMIF(AB81:AB91,"&gt;0")</f>
        <v>137.4</v>
      </c>
      <c r="AC92" s="71">
        <f>SUMIF(AC81:AC91,"&gt;0")</f>
        <v>132.10000000000002</v>
      </c>
      <c r="AD92" s="71">
        <f>SUMIF(AD81:AD91,"&gt;0")</f>
        <v>149.4</v>
      </c>
      <c r="AE92" s="71">
        <f>SUMIF(AE81:AE91,"&gt;0")</f>
        <v>149.4</v>
      </c>
      <c r="AF92" s="71">
        <f>SUMIF(AF81:AF91,"&gt;0")</f>
        <v>85.6</v>
      </c>
      <c r="AG92" s="101">
        <f>SUM(AG81:AG91)</f>
        <v>0</v>
      </c>
      <c r="AH92" s="48">
        <f t="shared" si="34"/>
        <v>894</v>
      </c>
      <c r="AI92" s="49">
        <f t="shared" si="35"/>
        <v>85.6</v>
      </c>
      <c r="AK92" s="99"/>
      <c r="AL92" s="90"/>
      <c r="AM92" s="102"/>
      <c r="AN92" s="202"/>
      <c r="AY92" s="82"/>
      <c r="BF92" s="82"/>
      <c r="BG92" s="82">
        <v>65</v>
      </c>
      <c r="BH92" s="82">
        <v>96</v>
      </c>
      <c r="BI92" s="82">
        <v>390</v>
      </c>
      <c r="BJ92" s="82">
        <v>35</v>
      </c>
      <c r="BK92" s="82">
        <v>110</v>
      </c>
      <c r="BL92" s="82">
        <v>52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4"/>
        <v>0</v>
      </c>
      <c r="AI93" s="49">
        <f t="shared" si="35"/>
        <v>0</v>
      </c>
      <c r="AK93" s="99"/>
      <c r="AL93" s="90"/>
      <c r="AM93" s="90"/>
      <c r="AN93" s="203"/>
      <c r="BF93" s="82"/>
      <c r="BG93" s="82">
        <v>67</v>
      </c>
      <c r="BH93" s="82">
        <v>97</v>
      </c>
      <c r="BI93" s="82">
        <v>421</v>
      </c>
      <c r="BJ93" s="82">
        <v>35</v>
      </c>
      <c r="BK93" s="82">
        <v>120</v>
      </c>
      <c r="BL93" s="82">
        <v>52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4"/>
        <v>0</v>
      </c>
      <c r="AI94" s="49">
        <f t="shared" si="35"/>
        <v>0</v>
      </c>
      <c r="AK94" s="104"/>
      <c r="AL94" s="105"/>
      <c r="AM94" s="105"/>
      <c r="AN94" s="106"/>
      <c r="BF94" s="82"/>
      <c r="BG94" s="82">
        <v>0</v>
      </c>
      <c r="BH94" s="82">
        <v>98</v>
      </c>
      <c r="BI94" s="82">
        <v>410</v>
      </c>
      <c r="BJ94" s="82">
        <v>44</v>
      </c>
      <c r="BK94" s="82">
        <v>130</v>
      </c>
      <c r="BL94" s="82">
        <v>62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4"/>
        <v>0</v>
      </c>
      <c r="AI95" s="49">
        <f t="shared" si="35"/>
        <v>0</v>
      </c>
      <c r="BF95" s="82"/>
      <c r="BG95" s="82">
        <v>19</v>
      </c>
      <c r="BH95" s="82">
        <v>98</v>
      </c>
      <c r="BI95" s="82">
        <v>401</v>
      </c>
      <c r="BJ95" s="82">
        <v>42</v>
      </c>
      <c r="BK95" s="82">
        <v>135</v>
      </c>
      <c r="BL95" s="82">
        <v>51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4"/>
        <v>0</v>
      </c>
      <c r="AI96" s="49">
        <f t="shared" si="35"/>
        <v>0</v>
      </c>
      <c r="BF96" s="82"/>
      <c r="BG96" s="82">
        <v>69</v>
      </c>
      <c r="BH96" s="82">
        <v>100.8</v>
      </c>
      <c r="BI96" s="82">
        <v>412</v>
      </c>
      <c r="BJ96" s="82">
        <v>39.9</v>
      </c>
      <c r="BK96" s="82">
        <v>134.6</v>
      </c>
      <c r="BL96" s="82">
        <v>52.4</v>
      </c>
    </row>
    <row r="97" spans="1:64" ht="15.75" thickBot="1" x14ac:dyDescent="0.3">
      <c r="A97" s="87" t="s">
        <v>123</v>
      </c>
      <c r="B97" s="108">
        <f>B58+B62+B80+B76+B92+B96</f>
        <v>1330.5400000000002</v>
      </c>
      <c r="C97" s="108">
        <f t="shared" ref="C97:AG97" si="37">C58+C62+C80+C76+C92+C96</f>
        <v>1265.2400000000002</v>
      </c>
      <c r="D97" s="108">
        <f t="shared" si="37"/>
        <v>1224.7400000000002</v>
      </c>
      <c r="E97" s="108">
        <f t="shared" si="37"/>
        <v>1200.6400000000001</v>
      </c>
      <c r="F97" s="108">
        <f t="shared" si="37"/>
        <v>1182.94</v>
      </c>
      <c r="G97" s="108">
        <f t="shared" si="37"/>
        <v>1178.24</v>
      </c>
      <c r="H97" s="108">
        <f t="shared" si="37"/>
        <v>1202.3399999999999</v>
      </c>
      <c r="I97" s="108">
        <f t="shared" si="37"/>
        <v>1306.94</v>
      </c>
      <c r="J97" s="108">
        <f t="shared" si="37"/>
        <v>1445.44</v>
      </c>
      <c r="K97" s="108">
        <f>K58+K62+K80+K76+K92+K96</f>
        <v>1609.9800000000002</v>
      </c>
      <c r="L97" s="108">
        <f t="shared" si="37"/>
        <v>1665.64</v>
      </c>
      <c r="M97" s="108">
        <f t="shared" si="37"/>
        <v>1693.14</v>
      </c>
      <c r="N97" s="108">
        <f>N58+N62+N80+N76+N92+N96</f>
        <v>1737.8400000000001</v>
      </c>
      <c r="O97" s="108">
        <f>O58+O62+O80+O76+O92+O96</f>
        <v>1742.8400000000001</v>
      </c>
      <c r="P97" s="108">
        <f>P58+P62+P80+P76+P92+P96</f>
        <v>1735.64</v>
      </c>
      <c r="Q97" s="108">
        <f>Q58+Q62+Q80+Q76+Q92+Q96</f>
        <v>1747.8400000000001</v>
      </c>
      <c r="R97" s="108">
        <f>R58+R62+R80+R76+R92+R96</f>
        <v>1637.1399999999999</v>
      </c>
      <c r="S97" s="108">
        <f t="shared" si="37"/>
        <v>1796.48</v>
      </c>
      <c r="T97" s="108">
        <f t="shared" si="37"/>
        <v>1797.08</v>
      </c>
      <c r="U97" s="108">
        <f t="shared" si="37"/>
        <v>1795.88</v>
      </c>
      <c r="V97" s="108">
        <f t="shared" si="37"/>
        <v>1688.28</v>
      </c>
      <c r="W97" s="108">
        <f t="shared" si="37"/>
        <v>1604.78</v>
      </c>
      <c r="X97" s="108">
        <f t="shared" si="37"/>
        <v>1476.9800000000002</v>
      </c>
      <c r="Y97" s="108">
        <f t="shared" si="37"/>
        <v>1458.04</v>
      </c>
      <c r="Z97" s="108">
        <f t="shared" si="37"/>
        <v>1476.54</v>
      </c>
      <c r="AA97" s="108">
        <f t="shared" si="37"/>
        <v>1559.24</v>
      </c>
      <c r="AB97" s="108">
        <f>AB58+AB62+AB80+AB76+AB92+AB96</f>
        <v>1537.14</v>
      </c>
      <c r="AC97" s="108">
        <f>AC58+AC62+AC80+AC76+AC92+AC96</f>
        <v>1503.8400000000001</v>
      </c>
      <c r="AD97" s="108">
        <f>AD58+AD62+AD80+AD76+AD92+AD96</f>
        <v>1483.24</v>
      </c>
      <c r="AE97" s="108">
        <f>AE58+AE62+AE80+AE76+AE92+AE96</f>
        <v>1393.24</v>
      </c>
      <c r="AF97" s="108">
        <f>AF58+AF62+AF80+AF76+AF92+AF96</f>
        <v>1305.4399999999998</v>
      </c>
      <c r="AG97" s="72">
        <f t="shared" si="37"/>
        <v>2231.81</v>
      </c>
      <c r="AH97" s="48">
        <f t="shared" si="34"/>
        <v>1797.08</v>
      </c>
      <c r="AI97" s="49">
        <f t="shared" si="35"/>
        <v>1178.24</v>
      </c>
      <c r="BF97" s="82"/>
      <c r="BG97" s="82">
        <v>67.599999999999994</v>
      </c>
      <c r="BH97" s="82">
        <v>99.3</v>
      </c>
      <c r="BI97" s="82">
        <v>469.9</v>
      </c>
      <c r="BJ97" s="82">
        <v>43.7</v>
      </c>
      <c r="BK97" s="82">
        <v>146.80000000000001</v>
      </c>
      <c r="BL97" s="82">
        <v>43.5</v>
      </c>
    </row>
    <row r="98" spans="1:64" ht="15.75" thickBot="1" x14ac:dyDescent="0.3">
      <c r="A98" s="109" t="s">
        <v>124</v>
      </c>
      <c r="B98" s="110">
        <v>350</v>
      </c>
      <c r="C98" s="110">
        <v>350</v>
      </c>
      <c r="D98" s="110">
        <v>350</v>
      </c>
      <c r="E98" s="110">
        <v>350</v>
      </c>
      <c r="F98" s="110">
        <v>350</v>
      </c>
      <c r="G98" s="110">
        <v>350</v>
      </c>
      <c r="H98" s="110">
        <v>350</v>
      </c>
      <c r="I98" s="110">
        <v>200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250</v>
      </c>
      <c r="Z98" s="110">
        <v>250</v>
      </c>
      <c r="AA98" s="110">
        <v>250</v>
      </c>
      <c r="AB98" s="110">
        <v>250</v>
      </c>
      <c r="AC98" s="110">
        <v>250</v>
      </c>
      <c r="AD98" s="110">
        <v>250</v>
      </c>
      <c r="AE98" s="110">
        <v>250</v>
      </c>
      <c r="AF98" s="110">
        <v>250</v>
      </c>
      <c r="AG98" s="101"/>
      <c r="AH98" s="48">
        <f t="shared" si="34"/>
        <v>350</v>
      </c>
      <c r="AI98" s="49">
        <f t="shared" si="35"/>
        <v>200</v>
      </c>
      <c r="BF98" s="82"/>
      <c r="BG98" s="82">
        <v>59.2</v>
      </c>
      <c r="BH98" s="82">
        <v>84.7</v>
      </c>
      <c r="BI98" s="82">
        <v>511.9</v>
      </c>
      <c r="BJ98" s="82">
        <v>48.6</v>
      </c>
      <c r="BK98" s="82">
        <v>129.19999999999999</v>
      </c>
      <c r="BL98" s="82">
        <v>45.6</v>
      </c>
    </row>
    <row r="99" spans="1:64" ht="15.75" thickBot="1" x14ac:dyDescent="0.3">
      <c r="A99" s="87" t="s">
        <v>125</v>
      </c>
      <c r="B99" s="108">
        <f>B97+B98</f>
        <v>1680.5400000000002</v>
      </c>
      <c r="C99" s="108">
        <f t="shared" ref="C99:AA99" si="38">C97+C98</f>
        <v>1615.2400000000002</v>
      </c>
      <c r="D99" s="108">
        <f t="shared" si="38"/>
        <v>1574.7400000000002</v>
      </c>
      <c r="E99" s="108">
        <f t="shared" si="38"/>
        <v>1550.64</v>
      </c>
      <c r="F99" s="108">
        <f t="shared" si="38"/>
        <v>1532.94</v>
      </c>
      <c r="G99" s="108">
        <f t="shared" si="38"/>
        <v>1528.24</v>
      </c>
      <c r="H99" s="108">
        <f t="shared" si="38"/>
        <v>1552.34</v>
      </c>
      <c r="I99" s="108">
        <f t="shared" si="38"/>
        <v>1506.94</v>
      </c>
      <c r="J99" s="108">
        <f t="shared" si="38"/>
        <v>1445.44</v>
      </c>
      <c r="K99" s="108">
        <f t="shared" si="38"/>
        <v>1609.9800000000002</v>
      </c>
      <c r="L99" s="108">
        <f t="shared" si="38"/>
        <v>1665.64</v>
      </c>
      <c r="M99" s="108">
        <f t="shared" si="38"/>
        <v>1693.14</v>
      </c>
      <c r="N99" s="108">
        <f>N97+N98</f>
        <v>1737.8400000000001</v>
      </c>
      <c r="O99" s="108">
        <f>O97+O98</f>
        <v>1742.8400000000001</v>
      </c>
      <c r="P99" s="108">
        <f>P97+P98</f>
        <v>1735.64</v>
      </c>
      <c r="Q99" s="108">
        <f>Q97+Q98</f>
        <v>1747.8400000000001</v>
      </c>
      <c r="R99" s="108">
        <f>R97+R98</f>
        <v>1637.1399999999999</v>
      </c>
      <c r="S99" s="108">
        <f t="shared" si="38"/>
        <v>1796.48</v>
      </c>
      <c r="T99" s="108">
        <f t="shared" si="38"/>
        <v>1797.08</v>
      </c>
      <c r="U99" s="108">
        <f t="shared" si="38"/>
        <v>1795.88</v>
      </c>
      <c r="V99" s="108">
        <f t="shared" si="38"/>
        <v>1688.28</v>
      </c>
      <c r="W99" s="108">
        <f t="shared" si="38"/>
        <v>1604.78</v>
      </c>
      <c r="X99" s="108">
        <f t="shared" si="38"/>
        <v>1476.9800000000002</v>
      </c>
      <c r="Y99" s="108">
        <f t="shared" si="38"/>
        <v>1708.04</v>
      </c>
      <c r="Z99" s="108">
        <f t="shared" si="38"/>
        <v>1726.54</v>
      </c>
      <c r="AA99" s="108">
        <f t="shared" si="38"/>
        <v>1809.24</v>
      </c>
      <c r="AB99" s="108">
        <f>AB97+AB98</f>
        <v>1787.14</v>
      </c>
      <c r="AC99" s="108">
        <f>AC97+AC98</f>
        <v>1753.8400000000001</v>
      </c>
      <c r="AD99" s="108">
        <f>AD97+AD98</f>
        <v>1733.24</v>
      </c>
      <c r="AE99" s="108">
        <f>AE97+AE98</f>
        <v>1643.24</v>
      </c>
      <c r="AF99" s="108">
        <f>AF97+AF98</f>
        <v>1555.4399999999998</v>
      </c>
      <c r="AG99" s="101">
        <f>AG96+AG92+AG80+AG76+AG58+AG98</f>
        <v>1693.71</v>
      </c>
      <c r="AH99" s="48">
        <f t="shared" si="34"/>
        <v>1809.24</v>
      </c>
      <c r="AI99" s="49">
        <f t="shared" si="35"/>
        <v>1445.44</v>
      </c>
      <c r="BF99" s="82"/>
      <c r="BG99" s="82">
        <v>67.7</v>
      </c>
      <c r="BH99" s="82">
        <v>99.2</v>
      </c>
      <c r="BI99" s="82">
        <v>480.8</v>
      </c>
      <c r="BJ99" s="82">
        <v>54.3</v>
      </c>
      <c r="BK99" s="82">
        <v>145.9</v>
      </c>
      <c r="BL99" s="82">
        <v>46.1</v>
      </c>
    </row>
    <row r="100" spans="1:64" ht="15.75" thickBot="1" x14ac:dyDescent="0.3">
      <c r="A100" s="87" t="s">
        <v>126</v>
      </c>
      <c r="B100" s="108">
        <f>B99-(B107)</f>
        <v>1680.5400000000002</v>
      </c>
      <c r="C100" s="108">
        <f t="shared" ref="C100:AA100" si="39">C99-(C107)</f>
        <v>1615.2400000000002</v>
      </c>
      <c r="D100" s="108">
        <f t="shared" si="39"/>
        <v>1574.7400000000002</v>
      </c>
      <c r="E100" s="108">
        <f t="shared" si="39"/>
        <v>1550.64</v>
      </c>
      <c r="F100" s="108">
        <f t="shared" si="39"/>
        <v>1532.94</v>
      </c>
      <c r="G100" s="108">
        <f t="shared" si="39"/>
        <v>1528.24</v>
      </c>
      <c r="H100" s="108">
        <f t="shared" si="39"/>
        <v>1552.34</v>
      </c>
      <c r="I100" s="108">
        <f t="shared" si="39"/>
        <v>1506.94</v>
      </c>
      <c r="J100" s="108">
        <f t="shared" si="39"/>
        <v>1445.44</v>
      </c>
      <c r="K100" s="108">
        <f t="shared" si="39"/>
        <v>1609.9800000000002</v>
      </c>
      <c r="L100" s="108">
        <f t="shared" si="39"/>
        <v>1665.64</v>
      </c>
      <c r="M100" s="108">
        <f t="shared" si="39"/>
        <v>1693.14</v>
      </c>
      <c r="N100" s="108">
        <f>N99-(N107)</f>
        <v>1736.8400000000001</v>
      </c>
      <c r="O100" s="108">
        <f>O99-(O107)</f>
        <v>1740.8400000000001</v>
      </c>
      <c r="P100" s="108">
        <f>P99-(P107)</f>
        <v>1732.64</v>
      </c>
      <c r="Q100" s="108">
        <f>Q99-(Q107)</f>
        <v>1743.8400000000001</v>
      </c>
      <c r="R100" s="108">
        <f>R99-(R107)</f>
        <v>1632.1399999999999</v>
      </c>
      <c r="S100" s="108">
        <f t="shared" si="39"/>
        <v>1796.48</v>
      </c>
      <c r="T100" s="108">
        <f t="shared" si="39"/>
        <v>1797.08</v>
      </c>
      <c r="U100" s="108">
        <f t="shared" si="39"/>
        <v>1795.88</v>
      </c>
      <c r="V100" s="108">
        <f t="shared" si="39"/>
        <v>1688.28</v>
      </c>
      <c r="W100" s="108">
        <f t="shared" si="39"/>
        <v>1604.78</v>
      </c>
      <c r="X100" s="108">
        <f t="shared" si="39"/>
        <v>1476.9800000000002</v>
      </c>
      <c r="Y100" s="108">
        <f t="shared" si="39"/>
        <v>1708.04</v>
      </c>
      <c r="Z100" s="108">
        <f t="shared" si="39"/>
        <v>1726.54</v>
      </c>
      <c r="AA100" s="108">
        <f t="shared" si="39"/>
        <v>1809.24</v>
      </c>
      <c r="AB100" s="108">
        <f>AB99-(AB107)</f>
        <v>1787.14</v>
      </c>
      <c r="AC100" s="108">
        <f>AC99-(AC107)</f>
        <v>1753.8400000000001</v>
      </c>
      <c r="AD100" s="108">
        <f>AD99-(AD107)</f>
        <v>1733.24</v>
      </c>
      <c r="AE100" s="108">
        <f>AE99-(AE107)</f>
        <v>1643.24</v>
      </c>
      <c r="AF100" s="108">
        <f>AF99-(AF107)</f>
        <v>1555.4399999999998</v>
      </c>
      <c r="AG100" s="101"/>
      <c r="AH100" s="48">
        <f t="shared" si="34"/>
        <v>1809.24</v>
      </c>
      <c r="AI100" s="49">
        <f t="shared" si="35"/>
        <v>1445.44</v>
      </c>
      <c r="BF100" s="82"/>
      <c r="BG100" s="82">
        <v>65</v>
      </c>
      <c r="BH100" s="82">
        <v>89.1</v>
      </c>
      <c r="BI100" s="82">
        <v>471</v>
      </c>
      <c r="BJ100" s="82">
        <v>54.9</v>
      </c>
      <c r="BK100" s="82">
        <v>108.9</v>
      </c>
      <c r="BL100" s="82">
        <v>41.3</v>
      </c>
    </row>
    <row r="101" spans="1:64" x14ac:dyDescent="0.25">
      <c r="A101" s="45" t="s">
        <v>107</v>
      </c>
      <c r="B101" s="89">
        <f>IF(B84&lt;0,B84*-1,0)</f>
        <v>0</v>
      </c>
      <c r="C101" s="89">
        <f t="shared" ref="C101:AA101" si="40">IF(C84&lt;0,C84*-1,0)</f>
        <v>0</v>
      </c>
      <c r="D101" s="89">
        <f t="shared" si="40"/>
        <v>0</v>
      </c>
      <c r="E101" s="89">
        <f t="shared" si="40"/>
        <v>0</v>
      </c>
      <c r="F101" s="89">
        <f t="shared" si="40"/>
        <v>0</v>
      </c>
      <c r="G101" s="89">
        <f t="shared" si="40"/>
        <v>0</v>
      </c>
      <c r="H101" s="89">
        <f t="shared" si="40"/>
        <v>0</v>
      </c>
      <c r="I101" s="89">
        <f t="shared" si="40"/>
        <v>0</v>
      </c>
      <c r="J101" s="89">
        <f t="shared" si="40"/>
        <v>0</v>
      </c>
      <c r="K101" s="89">
        <f t="shared" si="40"/>
        <v>0</v>
      </c>
      <c r="L101" s="89">
        <f t="shared" si="40"/>
        <v>0</v>
      </c>
      <c r="M101" s="89">
        <f t="shared" si="40"/>
        <v>0</v>
      </c>
      <c r="N101" s="89">
        <f>IF(N84&lt;0,N84*-1,0)</f>
        <v>0</v>
      </c>
      <c r="O101" s="89">
        <f>IF(O84&lt;0,O84*-1,0)</f>
        <v>0</v>
      </c>
      <c r="P101" s="89">
        <f>IF(P84&lt;0,P84*-1,0)</f>
        <v>0</v>
      </c>
      <c r="Q101" s="89">
        <f>IF(Q84&lt;0,Q84*-1,0)</f>
        <v>0</v>
      </c>
      <c r="R101" s="89">
        <f>IF(R84&lt;0,R84*-1,0)</f>
        <v>0</v>
      </c>
      <c r="S101" s="89">
        <f t="shared" si="40"/>
        <v>0</v>
      </c>
      <c r="T101" s="89">
        <f t="shared" si="40"/>
        <v>0</v>
      </c>
      <c r="U101" s="89">
        <f t="shared" si="40"/>
        <v>0</v>
      </c>
      <c r="V101" s="89">
        <f t="shared" si="40"/>
        <v>0</v>
      </c>
      <c r="W101" s="89">
        <f t="shared" si="40"/>
        <v>0</v>
      </c>
      <c r="X101" s="89">
        <f t="shared" si="40"/>
        <v>0</v>
      </c>
      <c r="Y101" s="89">
        <f t="shared" si="40"/>
        <v>0</v>
      </c>
      <c r="Z101" s="89">
        <f t="shared" si="40"/>
        <v>0</v>
      </c>
      <c r="AA101" s="89">
        <f t="shared" si="40"/>
        <v>0</v>
      </c>
      <c r="AB101" s="89">
        <f>IF(AB84&lt;0,AB84*-1,0)</f>
        <v>0</v>
      </c>
      <c r="AC101" s="89">
        <f>IF(AC84&lt;0,AC84*-1,0)</f>
        <v>0</v>
      </c>
      <c r="AD101" s="89">
        <f>IF(AD84&lt;0,AD84*-1,0)</f>
        <v>0</v>
      </c>
      <c r="AE101" s="89">
        <f>IF(AE84&lt;0,AE84*-1,0)</f>
        <v>0</v>
      </c>
      <c r="AF101" s="89">
        <f>IF(AF84&lt;0,AF84*-1,0)</f>
        <v>0</v>
      </c>
      <c r="AG101" s="61"/>
      <c r="AH101" s="48">
        <f t="shared" si="34"/>
        <v>0</v>
      </c>
      <c r="AI101" s="49">
        <f t="shared" si="35"/>
        <v>0</v>
      </c>
      <c r="BF101" s="81"/>
      <c r="BG101" s="82">
        <v>51.9</v>
      </c>
      <c r="BH101" s="82">
        <v>74.8</v>
      </c>
      <c r="BI101" s="82">
        <v>361</v>
      </c>
      <c r="BJ101" s="82">
        <v>45.9</v>
      </c>
      <c r="BK101" s="82">
        <v>80.5</v>
      </c>
      <c r="BL101" s="82">
        <v>45.6</v>
      </c>
    </row>
    <row r="102" spans="1:64" x14ac:dyDescent="0.25">
      <c r="A102" s="65" t="s">
        <v>105</v>
      </c>
      <c r="B102" s="89">
        <f>IF(B82&lt;0,B82*-1,0)</f>
        <v>0</v>
      </c>
      <c r="C102" s="89">
        <f t="shared" ref="C102:AA102" si="41">IF(C82&lt;0,C82*-1,0)</f>
        <v>0</v>
      </c>
      <c r="D102" s="89">
        <f t="shared" si="41"/>
        <v>0</v>
      </c>
      <c r="E102" s="89">
        <f t="shared" si="41"/>
        <v>0</v>
      </c>
      <c r="F102" s="89">
        <f t="shared" si="41"/>
        <v>0</v>
      </c>
      <c r="G102" s="89">
        <f t="shared" si="41"/>
        <v>0</v>
      </c>
      <c r="H102" s="89">
        <f t="shared" si="41"/>
        <v>0</v>
      </c>
      <c r="I102" s="89">
        <f t="shared" si="41"/>
        <v>0</v>
      </c>
      <c r="J102" s="89">
        <f t="shared" si="41"/>
        <v>0</v>
      </c>
      <c r="K102" s="89">
        <f t="shared" si="41"/>
        <v>0</v>
      </c>
      <c r="L102" s="89">
        <f t="shared" si="41"/>
        <v>0</v>
      </c>
      <c r="M102" s="89">
        <f t="shared" si="41"/>
        <v>0</v>
      </c>
      <c r="N102" s="89">
        <f>IF(N82&lt;0,N82*-1,0)</f>
        <v>0</v>
      </c>
      <c r="O102" s="89">
        <f>IF(O82&lt;0,O82*-1,0)</f>
        <v>0</v>
      </c>
      <c r="P102" s="89">
        <f>IF(P82&lt;0,P82*-1,0)</f>
        <v>0</v>
      </c>
      <c r="Q102" s="89">
        <f>IF(Q82&lt;0,Q82*-1,0)</f>
        <v>0</v>
      </c>
      <c r="R102" s="89">
        <f>IF(R82&lt;0,R82*-1,0)</f>
        <v>0</v>
      </c>
      <c r="S102" s="89">
        <f t="shared" si="41"/>
        <v>0</v>
      </c>
      <c r="T102" s="89">
        <f t="shared" si="41"/>
        <v>0</v>
      </c>
      <c r="U102" s="89">
        <f t="shared" si="41"/>
        <v>0</v>
      </c>
      <c r="V102" s="89">
        <f t="shared" si="41"/>
        <v>0</v>
      </c>
      <c r="W102" s="89">
        <f t="shared" si="41"/>
        <v>0</v>
      </c>
      <c r="X102" s="89">
        <f t="shared" si="41"/>
        <v>0</v>
      </c>
      <c r="Y102" s="89">
        <f t="shared" si="41"/>
        <v>0</v>
      </c>
      <c r="Z102" s="89">
        <f t="shared" si="41"/>
        <v>0</v>
      </c>
      <c r="AA102" s="89">
        <f t="shared" si="41"/>
        <v>0</v>
      </c>
      <c r="AB102" s="89">
        <f>IF(AB82&lt;0,AB82*-1,0)</f>
        <v>0</v>
      </c>
      <c r="AC102" s="89">
        <f>IF(AC82&lt;0,AC82*-1,0)</f>
        <v>0</v>
      </c>
      <c r="AD102" s="89">
        <f>IF(AD82&lt;0,AD82*-1,0)</f>
        <v>0</v>
      </c>
      <c r="AE102" s="89">
        <f>IF(AE82&lt;0,AE82*-1,0)</f>
        <v>0</v>
      </c>
      <c r="AF102" s="89">
        <f>IF(AF82&lt;0,AF82*-1,0)</f>
        <v>0</v>
      </c>
      <c r="AG102" s="66"/>
      <c r="AH102" s="48">
        <f t="shared" si="34"/>
        <v>0</v>
      </c>
      <c r="AI102" s="49">
        <f t="shared" si="35"/>
        <v>0</v>
      </c>
      <c r="BF102" s="81"/>
      <c r="BG102" s="82">
        <v>36.5</v>
      </c>
      <c r="BH102" s="82">
        <v>72.5</v>
      </c>
      <c r="BI102" s="82">
        <v>27</v>
      </c>
      <c r="BJ102" s="82">
        <v>12.2</v>
      </c>
      <c r="BK102" s="82">
        <v>0</v>
      </c>
      <c r="BL102" s="82">
        <v>31.9</v>
      </c>
    </row>
    <row r="103" spans="1:64" x14ac:dyDescent="0.25">
      <c r="A103" s="97" t="s">
        <v>127</v>
      </c>
      <c r="B103" s="89">
        <f>IF(B85&lt;0,B85*-1,0)</f>
        <v>0</v>
      </c>
      <c r="C103" s="89">
        <f t="shared" ref="C103:AA103" si="42">IF(C85&lt;0,C85*-1,0)</f>
        <v>0</v>
      </c>
      <c r="D103" s="89">
        <f t="shared" si="42"/>
        <v>0</v>
      </c>
      <c r="E103" s="89">
        <f t="shared" si="42"/>
        <v>0</v>
      </c>
      <c r="F103" s="89">
        <f t="shared" si="42"/>
        <v>0</v>
      </c>
      <c r="G103" s="89">
        <f t="shared" si="42"/>
        <v>0</v>
      </c>
      <c r="H103" s="89">
        <f t="shared" si="42"/>
        <v>0</v>
      </c>
      <c r="I103" s="89">
        <f t="shared" si="42"/>
        <v>0</v>
      </c>
      <c r="J103" s="89">
        <f t="shared" si="42"/>
        <v>0</v>
      </c>
      <c r="K103" s="89">
        <f t="shared" si="42"/>
        <v>0</v>
      </c>
      <c r="L103" s="89">
        <f t="shared" si="42"/>
        <v>0</v>
      </c>
      <c r="M103" s="89">
        <f t="shared" si="42"/>
        <v>0</v>
      </c>
      <c r="N103" s="89">
        <f>IF(N85&lt;0,N85*-1,0)</f>
        <v>0</v>
      </c>
      <c r="O103" s="89">
        <f>IF(O85&lt;0,O85*-1,0)</f>
        <v>0</v>
      </c>
      <c r="P103" s="89">
        <f>IF(P85&lt;0,P85*-1,0)</f>
        <v>0</v>
      </c>
      <c r="Q103" s="89">
        <f>IF(Q85&lt;0,Q85*-1,0)</f>
        <v>0</v>
      </c>
      <c r="R103" s="89">
        <f>IF(R85&lt;0,R85*-1,0)</f>
        <v>0</v>
      </c>
      <c r="S103" s="89">
        <f t="shared" si="42"/>
        <v>0</v>
      </c>
      <c r="T103" s="89">
        <f t="shared" si="42"/>
        <v>0</v>
      </c>
      <c r="U103" s="89">
        <f t="shared" si="42"/>
        <v>0</v>
      </c>
      <c r="V103" s="89">
        <f t="shared" si="42"/>
        <v>0</v>
      </c>
      <c r="W103" s="89">
        <f t="shared" si="42"/>
        <v>0</v>
      </c>
      <c r="X103" s="89">
        <f t="shared" si="42"/>
        <v>0</v>
      </c>
      <c r="Y103" s="89">
        <f t="shared" si="42"/>
        <v>0</v>
      </c>
      <c r="Z103" s="89">
        <f t="shared" si="42"/>
        <v>0</v>
      </c>
      <c r="AA103" s="89">
        <f t="shared" si="42"/>
        <v>0</v>
      </c>
      <c r="AB103" s="89">
        <f>IF(AB85&lt;0,AB85*-1,0)</f>
        <v>0</v>
      </c>
      <c r="AC103" s="89">
        <f>IF(AC85&lt;0,AC85*-1,0)</f>
        <v>0</v>
      </c>
      <c r="AD103" s="89">
        <f>IF(AD85&lt;0,AD85*-1,0)</f>
        <v>0</v>
      </c>
      <c r="AE103" s="89">
        <f>IF(AE85&lt;0,AE85*-1,0)</f>
        <v>0</v>
      </c>
      <c r="AF103" s="89">
        <f>IF(AF85&lt;0,AF85*-1,0)</f>
        <v>0</v>
      </c>
      <c r="AG103" s="111"/>
      <c r="AH103" s="48">
        <f t="shared" si="34"/>
        <v>0</v>
      </c>
      <c r="AI103" s="49">
        <f t="shared" si="35"/>
        <v>0</v>
      </c>
      <c r="BF103" s="81"/>
      <c r="BG103" s="82">
        <v>45</v>
      </c>
      <c r="BH103" s="82">
        <v>0</v>
      </c>
      <c r="BI103" s="82">
        <v>46</v>
      </c>
      <c r="BJ103" s="82">
        <v>11.4</v>
      </c>
      <c r="BK103" s="82">
        <v>0</v>
      </c>
      <c r="BL103" s="82">
        <v>35</v>
      </c>
    </row>
    <row r="104" spans="1:64" x14ac:dyDescent="0.25">
      <c r="A104" s="97" t="s">
        <v>128</v>
      </c>
      <c r="B104" s="89">
        <f>IF(B83&lt;0,B83*-1,0)</f>
        <v>0</v>
      </c>
      <c r="C104" s="89">
        <f t="shared" ref="C104:AA104" si="43">IF(C83&lt;0,C83*-1,0)</f>
        <v>0</v>
      </c>
      <c r="D104" s="89">
        <f t="shared" si="43"/>
        <v>0</v>
      </c>
      <c r="E104" s="89">
        <f t="shared" si="43"/>
        <v>0</v>
      </c>
      <c r="F104" s="89">
        <f t="shared" si="43"/>
        <v>0</v>
      </c>
      <c r="G104" s="89">
        <f t="shared" si="43"/>
        <v>0</v>
      </c>
      <c r="H104" s="89">
        <f t="shared" si="43"/>
        <v>0</v>
      </c>
      <c r="I104" s="89">
        <f t="shared" si="43"/>
        <v>0</v>
      </c>
      <c r="J104" s="89">
        <f t="shared" si="43"/>
        <v>0</v>
      </c>
      <c r="K104" s="89">
        <f t="shared" si="43"/>
        <v>0</v>
      </c>
      <c r="L104" s="89">
        <f t="shared" si="43"/>
        <v>0</v>
      </c>
      <c r="M104" s="89">
        <f t="shared" si="43"/>
        <v>0</v>
      </c>
      <c r="N104" s="89">
        <f>IF(N83&lt;0,N83*-1,0)</f>
        <v>0</v>
      </c>
      <c r="O104" s="89">
        <f>IF(O83&lt;0,O83*-1,0)</f>
        <v>0</v>
      </c>
      <c r="P104" s="89">
        <f>IF(P83&lt;0,P83*-1,0)</f>
        <v>0</v>
      </c>
      <c r="Q104" s="89">
        <f>IF(Q83&lt;0,Q83*-1,0)</f>
        <v>0</v>
      </c>
      <c r="R104" s="89">
        <f>IF(R83&lt;0,R83*-1,0)</f>
        <v>0</v>
      </c>
      <c r="S104" s="89">
        <f t="shared" si="43"/>
        <v>0</v>
      </c>
      <c r="T104" s="89">
        <f t="shared" si="43"/>
        <v>0</v>
      </c>
      <c r="U104" s="89">
        <f t="shared" si="43"/>
        <v>0</v>
      </c>
      <c r="V104" s="89">
        <f t="shared" si="43"/>
        <v>0</v>
      </c>
      <c r="W104" s="89">
        <f t="shared" si="43"/>
        <v>0</v>
      </c>
      <c r="X104" s="89">
        <f t="shared" si="43"/>
        <v>0</v>
      </c>
      <c r="Y104" s="89">
        <f t="shared" si="43"/>
        <v>0</v>
      </c>
      <c r="Z104" s="89">
        <f t="shared" si="43"/>
        <v>0</v>
      </c>
      <c r="AA104" s="89">
        <f t="shared" si="43"/>
        <v>0</v>
      </c>
      <c r="AB104" s="89">
        <f>IF(AB83&lt;0,AB83*-1,0)</f>
        <v>0</v>
      </c>
      <c r="AC104" s="89">
        <f>IF(AC83&lt;0,AC83*-1,0)</f>
        <v>0</v>
      </c>
      <c r="AD104" s="89">
        <f>IF(AD83&lt;0,AD83*-1,0)</f>
        <v>0</v>
      </c>
      <c r="AE104" s="89">
        <f>IF(AE83&lt;0,AE83*-1,0)</f>
        <v>0</v>
      </c>
      <c r="AF104" s="89">
        <f>IF(AF83&lt;0,AF83*-1,0)</f>
        <v>0</v>
      </c>
      <c r="AG104" s="111"/>
      <c r="AH104" s="48">
        <f t="shared" si="34"/>
        <v>0</v>
      </c>
      <c r="AI104" s="49">
        <f t="shared" si="35"/>
        <v>0</v>
      </c>
      <c r="BF104" s="81"/>
      <c r="BG104" s="82">
        <v>52</v>
      </c>
      <c r="BH104" s="82">
        <v>0</v>
      </c>
      <c r="BI104" s="82">
        <v>44</v>
      </c>
      <c r="BJ104" s="82">
        <v>11.4</v>
      </c>
      <c r="BK104" s="82">
        <v>0</v>
      </c>
      <c r="BL104" s="82">
        <v>42</v>
      </c>
    </row>
    <row r="105" spans="1:64" x14ac:dyDescent="0.25">
      <c r="A105" s="97" t="s">
        <v>104</v>
      </c>
      <c r="B105" s="89">
        <f>IF(B81&lt;0,B81*-1,0)</f>
        <v>0</v>
      </c>
      <c r="C105" s="89">
        <f t="shared" ref="C105:AA105" si="44">IF(C81&lt;0,C81*-1,0)</f>
        <v>0</v>
      </c>
      <c r="D105" s="89">
        <f t="shared" si="44"/>
        <v>0</v>
      </c>
      <c r="E105" s="89">
        <f t="shared" si="44"/>
        <v>0</v>
      </c>
      <c r="F105" s="89">
        <f t="shared" si="44"/>
        <v>0</v>
      </c>
      <c r="G105" s="89">
        <f t="shared" si="44"/>
        <v>0</v>
      </c>
      <c r="H105" s="89">
        <f t="shared" si="44"/>
        <v>0</v>
      </c>
      <c r="I105" s="89">
        <f t="shared" si="44"/>
        <v>0</v>
      </c>
      <c r="J105" s="89">
        <f t="shared" si="44"/>
        <v>0</v>
      </c>
      <c r="K105" s="89">
        <f t="shared" si="44"/>
        <v>0</v>
      </c>
      <c r="L105" s="89">
        <f t="shared" si="44"/>
        <v>0</v>
      </c>
      <c r="M105" s="89">
        <f t="shared" si="44"/>
        <v>0</v>
      </c>
      <c r="N105" s="89">
        <f>IF(N81&lt;0,N81*-1,0)</f>
        <v>0</v>
      </c>
      <c r="O105" s="89">
        <f>IF(O81&lt;0,O81*-1,0)</f>
        <v>0</v>
      </c>
      <c r="P105" s="89">
        <f>IF(P81&lt;0,P81*-1,0)</f>
        <v>0</v>
      </c>
      <c r="Q105" s="89">
        <f>IF(Q81&lt;0,Q81*-1,0)</f>
        <v>0</v>
      </c>
      <c r="R105" s="89">
        <f>IF(R81&lt;0,R81*-1,0)</f>
        <v>0</v>
      </c>
      <c r="S105" s="89">
        <f t="shared" si="44"/>
        <v>0</v>
      </c>
      <c r="T105" s="89">
        <f t="shared" si="44"/>
        <v>0</v>
      </c>
      <c r="U105" s="89">
        <f t="shared" si="44"/>
        <v>0</v>
      </c>
      <c r="V105" s="89">
        <f t="shared" si="44"/>
        <v>0</v>
      </c>
      <c r="W105" s="89">
        <f t="shared" si="44"/>
        <v>0</v>
      </c>
      <c r="X105" s="89">
        <f t="shared" si="44"/>
        <v>0</v>
      </c>
      <c r="Y105" s="89">
        <f t="shared" si="44"/>
        <v>0</v>
      </c>
      <c r="Z105" s="89">
        <f t="shared" si="44"/>
        <v>0</v>
      </c>
      <c r="AA105" s="89">
        <f t="shared" si="44"/>
        <v>0</v>
      </c>
      <c r="AB105" s="89">
        <f>IF(AB81&lt;0,AB81*-1,0)</f>
        <v>0</v>
      </c>
      <c r="AC105" s="89">
        <f>IF(AC81&lt;0,AC81*-1,0)</f>
        <v>0</v>
      </c>
      <c r="AD105" s="89">
        <f>IF(AD81&lt;0,AD81*-1,0)</f>
        <v>0</v>
      </c>
      <c r="AE105" s="89">
        <f>IF(AE81&lt;0,AE81*-1,0)</f>
        <v>0</v>
      </c>
      <c r="AF105" s="89">
        <f>IF(AF81&lt;0,AF81*-1,0)</f>
        <v>0</v>
      </c>
      <c r="AG105" s="111"/>
      <c r="AH105" s="48">
        <f t="shared" si="34"/>
        <v>0</v>
      </c>
      <c r="AI105" s="49">
        <f t="shared" si="35"/>
        <v>0</v>
      </c>
      <c r="BF105" s="81"/>
      <c r="BG105" s="82">
        <v>52</v>
      </c>
      <c r="BH105" s="82">
        <v>0</v>
      </c>
      <c r="BI105" s="82">
        <v>44</v>
      </c>
      <c r="BJ105" s="82">
        <v>11.4</v>
      </c>
      <c r="BK105" s="82">
        <v>0</v>
      </c>
      <c r="BL105" s="82">
        <v>42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1</v>
      </c>
      <c r="O106" s="107">
        <v>2</v>
      </c>
      <c r="P106" s="107">
        <v>3</v>
      </c>
      <c r="Q106" s="107">
        <v>4</v>
      </c>
      <c r="R106" s="107">
        <v>5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4"/>
        <v>5</v>
      </c>
      <c r="AI106" s="49">
        <f t="shared" si="35"/>
        <v>0</v>
      </c>
      <c r="BG106" s="82">
        <v>40</v>
      </c>
      <c r="BH106" s="82">
        <v>0</v>
      </c>
      <c r="BI106" s="82">
        <v>0</v>
      </c>
      <c r="BJ106" s="82">
        <v>0</v>
      </c>
      <c r="BK106" s="82">
        <v>0</v>
      </c>
      <c r="BL106" s="82">
        <v>45.6</v>
      </c>
    </row>
    <row r="107" spans="1:64" ht="15.75" thickBot="1" x14ac:dyDescent="0.3">
      <c r="A107" s="112" t="s">
        <v>130</v>
      </c>
      <c r="B107" s="71">
        <f>SUM(B101:B106)</f>
        <v>0</v>
      </c>
      <c r="C107" s="71">
        <f t="shared" ref="C107:AA107" si="45">SUM(C101:C106)</f>
        <v>0</v>
      </c>
      <c r="D107" s="71">
        <f t="shared" si="45"/>
        <v>0</v>
      </c>
      <c r="E107" s="71">
        <f t="shared" si="45"/>
        <v>0</v>
      </c>
      <c r="F107" s="71">
        <f t="shared" si="45"/>
        <v>0</v>
      </c>
      <c r="G107" s="71">
        <f t="shared" si="45"/>
        <v>0</v>
      </c>
      <c r="H107" s="71">
        <f t="shared" si="45"/>
        <v>0</v>
      </c>
      <c r="I107" s="71">
        <f t="shared" si="45"/>
        <v>0</v>
      </c>
      <c r="J107" s="71">
        <f t="shared" si="45"/>
        <v>0</v>
      </c>
      <c r="K107" s="71">
        <f t="shared" si="45"/>
        <v>0</v>
      </c>
      <c r="L107" s="71">
        <f t="shared" si="45"/>
        <v>0</v>
      </c>
      <c r="M107" s="71">
        <f t="shared" si="45"/>
        <v>0</v>
      </c>
      <c r="N107" s="71">
        <f>SUM(N101:N106)</f>
        <v>1</v>
      </c>
      <c r="O107" s="71">
        <f>SUM(O101:O106)</f>
        <v>2</v>
      </c>
      <c r="P107" s="71">
        <f>SUM(P101:P106)</f>
        <v>3</v>
      </c>
      <c r="Q107" s="71">
        <f>SUM(Q101:Q106)</f>
        <v>4</v>
      </c>
      <c r="R107" s="71">
        <f>SUM(R101:R106)</f>
        <v>5</v>
      </c>
      <c r="S107" s="71">
        <f t="shared" si="45"/>
        <v>0</v>
      </c>
      <c r="T107" s="71">
        <f t="shared" si="45"/>
        <v>0</v>
      </c>
      <c r="U107" s="71">
        <f t="shared" si="45"/>
        <v>0</v>
      </c>
      <c r="V107" s="71">
        <f t="shared" si="45"/>
        <v>0</v>
      </c>
      <c r="W107" s="71">
        <f t="shared" si="45"/>
        <v>0</v>
      </c>
      <c r="X107" s="71">
        <f t="shared" si="45"/>
        <v>0</v>
      </c>
      <c r="Y107" s="71">
        <f t="shared" si="45"/>
        <v>0</v>
      </c>
      <c r="Z107" s="71">
        <f t="shared" si="45"/>
        <v>0</v>
      </c>
      <c r="AA107" s="71">
        <f t="shared" si="45"/>
        <v>0</v>
      </c>
      <c r="AB107" s="71">
        <v>0</v>
      </c>
      <c r="AC107" s="71">
        <v>0</v>
      </c>
      <c r="AD107" s="71">
        <v>0</v>
      </c>
      <c r="AE107" s="71">
        <v>0</v>
      </c>
      <c r="AF107" s="71">
        <v>0</v>
      </c>
      <c r="AG107" s="101"/>
      <c r="AH107" s="48">
        <f t="shared" si="34"/>
        <v>5</v>
      </c>
      <c r="AI107" s="49">
        <f t="shared" si="35"/>
        <v>0</v>
      </c>
      <c r="AK107" s="51"/>
      <c r="BG107" s="82">
        <v>58.9</v>
      </c>
      <c r="BH107" s="82">
        <v>0</v>
      </c>
      <c r="BI107" s="82">
        <v>85</v>
      </c>
      <c r="BJ107" s="82">
        <v>0</v>
      </c>
      <c r="BK107" s="82">
        <v>0</v>
      </c>
      <c r="BL107" s="82">
        <v>46.8</v>
      </c>
    </row>
    <row r="108" spans="1:64" ht="15.75" thickBot="1" x14ac:dyDescent="0.3">
      <c r="A108" s="87" t="s">
        <v>131</v>
      </c>
      <c r="B108" s="71">
        <f>B92-B107</f>
        <v>190.7</v>
      </c>
      <c r="C108" s="71">
        <f t="shared" ref="C108:AA108" si="46">C92-C107</f>
        <v>193.5</v>
      </c>
      <c r="D108" s="71">
        <f t="shared" si="46"/>
        <v>212.9</v>
      </c>
      <c r="E108" s="71">
        <f t="shared" si="46"/>
        <v>168.7</v>
      </c>
      <c r="F108" s="71">
        <f t="shared" si="46"/>
        <v>157.1</v>
      </c>
      <c r="G108" s="71">
        <f t="shared" si="46"/>
        <v>160.5</v>
      </c>
      <c r="H108" s="71">
        <f t="shared" si="46"/>
        <v>171.5</v>
      </c>
      <c r="I108" s="71">
        <f t="shared" si="46"/>
        <v>159</v>
      </c>
      <c r="J108" s="71">
        <f t="shared" si="46"/>
        <v>494</v>
      </c>
      <c r="K108" s="71">
        <f t="shared" si="46"/>
        <v>645</v>
      </c>
      <c r="L108" s="71">
        <f t="shared" si="46"/>
        <v>665.4</v>
      </c>
      <c r="M108" s="71">
        <f t="shared" si="46"/>
        <v>705.5</v>
      </c>
      <c r="N108" s="71">
        <f>N92-N107</f>
        <v>747</v>
      </c>
      <c r="O108" s="71">
        <f>O92-O107</f>
        <v>790</v>
      </c>
      <c r="P108" s="71">
        <f>P92-P107</f>
        <v>741</v>
      </c>
      <c r="Q108" s="71">
        <f>Q92-Q107</f>
        <v>742</v>
      </c>
      <c r="R108" s="71">
        <f>R92-R107</f>
        <v>803.69999999999993</v>
      </c>
      <c r="S108" s="71">
        <f t="shared" si="46"/>
        <v>870.8</v>
      </c>
      <c r="T108" s="71">
        <f t="shared" si="46"/>
        <v>879.19999999999993</v>
      </c>
      <c r="U108" s="71">
        <f t="shared" si="46"/>
        <v>894</v>
      </c>
      <c r="V108" s="71">
        <f t="shared" si="46"/>
        <v>830.19999999999993</v>
      </c>
      <c r="W108" s="71">
        <f t="shared" si="46"/>
        <v>781.80000000000007</v>
      </c>
      <c r="X108" s="71">
        <f t="shared" si="46"/>
        <v>659.7</v>
      </c>
      <c r="Y108" s="71">
        <f t="shared" si="46"/>
        <v>207.89999999999998</v>
      </c>
      <c r="Z108" s="71">
        <f t="shared" si="46"/>
        <v>180.1</v>
      </c>
      <c r="AA108" s="71">
        <f t="shared" si="46"/>
        <v>197.00000000000003</v>
      </c>
      <c r="AB108" s="71">
        <f>AB92-AB107</f>
        <v>137.4</v>
      </c>
      <c r="AC108" s="71">
        <f>AC92-AC107</f>
        <v>132.10000000000002</v>
      </c>
      <c r="AD108" s="71">
        <f>AD92-AD107</f>
        <v>149.4</v>
      </c>
      <c r="AE108" s="71">
        <f>AE92-AE107</f>
        <v>149.4</v>
      </c>
      <c r="AF108" s="71">
        <f>AF92-AF107</f>
        <v>85.6</v>
      </c>
      <c r="AG108" s="101"/>
      <c r="AH108" s="48">
        <f t="shared" si="34"/>
        <v>894</v>
      </c>
      <c r="AI108" s="49">
        <f t="shared" si="35"/>
        <v>85.6</v>
      </c>
    </row>
    <row r="109" spans="1:64" x14ac:dyDescent="0.25">
      <c r="A109" s="113" t="s">
        <v>132</v>
      </c>
      <c r="B109" s="114">
        <v>49.98</v>
      </c>
      <c r="C109" s="114">
        <v>50.03</v>
      </c>
      <c r="D109" s="114">
        <v>50.04</v>
      </c>
      <c r="E109" s="114">
        <v>50.04</v>
      </c>
      <c r="F109" s="114">
        <v>50.018000000000001</v>
      </c>
      <c r="G109" s="114">
        <v>49.999000000000002</v>
      </c>
      <c r="H109" s="114">
        <v>49.993000000000002</v>
      </c>
      <c r="I109" s="114">
        <v>50.02</v>
      </c>
      <c r="J109" s="114">
        <v>49.981999999999999</v>
      </c>
      <c r="K109" s="114">
        <v>50.046999999999997</v>
      </c>
      <c r="L109" s="114">
        <v>50.002000000000002</v>
      </c>
      <c r="M109" s="114">
        <v>50.003999999999998</v>
      </c>
      <c r="N109" s="114">
        <v>49.981999999999999</v>
      </c>
      <c r="O109" s="114">
        <v>50.018000000000001</v>
      </c>
      <c r="P109" s="114">
        <v>49.993000000000002</v>
      </c>
      <c r="Q109" s="114">
        <v>50.003999999999998</v>
      </c>
      <c r="R109" s="114">
        <v>49.957000000000001</v>
      </c>
      <c r="S109" s="114">
        <v>49.954000000000001</v>
      </c>
      <c r="T109" s="114">
        <v>49.914999999999999</v>
      </c>
      <c r="U109" s="114">
        <v>50.048000000000002</v>
      </c>
      <c r="V109" s="114">
        <v>50.031999999999996</v>
      </c>
      <c r="W109" s="114">
        <v>50.085999999999999</v>
      </c>
      <c r="X109" s="114">
        <v>50.018000000000001</v>
      </c>
      <c r="Y109" s="114">
        <v>50.054000000000002</v>
      </c>
      <c r="Z109" s="114">
        <v>50.012999999999998</v>
      </c>
      <c r="AA109" s="114">
        <v>49.98</v>
      </c>
      <c r="AB109" s="114">
        <v>50</v>
      </c>
      <c r="AC109" s="114">
        <v>49.94</v>
      </c>
      <c r="AD109" s="114">
        <v>50.01</v>
      </c>
      <c r="AE109" s="114">
        <v>50</v>
      </c>
      <c r="AF109" s="114">
        <v>50.01</v>
      </c>
      <c r="AG109" s="115"/>
      <c r="AH109" s="48">
        <f t="shared" si="34"/>
        <v>50.085999999999999</v>
      </c>
      <c r="AI109" s="49">
        <f t="shared" si="35"/>
        <v>49.914999999999999</v>
      </c>
    </row>
    <row r="110" spans="1:64" x14ac:dyDescent="0.25">
      <c r="A110" s="116" t="s">
        <v>133</v>
      </c>
      <c r="B110" s="76">
        <v>128.5</v>
      </c>
      <c r="C110" s="76">
        <v>129.30000000000001</v>
      </c>
      <c r="D110" s="76">
        <v>129.6</v>
      </c>
      <c r="E110" s="76">
        <v>129.69999999999999</v>
      </c>
      <c r="F110" s="76">
        <v>130</v>
      </c>
      <c r="G110" s="76">
        <v>129.69999999999999</v>
      </c>
      <c r="H110" s="76">
        <v>129.4</v>
      </c>
      <c r="I110" s="76">
        <v>128.69999999999999</v>
      </c>
      <c r="J110" s="76">
        <v>128.30000000000001</v>
      </c>
      <c r="K110" s="76">
        <v>125.6</v>
      </c>
      <c r="L110" s="76">
        <v>125.2</v>
      </c>
      <c r="M110" s="76">
        <v>125.4</v>
      </c>
      <c r="N110" s="76">
        <v>128.30000000000001</v>
      </c>
      <c r="O110" s="76">
        <v>130</v>
      </c>
      <c r="P110" s="76">
        <v>129.4</v>
      </c>
      <c r="Q110" s="76">
        <v>125.4</v>
      </c>
      <c r="R110" s="76">
        <v>124.6</v>
      </c>
      <c r="S110" s="76">
        <v>123.7</v>
      </c>
      <c r="T110" s="76">
        <v>122.3</v>
      </c>
      <c r="U110" s="76">
        <v>124.9</v>
      </c>
      <c r="V110" s="76">
        <v>126.1</v>
      </c>
      <c r="W110" s="76">
        <v>126.8</v>
      </c>
      <c r="X110" s="76">
        <v>128.9</v>
      </c>
      <c r="Y110" s="76">
        <v>127</v>
      </c>
      <c r="Z110" s="76">
        <v>127.6</v>
      </c>
      <c r="AA110" s="76">
        <v>127.1</v>
      </c>
      <c r="AB110" s="76">
        <v>127.1</v>
      </c>
      <c r="AC110" s="76">
        <v>127.6</v>
      </c>
      <c r="AD110" s="76">
        <v>127.6</v>
      </c>
      <c r="AE110" s="76">
        <v>127.6</v>
      </c>
      <c r="AF110" s="76">
        <v>128</v>
      </c>
      <c r="AG110" s="117"/>
      <c r="AH110" s="48">
        <f t="shared" si="34"/>
        <v>130</v>
      </c>
      <c r="AI110" s="49">
        <f t="shared" si="35"/>
        <v>122.3</v>
      </c>
    </row>
    <row r="111" spans="1:64" x14ac:dyDescent="0.25">
      <c r="A111" s="116" t="s">
        <v>134</v>
      </c>
      <c r="B111" s="76">
        <v>132.30000000000001</v>
      </c>
      <c r="C111" s="76">
        <v>133</v>
      </c>
      <c r="D111" s="76">
        <v>133.4</v>
      </c>
      <c r="E111" s="76">
        <v>133.5</v>
      </c>
      <c r="F111" s="76">
        <v>133.6</v>
      </c>
      <c r="G111" s="76">
        <v>133</v>
      </c>
      <c r="H111" s="76">
        <v>132.19999999999999</v>
      </c>
      <c r="I111" s="76">
        <v>130.9</v>
      </c>
      <c r="J111" s="76">
        <v>130.4</v>
      </c>
      <c r="K111" s="76">
        <v>127.7</v>
      </c>
      <c r="L111" s="76">
        <v>127.1</v>
      </c>
      <c r="M111" s="76">
        <v>127.7</v>
      </c>
      <c r="N111" s="76">
        <v>130.4</v>
      </c>
      <c r="O111" s="76">
        <v>133.6</v>
      </c>
      <c r="P111" s="76">
        <v>132.19999999999999</v>
      </c>
      <c r="Q111" s="76">
        <v>127.7</v>
      </c>
      <c r="R111" s="76">
        <v>127.9</v>
      </c>
      <c r="S111" s="76">
        <v>127</v>
      </c>
      <c r="T111" s="76">
        <v>126.2</v>
      </c>
      <c r="U111" s="76">
        <v>127.2</v>
      </c>
      <c r="V111" s="76">
        <v>128.9</v>
      </c>
      <c r="W111" s="76">
        <v>129.30000000000001</v>
      </c>
      <c r="X111" s="76">
        <v>131</v>
      </c>
      <c r="Y111" s="76">
        <v>129.69999999999999</v>
      </c>
      <c r="Z111" s="76">
        <v>130.9</v>
      </c>
      <c r="AA111" s="76">
        <v>130.19999999999999</v>
      </c>
      <c r="AB111" s="76">
        <v>130.19999999999999</v>
      </c>
      <c r="AC111" s="76">
        <v>130.9</v>
      </c>
      <c r="AD111" s="76">
        <v>130.9</v>
      </c>
      <c r="AE111" s="76">
        <v>130.9</v>
      </c>
      <c r="AF111" s="76">
        <v>131</v>
      </c>
      <c r="AG111" s="117"/>
      <c r="AH111" s="48">
        <f t="shared" si="34"/>
        <v>133.6</v>
      </c>
      <c r="AI111" s="49">
        <f t="shared" si="35"/>
        <v>126.2</v>
      </c>
    </row>
    <row r="112" spans="1:64" x14ac:dyDescent="0.25">
      <c r="A112" s="116" t="s">
        <v>135</v>
      </c>
      <c r="B112" s="76">
        <v>131.69999999999999</v>
      </c>
      <c r="C112" s="76">
        <v>132</v>
      </c>
      <c r="D112" s="76">
        <v>131.6</v>
      </c>
      <c r="E112" s="76">
        <v>132.6</v>
      </c>
      <c r="F112" s="76">
        <v>132.5</v>
      </c>
      <c r="G112" s="76">
        <v>129.69999999999999</v>
      </c>
      <c r="H112" s="76">
        <v>131</v>
      </c>
      <c r="I112" s="76">
        <v>125.2</v>
      </c>
      <c r="J112" s="76">
        <v>126.7</v>
      </c>
      <c r="K112" s="76">
        <v>124</v>
      </c>
      <c r="L112" s="76">
        <v>127.7</v>
      </c>
      <c r="M112" s="76">
        <v>125.6</v>
      </c>
      <c r="N112" s="76">
        <v>126.7</v>
      </c>
      <c r="O112" s="76">
        <v>132.5</v>
      </c>
      <c r="P112" s="76">
        <v>131</v>
      </c>
      <c r="Q112" s="76">
        <v>125.6</v>
      </c>
      <c r="R112" s="76">
        <v>1231</v>
      </c>
      <c r="S112" s="76">
        <v>128</v>
      </c>
      <c r="T112" s="76">
        <v>122</v>
      </c>
      <c r="U112" s="76">
        <v>124.3</v>
      </c>
      <c r="V112" s="76">
        <v>129.69999999999999</v>
      </c>
      <c r="W112" s="76">
        <v>128.6</v>
      </c>
      <c r="X112" s="76">
        <v>127.5</v>
      </c>
      <c r="Y112" s="76">
        <v>128.19999999999999</v>
      </c>
      <c r="Z112" s="76">
        <v>128.80000000000001</v>
      </c>
      <c r="AA112" s="76">
        <v>127.8</v>
      </c>
      <c r="AB112" s="76">
        <v>127.8</v>
      </c>
      <c r="AC112" s="76">
        <v>129</v>
      </c>
      <c r="AD112" s="76">
        <v>129</v>
      </c>
      <c r="AE112" s="76">
        <v>129</v>
      </c>
      <c r="AF112" s="76">
        <v>131</v>
      </c>
      <c r="AG112" s="117"/>
      <c r="AH112" s="48">
        <f t="shared" si="34"/>
        <v>1231</v>
      </c>
      <c r="AI112" s="49">
        <f t="shared" si="35"/>
        <v>122</v>
      </c>
    </row>
    <row r="113" spans="1:35" x14ac:dyDescent="0.25">
      <c r="A113" s="118" t="s">
        <v>136</v>
      </c>
      <c r="B113" s="76">
        <v>132.69999999999999</v>
      </c>
      <c r="C113" s="76">
        <v>133.5</v>
      </c>
      <c r="D113" s="76">
        <v>131.19999999999999</v>
      </c>
      <c r="E113" s="76">
        <v>132.19999999999999</v>
      </c>
      <c r="F113" s="76">
        <v>133.80000000000001</v>
      </c>
      <c r="G113" s="76">
        <v>131.4</v>
      </c>
      <c r="H113" s="76">
        <v>130.5</v>
      </c>
      <c r="I113" s="76">
        <v>127.9</v>
      </c>
      <c r="J113" s="76">
        <v>130.4</v>
      </c>
      <c r="K113" s="76">
        <v>133</v>
      </c>
      <c r="L113" s="76">
        <v>132.6</v>
      </c>
      <c r="M113" s="76">
        <v>130.19999999999999</v>
      </c>
      <c r="N113" s="76">
        <v>130.4</v>
      </c>
      <c r="O113" s="76">
        <v>133.80000000000001</v>
      </c>
      <c r="P113" s="76">
        <v>130.5</v>
      </c>
      <c r="Q113" s="76">
        <v>130.19999999999999</v>
      </c>
      <c r="R113" s="76">
        <v>131.19999999999999</v>
      </c>
      <c r="S113" s="76">
        <v>128.80000000000001</v>
      </c>
      <c r="T113" s="76">
        <v>127.6</v>
      </c>
      <c r="U113" s="76">
        <v>130.30000000000001</v>
      </c>
      <c r="V113" s="76">
        <v>130.30000000000001</v>
      </c>
      <c r="W113" s="76">
        <v>129.69999999999999</v>
      </c>
      <c r="X113" s="76">
        <v>124.6</v>
      </c>
      <c r="Y113" s="76">
        <v>128.69999999999999</v>
      </c>
      <c r="Z113" s="76">
        <v>127.2</v>
      </c>
      <c r="AA113" s="76">
        <v>126.6</v>
      </c>
      <c r="AB113" s="76">
        <v>126.6</v>
      </c>
      <c r="AC113" s="76">
        <v>128</v>
      </c>
      <c r="AD113" s="76">
        <v>128</v>
      </c>
      <c r="AE113" s="76">
        <v>128</v>
      </c>
      <c r="AF113" s="76">
        <v>133</v>
      </c>
      <c r="AG113" s="117"/>
      <c r="AH113" s="48">
        <f t="shared" si="34"/>
        <v>133.80000000000001</v>
      </c>
      <c r="AI113" s="49">
        <f t="shared" si="35"/>
        <v>124.6</v>
      </c>
    </row>
    <row r="114" spans="1:35" x14ac:dyDescent="0.25">
      <c r="A114" s="118" t="s">
        <v>137</v>
      </c>
      <c r="B114" s="119">
        <v>131.4</v>
      </c>
      <c r="C114" s="119">
        <v>133.6</v>
      </c>
      <c r="D114" s="119">
        <v>133.4</v>
      </c>
      <c r="E114" s="119">
        <v>133.19999999999999</v>
      </c>
      <c r="F114" s="119">
        <v>133.19999999999999</v>
      </c>
      <c r="G114" s="119">
        <v>134.1</v>
      </c>
      <c r="H114" s="119">
        <v>132.1</v>
      </c>
      <c r="I114" s="119">
        <v>131.9</v>
      </c>
      <c r="J114" s="119">
        <v>133.1</v>
      </c>
      <c r="K114" s="119">
        <v>130.4</v>
      </c>
      <c r="L114" s="119">
        <v>130</v>
      </c>
      <c r="M114" s="119">
        <v>135</v>
      </c>
      <c r="N114" s="119">
        <v>133.1</v>
      </c>
      <c r="O114" s="119">
        <v>133.19999999999999</v>
      </c>
      <c r="P114" s="119">
        <v>132.1</v>
      </c>
      <c r="Q114" s="119">
        <v>135</v>
      </c>
      <c r="R114" s="119">
        <v>126.6</v>
      </c>
      <c r="S114" s="119">
        <v>132.9</v>
      </c>
      <c r="T114" s="119">
        <v>131.80000000000001</v>
      </c>
      <c r="U114" s="119">
        <v>131.80000000000001</v>
      </c>
      <c r="V114" s="119">
        <v>132.1</v>
      </c>
      <c r="W114" s="119">
        <v>132.4</v>
      </c>
      <c r="X114" s="119">
        <v>137.19999999999999</v>
      </c>
      <c r="Y114" s="119">
        <v>132</v>
      </c>
      <c r="Z114" s="119">
        <v>135.19999999999999</v>
      </c>
      <c r="AA114" s="119">
        <v>134.30000000000001</v>
      </c>
      <c r="AB114" s="119">
        <v>134.30000000000001</v>
      </c>
      <c r="AC114" s="119">
        <v>134.9</v>
      </c>
      <c r="AD114" s="119">
        <v>134.9</v>
      </c>
      <c r="AE114" s="119">
        <v>134.9</v>
      </c>
      <c r="AF114" s="119">
        <v>134.69999999999999</v>
      </c>
      <c r="AG114" s="120"/>
      <c r="AH114" s="48">
        <f t="shared" si="34"/>
        <v>137.19999999999999</v>
      </c>
      <c r="AI114" s="49">
        <f t="shared" si="35"/>
        <v>126.6</v>
      </c>
    </row>
    <row r="115" spans="1:35" x14ac:dyDescent="0.25">
      <c r="A115" s="116" t="s">
        <v>138</v>
      </c>
      <c r="B115" s="76">
        <v>130.4</v>
      </c>
      <c r="C115" s="76">
        <v>132.6</v>
      </c>
      <c r="D115" s="76">
        <v>132.30000000000001</v>
      </c>
      <c r="E115" s="76">
        <v>130.80000000000001</v>
      </c>
      <c r="F115" s="76">
        <v>130.80000000000001</v>
      </c>
      <c r="G115" s="76">
        <v>131.80000000000001</v>
      </c>
      <c r="H115" s="76">
        <v>130.80000000000001</v>
      </c>
      <c r="I115" s="76">
        <v>126.6</v>
      </c>
      <c r="J115" s="76">
        <v>132.9</v>
      </c>
      <c r="K115" s="76">
        <v>125</v>
      </c>
      <c r="L115" s="76">
        <v>122.7</v>
      </c>
      <c r="M115" s="76">
        <v>123</v>
      </c>
      <c r="N115" s="76">
        <v>132.9</v>
      </c>
      <c r="O115" s="76">
        <v>130.80000000000001</v>
      </c>
      <c r="P115" s="76">
        <v>130.80000000000001</v>
      </c>
      <c r="Q115" s="76">
        <v>123</v>
      </c>
      <c r="R115" s="76">
        <v>64.3</v>
      </c>
      <c r="S115" s="76">
        <v>127.8</v>
      </c>
      <c r="T115" s="76">
        <v>128.80000000000001</v>
      </c>
      <c r="U115" s="76">
        <v>131.6</v>
      </c>
      <c r="V115" s="76">
        <v>130.19999999999999</v>
      </c>
      <c r="W115" s="76">
        <v>122.3</v>
      </c>
      <c r="X115" s="76">
        <v>129.5</v>
      </c>
      <c r="Y115" s="76">
        <v>130.1</v>
      </c>
      <c r="Z115" s="76">
        <v>130.19999999999999</v>
      </c>
      <c r="AA115" s="76">
        <v>128.6</v>
      </c>
      <c r="AB115" s="76">
        <v>128.6</v>
      </c>
      <c r="AC115" s="76">
        <v>128.6</v>
      </c>
      <c r="AD115" s="76">
        <v>128.6</v>
      </c>
      <c r="AE115" s="76">
        <v>128.6</v>
      </c>
      <c r="AF115" s="76">
        <v>133</v>
      </c>
      <c r="AG115" s="117"/>
      <c r="AH115" s="48">
        <f t="shared" si="34"/>
        <v>133</v>
      </c>
      <c r="AI115" s="49">
        <f t="shared" si="35"/>
        <v>64.3</v>
      </c>
    </row>
    <row r="116" spans="1:35" ht="15.75" thickBot="1" x14ac:dyDescent="0.3">
      <c r="A116" s="116" t="s">
        <v>139</v>
      </c>
      <c r="B116" s="105">
        <v>66.599999999999994</v>
      </c>
      <c r="C116" s="105">
        <v>66.7</v>
      </c>
      <c r="D116" s="105">
        <v>67</v>
      </c>
      <c r="E116" s="105">
        <v>66.900000000000006</v>
      </c>
      <c r="F116" s="105">
        <v>67</v>
      </c>
      <c r="G116" s="105">
        <v>66.599999999999994</v>
      </c>
      <c r="H116" s="105">
        <v>66.3</v>
      </c>
      <c r="I116" s="105">
        <v>65.7</v>
      </c>
      <c r="J116" s="105">
        <v>65.900000000000006</v>
      </c>
      <c r="K116" s="105">
        <v>65</v>
      </c>
      <c r="L116" s="105">
        <v>64.3</v>
      </c>
      <c r="M116" s="105">
        <v>64.5</v>
      </c>
      <c r="N116" s="105">
        <v>65.900000000000006</v>
      </c>
      <c r="O116" s="105">
        <v>67</v>
      </c>
      <c r="P116" s="105">
        <v>66.3</v>
      </c>
      <c r="Q116" s="105">
        <v>64.5</v>
      </c>
      <c r="R116" s="105">
        <v>64.5</v>
      </c>
      <c r="S116" s="105">
        <v>64</v>
      </c>
      <c r="T116" s="105">
        <v>63.5</v>
      </c>
      <c r="U116" s="105">
        <v>64</v>
      </c>
      <c r="V116" s="105">
        <v>65.2</v>
      </c>
      <c r="W116" s="105">
        <v>65.400000000000006</v>
      </c>
      <c r="X116" s="105">
        <v>65.8</v>
      </c>
      <c r="Y116" s="105">
        <v>65.3</v>
      </c>
      <c r="Z116" s="105">
        <v>65.599999999999994</v>
      </c>
      <c r="AA116" s="105">
        <v>65.3</v>
      </c>
      <c r="AB116" s="105">
        <v>65.3</v>
      </c>
      <c r="AC116" s="105">
        <v>65.3</v>
      </c>
      <c r="AD116" s="105">
        <v>65.3</v>
      </c>
      <c r="AE116" s="105">
        <v>65.3</v>
      </c>
      <c r="AF116" s="105">
        <v>66.3</v>
      </c>
      <c r="AG116" s="121"/>
      <c r="AH116" s="48">
        <f t="shared" si="34"/>
        <v>67</v>
      </c>
      <c r="AI116" s="49">
        <f t="shared" si="35"/>
        <v>63.5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4"/>
        <v>0</v>
      </c>
      <c r="AI117" s="49">
        <f t="shared" si="35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150.54</v>
      </c>
      <c r="C118" s="124">
        <f t="shared" ref="C118:M118" si="47">SUM(C22,C28,C31:C32,C66,C68:C69,C71,C73,C119:C123,C155,C161,C167,C176,C178,C190,C197,C200:C201,C208,C210,C212,C216:C218,C220:C222,C227,C233:C234,C236:C238,C246,C251)</f>
        <v>125.54000000000003</v>
      </c>
      <c r="D118" s="124">
        <f t="shared" si="47"/>
        <v>119.94000000000001</v>
      </c>
      <c r="E118" s="124">
        <f t="shared" si="47"/>
        <v>117.23999999999998</v>
      </c>
      <c r="F118" s="124">
        <f t="shared" si="47"/>
        <v>119.83999999999997</v>
      </c>
      <c r="G118" s="124">
        <f t="shared" si="47"/>
        <v>157.04</v>
      </c>
      <c r="H118" s="124">
        <f t="shared" si="47"/>
        <v>180.34</v>
      </c>
      <c r="I118" s="124">
        <f t="shared" si="47"/>
        <v>236.64</v>
      </c>
      <c r="J118" s="124">
        <f t="shared" si="47"/>
        <v>249.54000000000002</v>
      </c>
      <c r="K118" s="124">
        <f t="shared" si="47"/>
        <v>292.44</v>
      </c>
      <c r="L118" s="124">
        <f t="shared" si="47"/>
        <v>303.14000000000004</v>
      </c>
      <c r="M118" s="124">
        <f t="shared" si="47"/>
        <v>306.54000000000002</v>
      </c>
      <c r="N118" s="124">
        <f>SUM(N22,N28,N31:N32,N66,N68:N69,N71,N73,N119:N123,N155,N161,N167,N176,N178,N190,N197,N200:N201,N208,N210,N212,N216:N218,N220:N222,N227,N233:N234,N236:N238,N246,N251)</f>
        <v>320.14</v>
      </c>
      <c r="O118" s="124">
        <f>SUM(O22,O28,O31:O32,O66,O68:O69,O71,O73,O119:O123,O155,O161,O167,O176,O178,O190,O197,O200:O201,O208,O210,O212,O216:O218,O220:O222,O227,O233:O234,O236:O238,O246,O251)</f>
        <v>314.14</v>
      </c>
      <c r="P118" s="124">
        <f>SUM(P22,P28,P31:P32,P66,P68:P69,P71,P73,P119:P123,P155,P161,P167,P176,P178,P190,P197,P200:P201,P208,P210,P212,P216:P218,P220:P222,P227,P233:P234,P236:P238,P246,P251)</f>
        <v>319.14</v>
      </c>
      <c r="Q118" s="124">
        <f>SUM(Q22,Q28,Q31:Q32,Q66,Q68:Q69,Q71,Q73,Q119:Q123,Q155,Q161,Q167,Q176,Q178,Q190,Q197,Q200:Q201,Q208,Q210,Q212,Q216:Q218,Q220:Q222,Q227,Q233:Q234,Q236:Q238,Q246,Q251)</f>
        <v>310.14</v>
      </c>
      <c r="R118" s="124">
        <f>SUM(R22,R28,R31:R32,R66,R68:R69,R71,R73,R119:R123,R155,R161,R167,R176,R178,R190,R197,R200:R201,R208,R210,R212,R216:R218,R220:R222,R227,R233:R234,R236:R238,R246,R251)</f>
        <v>326.83999999999997</v>
      </c>
      <c r="S118" s="124">
        <f t="shared" ref="S118:X118" si="48">SUM(S22,S28,S31:S32,S66,S68:S69,S71,S73,S119:S123,S155,S161,S167,S176,S178,S190,S197,S200:S201,S208,S210,S212,S216:S218,S220:S222,S227,S233:S234,S236:S238,S246,S251)</f>
        <v>301.24</v>
      </c>
      <c r="T118" s="124">
        <f t="shared" si="48"/>
        <v>274.34000000000003</v>
      </c>
      <c r="U118" s="124">
        <f t="shared" si="48"/>
        <v>275.04000000000002</v>
      </c>
      <c r="V118" s="124">
        <f t="shared" si="48"/>
        <v>279.34000000000003</v>
      </c>
      <c r="W118" s="124">
        <f t="shared" si="48"/>
        <v>272.94</v>
      </c>
      <c r="X118" s="124">
        <f t="shared" si="48"/>
        <v>269.33999999999997</v>
      </c>
      <c r="Y118" s="124">
        <f>SUM(Y20,Y26,Y37:Y38,Y66,Y68:Y69,Y71,Y73,Y119:Y123,Y148,Y154,Y160,Y169,Y171,Y183,Y190,Y193:Y194,Y201,Y203,Y205,Y209:Y211,Y213:Y215,Y220,Y226:Y227,Y229:Y231,Y239,Y244)</f>
        <v>278.7</v>
      </c>
      <c r="Z118" s="124">
        <f>SUM(Z20,Z26,Z37:Z38,Z66,Z68:Z69,Z71,Z73,Z119:Z123,Z148,Z154,Z160,Z169,Z171,Z183,Z190,Z193:Z194,Z201,Z203,Z205,Z209:Z211,Z213:Z215,Z220,Z226:Z227,Z229:Z231,Z239,Z244)</f>
        <v>312</v>
      </c>
      <c r="AA118" s="124">
        <f t="shared" ref="AA118:AF118" si="49">SUM(AA22,AA28,AA31:AA32,AA66,AA68:AA69,AA71,AA73,AA119:AA123,AA155,AA161,AA167,AA176,AA178,AA190,AA197,AA200:AA201,AA208,AA210,AA212,AA216:AA218,AA220:AA222,AA227,AA233:AA234,AA236:AA238,AA246,AA251)</f>
        <v>308.44</v>
      </c>
      <c r="AB118" s="124">
        <f t="shared" si="49"/>
        <v>308.44</v>
      </c>
      <c r="AC118" s="124">
        <f t="shared" si="49"/>
        <v>276.24</v>
      </c>
      <c r="AD118" s="124">
        <f t="shared" si="49"/>
        <v>224.24</v>
      </c>
      <c r="AE118" s="124">
        <f t="shared" si="49"/>
        <v>224.24</v>
      </c>
      <c r="AF118" s="124">
        <f t="shared" si="49"/>
        <v>143.24</v>
      </c>
      <c r="AG118" s="125"/>
      <c r="AH118" s="48">
        <f t="shared" si="34"/>
        <v>326.83999999999997</v>
      </c>
      <c r="AI118" s="49">
        <f t="shared" si="35"/>
        <v>117.23999999999998</v>
      </c>
    </row>
    <row r="119" spans="1:35" x14ac:dyDescent="0.25">
      <c r="A119" s="126" t="s">
        <v>142</v>
      </c>
      <c r="B119" s="127">
        <v>36.6</v>
      </c>
      <c r="C119" s="127">
        <v>25.3</v>
      </c>
      <c r="D119" s="127">
        <v>20.399999999999999</v>
      </c>
      <c r="E119" s="127">
        <v>24.1</v>
      </c>
      <c r="F119" s="127">
        <v>20.9</v>
      </c>
      <c r="G119" s="127">
        <v>20.399999999999999</v>
      </c>
      <c r="H119" s="127">
        <v>15.3</v>
      </c>
      <c r="I119" s="127">
        <v>32.299999999999997</v>
      </c>
      <c r="J119" s="127">
        <v>21.8</v>
      </c>
      <c r="K119" s="127">
        <v>19.600000000000001</v>
      </c>
      <c r="L119" s="127">
        <v>24.8</v>
      </c>
      <c r="M119" s="127">
        <v>21.9</v>
      </c>
      <c r="N119" s="127">
        <v>24</v>
      </c>
      <c r="O119" s="127">
        <v>26</v>
      </c>
      <c r="P119" s="127">
        <v>23</v>
      </c>
      <c r="Q119" s="127">
        <v>22</v>
      </c>
      <c r="R119" s="127">
        <v>31.6</v>
      </c>
      <c r="S119" s="127">
        <v>14.1</v>
      </c>
      <c r="T119" s="127">
        <v>2.8</v>
      </c>
      <c r="U119" s="127">
        <v>4.0999999999999996</v>
      </c>
      <c r="V119" s="127">
        <v>5.7</v>
      </c>
      <c r="W119" s="127">
        <v>5.5</v>
      </c>
      <c r="X119" s="127">
        <v>10.5</v>
      </c>
      <c r="Y119" s="127">
        <v>33.6</v>
      </c>
      <c r="Z119" s="127">
        <v>42</v>
      </c>
      <c r="AA119" s="127">
        <v>40.6</v>
      </c>
      <c r="AB119" s="127">
        <v>40.6</v>
      </c>
      <c r="AC119" s="127">
        <v>37</v>
      </c>
      <c r="AD119" s="127">
        <v>34</v>
      </c>
      <c r="AE119" s="127">
        <v>34</v>
      </c>
      <c r="AF119" s="127">
        <v>25</v>
      </c>
      <c r="AG119" s="128">
        <v>75</v>
      </c>
      <c r="AH119" s="48">
        <f t="shared" si="34"/>
        <v>42</v>
      </c>
      <c r="AI119" s="49">
        <f t="shared" si="35"/>
        <v>2.8</v>
      </c>
    </row>
    <row r="120" spans="1:35" x14ac:dyDescent="0.25">
      <c r="A120" s="129" t="s">
        <v>143</v>
      </c>
      <c r="B120" s="130">
        <v>56.6</v>
      </c>
      <c r="C120" s="130">
        <v>40.799999999999997</v>
      </c>
      <c r="D120" s="130">
        <v>34.700000000000003</v>
      </c>
      <c r="E120" s="130">
        <v>39.4</v>
      </c>
      <c r="F120" s="130">
        <v>34.9</v>
      </c>
      <c r="G120" s="130">
        <v>33.5</v>
      </c>
      <c r="H120" s="130">
        <v>25.2</v>
      </c>
      <c r="I120" s="130">
        <v>40.1</v>
      </c>
      <c r="J120" s="130">
        <v>25.3</v>
      </c>
      <c r="K120" s="130">
        <v>24.7</v>
      </c>
      <c r="L120" s="130">
        <v>30.6</v>
      </c>
      <c r="M120" s="130">
        <v>25.6</v>
      </c>
      <c r="N120" s="130">
        <v>27</v>
      </c>
      <c r="O120" s="130">
        <v>25</v>
      </c>
      <c r="P120" s="130">
        <v>28</v>
      </c>
      <c r="Q120" s="130">
        <v>22</v>
      </c>
      <c r="R120" s="130">
        <v>41.9</v>
      </c>
      <c r="S120" s="130">
        <v>14.6</v>
      </c>
      <c r="T120" s="130">
        <v>-2.6</v>
      </c>
      <c r="U120" s="130">
        <v>0.3</v>
      </c>
      <c r="V120" s="130">
        <v>5.2</v>
      </c>
      <c r="W120" s="130">
        <v>3.3</v>
      </c>
      <c r="X120" s="130">
        <v>13</v>
      </c>
      <c r="Y120" s="130">
        <v>49.2</v>
      </c>
      <c r="Z120" s="130">
        <v>60.1</v>
      </c>
      <c r="AA120" s="130">
        <v>57.4</v>
      </c>
      <c r="AB120" s="130">
        <v>57.4</v>
      </c>
      <c r="AC120" s="130">
        <v>54</v>
      </c>
      <c r="AD120" s="130">
        <v>52</v>
      </c>
      <c r="AE120" s="130">
        <v>52</v>
      </c>
      <c r="AF120" s="130">
        <v>42</v>
      </c>
      <c r="AG120" s="128">
        <v>240</v>
      </c>
      <c r="AH120" s="48">
        <f t="shared" si="34"/>
        <v>60.1</v>
      </c>
      <c r="AI120" s="49">
        <f t="shared" si="35"/>
        <v>-2.6</v>
      </c>
    </row>
    <row r="121" spans="1:35" x14ac:dyDescent="0.25">
      <c r="A121" s="129" t="s">
        <v>144</v>
      </c>
      <c r="B121" s="130">
        <f>-28.6-39.3</f>
        <v>-67.900000000000006</v>
      </c>
      <c r="C121" s="130">
        <f>-28.8-39.4</f>
        <v>-68.2</v>
      </c>
      <c r="D121" s="130">
        <f>-27.4-38.2</f>
        <v>-65.599999999999994</v>
      </c>
      <c r="E121" s="130">
        <f>-28-39</f>
        <v>-67</v>
      </c>
      <c r="F121" s="130">
        <f>-26-37</f>
        <v>-63</v>
      </c>
      <c r="G121" s="130">
        <f>-18.8-29.1</f>
        <v>-47.900000000000006</v>
      </c>
      <c r="H121" s="130">
        <f>-13.6-23</f>
        <v>-36.6</v>
      </c>
      <c r="I121" s="130">
        <f>-6-12</f>
        <v>-18</v>
      </c>
      <c r="J121" s="130">
        <f>-4-4</f>
        <v>-8</v>
      </c>
      <c r="K121" s="130">
        <v>9.8000000000000007</v>
      </c>
      <c r="L121" s="130">
        <v>10.3</v>
      </c>
      <c r="M121" s="130">
        <v>10</v>
      </c>
      <c r="N121" s="130">
        <v>12</v>
      </c>
      <c r="O121" s="130">
        <v>11</v>
      </c>
      <c r="P121" s="130">
        <v>13</v>
      </c>
      <c r="Q121" s="130">
        <v>13</v>
      </c>
      <c r="R121" s="130">
        <v>14</v>
      </c>
      <c r="S121" s="130">
        <v>20.8</v>
      </c>
      <c r="T121" s="130">
        <v>-17</v>
      </c>
      <c r="U121" s="130">
        <v>-12</v>
      </c>
      <c r="V121" s="130">
        <v>-3.6</v>
      </c>
      <c r="W121" s="130">
        <v>-5</v>
      </c>
      <c r="X121" s="130">
        <v>-2</v>
      </c>
      <c r="Y121" s="130">
        <v>-45</v>
      </c>
      <c r="Z121" s="130">
        <v>-78</v>
      </c>
      <c r="AA121" s="130">
        <v>-73</v>
      </c>
      <c r="AB121" s="130">
        <v>-73</v>
      </c>
      <c r="AC121" s="130">
        <v>-55</v>
      </c>
      <c r="AD121" s="130">
        <v>-70</v>
      </c>
      <c r="AE121" s="130">
        <v>-70</v>
      </c>
      <c r="AF121" s="130">
        <v>-80</v>
      </c>
      <c r="AG121" s="128">
        <v>240</v>
      </c>
      <c r="AH121" s="48">
        <f t="shared" si="34"/>
        <v>20.8</v>
      </c>
      <c r="AI121" s="49">
        <f t="shared" si="35"/>
        <v>-80</v>
      </c>
    </row>
    <row r="122" spans="1:35" ht="15.75" thickBot="1" x14ac:dyDescent="0.3">
      <c r="A122" s="129" t="s">
        <v>145</v>
      </c>
      <c r="B122" s="130">
        <v>21.7</v>
      </c>
      <c r="C122" s="130">
        <v>22.1</v>
      </c>
      <c r="D122" s="130">
        <v>21.8</v>
      </c>
      <c r="E122" s="130">
        <v>21.5</v>
      </c>
      <c r="F122" s="130">
        <v>22.2</v>
      </c>
      <c r="G122" s="130">
        <v>27.4</v>
      </c>
      <c r="H122" s="130">
        <v>29.8</v>
      </c>
      <c r="I122" s="130">
        <v>25.5</v>
      </c>
      <c r="J122" s="130">
        <v>35</v>
      </c>
      <c r="K122" s="130">
        <v>33.299999999999997</v>
      </c>
      <c r="L122" s="130">
        <v>33.200000000000003</v>
      </c>
      <c r="M122" s="130">
        <v>30.9</v>
      </c>
      <c r="N122" s="130">
        <v>33</v>
      </c>
      <c r="O122" s="130">
        <v>32</v>
      </c>
      <c r="P122" s="130">
        <v>34</v>
      </c>
      <c r="Q122" s="130">
        <v>36</v>
      </c>
      <c r="R122" s="130">
        <v>27.5</v>
      </c>
      <c r="S122" s="130">
        <v>30.6</v>
      </c>
      <c r="T122" s="130">
        <v>31.5</v>
      </c>
      <c r="U122" s="130">
        <v>36.1</v>
      </c>
      <c r="V122" s="130">
        <v>34.700000000000003</v>
      </c>
      <c r="W122" s="130">
        <v>37.200000000000003</v>
      </c>
      <c r="X122" s="130">
        <v>32.4</v>
      </c>
      <c r="Y122" s="130">
        <v>39.1</v>
      </c>
      <c r="Z122" s="130">
        <v>42.3</v>
      </c>
      <c r="AA122" s="130">
        <v>42.8</v>
      </c>
      <c r="AB122" s="130">
        <v>42.8</v>
      </c>
      <c r="AC122" s="130">
        <v>35</v>
      </c>
      <c r="AD122" s="130">
        <v>30</v>
      </c>
      <c r="AE122" s="130">
        <v>30</v>
      </c>
      <c r="AF122" s="130">
        <v>23</v>
      </c>
      <c r="AG122" s="128">
        <v>60</v>
      </c>
      <c r="AH122" s="48">
        <f t="shared" si="34"/>
        <v>42.8</v>
      </c>
      <c r="AI122" s="49">
        <f t="shared" si="35"/>
        <v>21.5</v>
      </c>
    </row>
    <row r="123" spans="1:35" x14ac:dyDescent="0.25">
      <c r="A123" s="126" t="s">
        <v>146</v>
      </c>
      <c r="B123" s="131">
        <v>-13.2</v>
      </c>
      <c r="C123" s="131">
        <v>-11.2</v>
      </c>
      <c r="D123" s="131">
        <v>-7.5</v>
      </c>
      <c r="E123" s="131">
        <v>-16.899999999999999</v>
      </c>
      <c r="F123" s="131">
        <v>-14.9</v>
      </c>
      <c r="G123" s="131">
        <v>3.4</v>
      </c>
      <c r="H123" s="131">
        <v>26.4</v>
      </c>
      <c r="I123" s="131">
        <v>35.200000000000003</v>
      </c>
      <c r="J123" s="131">
        <v>52.4</v>
      </c>
      <c r="K123" s="131">
        <v>81.8</v>
      </c>
      <c r="L123" s="131">
        <v>79.099999999999994</v>
      </c>
      <c r="M123" s="131">
        <v>93</v>
      </c>
      <c r="N123" s="131">
        <v>99</v>
      </c>
      <c r="O123" s="131">
        <v>95</v>
      </c>
      <c r="P123" s="131">
        <v>96</v>
      </c>
      <c r="Q123" s="131">
        <v>92</v>
      </c>
      <c r="R123" s="131">
        <v>81.400000000000006</v>
      </c>
      <c r="S123" s="131">
        <v>117.7</v>
      </c>
      <c r="T123" s="131">
        <v>133.30000000000001</v>
      </c>
      <c r="U123" s="131">
        <v>130.80000000000001</v>
      </c>
      <c r="V123" s="131">
        <v>124.3</v>
      </c>
      <c r="W123" s="131">
        <v>120.8</v>
      </c>
      <c r="X123" s="131">
        <v>103.3</v>
      </c>
      <c r="Y123" s="131">
        <v>82.1</v>
      </c>
      <c r="Z123" s="131">
        <v>130.9</v>
      </c>
      <c r="AA123" s="131">
        <v>135.4</v>
      </c>
      <c r="AB123" s="131">
        <v>135.4</v>
      </c>
      <c r="AC123" s="131">
        <v>100</v>
      </c>
      <c r="AD123" s="131">
        <v>73</v>
      </c>
      <c r="AE123" s="131">
        <v>73</v>
      </c>
      <c r="AF123" s="131">
        <v>28</v>
      </c>
      <c r="AG123" s="132">
        <v>120</v>
      </c>
      <c r="AH123" s="48">
        <f t="shared" si="34"/>
        <v>135.4</v>
      </c>
      <c r="AI123" s="49">
        <f t="shared" si="35"/>
        <v>-16.899999999999999</v>
      </c>
    </row>
    <row r="124" spans="1:35" x14ac:dyDescent="0.25">
      <c r="A124" s="129" t="s">
        <v>147</v>
      </c>
      <c r="B124" s="131">
        <v>16.100000000000001</v>
      </c>
      <c r="C124" s="131">
        <v>16.600000000000001</v>
      </c>
      <c r="D124" s="131">
        <v>18.8</v>
      </c>
      <c r="E124" s="131">
        <v>14.3</v>
      </c>
      <c r="F124" s="131">
        <v>15.3</v>
      </c>
      <c r="G124" s="131">
        <v>25.4</v>
      </c>
      <c r="H124" s="131">
        <v>36</v>
      </c>
      <c r="I124" s="131">
        <v>40.9</v>
      </c>
      <c r="J124" s="131">
        <v>51.9</v>
      </c>
      <c r="K124" s="131">
        <v>65.5</v>
      </c>
      <c r="L124" s="131">
        <v>64.5</v>
      </c>
      <c r="M124" s="131">
        <v>71.5</v>
      </c>
      <c r="N124" s="131">
        <v>67</v>
      </c>
      <c r="O124" s="131">
        <v>66</v>
      </c>
      <c r="P124" s="131">
        <v>65</v>
      </c>
      <c r="Q124" s="131">
        <v>63</v>
      </c>
      <c r="R124" s="131">
        <v>62.9</v>
      </c>
      <c r="S124" s="131">
        <v>80.2</v>
      </c>
      <c r="T124" s="131">
        <v>87</v>
      </c>
      <c r="U124" s="131">
        <v>88</v>
      </c>
      <c r="V124" s="131">
        <v>88.7</v>
      </c>
      <c r="W124" s="131">
        <v>87</v>
      </c>
      <c r="X124" s="131">
        <v>78.099999999999994</v>
      </c>
      <c r="Y124" s="131">
        <v>72</v>
      </c>
      <c r="Z124" s="131">
        <v>90.3</v>
      </c>
      <c r="AA124" s="131">
        <v>92.5</v>
      </c>
      <c r="AB124" s="131">
        <v>92.5</v>
      </c>
      <c r="AC124" s="131">
        <v>75</v>
      </c>
      <c r="AD124" s="131">
        <v>62</v>
      </c>
      <c r="AE124" s="131">
        <v>62</v>
      </c>
      <c r="AF124" s="131">
        <v>40</v>
      </c>
      <c r="AG124" s="132"/>
      <c r="AH124" s="48">
        <f t="shared" si="34"/>
        <v>92.5</v>
      </c>
      <c r="AI124" s="49">
        <f t="shared" si="35"/>
        <v>14.3</v>
      </c>
    </row>
    <row r="125" spans="1:35" x14ac:dyDescent="0.25">
      <c r="A125" s="129" t="s">
        <v>148</v>
      </c>
      <c r="B125" s="131">
        <v>-45.4</v>
      </c>
      <c r="C125" s="131">
        <v>-33.9</v>
      </c>
      <c r="D125" s="131">
        <v>-25.3</v>
      </c>
      <c r="E125" s="131">
        <v>-31.4</v>
      </c>
      <c r="F125" s="131">
        <v>-31.7</v>
      </c>
      <c r="G125" s="131">
        <v>-34.700000000000003</v>
      </c>
      <c r="H125" s="131">
        <v>-27</v>
      </c>
      <c r="I125" s="131">
        <v>-47.8</v>
      </c>
      <c r="J125" s="131">
        <v>-42.1</v>
      </c>
      <c r="K125" s="131">
        <v>-35.299999999999997</v>
      </c>
      <c r="L125" s="131">
        <v>-43.1</v>
      </c>
      <c r="M125" s="131">
        <v>-35</v>
      </c>
      <c r="N125" s="131">
        <v>-35</v>
      </c>
      <c r="O125" s="131">
        <v>-35</v>
      </c>
      <c r="P125" s="131">
        <v>-35</v>
      </c>
      <c r="Q125" s="131">
        <v>-35</v>
      </c>
      <c r="R125" s="131">
        <v>-29</v>
      </c>
      <c r="S125" s="131">
        <v>9.1999999999999993</v>
      </c>
      <c r="T125" s="131">
        <v>15.9</v>
      </c>
      <c r="U125" s="131">
        <v>6.4</v>
      </c>
      <c r="V125" s="131">
        <v>6.3</v>
      </c>
      <c r="W125" s="131">
        <v>-4.9000000000000004</v>
      </c>
      <c r="X125" s="131">
        <v>-17.8</v>
      </c>
      <c r="Y125" s="131">
        <v>62.5</v>
      </c>
      <c r="Z125" s="131">
        <v>-20.100000000000001</v>
      </c>
      <c r="AA125" s="131">
        <v>-20.7</v>
      </c>
      <c r="AB125" s="131">
        <v>-20.7</v>
      </c>
      <c r="AC125" s="131">
        <v>-13</v>
      </c>
      <c r="AD125" s="131">
        <v>-10</v>
      </c>
      <c r="AE125" s="131">
        <v>-10</v>
      </c>
      <c r="AF125" s="131">
        <v>-4</v>
      </c>
      <c r="AG125" s="132"/>
      <c r="AH125" s="48">
        <f t="shared" si="34"/>
        <v>62.5</v>
      </c>
      <c r="AI125" s="49">
        <f t="shared" si="35"/>
        <v>-47.8</v>
      </c>
    </row>
    <row r="126" spans="1:35" ht="15.75" thickBot="1" x14ac:dyDescent="0.3">
      <c r="A126" s="129" t="s">
        <v>149</v>
      </c>
      <c r="B126" s="131">
        <v>12.2</v>
      </c>
      <c r="C126" s="131">
        <v>13.5</v>
      </c>
      <c r="D126" s="131">
        <v>18.899999999999999</v>
      </c>
      <c r="E126" s="131">
        <v>11.8</v>
      </c>
      <c r="F126" s="131">
        <v>10.3</v>
      </c>
      <c r="G126" s="131">
        <v>19.8</v>
      </c>
      <c r="H126" s="131">
        <v>32.6</v>
      </c>
      <c r="I126" s="131">
        <v>30.4</v>
      </c>
      <c r="J126" s="131">
        <v>45.2</v>
      </c>
      <c r="K126" s="131">
        <v>66</v>
      </c>
      <c r="L126" s="131">
        <v>55</v>
      </c>
      <c r="M126" s="131">
        <v>70.8</v>
      </c>
      <c r="N126" s="131">
        <v>70.8</v>
      </c>
      <c r="O126" s="131">
        <v>85</v>
      </c>
      <c r="P126" s="131">
        <v>86</v>
      </c>
      <c r="Q126" s="131">
        <v>95</v>
      </c>
      <c r="R126" s="131">
        <v>71</v>
      </c>
      <c r="S126" s="131">
        <v>89.1</v>
      </c>
      <c r="T126" s="131">
        <v>100</v>
      </c>
      <c r="U126" s="131">
        <v>103.5</v>
      </c>
      <c r="V126" s="131">
        <v>92.6</v>
      </c>
      <c r="W126" s="131">
        <v>90.2</v>
      </c>
      <c r="X126" s="131">
        <v>76.7</v>
      </c>
      <c r="Y126" s="131">
        <v>47.4</v>
      </c>
      <c r="Z126" s="131">
        <v>24.7</v>
      </c>
      <c r="AA126" s="131">
        <v>36.1</v>
      </c>
      <c r="AB126" s="131">
        <v>36.1</v>
      </c>
      <c r="AC126" s="131">
        <v>18</v>
      </c>
      <c r="AD126" s="131">
        <v>20</v>
      </c>
      <c r="AE126" s="131">
        <v>20</v>
      </c>
      <c r="AF126" s="131">
        <v>20</v>
      </c>
      <c r="AG126" s="128"/>
      <c r="AH126" s="48">
        <f>MAX(B126:AF126)</f>
        <v>103.5</v>
      </c>
      <c r="AI126" s="49">
        <f>MIN(B126:AF126)</f>
        <v>10.3</v>
      </c>
    </row>
    <row r="127" spans="1:35" x14ac:dyDescent="0.25">
      <c r="A127" s="126" t="s">
        <v>150</v>
      </c>
      <c r="B127" s="131">
        <v>-93.8</v>
      </c>
      <c r="C127" s="131">
        <v>-83.4</v>
      </c>
      <c r="D127" s="131">
        <v>-72.400000000000006</v>
      </c>
      <c r="E127" s="131">
        <v>-77.400000000000006</v>
      </c>
      <c r="F127" s="131">
        <v>-75.599999999999994</v>
      </c>
      <c r="G127" s="131">
        <v>-65.5</v>
      </c>
      <c r="H127" s="131">
        <v>-65</v>
      </c>
      <c r="I127" s="131">
        <v>-10.8</v>
      </c>
      <c r="J127" s="131">
        <v>-1</v>
      </c>
      <c r="K127" s="131">
        <v>12.8</v>
      </c>
      <c r="L127" s="131">
        <v>11</v>
      </c>
      <c r="M127" s="131">
        <v>20</v>
      </c>
      <c r="N127" s="131">
        <v>22</v>
      </c>
      <c r="O127" s="131">
        <v>18</v>
      </c>
      <c r="P127" s="131">
        <v>16</v>
      </c>
      <c r="Q127" s="131">
        <v>19</v>
      </c>
      <c r="R127" s="131">
        <v>14.8</v>
      </c>
      <c r="S127" s="131">
        <v>32.799999999999997</v>
      </c>
      <c r="T127" s="131">
        <v>39.700000000000003</v>
      </c>
      <c r="U127" s="131">
        <v>35.200000000000003</v>
      </c>
      <c r="V127" s="131">
        <v>30.4</v>
      </c>
      <c r="W127" s="131">
        <v>28</v>
      </c>
      <c r="X127" s="131">
        <v>11.8</v>
      </c>
      <c r="Y127" s="131">
        <v>-118.3</v>
      </c>
      <c r="Z127" s="131">
        <v>-118.8</v>
      </c>
      <c r="AA127" s="131">
        <v>-123.8</v>
      </c>
      <c r="AB127" s="131">
        <v>-123.8</v>
      </c>
      <c r="AC127" s="131">
        <v>-143</v>
      </c>
      <c r="AD127" s="131">
        <v>-148</v>
      </c>
      <c r="AE127" s="131">
        <v>-148</v>
      </c>
      <c r="AF127" s="131">
        <v>-124</v>
      </c>
      <c r="AG127" s="128"/>
      <c r="AH127" s="48">
        <f>MAX(B127:AF127)</f>
        <v>39.700000000000003</v>
      </c>
      <c r="AI127" s="49">
        <f>MIN(B127:AF127)</f>
        <v>-148</v>
      </c>
    </row>
    <row r="128" spans="1:35" x14ac:dyDescent="0.25">
      <c r="A128" s="129" t="s">
        <v>151</v>
      </c>
      <c r="B128" s="119">
        <v>-31.9</v>
      </c>
      <c r="C128" s="119">
        <v>-29.3</v>
      </c>
      <c r="D128" s="119">
        <v>-21.7</v>
      </c>
      <c r="E128" s="119">
        <v>-17.600000000000001</v>
      </c>
      <c r="F128" s="119">
        <v>-14.2</v>
      </c>
      <c r="G128" s="119">
        <v>-11.9</v>
      </c>
      <c r="H128" s="119">
        <v>-18</v>
      </c>
      <c r="I128" s="119">
        <v>63.8</v>
      </c>
      <c r="J128" s="119">
        <v>-18</v>
      </c>
      <c r="K128" s="119">
        <v>-20.6</v>
      </c>
      <c r="L128" s="119">
        <v>-21</v>
      </c>
      <c r="M128" s="119">
        <v>-24</v>
      </c>
      <c r="N128" s="119">
        <v>-24</v>
      </c>
      <c r="O128" s="119">
        <v>-24</v>
      </c>
      <c r="P128" s="119">
        <v>-24</v>
      </c>
      <c r="Q128" s="119">
        <v>-24</v>
      </c>
      <c r="R128" s="119">
        <v>-28.7</v>
      </c>
      <c r="S128" s="119">
        <v>-29.8</v>
      </c>
      <c r="T128" s="119">
        <v>-29.6</v>
      </c>
      <c r="U128" s="119">
        <v>-35.6</v>
      </c>
      <c r="V128" s="119">
        <v>-39.299999999999997</v>
      </c>
      <c r="W128" s="119">
        <v>-42.9</v>
      </c>
      <c r="X128" s="119">
        <v>-38</v>
      </c>
      <c r="Y128" s="119">
        <v>-46.7</v>
      </c>
      <c r="Z128" s="119">
        <v>-59.1</v>
      </c>
      <c r="AA128" s="119">
        <v>-59.7</v>
      </c>
      <c r="AB128" s="119">
        <v>-59.7</v>
      </c>
      <c r="AC128" s="119">
        <v>-54</v>
      </c>
      <c r="AD128" s="119">
        <v>-49</v>
      </c>
      <c r="AE128" s="119">
        <v>-49</v>
      </c>
      <c r="AF128" s="119">
        <v>-16</v>
      </c>
      <c r="AG128" s="128"/>
      <c r="AH128" s="48">
        <f>MAX(B128:AF128)</f>
        <v>63.8</v>
      </c>
      <c r="AI128" s="49">
        <f>MIN(B128:AF128)</f>
        <v>-59.7</v>
      </c>
    </row>
    <row r="129" spans="1:37" x14ac:dyDescent="0.25">
      <c r="A129" s="129" t="s">
        <v>152</v>
      </c>
      <c r="B129" s="119">
        <v>82.7</v>
      </c>
      <c r="C129" s="119">
        <v>74.5</v>
      </c>
      <c r="D129" s="119">
        <v>66.099999999999994</v>
      </c>
      <c r="E129" s="119">
        <v>59.4</v>
      </c>
      <c r="F129" s="119">
        <v>55.6</v>
      </c>
      <c r="G129" s="119">
        <v>43.1</v>
      </c>
      <c r="H129" s="119">
        <v>39.200000000000003</v>
      </c>
      <c r="I129" s="119">
        <v>64.8</v>
      </c>
      <c r="J129" s="119">
        <v>44</v>
      </c>
      <c r="K129" s="119">
        <v>56.6</v>
      </c>
      <c r="L129" s="119">
        <v>58</v>
      </c>
      <c r="M129" s="119">
        <v>59</v>
      </c>
      <c r="N129" s="119">
        <v>61</v>
      </c>
      <c r="O129" s="119">
        <v>65</v>
      </c>
      <c r="P129" s="119">
        <v>66</v>
      </c>
      <c r="Q129" s="119">
        <v>62</v>
      </c>
      <c r="R129" s="119">
        <v>69.5</v>
      </c>
      <c r="S129" s="119">
        <v>79.599999999999994</v>
      </c>
      <c r="T129" s="119">
        <v>82.3</v>
      </c>
      <c r="U129" s="119">
        <v>66.900000000000006</v>
      </c>
      <c r="V129" s="119">
        <v>85</v>
      </c>
      <c r="W129" s="119">
        <v>69.099999999999994</v>
      </c>
      <c r="X129" s="119">
        <v>51.5</v>
      </c>
      <c r="Y129" s="119">
        <v>96.5</v>
      </c>
      <c r="Z129" s="119">
        <v>73.099999999999994</v>
      </c>
      <c r="AA129" s="119">
        <v>65.400000000000006</v>
      </c>
      <c r="AB129" s="119">
        <v>65.400000000000006</v>
      </c>
      <c r="AC129" s="119">
        <v>101</v>
      </c>
      <c r="AD129" s="119">
        <v>106</v>
      </c>
      <c r="AE129" s="119">
        <v>106</v>
      </c>
      <c r="AF129" s="119">
        <v>72</v>
      </c>
      <c r="AG129" s="128"/>
      <c r="AH129" s="48">
        <f>MAX(B129:AF129)</f>
        <v>106</v>
      </c>
      <c r="AI129" s="49">
        <f>MIN(B129:AF129)</f>
        <v>39.200000000000003</v>
      </c>
    </row>
    <row r="130" spans="1:37" ht="15.75" thickBot="1" x14ac:dyDescent="0.3">
      <c r="A130" s="129" t="s">
        <v>153</v>
      </c>
      <c r="B130" s="119">
        <v>94.7</v>
      </c>
      <c r="C130" s="119">
        <v>87.2</v>
      </c>
      <c r="D130" s="119">
        <v>78.7</v>
      </c>
      <c r="E130" s="119">
        <v>72</v>
      </c>
      <c r="F130" s="119">
        <v>67.400000000000006</v>
      </c>
      <c r="G130" s="119">
        <v>53.7</v>
      </c>
      <c r="H130" s="119">
        <v>53.5</v>
      </c>
      <c r="I130" s="119">
        <v>70.3</v>
      </c>
      <c r="J130" s="119">
        <v>56</v>
      </c>
      <c r="K130" s="119">
        <v>63.3</v>
      </c>
      <c r="L130" s="119">
        <v>68</v>
      </c>
      <c r="M130" s="119">
        <v>75</v>
      </c>
      <c r="N130" s="119">
        <v>77</v>
      </c>
      <c r="O130" s="119">
        <v>76</v>
      </c>
      <c r="P130" s="119">
        <v>75</v>
      </c>
      <c r="Q130" s="119">
        <v>78</v>
      </c>
      <c r="R130" s="119">
        <v>78.3</v>
      </c>
      <c r="S130" s="119">
        <v>87.7</v>
      </c>
      <c r="T130" s="119">
        <v>90.4</v>
      </c>
      <c r="U130" s="119">
        <v>82.3</v>
      </c>
      <c r="V130" s="119">
        <v>85.1</v>
      </c>
      <c r="W130" s="119">
        <v>77.8</v>
      </c>
      <c r="X130" s="119">
        <v>65</v>
      </c>
      <c r="Y130" s="119">
        <v>111.6</v>
      </c>
      <c r="Z130" s="119">
        <v>93.5</v>
      </c>
      <c r="AA130" s="119">
        <v>91.8</v>
      </c>
      <c r="AB130" s="119">
        <v>91.8</v>
      </c>
      <c r="AC130" s="119">
        <v>119</v>
      </c>
      <c r="AD130" s="119">
        <v>124</v>
      </c>
      <c r="AE130" s="119">
        <v>124</v>
      </c>
      <c r="AF130" s="119">
        <v>90</v>
      </c>
      <c r="AG130" s="128"/>
      <c r="AH130" s="48">
        <f>MAX(B130:AF130)</f>
        <v>124</v>
      </c>
      <c r="AI130" s="49">
        <f>MIN(B130:AF130)</f>
        <v>53.5</v>
      </c>
    </row>
    <row r="131" spans="1:37" x14ac:dyDescent="0.25">
      <c r="A131" s="133" t="s">
        <v>154</v>
      </c>
      <c r="B131" s="135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8">
        <v>1982.74</v>
      </c>
      <c r="C132" s="137">
        <v>1982.7</v>
      </c>
      <c r="D132" s="137">
        <v>1982.73</v>
      </c>
      <c r="E132" s="137">
        <v>1982.8</v>
      </c>
      <c r="F132" s="137">
        <v>1982.89</v>
      </c>
      <c r="G132" s="137">
        <v>1982.98</v>
      </c>
      <c r="H132" s="137"/>
      <c r="I132" s="137">
        <v>1982.98</v>
      </c>
      <c r="J132" s="137"/>
      <c r="K132" s="137">
        <v>1983.2</v>
      </c>
      <c r="L132" s="137"/>
      <c r="M132" s="137">
        <v>1983.55</v>
      </c>
      <c r="N132" s="137">
        <v>1983.55</v>
      </c>
      <c r="O132" s="137">
        <v>1984.2</v>
      </c>
      <c r="P132" s="137">
        <v>1984.5</v>
      </c>
      <c r="Q132" s="137">
        <v>1984.78</v>
      </c>
      <c r="R132" s="137">
        <v>1985.05</v>
      </c>
      <c r="S132" s="137">
        <v>1985.3</v>
      </c>
      <c r="T132" s="137">
        <v>1985.55</v>
      </c>
      <c r="U132" s="137">
        <v>1985.8</v>
      </c>
      <c r="V132" s="137">
        <v>1986.08</v>
      </c>
      <c r="W132" s="137"/>
      <c r="X132" s="137">
        <v>1986.3</v>
      </c>
      <c r="Y132" s="137"/>
      <c r="Z132" s="137">
        <v>1986.2</v>
      </c>
      <c r="AA132" s="137"/>
      <c r="AB132" s="137">
        <v>1985.65</v>
      </c>
      <c r="AC132" s="137"/>
      <c r="AD132" s="137">
        <v>1985</v>
      </c>
      <c r="AE132" s="137"/>
      <c r="AF132" s="138">
        <v>1984.16</v>
      </c>
      <c r="AG132" s="139"/>
      <c r="AH132" s="48"/>
      <c r="AI132" s="49"/>
    </row>
    <row r="133" spans="1:37" x14ac:dyDescent="0.25">
      <c r="A133" s="136" t="s">
        <v>156</v>
      </c>
      <c r="B133" s="141">
        <v>520.04</v>
      </c>
      <c r="C133" s="140">
        <v>519.94000000000005</v>
      </c>
      <c r="D133" s="140">
        <v>520</v>
      </c>
      <c r="E133" s="140">
        <v>520.1</v>
      </c>
      <c r="F133" s="140">
        <v>520.23</v>
      </c>
      <c r="G133" s="140">
        <v>520.4</v>
      </c>
      <c r="H133" s="140"/>
      <c r="I133" s="140">
        <v>520.59</v>
      </c>
      <c r="J133" s="140"/>
      <c r="K133" s="140">
        <v>520.74</v>
      </c>
      <c r="L133" s="140"/>
      <c r="M133" s="140">
        <v>520.79</v>
      </c>
      <c r="N133" s="140">
        <v>520.79</v>
      </c>
      <c r="O133" s="140">
        <v>521.1</v>
      </c>
      <c r="P133" s="140">
        <v>521.20000000000005</v>
      </c>
      <c r="Q133" s="140">
        <v>521.16999999999996</v>
      </c>
      <c r="R133" s="140">
        <v>521.29999999999995</v>
      </c>
      <c r="S133" s="140">
        <v>521.38</v>
      </c>
      <c r="T133" s="140">
        <v>521.42999999999995</v>
      </c>
      <c r="U133" s="140">
        <v>521.42999999999995</v>
      </c>
      <c r="V133" s="140">
        <v>521.46</v>
      </c>
      <c r="W133" s="140"/>
      <c r="X133" s="140">
        <v>521.75</v>
      </c>
      <c r="Y133" s="140"/>
      <c r="Z133" s="140">
        <v>521.82000000000005</v>
      </c>
      <c r="AA133" s="140"/>
      <c r="AB133" s="140">
        <v>521.71</v>
      </c>
      <c r="AC133" s="140"/>
      <c r="AD133" s="140"/>
      <c r="AE133" s="140">
        <v>521.54</v>
      </c>
      <c r="AF133" s="141"/>
      <c r="AG133" s="139"/>
      <c r="AH133" s="48"/>
      <c r="AI133" s="49"/>
    </row>
    <row r="134" spans="1:37" x14ac:dyDescent="0.25">
      <c r="A134" s="136" t="s">
        <v>157</v>
      </c>
      <c r="B134" s="141">
        <v>622.34</v>
      </c>
      <c r="C134" s="140">
        <v>622.14</v>
      </c>
      <c r="D134" s="140">
        <v>622.45000000000005</v>
      </c>
      <c r="E134" s="140">
        <v>622.79</v>
      </c>
      <c r="F134" s="140">
        <v>623.25</v>
      </c>
      <c r="G134" s="140">
        <v>623.70000000000005</v>
      </c>
      <c r="H134" s="140"/>
      <c r="I134" s="140">
        <v>623.89</v>
      </c>
      <c r="J134" s="140"/>
      <c r="K134" s="140">
        <v>623.91</v>
      </c>
      <c r="L134" s="140"/>
      <c r="M134" s="140">
        <v>623.66999999999996</v>
      </c>
      <c r="N134" s="140">
        <v>623.66999999999996</v>
      </c>
      <c r="O134" s="140">
        <v>623.74</v>
      </c>
      <c r="P134" s="140">
        <v>623.80999999999995</v>
      </c>
      <c r="Q134" s="140">
        <v>623.65</v>
      </c>
      <c r="R134" s="140">
        <v>623.46</v>
      </c>
      <c r="S134" s="140">
        <v>623.21</v>
      </c>
      <c r="T134" s="140">
        <v>623.29</v>
      </c>
      <c r="U134" s="140">
        <v>623.54</v>
      </c>
      <c r="V134" s="140">
        <v>623.70000000000005</v>
      </c>
      <c r="W134" s="140"/>
      <c r="X134" s="140">
        <v>624.01</v>
      </c>
      <c r="Y134" s="140"/>
      <c r="Z134" s="140">
        <v>623.99</v>
      </c>
      <c r="AA134" s="140"/>
      <c r="AB134" s="140">
        <v>623.87</v>
      </c>
      <c r="AC134" s="140">
        <v>623.72</v>
      </c>
      <c r="AD134" s="140">
        <v>623.59</v>
      </c>
      <c r="AE134" s="140">
        <v>623.49</v>
      </c>
      <c r="AF134" s="141">
        <v>623.34</v>
      </c>
      <c r="AG134" s="139"/>
      <c r="AH134" s="48"/>
      <c r="AI134" s="49"/>
    </row>
    <row r="135" spans="1:37" x14ac:dyDescent="0.25">
      <c r="A135" s="136" t="s">
        <v>158</v>
      </c>
      <c r="B135" s="141">
        <v>336.23</v>
      </c>
      <c r="C135" s="140">
        <v>336.13</v>
      </c>
      <c r="D135" s="140">
        <v>336.06</v>
      </c>
      <c r="E135" s="140">
        <v>335.96</v>
      </c>
      <c r="F135" s="140">
        <v>335.84</v>
      </c>
      <c r="G135" s="140">
        <v>335.76</v>
      </c>
      <c r="H135" s="140"/>
      <c r="I135" s="140">
        <v>335.66</v>
      </c>
      <c r="J135" s="140"/>
      <c r="K135" s="140">
        <v>335.44</v>
      </c>
      <c r="L135" s="140"/>
      <c r="M135" s="140">
        <v>335.36</v>
      </c>
      <c r="N135" s="140">
        <v>335.36</v>
      </c>
      <c r="O135" s="140">
        <v>335.2</v>
      </c>
      <c r="P135" s="140">
        <v>335.18</v>
      </c>
      <c r="Q135" s="140">
        <v>335.31</v>
      </c>
      <c r="R135" s="140">
        <v>335.54</v>
      </c>
      <c r="S135" s="140">
        <v>335.71</v>
      </c>
      <c r="T135" s="140">
        <v>335.77</v>
      </c>
      <c r="U135" s="140">
        <v>335.82</v>
      </c>
      <c r="V135" s="140">
        <v>336.1</v>
      </c>
      <c r="W135" s="140"/>
      <c r="X135" s="140">
        <v>336.27</v>
      </c>
      <c r="Y135" s="140"/>
      <c r="Z135" s="140">
        <v>336.44</v>
      </c>
      <c r="AA135" s="140"/>
      <c r="AB135" s="140">
        <v>336.41</v>
      </c>
      <c r="AC135" s="140"/>
      <c r="AD135" s="140"/>
      <c r="AE135" s="140">
        <v>335.96</v>
      </c>
      <c r="AF135" s="141"/>
      <c r="AG135" s="139"/>
      <c r="AH135" s="48"/>
      <c r="AI135" s="49"/>
    </row>
    <row r="136" spans="1:37" x14ac:dyDescent="0.25">
      <c r="A136" s="136" t="s">
        <v>159</v>
      </c>
      <c r="B136" s="141">
        <v>882.1</v>
      </c>
      <c r="C136" s="140"/>
      <c r="D136" s="140">
        <v>882.9</v>
      </c>
      <c r="E136" s="140">
        <v>883.3</v>
      </c>
      <c r="F136" s="140">
        <v>884.5</v>
      </c>
      <c r="G136" s="140">
        <v>884.7</v>
      </c>
      <c r="H136" s="140"/>
      <c r="I136" s="140">
        <v>885.2</v>
      </c>
      <c r="J136" s="140"/>
      <c r="K136" s="140">
        <v>885.4</v>
      </c>
      <c r="L136" s="140"/>
      <c r="M136" s="140">
        <v>885.5</v>
      </c>
      <c r="N136" s="140">
        <v>885.5</v>
      </c>
      <c r="O136" s="140">
        <v>884.4</v>
      </c>
      <c r="P136" s="140">
        <v>884.6</v>
      </c>
      <c r="Q136" s="140">
        <v>883.9</v>
      </c>
      <c r="R136" s="140">
        <v>883.3</v>
      </c>
      <c r="S136" s="140">
        <v>882.9</v>
      </c>
      <c r="T136" s="140">
        <v>883.3</v>
      </c>
      <c r="U136" s="140">
        <v>883.9</v>
      </c>
      <c r="V136" s="140">
        <v>884.9</v>
      </c>
      <c r="W136" s="140"/>
      <c r="X136" s="140">
        <v>885.1</v>
      </c>
      <c r="Y136" s="140"/>
      <c r="Z136" s="140">
        <v>884.8</v>
      </c>
      <c r="AA136" s="140"/>
      <c r="AB136" s="140">
        <v>883.7</v>
      </c>
      <c r="AC136" s="140"/>
      <c r="AD136" s="140"/>
      <c r="AE136" s="140">
        <v>882.6</v>
      </c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3">
        <v>1498.44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>
        <v>1497.86</v>
      </c>
      <c r="T137" s="142"/>
      <c r="U137" s="142">
        <v>1497.77</v>
      </c>
      <c r="V137" s="142"/>
      <c r="W137" s="142"/>
      <c r="X137" s="142"/>
      <c r="Y137" s="142"/>
      <c r="Z137" s="142"/>
      <c r="AA137" s="142"/>
      <c r="AB137" s="142">
        <v>1497.63</v>
      </c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50">SUM(B139:B243)</f>
        <v>0</v>
      </c>
      <c r="C244" s="161">
        <f t="shared" si="50"/>
        <v>0</v>
      </c>
      <c r="D244" s="161">
        <f t="shared" si="50"/>
        <v>0</v>
      </c>
      <c r="E244" s="161">
        <f t="shared" si="50"/>
        <v>0</v>
      </c>
      <c r="F244" s="161">
        <f t="shared" si="50"/>
        <v>0</v>
      </c>
      <c r="G244" s="161">
        <f t="shared" si="50"/>
        <v>0</v>
      </c>
      <c r="H244" s="161">
        <f t="shared" si="50"/>
        <v>0</v>
      </c>
      <c r="I244" s="161">
        <f t="shared" si="50"/>
        <v>0</v>
      </c>
      <c r="J244" s="161">
        <f t="shared" si="50"/>
        <v>0</v>
      </c>
      <c r="K244" s="161">
        <f t="shared" si="50"/>
        <v>0</v>
      </c>
      <c r="L244" s="161">
        <f t="shared" si="50"/>
        <v>0</v>
      </c>
      <c r="M244" s="161">
        <f t="shared" si="50"/>
        <v>0</v>
      </c>
      <c r="N244" s="161">
        <f t="shared" si="50"/>
        <v>0</v>
      </c>
      <c r="O244" s="161">
        <f t="shared" si="50"/>
        <v>0</v>
      </c>
      <c r="P244" s="161">
        <f t="shared" si="50"/>
        <v>0</v>
      </c>
      <c r="Q244" s="161">
        <f t="shared" si="50"/>
        <v>0</v>
      </c>
      <c r="R244" s="161">
        <f t="shared" si="50"/>
        <v>0</v>
      </c>
      <c r="S244" s="161">
        <f t="shared" si="50"/>
        <v>0</v>
      </c>
      <c r="T244" s="161">
        <f t="shared" si="50"/>
        <v>0</v>
      </c>
      <c r="U244" s="161">
        <f t="shared" si="50"/>
        <v>0</v>
      </c>
      <c r="V244" s="161">
        <f t="shared" si="50"/>
        <v>0</v>
      </c>
      <c r="W244" s="161">
        <f t="shared" si="50"/>
        <v>0</v>
      </c>
      <c r="X244" s="161">
        <f t="shared" si="50"/>
        <v>0</v>
      </c>
      <c r="Y244" s="161">
        <f t="shared" si="50"/>
        <v>0</v>
      </c>
      <c r="Z244" s="161">
        <f t="shared" si="50"/>
        <v>0</v>
      </c>
      <c r="AA244" s="161">
        <f t="shared" si="50"/>
        <v>0</v>
      </c>
      <c r="AB244" s="161">
        <f t="shared" si="50"/>
        <v>0</v>
      </c>
      <c r="AC244" s="161">
        <f t="shared" si="50"/>
        <v>0</v>
      </c>
      <c r="AD244" s="161">
        <f t="shared" si="50"/>
        <v>0</v>
      </c>
      <c r="AE244" s="161">
        <f t="shared" si="50"/>
        <v>0</v>
      </c>
      <c r="AF244" s="162">
        <f t="shared" si="50"/>
        <v>0</v>
      </c>
      <c r="AG244" s="163">
        <f t="shared" si="50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51">AF246</f>
        <v>0.3</v>
      </c>
      <c r="C246" s="166">
        <v>0.3</v>
      </c>
      <c r="D246" s="166">
        <f t="shared" ref="D246:S251" si="52">C246</f>
        <v>0.3</v>
      </c>
      <c r="E246" s="166">
        <f t="shared" si="52"/>
        <v>0.3</v>
      </c>
      <c r="F246" s="166">
        <f t="shared" si="52"/>
        <v>0.3</v>
      </c>
      <c r="G246" s="166">
        <f t="shared" si="52"/>
        <v>0.3</v>
      </c>
      <c r="H246" s="166">
        <f t="shared" si="52"/>
        <v>0.3</v>
      </c>
      <c r="I246" s="166">
        <f t="shared" si="52"/>
        <v>0.3</v>
      </c>
      <c r="J246" s="166">
        <f t="shared" si="52"/>
        <v>0.3</v>
      </c>
      <c r="K246" s="166">
        <f t="shared" si="52"/>
        <v>0.3</v>
      </c>
      <c r="L246" s="166">
        <f t="shared" si="52"/>
        <v>0.3</v>
      </c>
      <c r="M246" s="166">
        <f t="shared" si="52"/>
        <v>0.3</v>
      </c>
      <c r="N246" s="166">
        <f t="shared" si="52"/>
        <v>0.3</v>
      </c>
      <c r="O246" s="166">
        <f t="shared" si="52"/>
        <v>0.3</v>
      </c>
      <c r="P246" s="166">
        <f t="shared" si="52"/>
        <v>0.3</v>
      </c>
      <c r="Q246" s="166">
        <f t="shared" si="52"/>
        <v>0.3</v>
      </c>
      <c r="R246" s="166">
        <f t="shared" si="52"/>
        <v>0.3</v>
      </c>
      <c r="S246" s="166">
        <f t="shared" si="52"/>
        <v>0.3</v>
      </c>
      <c r="T246" s="166">
        <f t="shared" ref="T246:AF251" si="53">S246</f>
        <v>0.3</v>
      </c>
      <c r="U246" s="166">
        <f t="shared" si="53"/>
        <v>0.3</v>
      </c>
      <c r="V246" s="166">
        <f t="shared" si="53"/>
        <v>0.3</v>
      </c>
      <c r="W246" s="166">
        <f t="shared" si="53"/>
        <v>0.3</v>
      </c>
      <c r="X246" s="166">
        <f t="shared" si="53"/>
        <v>0.3</v>
      </c>
      <c r="Y246" s="166">
        <f t="shared" si="53"/>
        <v>0.3</v>
      </c>
      <c r="Z246" s="166">
        <f t="shared" si="53"/>
        <v>0.3</v>
      </c>
      <c r="AA246" s="166">
        <f t="shared" si="53"/>
        <v>0.3</v>
      </c>
      <c r="AB246" s="166">
        <f t="shared" si="53"/>
        <v>0.3</v>
      </c>
      <c r="AC246" s="166">
        <f t="shared" si="53"/>
        <v>0.3</v>
      </c>
      <c r="AD246" s="166">
        <f t="shared" si="53"/>
        <v>0.3</v>
      </c>
      <c r="AE246" s="166">
        <f t="shared" si="53"/>
        <v>0.3</v>
      </c>
      <c r="AF246" s="166">
        <f t="shared" si="53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51"/>
        <v>0.4</v>
      </c>
      <c r="C247" s="152">
        <v>0.4</v>
      </c>
      <c r="D247" s="152">
        <f t="shared" si="52"/>
        <v>0.4</v>
      </c>
      <c r="E247" s="152">
        <f t="shared" si="52"/>
        <v>0.4</v>
      </c>
      <c r="F247" s="152">
        <f t="shared" si="52"/>
        <v>0.4</v>
      </c>
      <c r="G247" s="152">
        <f t="shared" si="52"/>
        <v>0.4</v>
      </c>
      <c r="H247" s="152">
        <f t="shared" si="52"/>
        <v>0.4</v>
      </c>
      <c r="I247" s="152">
        <f t="shared" si="52"/>
        <v>0.4</v>
      </c>
      <c r="J247" s="152">
        <f t="shared" si="52"/>
        <v>0.4</v>
      </c>
      <c r="K247" s="152">
        <f t="shared" si="52"/>
        <v>0.4</v>
      </c>
      <c r="L247" s="152">
        <f t="shared" si="52"/>
        <v>0.4</v>
      </c>
      <c r="M247" s="152">
        <f t="shared" si="52"/>
        <v>0.4</v>
      </c>
      <c r="N247" s="152">
        <f t="shared" si="52"/>
        <v>0.4</v>
      </c>
      <c r="O247" s="152">
        <f t="shared" si="52"/>
        <v>0.4</v>
      </c>
      <c r="P247" s="152">
        <f t="shared" si="52"/>
        <v>0.4</v>
      </c>
      <c r="Q247" s="152">
        <f t="shared" si="52"/>
        <v>0.4</v>
      </c>
      <c r="R247" s="152">
        <f t="shared" si="52"/>
        <v>0.4</v>
      </c>
      <c r="S247" s="152">
        <f t="shared" si="52"/>
        <v>0.4</v>
      </c>
      <c r="T247" s="152">
        <f t="shared" si="53"/>
        <v>0.4</v>
      </c>
      <c r="U247" s="152">
        <f t="shared" si="53"/>
        <v>0.4</v>
      </c>
      <c r="V247" s="152">
        <f t="shared" si="53"/>
        <v>0.4</v>
      </c>
      <c r="W247" s="152">
        <f t="shared" si="53"/>
        <v>0.4</v>
      </c>
      <c r="X247" s="152">
        <f t="shared" si="53"/>
        <v>0.4</v>
      </c>
      <c r="Y247" s="152">
        <f t="shared" si="53"/>
        <v>0.4</v>
      </c>
      <c r="Z247" s="152">
        <f t="shared" si="53"/>
        <v>0.4</v>
      </c>
      <c r="AA247" s="152">
        <f t="shared" si="53"/>
        <v>0.4</v>
      </c>
      <c r="AB247" s="152">
        <f t="shared" si="53"/>
        <v>0.4</v>
      </c>
      <c r="AC247" s="152">
        <f t="shared" si="53"/>
        <v>0.4</v>
      </c>
      <c r="AD247" s="152">
        <f t="shared" si="53"/>
        <v>0.4</v>
      </c>
      <c r="AE247" s="152">
        <f t="shared" si="53"/>
        <v>0.4</v>
      </c>
      <c r="AF247" s="152">
        <f t="shared" si="53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51"/>
        <v>1.5</v>
      </c>
      <c r="C248" s="152">
        <v>1.5</v>
      </c>
      <c r="D248" s="152">
        <f t="shared" si="52"/>
        <v>1.5</v>
      </c>
      <c r="E248" s="152">
        <f t="shared" si="52"/>
        <v>1.5</v>
      </c>
      <c r="F248" s="152">
        <f t="shared" si="52"/>
        <v>1.5</v>
      </c>
      <c r="G248" s="152">
        <f t="shared" si="52"/>
        <v>1.5</v>
      </c>
      <c r="H248" s="152">
        <f t="shared" si="52"/>
        <v>1.5</v>
      </c>
      <c r="I248" s="152">
        <f t="shared" si="52"/>
        <v>1.5</v>
      </c>
      <c r="J248" s="152">
        <f t="shared" si="52"/>
        <v>1.5</v>
      </c>
      <c r="K248" s="152">
        <f t="shared" si="52"/>
        <v>1.5</v>
      </c>
      <c r="L248" s="152">
        <f t="shared" si="52"/>
        <v>1.5</v>
      </c>
      <c r="M248" s="152">
        <f t="shared" si="52"/>
        <v>1.5</v>
      </c>
      <c r="N248" s="152">
        <f t="shared" si="52"/>
        <v>1.5</v>
      </c>
      <c r="O248" s="152">
        <f t="shared" si="52"/>
        <v>1.5</v>
      </c>
      <c r="P248" s="152">
        <f t="shared" si="52"/>
        <v>1.5</v>
      </c>
      <c r="Q248" s="152">
        <f t="shared" si="52"/>
        <v>1.5</v>
      </c>
      <c r="R248" s="152">
        <f t="shared" si="52"/>
        <v>1.5</v>
      </c>
      <c r="S248" s="152">
        <f t="shared" si="52"/>
        <v>1.5</v>
      </c>
      <c r="T248" s="152">
        <f t="shared" si="53"/>
        <v>1.5</v>
      </c>
      <c r="U248" s="152">
        <f t="shared" si="53"/>
        <v>1.5</v>
      </c>
      <c r="V248" s="152">
        <f t="shared" si="53"/>
        <v>1.5</v>
      </c>
      <c r="W248" s="152">
        <f t="shared" si="53"/>
        <v>1.5</v>
      </c>
      <c r="X248" s="152">
        <f t="shared" si="53"/>
        <v>1.5</v>
      </c>
      <c r="Y248" s="152">
        <f t="shared" si="53"/>
        <v>1.5</v>
      </c>
      <c r="Z248" s="152">
        <f t="shared" si="53"/>
        <v>1.5</v>
      </c>
      <c r="AA248" s="152">
        <f t="shared" si="53"/>
        <v>1.5</v>
      </c>
      <c r="AB248" s="152">
        <f t="shared" si="53"/>
        <v>1.5</v>
      </c>
      <c r="AC248" s="152">
        <f t="shared" si="53"/>
        <v>1.5</v>
      </c>
      <c r="AD248" s="152">
        <f t="shared" si="53"/>
        <v>1.5</v>
      </c>
      <c r="AE248" s="152">
        <f t="shared" si="53"/>
        <v>1.5</v>
      </c>
      <c r="AF248" s="152">
        <f t="shared" si="53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51"/>
        <v>0.3</v>
      </c>
      <c r="C249" s="152">
        <v>0.3</v>
      </c>
      <c r="D249" s="152">
        <f t="shared" si="52"/>
        <v>0.3</v>
      </c>
      <c r="E249" s="152">
        <f t="shared" si="52"/>
        <v>0.3</v>
      </c>
      <c r="F249" s="152">
        <f t="shared" si="52"/>
        <v>0.3</v>
      </c>
      <c r="G249" s="152">
        <f t="shared" si="52"/>
        <v>0.3</v>
      </c>
      <c r="H249" s="152">
        <f t="shared" si="52"/>
        <v>0.3</v>
      </c>
      <c r="I249" s="152">
        <f t="shared" si="52"/>
        <v>0.3</v>
      </c>
      <c r="J249" s="152">
        <f t="shared" si="52"/>
        <v>0.3</v>
      </c>
      <c r="K249" s="152">
        <f t="shared" si="52"/>
        <v>0.3</v>
      </c>
      <c r="L249" s="152">
        <f t="shared" si="52"/>
        <v>0.3</v>
      </c>
      <c r="M249" s="152">
        <f t="shared" si="52"/>
        <v>0.3</v>
      </c>
      <c r="N249" s="152">
        <f t="shared" si="52"/>
        <v>0.3</v>
      </c>
      <c r="O249" s="152">
        <f t="shared" si="52"/>
        <v>0.3</v>
      </c>
      <c r="P249" s="152">
        <f t="shared" si="52"/>
        <v>0.3</v>
      </c>
      <c r="Q249" s="152">
        <f t="shared" si="52"/>
        <v>0.3</v>
      </c>
      <c r="R249" s="152">
        <f t="shared" si="52"/>
        <v>0.3</v>
      </c>
      <c r="S249" s="152">
        <f t="shared" si="52"/>
        <v>0.3</v>
      </c>
      <c r="T249" s="152">
        <f t="shared" si="53"/>
        <v>0.3</v>
      </c>
      <c r="U249" s="152">
        <f t="shared" si="53"/>
        <v>0.3</v>
      </c>
      <c r="V249" s="152">
        <f t="shared" si="53"/>
        <v>0.3</v>
      </c>
      <c r="W249" s="152">
        <f t="shared" si="53"/>
        <v>0.3</v>
      </c>
      <c r="X249" s="152">
        <f t="shared" si="53"/>
        <v>0.3</v>
      </c>
      <c r="Y249" s="152">
        <f t="shared" si="53"/>
        <v>0.3</v>
      </c>
      <c r="Z249" s="152">
        <f t="shared" si="53"/>
        <v>0.3</v>
      </c>
      <c r="AA249" s="152">
        <f t="shared" si="53"/>
        <v>0.3</v>
      </c>
      <c r="AB249" s="152">
        <f t="shared" si="53"/>
        <v>0.3</v>
      </c>
      <c r="AC249" s="152">
        <f t="shared" si="53"/>
        <v>0.3</v>
      </c>
      <c r="AD249" s="152">
        <f t="shared" si="53"/>
        <v>0.3</v>
      </c>
      <c r="AE249" s="152">
        <f t="shared" si="53"/>
        <v>0.3</v>
      </c>
      <c r="AF249" s="152">
        <f t="shared" si="53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51"/>
        <v>0.4</v>
      </c>
      <c r="C250" s="152">
        <v>0.4</v>
      </c>
      <c r="D250" s="152">
        <f t="shared" si="52"/>
        <v>0.4</v>
      </c>
      <c r="E250" s="152">
        <f t="shared" si="52"/>
        <v>0.4</v>
      </c>
      <c r="F250" s="152">
        <f t="shared" si="52"/>
        <v>0.4</v>
      </c>
      <c r="G250" s="152">
        <f t="shared" si="52"/>
        <v>0.4</v>
      </c>
      <c r="H250" s="152">
        <f t="shared" si="52"/>
        <v>0.4</v>
      </c>
      <c r="I250" s="152">
        <f t="shared" si="52"/>
        <v>0.4</v>
      </c>
      <c r="J250" s="152">
        <f t="shared" si="52"/>
        <v>0.4</v>
      </c>
      <c r="K250" s="152">
        <f t="shared" si="52"/>
        <v>0.4</v>
      </c>
      <c r="L250" s="152">
        <f t="shared" si="52"/>
        <v>0.4</v>
      </c>
      <c r="M250" s="152">
        <f t="shared" si="52"/>
        <v>0.4</v>
      </c>
      <c r="N250" s="152">
        <f t="shared" si="52"/>
        <v>0.4</v>
      </c>
      <c r="O250" s="152">
        <f t="shared" si="52"/>
        <v>0.4</v>
      </c>
      <c r="P250" s="152">
        <f t="shared" si="52"/>
        <v>0.4</v>
      </c>
      <c r="Q250" s="152">
        <f t="shared" si="52"/>
        <v>0.4</v>
      </c>
      <c r="R250" s="152">
        <f t="shared" si="52"/>
        <v>0.4</v>
      </c>
      <c r="S250" s="152">
        <f t="shared" si="52"/>
        <v>0.4</v>
      </c>
      <c r="T250" s="152">
        <f t="shared" si="53"/>
        <v>0.4</v>
      </c>
      <c r="U250" s="152">
        <f t="shared" si="53"/>
        <v>0.4</v>
      </c>
      <c r="V250" s="152">
        <f t="shared" si="53"/>
        <v>0.4</v>
      </c>
      <c r="W250" s="152">
        <f t="shared" si="53"/>
        <v>0.4</v>
      </c>
      <c r="X250" s="152">
        <f t="shared" si="53"/>
        <v>0.4</v>
      </c>
      <c r="Y250" s="152">
        <f t="shared" si="53"/>
        <v>0.4</v>
      </c>
      <c r="Z250" s="152">
        <f t="shared" si="53"/>
        <v>0.4</v>
      </c>
      <c r="AA250" s="152">
        <f t="shared" si="53"/>
        <v>0.4</v>
      </c>
      <c r="AB250" s="152">
        <f t="shared" si="53"/>
        <v>0.4</v>
      </c>
      <c r="AC250" s="152">
        <f t="shared" si="53"/>
        <v>0.4</v>
      </c>
      <c r="AD250" s="152">
        <f t="shared" si="53"/>
        <v>0.4</v>
      </c>
      <c r="AE250" s="152">
        <f t="shared" si="53"/>
        <v>0.4</v>
      </c>
      <c r="AF250" s="152">
        <f t="shared" si="53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51"/>
        <v>0.64</v>
      </c>
      <c r="C251" s="157">
        <v>0.64</v>
      </c>
      <c r="D251" s="157">
        <f t="shared" si="52"/>
        <v>0.64</v>
      </c>
      <c r="E251" s="157">
        <f t="shared" si="52"/>
        <v>0.64</v>
      </c>
      <c r="F251" s="157">
        <f t="shared" si="52"/>
        <v>0.64</v>
      </c>
      <c r="G251" s="157">
        <f t="shared" si="52"/>
        <v>0.64</v>
      </c>
      <c r="H251" s="157">
        <f t="shared" si="52"/>
        <v>0.64</v>
      </c>
      <c r="I251" s="157">
        <f t="shared" si="52"/>
        <v>0.64</v>
      </c>
      <c r="J251" s="157">
        <f t="shared" si="52"/>
        <v>0.64</v>
      </c>
      <c r="K251" s="157">
        <f t="shared" si="52"/>
        <v>0.64</v>
      </c>
      <c r="L251" s="157">
        <f t="shared" si="52"/>
        <v>0.64</v>
      </c>
      <c r="M251" s="157">
        <f t="shared" si="52"/>
        <v>0.64</v>
      </c>
      <c r="N251" s="157">
        <f t="shared" si="52"/>
        <v>0.64</v>
      </c>
      <c r="O251" s="157">
        <f t="shared" si="52"/>
        <v>0.64</v>
      </c>
      <c r="P251" s="157">
        <f t="shared" si="52"/>
        <v>0.64</v>
      </c>
      <c r="Q251" s="157">
        <f t="shared" si="52"/>
        <v>0.64</v>
      </c>
      <c r="R251" s="157">
        <f t="shared" si="52"/>
        <v>0.64</v>
      </c>
      <c r="S251" s="157">
        <f t="shared" si="52"/>
        <v>0.64</v>
      </c>
      <c r="T251" s="157">
        <f t="shared" si="53"/>
        <v>0.64</v>
      </c>
      <c r="U251" s="157">
        <f t="shared" si="53"/>
        <v>0.64</v>
      </c>
      <c r="V251" s="157">
        <f t="shared" si="53"/>
        <v>0.64</v>
      </c>
      <c r="W251" s="157">
        <f t="shared" si="53"/>
        <v>0.64</v>
      </c>
      <c r="X251" s="157">
        <f t="shared" si="53"/>
        <v>0.64</v>
      </c>
      <c r="Y251" s="157">
        <f t="shared" si="53"/>
        <v>0.64</v>
      </c>
      <c r="Z251" s="157">
        <f t="shared" si="53"/>
        <v>0.64</v>
      </c>
      <c r="AA251" s="157">
        <f t="shared" si="53"/>
        <v>0.64</v>
      </c>
      <c r="AB251" s="157">
        <f t="shared" si="53"/>
        <v>0.64</v>
      </c>
      <c r="AC251" s="157">
        <f t="shared" si="53"/>
        <v>0.64</v>
      </c>
      <c r="AD251" s="157">
        <f t="shared" si="53"/>
        <v>0.64</v>
      </c>
      <c r="AE251" s="157">
        <f t="shared" si="53"/>
        <v>0.64</v>
      </c>
      <c r="AF251" s="157">
        <f t="shared" si="53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4">SUM(B246:B251)</f>
        <v>3.54</v>
      </c>
      <c r="C252" s="161">
        <f t="shared" si="54"/>
        <v>3.54</v>
      </c>
      <c r="D252" s="161">
        <f t="shared" si="54"/>
        <v>3.54</v>
      </c>
      <c r="E252" s="161">
        <f t="shared" si="54"/>
        <v>3.54</v>
      </c>
      <c r="F252" s="161">
        <f t="shared" si="54"/>
        <v>3.54</v>
      </c>
      <c r="G252" s="161">
        <f t="shared" si="54"/>
        <v>3.54</v>
      </c>
      <c r="H252" s="161">
        <f t="shared" si="54"/>
        <v>3.54</v>
      </c>
      <c r="I252" s="161">
        <f t="shared" si="54"/>
        <v>3.54</v>
      </c>
      <c r="J252" s="161">
        <f t="shared" si="54"/>
        <v>3.54</v>
      </c>
      <c r="K252" s="161">
        <f t="shared" si="54"/>
        <v>3.54</v>
      </c>
      <c r="L252" s="161">
        <f t="shared" si="54"/>
        <v>3.54</v>
      </c>
      <c r="M252" s="161">
        <f t="shared" si="54"/>
        <v>3.54</v>
      </c>
      <c r="N252" s="161">
        <f t="shared" si="54"/>
        <v>3.54</v>
      </c>
      <c r="O252" s="161">
        <f t="shared" si="54"/>
        <v>3.54</v>
      </c>
      <c r="P252" s="161">
        <f t="shared" si="54"/>
        <v>3.54</v>
      </c>
      <c r="Q252" s="161">
        <f t="shared" si="54"/>
        <v>3.54</v>
      </c>
      <c r="R252" s="161">
        <f t="shared" si="54"/>
        <v>3.54</v>
      </c>
      <c r="S252" s="161">
        <f t="shared" si="54"/>
        <v>3.54</v>
      </c>
      <c r="T252" s="161">
        <f t="shared" si="54"/>
        <v>3.54</v>
      </c>
      <c r="U252" s="161">
        <f t="shared" si="54"/>
        <v>3.54</v>
      </c>
      <c r="V252" s="161">
        <f t="shared" si="54"/>
        <v>3.54</v>
      </c>
      <c r="W252" s="161">
        <f t="shared" si="54"/>
        <v>3.54</v>
      </c>
      <c r="X252" s="161">
        <f t="shared" si="54"/>
        <v>3.54</v>
      </c>
      <c r="Y252" s="161">
        <f t="shared" si="54"/>
        <v>3.54</v>
      </c>
      <c r="Z252" s="161">
        <f t="shared" si="54"/>
        <v>3.54</v>
      </c>
      <c r="AA252" s="161">
        <f t="shared" si="54"/>
        <v>3.54</v>
      </c>
      <c r="AB252" s="161">
        <f t="shared" si="54"/>
        <v>3.54</v>
      </c>
      <c r="AC252" s="161">
        <f t="shared" si="54"/>
        <v>3.54</v>
      </c>
      <c r="AD252" s="161">
        <f t="shared" si="54"/>
        <v>3.54</v>
      </c>
      <c r="AE252" s="161">
        <f t="shared" si="54"/>
        <v>3.54</v>
      </c>
      <c r="AF252" s="161">
        <f t="shared" si="54"/>
        <v>3.54</v>
      </c>
      <c r="AG252" s="171">
        <f t="shared" si="54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1737.8400000000001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2080/10/2)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501" priority="123">
      <formula>$AH11=0</formula>
    </cfRule>
  </conditionalFormatting>
  <conditionalFormatting sqref="A132:A253">
    <cfRule type="expression" dxfId="4500" priority="124">
      <formula>$AH132=0</formula>
    </cfRule>
  </conditionalFormatting>
  <conditionalFormatting sqref="B8">
    <cfRule type="expression" dxfId="4499" priority="178">
      <formula>AND(C$9&gt;=14/24,C$9&lt;20/24)</formula>
    </cfRule>
    <cfRule type="expression" dxfId="4498" priority="179">
      <formula>AND(C$9&gt;=8/24,C$9&lt;14/24)</formula>
    </cfRule>
    <cfRule type="expression" dxfId="4497" priority="180">
      <formula>C$9&lt;8/24</formula>
    </cfRule>
    <cfRule type="expression" dxfId="4496" priority="181">
      <formula>C$9&gt;=20/24</formula>
    </cfRule>
  </conditionalFormatting>
  <conditionalFormatting sqref="B11:D16 E12:R16">
    <cfRule type="expression" dxfId="4495" priority="18">
      <formula>B11&gt;$AG11</formula>
    </cfRule>
    <cfRule type="expression" dxfId="4494" priority="19">
      <formula>B$9&gt;=20/24</formula>
    </cfRule>
    <cfRule type="expression" dxfId="4493" priority="20">
      <formula>AND(B$9&gt;=14/24,B$9&lt;20/24)</formula>
    </cfRule>
    <cfRule type="expression" dxfId="4492" priority="21">
      <formula>AND(B$9&gt;=8/24,B$9&lt;14/24)</formula>
    </cfRule>
    <cfRule type="expression" dxfId="4491" priority="22">
      <formula>B$9&lt;8/24</formula>
    </cfRule>
  </conditionalFormatting>
  <conditionalFormatting sqref="B56:D57">
    <cfRule type="expression" dxfId="4490" priority="23">
      <formula>B$9&gt;=20/24</formula>
    </cfRule>
    <cfRule type="expression" dxfId="4489" priority="24">
      <formula>AND(B$9&gt;=14/24,B$9&lt;20/24)</formula>
    </cfRule>
    <cfRule type="expression" dxfId="4488" priority="25">
      <formula>AND(B$9&gt;=8/24,B$9&lt;14/24)</formula>
    </cfRule>
    <cfRule type="expression" dxfId="4487" priority="34">
      <formula>B$9&lt;8/24</formula>
    </cfRule>
  </conditionalFormatting>
  <conditionalFormatting sqref="B56:D80 I63:AA74 E67:E75 F68:H74 E76:R79">
    <cfRule type="expression" dxfId="4486" priority="13">
      <formula>B56&gt;$AG56</formula>
    </cfRule>
  </conditionalFormatting>
  <conditionalFormatting sqref="B59:D68">
    <cfRule type="expression" dxfId="4485" priority="26">
      <formula>B$9&gt;=20/24</formula>
    </cfRule>
    <cfRule type="expression" dxfId="4484" priority="27">
      <formula>AND(B$9&gt;=14/24,B$9&lt;20/24)</formula>
    </cfRule>
    <cfRule type="expression" dxfId="4483" priority="28">
      <formula>AND(B$9&gt;=8/24,B$9&lt;14/24)</formula>
    </cfRule>
    <cfRule type="expression" dxfId="4482" priority="29">
      <formula>B$9&lt;8/24</formula>
    </cfRule>
  </conditionalFormatting>
  <conditionalFormatting sqref="B69:S74 E77:F79 C77:D91 B77:B99 B101:AF117 B119:AF137">
    <cfRule type="expression" dxfId="4481" priority="14">
      <formula>B$9&gt;=20/24</formula>
    </cfRule>
    <cfRule type="expression" dxfId="4480" priority="15">
      <formula>AND(B$9&gt;=14/24,B$9&lt;20/24)</formula>
    </cfRule>
    <cfRule type="expression" dxfId="4479" priority="16">
      <formula>AND(B$9&gt;=8/24,B$9&lt;14/24)</formula>
    </cfRule>
    <cfRule type="expression" dxfId="4478" priority="17">
      <formula>B$9&lt;8/24</formula>
    </cfRule>
  </conditionalFormatting>
  <conditionalFormatting sqref="B9:AF10 E11 T63:AF74 G77:S79 S77:AF99 E80:R91 C92:R99 B244:AF244 B246:B252">
    <cfRule type="expression" dxfId="4477" priority="76">
      <formula>AND(B$9&gt;=14/24,B$9&lt;20/24)</formula>
    </cfRule>
    <cfRule type="expression" dxfId="4476" priority="77">
      <formula>AND(B$9&gt;=8/24,B$9&lt;14/24)</formula>
    </cfRule>
    <cfRule type="expression" dxfId="4475" priority="78">
      <formula>B$9&lt;8/24</formula>
    </cfRule>
  </conditionalFormatting>
  <conditionalFormatting sqref="B53:AF54">
    <cfRule type="expression" dxfId="4474" priority="1">
      <formula>B$9&gt;=20/24</formula>
    </cfRule>
    <cfRule type="expression" dxfId="4473" priority="2">
      <formula>AND(B$9&gt;=14/24,B$9&lt;20/24)</formula>
    </cfRule>
    <cfRule type="expression" dxfId="4472" priority="3">
      <formula>AND(B$9&gt;=8/24,B$9&lt;14/24)</formula>
    </cfRule>
  </conditionalFormatting>
  <conditionalFormatting sqref="B53:AF55">
    <cfRule type="expression" dxfId="4471" priority="12">
      <formula>B$9&lt;8/24</formula>
    </cfRule>
  </conditionalFormatting>
  <conditionalFormatting sqref="B55:AF55">
    <cfRule type="expression" dxfId="4470" priority="9">
      <formula>B$9&gt;=20/24</formula>
    </cfRule>
    <cfRule type="expression" dxfId="4469" priority="10">
      <formula>AND(B$9&gt;=14/24,B$9&lt;20/24)</formula>
    </cfRule>
    <cfRule type="expression" dxfId="4468" priority="11">
      <formula>AND(B$9&gt;=8/24,B$9&lt;14/24)</formula>
    </cfRule>
  </conditionalFormatting>
  <conditionalFormatting sqref="D246:AF252">
    <cfRule type="expression" dxfId="4467" priority="163">
      <formula>D$9&gt;=20/24</formula>
    </cfRule>
    <cfRule type="expression" dxfId="4466" priority="164">
      <formula>AND(D$9&gt;=14/24,D$9&lt;20/24)</formula>
    </cfRule>
    <cfRule type="expression" dxfId="4465" priority="165">
      <formula>AND(D$9&gt;=8/24,D$9&lt;14/24)</formula>
    </cfRule>
    <cfRule type="expression" dxfId="4464" priority="166">
      <formula>D$9&lt;8/24</formula>
    </cfRule>
  </conditionalFormatting>
  <conditionalFormatting sqref="E11 E57:AA62 AB57:AF80 AG62 E63:G66 H63:H67 F67:G67 F75:R75 S75:AA79 E80:AA80 AG80">
    <cfRule type="expression" dxfId="4463" priority="74">
      <formula>E11&gt;$AG11</formula>
    </cfRule>
  </conditionalFormatting>
  <conditionalFormatting sqref="E11 T63:AF74 G77:S79 S77:AF99 E80:R91 B9:AF10 C92:R99 B244:AF244 B246:B252">
    <cfRule type="expression" dxfId="4462" priority="75">
      <formula>B$9&gt;=20/24</formula>
    </cfRule>
  </conditionalFormatting>
  <conditionalFormatting sqref="E67:E68 F68:R68">
    <cfRule type="expression" dxfId="4461" priority="30">
      <formula>E$9&gt;=20/24</formula>
    </cfRule>
    <cfRule type="expression" dxfId="4460" priority="31">
      <formula>AND(E$9&gt;=14/24,E$9&lt;20/24)</formula>
    </cfRule>
    <cfRule type="expression" dxfId="4459" priority="32">
      <formula>AND(E$9&gt;=8/24,E$9&lt;14/24)</formula>
    </cfRule>
    <cfRule type="expression" dxfId="4458" priority="33">
      <formula>E$9&lt;8/24</formula>
    </cfRule>
  </conditionalFormatting>
  <conditionalFormatting sqref="E63:G66 H63:I67 F67:G67 J64:J67 K67:R67">
    <cfRule type="expression" dxfId="4457" priority="88">
      <formula>E$9&gt;=20/24</formula>
    </cfRule>
  </conditionalFormatting>
  <conditionalFormatting sqref="E63:G66 H63:I67 J64:J67 F67:G67 K67:R67">
    <cfRule type="expression" dxfId="4456" priority="89">
      <formula>AND(E$9&gt;=14/24,E$9&lt;20/24)</formula>
    </cfRule>
    <cfRule type="expression" dxfId="4455" priority="90">
      <formula>AND(E$9&gt;=8/24,E$9&lt;14/24)</formula>
    </cfRule>
    <cfRule type="expression" dxfId="4454" priority="91">
      <formula>E$9&lt;8/24</formula>
    </cfRule>
  </conditionalFormatting>
  <conditionalFormatting sqref="E11:R11">
    <cfRule type="expression" dxfId="4453" priority="92">
      <formula>E11&gt;$AG11</formula>
    </cfRule>
    <cfRule type="expression" dxfId="4452" priority="93">
      <formula>E$9&gt;=20/24</formula>
    </cfRule>
    <cfRule type="expression" dxfId="4451" priority="94">
      <formula>AND(E$9&gt;=14/24,E$9&lt;20/24)</formula>
    </cfRule>
    <cfRule type="expression" dxfId="4450" priority="95">
      <formula>AND(E$9&gt;=8/24,E$9&lt;14/24)</formula>
    </cfRule>
    <cfRule type="expression" dxfId="4449" priority="96">
      <formula>E$9&lt;8/24</formula>
    </cfRule>
  </conditionalFormatting>
  <conditionalFormatting sqref="E56:AF56">
    <cfRule type="expression" dxfId="4448" priority="79">
      <formula>E56&gt;$AG56</formula>
    </cfRule>
  </conditionalFormatting>
  <conditionalFormatting sqref="E56:AF57">
    <cfRule type="expression" dxfId="4447" priority="80">
      <formula>E$9&gt;=20/24</formula>
    </cfRule>
    <cfRule type="expression" dxfId="4446" priority="81">
      <formula>AND(E$9&gt;=14/24,E$9&lt;20/24)</formula>
    </cfRule>
    <cfRule type="expression" dxfId="4445" priority="82">
      <formula>AND(E$9&gt;=8/24,E$9&lt;14/24)</formula>
    </cfRule>
    <cfRule type="expression" dxfId="4444" priority="87">
      <formula>E$9&lt;8/24</formula>
    </cfRule>
  </conditionalFormatting>
  <conditionalFormatting sqref="E59:AF62">
    <cfRule type="expression" dxfId="4443" priority="101">
      <formula>E$9&gt;=20/24</formula>
    </cfRule>
    <cfRule type="expression" dxfId="4442" priority="102">
      <formula>AND(E$9&gt;=14/24,E$9&lt;20/24)</formula>
    </cfRule>
    <cfRule type="expression" dxfId="4441" priority="103">
      <formula>AND(E$9&gt;=8/24,E$9&lt;14/24)</formula>
    </cfRule>
    <cfRule type="expression" dxfId="4440" priority="104">
      <formula>E$9&lt;8/24</formula>
    </cfRule>
  </conditionalFormatting>
  <conditionalFormatting sqref="F63:R65">
    <cfRule type="expression" dxfId="4439" priority="115">
      <formula>F$9&gt;=20/24</formula>
    </cfRule>
    <cfRule type="expression" dxfId="4438" priority="116">
      <formula>AND(F$9&gt;=14/24,F$9&lt;20/24)</formula>
    </cfRule>
    <cfRule type="expression" dxfId="4437" priority="117">
      <formula>AND(F$9&gt;=8/24,F$9&lt;14/24)</formula>
    </cfRule>
    <cfRule type="expression" dxfId="4436" priority="118">
      <formula>F$9&lt;8/24</formula>
    </cfRule>
  </conditionalFormatting>
  <conditionalFormatting sqref="M8 S8 AB8">
    <cfRule type="expression" dxfId="4435" priority="170">
      <formula>AND(N$9&gt;=14/24,N$9&lt;20/24)</formula>
    </cfRule>
    <cfRule type="expression" dxfId="4434" priority="171">
      <formula>AND(N$9&gt;=8/24,N$9&lt;14/24)</formula>
    </cfRule>
    <cfRule type="expression" dxfId="4433" priority="172">
      <formula>N$9&lt;8/24</formula>
    </cfRule>
  </conditionalFormatting>
  <conditionalFormatting sqref="O3:P3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432" priority="169">
      <formula>N$9&gt;=20/24</formula>
    </cfRule>
  </conditionalFormatting>
  <conditionalFormatting sqref="S8">
    <cfRule type="expression" dxfId="4431" priority="156">
      <formula>U$9&gt;=20/24</formula>
    </cfRule>
    <cfRule type="expression" dxfId="4430" priority="157">
      <formula>AND(U$9&gt;=14/24,U$9&lt;20/24)</formula>
    </cfRule>
    <cfRule type="expression" dxfId="4429" priority="158">
      <formula>AND(U$9&gt;=8/24,U$9&lt;14/24)</formula>
    </cfRule>
    <cfRule type="expression" dxfId="4428" priority="159">
      <formula>U$9&lt;8/24</formula>
    </cfRule>
  </conditionalFormatting>
  <conditionalFormatting sqref="S63:V68">
    <cfRule type="expression" dxfId="4427" priority="111">
      <formula>S$9&gt;=20/24</formula>
    </cfRule>
    <cfRule type="expression" dxfId="4426" priority="112">
      <formula>AND(S$9&gt;=14/24,S$9&lt;20/24)</formula>
    </cfRule>
    <cfRule type="expression" dxfId="4425" priority="113">
      <formula>AND(S$9&gt;=8/24,S$9&lt;14/24)</formula>
    </cfRule>
    <cfRule type="expression" dxfId="4424" priority="114">
      <formula>S$9&lt;8/24</formula>
    </cfRule>
  </conditionalFormatting>
  <conditionalFormatting sqref="S11:AF52 B17:R52">
    <cfRule type="expression" dxfId="4423" priority="5">
      <formula>B$9&gt;=20/24</formula>
    </cfRule>
    <cfRule type="expression" dxfId="4422" priority="6">
      <formula>AND(B$9&gt;=14/24,B$9&lt;20/24)</formula>
    </cfRule>
    <cfRule type="expression" dxfId="4421" priority="7">
      <formula>AND(B$9&gt;=8/24,B$9&lt;14/24)</formula>
    </cfRule>
    <cfRule type="expression" dxfId="4420" priority="8">
      <formula>B$9&lt;8/24</formula>
    </cfRule>
  </conditionalFormatting>
  <conditionalFormatting sqref="S11:AF55 B17:R55">
    <cfRule type="expression" dxfId="4419" priority="4">
      <formula>B11&gt;$AG11</formula>
    </cfRule>
  </conditionalFormatting>
  <conditionalFormatting sqref="V3 AB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418" priority="152">
      <formula>AD$9&gt;=20/24</formula>
    </cfRule>
    <cfRule type="expression" dxfId="4417" priority="153">
      <formula>AND(AD$9&gt;=14/24,AD$9&lt;20/24)</formula>
    </cfRule>
    <cfRule type="expression" dxfId="4416" priority="154">
      <formula>AND(AD$9&gt;=8/24,AD$9&lt;14/24)</formula>
    </cfRule>
    <cfRule type="expression" dxfId="4415" priority="155">
      <formula>AD$9&lt;8/24</formula>
    </cfRule>
  </conditionalFormatting>
  <conditionalFormatting sqref="AG58">
    <cfRule type="expression" dxfId="4414" priority="147">
      <formula>AG58&gt;$AG58</formula>
    </cfRule>
  </conditionalFormatting>
  <conditionalFormatting sqref="AG62">
    <cfRule type="expression" dxfId="4413" priority="130">
      <formula>AG$9&gt;=20/24</formula>
    </cfRule>
    <cfRule type="expression" dxfId="4412" priority="131">
      <formula>AND(AG$9&gt;=14/24,AG$9&lt;20/24)</formula>
    </cfRule>
    <cfRule type="expression" dxfId="4411" priority="132">
      <formula>AND(AG$9&gt;=8/24,AG$9&lt;14/24)</formula>
    </cfRule>
    <cfRule type="expression" dxfId="4410" priority="133">
      <formula>AG$9&lt;8/24</formula>
    </cfRule>
  </conditionalFormatting>
  <conditionalFormatting sqref="AG75:AG76">
    <cfRule type="expression" dxfId="4409" priority="125">
      <formula>AG75&gt;$AG75</formula>
    </cfRule>
  </conditionalFormatting>
  <conditionalFormatting sqref="AG80">
    <cfRule type="expression" dxfId="4408" priority="126">
      <formula>AG$9&gt;=20/24</formula>
    </cfRule>
    <cfRule type="expression" dxfId="4407" priority="127">
      <formula>AND(AG$9&gt;=14/24,AG$9&lt;20/24)</formula>
    </cfRule>
    <cfRule type="expression" dxfId="4406" priority="128">
      <formula>AND(AG$9&gt;=8/24,AG$9&lt;14/24)</formula>
    </cfRule>
    <cfRule type="expression" dxfId="4405" priority="129">
      <formula>AG$9&lt;8/24</formula>
    </cfRule>
  </conditionalFormatting>
  <conditionalFormatting sqref="AG97">
    <cfRule type="expression" dxfId="4404" priority="148">
      <formula>AG$9&gt;=20/24</formula>
    </cfRule>
    <cfRule type="expression" dxfId="4403" priority="149">
      <formula>AND(AG$9&gt;=14/24,AG$9&lt;20/24)</formula>
    </cfRule>
    <cfRule type="expression" dxfId="4402" priority="150">
      <formula>AND(AG$9&gt;=8/24,AG$9&lt;14/24)</formula>
    </cfRule>
    <cfRule type="expression" dxfId="4401" priority="151">
      <formula>AG$9&lt;8/24</formula>
    </cfRule>
  </conditionalFormatting>
  <conditionalFormatting sqref="AL4:AL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400" priority="173">
      <formula>AJ$9&gt;=20/24</formula>
    </cfRule>
    <cfRule type="expression" dxfId="4399" priority="174">
      <formula>AND(AJ$9&gt;=14/24,AJ$9&lt;20/24)</formula>
    </cfRule>
    <cfRule type="expression" dxfId="4398" priority="175">
      <formula>AND(AJ$9&gt;=8/24,AJ$9&lt;14/24)</formula>
    </cfRule>
    <cfRule type="expression" dxfId="4397" priority="176">
      <formula>AJ$9&lt;8/24</formula>
    </cfRule>
  </conditionalFormatting>
  <conditionalFormatting sqref="AL88:AN88 AL94:AN94">
    <cfRule type="expression" dxfId="4396" priority="140">
      <formula>AL$9&gt;=20/24</formula>
    </cfRule>
    <cfRule type="expression" dxfId="4395" priority="141">
      <formula>AND(AL$9&gt;=14/24,AL$9&lt;20/24)</formula>
    </cfRule>
    <cfRule type="expression" dxfId="4394" priority="142">
      <formula>AND(AL$9&gt;=8/24,AL$9&lt;14/24)</formula>
    </cfRule>
    <cfRule type="expression" dxfId="4393" priority="143">
      <formula>AL$9&lt;8/24</formula>
    </cfRule>
  </conditionalFormatting>
  <conditionalFormatting sqref="AM15:AM21 AN16:AR21">
    <cfRule type="expression" dxfId="4392" priority="47">
      <formula>AX$9&gt;=20/24</formula>
    </cfRule>
    <cfRule type="expression" dxfId="4391" priority="48">
      <formula>AND(AX$9&gt;=14/24,AX$9&lt;20/24)</formula>
    </cfRule>
    <cfRule type="expression" dxfId="4390" priority="49">
      <formula>AND(AX$9&gt;=8/24,AX$9&lt;14/24)</formula>
    </cfRule>
    <cfRule type="expression" dxfId="4389" priority="50">
      <formula>AX$9&lt;8/24</formula>
    </cfRule>
  </conditionalFormatting>
  <conditionalFormatting sqref="AN89:AN92">
    <cfRule type="expression" dxfId="4388" priority="136">
      <formula>AN$9&gt;=20/24</formula>
    </cfRule>
    <cfRule type="expression" dxfId="4387" priority="137">
      <formula>AND(AN$9&gt;=14/24,AN$9&lt;20/24)</formula>
    </cfRule>
    <cfRule type="expression" dxfId="4386" priority="138">
      <formula>AND(AN$9&gt;=8/24,AN$9&lt;14/24)</formula>
    </cfRule>
    <cfRule type="expression" dxfId="4385" priority="139">
      <formula>AN$9&lt;8/24</formula>
    </cfRule>
  </conditionalFormatting>
  <conditionalFormatting sqref="AN15:AR15">
    <cfRule type="expression" dxfId="4384" priority="35">
      <formula>U$9&gt;=20/24</formula>
    </cfRule>
    <cfRule type="expression" dxfId="4383" priority="36">
      <formula>AND(U$9&gt;=14/24,U$9&lt;20/24)</formula>
    </cfRule>
    <cfRule type="expression" dxfId="4382" priority="37">
      <formula>AND(U$9&gt;=8/24,U$9&lt;14/24)</formula>
    </cfRule>
    <cfRule type="expression" dxfId="4381" priority="38">
      <formula>U$9&lt;8/24</formula>
    </cfRule>
  </conditionalFormatting>
  <conditionalFormatting sqref="AS15">
    <cfRule type="expression" dxfId="4380" priority="43">
      <formula>AA$9&gt;=20/24</formula>
    </cfRule>
    <cfRule type="expression" dxfId="4379" priority="44">
      <formula>AND(AA$9&gt;=14/24,AA$9&lt;20/24)</formula>
    </cfRule>
    <cfRule type="expression" dxfId="4378" priority="45">
      <formula>AND(AA$9&gt;=8/24,AA$9&lt;14/24)</formula>
    </cfRule>
    <cfRule type="expression" dxfId="4377" priority="46">
      <formula>AA$9&lt;8/24</formula>
    </cfRule>
  </conditionalFormatting>
  <conditionalFormatting sqref="AS16:AS21">
    <cfRule type="expression" dxfId="4376" priority="51">
      <formula>BE$9&gt;=20/24</formula>
    </cfRule>
    <cfRule type="expression" dxfId="4375" priority="52">
      <formula>AND(BE$9&gt;=14/24,BE$9&lt;20/24)</formula>
    </cfRule>
    <cfRule type="expression" dxfId="4374" priority="53">
      <formula>AND(BE$9&gt;=8/24,BE$9&lt;14/24)</formula>
    </cfRule>
    <cfRule type="expression" dxfId="4373" priority="54">
      <formula>BE$9&lt;8/24</formula>
    </cfRule>
  </conditionalFormatting>
  <conditionalFormatting sqref="AT15 AX15:BJ15">
    <cfRule type="expression" dxfId="4372" priority="55">
      <formula>AC$9&gt;=20/24</formula>
    </cfRule>
    <cfRule type="expression" dxfId="4371" priority="56">
      <formula>AND(AC$9&gt;=14/24,AC$9&lt;20/24)</formula>
    </cfRule>
    <cfRule type="expression" dxfId="4370" priority="57">
      <formula>AND(AC$9&gt;=8/24,AC$9&lt;14/24)</formula>
    </cfRule>
    <cfRule type="expression" dxfId="4369" priority="58">
      <formula>AC$9&lt;8/24</formula>
    </cfRule>
  </conditionalFormatting>
  <conditionalFormatting sqref="AT16:AT21">
    <cfRule type="expression" dxfId="4368" priority="59">
      <formula>BG$9&gt;=20/24</formula>
    </cfRule>
    <cfRule type="expression" dxfId="4367" priority="60">
      <formula>AND(BG$9&gt;=14/24,BG$9&lt;20/24)</formula>
    </cfRule>
    <cfRule type="expression" dxfId="4366" priority="61">
      <formula>AND(BG$9&gt;=8/24,BG$9&lt;14/24)</formula>
    </cfRule>
    <cfRule type="expression" dxfId="4365" priority="62">
      <formula>BG$9&lt;8/24</formula>
    </cfRule>
  </conditionalFormatting>
  <conditionalFormatting sqref="AU15:AV15">
    <cfRule type="expression" dxfId="4364" priority="63">
      <formula>AE$9&gt;=20/24</formula>
    </cfRule>
    <cfRule type="expression" dxfId="4363" priority="64">
      <formula>AND(AE$9&gt;=14/24,AE$9&lt;20/24)</formula>
    </cfRule>
    <cfRule type="expression" dxfId="4362" priority="65">
      <formula>AND(AE$9&gt;=8/24,AE$9&lt;14/24)</formula>
    </cfRule>
    <cfRule type="expression" dxfId="4361" priority="66">
      <formula>AE$9&lt;8/24</formula>
    </cfRule>
  </conditionalFormatting>
  <conditionalFormatting sqref="AU16:BJ21">
    <cfRule type="expression" dxfId="4360" priority="67">
      <formula>BI$9&gt;=20/24</formula>
    </cfRule>
    <cfRule type="expression" dxfId="4359" priority="68">
      <formula>AND(BI$9&gt;=14/24,BI$9&lt;20/24)</formula>
    </cfRule>
    <cfRule type="expression" dxfId="4358" priority="69">
      <formula>AND(BI$9&gt;=8/24,BI$9&lt;14/24)</formula>
    </cfRule>
    <cfRule type="expression" dxfId="4357" priority="70">
      <formula>BI$9&lt;8/24</formula>
    </cfRule>
  </conditionalFormatting>
  <conditionalFormatting sqref="AW15">
    <cfRule type="expression" dxfId="4356" priority="39">
      <formula>B$9&gt;=20/24</formula>
    </cfRule>
    <cfRule type="expression" dxfId="4355" priority="40">
      <formula>AND(B$9&gt;=14/24,B$9&lt;20/24)</formula>
    </cfRule>
    <cfRule type="expression" dxfId="4354" priority="41">
      <formula>AND(B$9&gt;=8/24,B$9&lt;14/24)</formula>
    </cfRule>
    <cfRule type="expression" dxfId="4353" priority="42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2789-BCF9-4418-A0F8-E974C2001288}">
  <sheetPr codeName="Sheet3"/>
  <dimension ref="A1:CJ294"/>
  <sheetViews>
    <sheetView zoomScaleNormal="100" workbookViewId="0">
      <pane xSplit="1" ySplit="10" topLeftCell="B10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P139" sqref="P13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2080/10/3</v>
      </c>
      <c r="C4" s="187"/>
      <c r="D4" s="187"/>
      <c r="E4" s="188" t="str">
        <f ca="1">"2080/"&amp;"10/"&amp;INT(MID(CELL("filename",G6),FIND("]",CELL("filename",G6))+1,200))</f>
        <v>2080/10/3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92</v>
      </c>
      <c r="C5" s="30">
        <f t="shared" si="0"/>
        <v>67</v>
      </c>
      <c r="D5" s="30">
        <f t="shared" si="0"/>
        <v>77.3</v>
      </c>
      <c r="E5" s="30">
        <f t="shared" si="0"/>
        <v>66.5</v>
      </c>
      <c r="F5" s="30">
        <f t="shared" si="0"/>
        <v>98</v>
      </c>
      <c r="G5" s="30">
        <f t="shared" si="0"/>
        <v>147.9</v>
      </c>
      <c r="H5" s="30">
        <f t="shared" si="0"/>
        <v>148.30000000000001</v>
      </c>
      <c r="I5" s="30">
        <f t="shared" si="0"/>
        <v>441.6</v>
      </c>
      <c r="J5" s="30">
        <f t="shared" si="0"/>
        <v>615.70000000000005</v>
      </c>
      <c r="K5" s="30">
        <f t="shared" si="0"/>
        <v>683.1</v>
      </c>
      <c r="L5" s="30">
        <f t="shared" si="0"/>
        <v>732.8</v>
      </c>
      <c r="M5" s="30">
        <f t="shared" si="0"/>
        <v>822.70000000000016</v>
      </c>
      <c r="N5" s="30">
        <f t="shared" si="0"/>
        <v>856.19999999999993</v>
      </c>
      <c r="O5" s="30">
        <f t="shared" si="0"/>
        <v>873.2</v>
      </c>
      <c r="P5" s="30">
        <f t="shared" si="0"/>
        <v>891.3</v>
      </c>
      <c r="Q5" s="30">
        <f t="shared" si="0"/>
        <v>907.19999999999993</v>
      </c>
      <c r="R5" s="30">
        <f t="shared" si="0"/>
        <v>895.19999999999993</v>
      </c>
      <c r="S5" s="30">
        <f t="shared" si="0"/>
        <v>891.1</v>
      </c>
      <c r="T5" s="30">
        <f t="shared" si="0"/>
        <v>867.2</v>
      </c>
      <c r="U5" s="30">
        <f t="shared" si="0"/>
        <v>841.9</v>
      </c>
      <c r="V5" s="30">
        <f t="shared" si="0"/>
        <v>729.4</v>
      </c>
      <c r="W5" s="30">
        <f t="shared" si="0"/>
        <v>638.4</v>
      </c>
      <c r="X5" s="30">
        <f t="shared" si="0"/>
        <v>107</v>
      </c>
      <c r="Y5" s="30">
        <f t="shared" si="0"/>
        <v>191.5</v>
      </c>
      <c r="Z5" s="30">
        <f t="shared" si="0"/>
        <v>176.5</v>
      </c>
      <c r="AA5" s="30">
        <f t="shared" si="0"/>
        <v>154.80000000000001</v>
      </c>
      <c r="AB5" s="30">
        <f t="shared" si="0"/>
        <v>252.39999999999998</v>
      </c>
      <c r="AC5" s="30">
        <f t="shared" si="0"/>
        <v>222.70000000000002</v>
      </c>
      <c r="AD5" s="30">
        <f t="shared" si="0"/>
        <v>200.9</v>
      </c>
      <c r="AE5" s="30">
        <f t="shared" si="0"/>
        <v>350</v>
      </c>
      <c r="AF5" s="30">
        <f>B92</f>
        <v>87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Load=1390</v>
      </c>
      <c r="B7" s="35">
        <f t="shared" ref="B7:AF7" si="1">B100</f>
        <v>1511.74</v>
      </c>
      <c r="C7" s="35">
        <f t="shared" si="1"/>
        <v>1490.44</v>
      </c>
      <c r="D7" s="35">
        <f t="shared" si="1"/>
        <v>1475.44</v>
      </c>
      <c r="E7" s="35">
        <f t="shared" si="1"/>
        <v>1472.44</v>
      </c>
      <c r="F7" s="35">
        <f t="shared" si="1"/>
        <v>1478.64</v>
      </c>
      <c r="G7" s="35">
        <f t="shared" si="1"/>
        <v>1489.14</v>
      </c>
      <c r="H7" s="35">
        <f t="shared" si="1"/>
        <v>1545.64</v>
      </c>
      <c r="I7" s="35">
        <f t="shared" si="1"/>
        <v>1569.8400000000001</v>
      </c>
      <c r="J7" s="35">
        <f t="shared" si="1"/>
        <v>1429.54</v>
      </c>
      <c r="K7" s="35">
        <f t="shared" si="1"/>
        <v>1608.3400000000001</v>
      </c>
      <c r="L7" s="35">
        <f t="shared" si="1"/>
        <v>1667.8400000000001</v>
      </c>
      <c r="M7" s="35">
        <f t="shared" si="1"/>
        <v>1655.84</v>
      </c>
      <c r="N7" s="35">
        <f t="shared" si="1"/>
        <v>1685.44</v>
      </c>
      <c r="O7" s="35">
        <f t="shared" si="1"/>
        <v>1768.6399999999999</v>
      </c>
      <c r="P7" s="35">
        <f t="shared" si="1"/>
        <v>1787.8400000000001</v>
      </c>
      <c r="Q7" s="35">
        <f t="shared" si="1"/>
        <v>1832.69</v>
      </c>
      <c r="R7" s="35">
        <f t="shared" si="1"/>
        <v>1869.1399999999999</v>
      </c>
      <c r="S7" s="35">
        <f t="shared" si="1"/>
        <v>1851.1399999999999</v>
      </c>
      <c r="T7" s="35">
        <f t="shared" si="1"/>
        <v>1845.04</v>
      </c>
      <c r="U7" s="35">
        <f t="shared" si="1"/>
        <v>1819.04</v>
      </c>
      <c r="V7" s="35">
        <f t="shared" si="1"/>
        <v>1776.7399999999998</v>
      </c>
      <c r="W7" s="35">
        <f t="shared" si="1"/>
        <v>1704.3400000000001</v>
      </c>
      <c r="X7" s="35">
        <f t="shared" si="1"/>
        <v>1636.04</v>
      </c>
      <c r="Y7" s="35">
        <f t="shared" si="1"/>
        <v>1390</v>
      </c>
      <c r="Z7" s="35">
        <f t="shared" si="1"/>
        <v>1508</v>
      </c>
      <c r="AA7" s="35">
        <f t="shared" si="1"/>
        <v>1671.6</v>
      </c>
      <c r="AB7" s="35">
        <f t="shared" si="1"/>
        <v>1907.54</v>
      </c>
      <c r="AC7" s="35">
        <f t="shared" si="1"/>
        <v>1874.44</v>
      </c>
      <c r="AD7" s="35">
        <f t="shared" si="1"/>
        <v>1850.14</v>
      </c>
      <c r="AE7" s="35">
        <f t="shared" si="1"/>
        <v>1768.04</v>
      </c>
      <c r="AF7" s="35">
        <f t="shared" si="1"/>
        <v>1672.34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1907.54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1907.54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54.9</v>
      </c>
      <c r="C11" s="46">
        <v>54.9</v>
      </c>
      <c r="D11" s="46">
        <v>54.9</v>
      </c>
      <c r="E11" s="46">
        <v>54.9</v>
      </c>
      <c r="F11" s="46">
        <v>54.9</v>
      </c>
      <c r="G11" s="46">
        <v>54.9</v>
      </c>
      <c r="H11" s="46">
        <v>54.9</v>
      </c>
      <c r="I11" s="46">
        <v>54.9</v>
      </c>
      <c r="J11" s="46">
        <v>54.9</v>
      </c>
      <c r="K11" s="46">
        <v>54.9</v>
      </c>
      <c r="L11" s="46">
        <v>54.9</v>
      </c>
      <c r="M11" s="46">
        <v>27</v>
      </c>
      <c r="N11" s="46">
        <v>27</v>
      </c>
      <c r="O11" s="46">
        <v>26.8</v>
      </c>
      <c r="P11" s="46">
        <v>26.8</v>
      </c>
      <c r="Q11" s="46">
        <v>26.9</v>
      </c>
      <c r="R11" s="46">
        <v>29.7</v>
      </c>
      <c r="S11" s="46">
        <v>29.7</v>
      </c>
      <c r="T11" s="46">
        <v>29.7</v>
      </c>
      <c r="U11" s="46">
        <v>29.7</v>
      </c>
      <c r="V11" s="46">
        <v>29.7</v>
      </c>
      <c r="W11" s="46">
        <v>29.7</v>
      </c>
      <c r="X11" s="46">
        <v>29.7</v>
      </c>
      <c r="Y11" s="46">
        <v>29.7</v>
      </c>
      <c r="Z11" s="46">
        <v>29.7</v>
      </c>
      <c r="AA11" s="46">
        <v>29.7</v>
      </c>
      <c r="AB11" s="46">
        <v>17</v>
      </c>
      <c r="AC11" s="46">
        <v>17</v>
      </c>
      <c r="AD11" s="46">
        <v>17</v>
      </c>
      <c r="AE11" s="46">
        <v>17</v>
      </c>
      <c r="AF11" s="46">
        <v>17</v>
      </c>
      <c r="AG11" s="47">
        <v>86</v>
      </c>
      <c r="AH11" s="48">
        <f t="shared" ref="AH11:AH16" si="2">MAX(B11:AF11)</f>
        <v>54.9</v>
      </c>
      <c r="AI11" s="49">
        <f t="shared" ref="AI11:AI16" si="3">MIN(B11:AF11)</f>
        <v>17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12</v>
      </c>
      <c r="AC12" s="46">
        <v>12</v>
      </c>
      <c r="AD12" s="46">
        <v>12</v>
      </c>
      <c r="AE12" s="46">
        <v>12</v>
      </c>
      <c r="AF12" s="46">
        <v>12</v>
      </c>
      <c r="AG12" s="50">
        <v>54</v>
      </c>
      <c r="AH12" s="48">
        <f t="shared" si="2"/>
        <v>12</v>
      </c>
      <c r="AI12" s="49">
        <f t="shared" si="3"/>
        <v>12</v>
      </c>
      <c r="AK12" s="51"/>
      <c r="AL12" s="52" t="str">
        <f ca="1">MID(CELL("filename",C7),FIND("]",CELL("filename",C7))+1,600)</f>
        <v>03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14.4</v>
      </c>
      <c r="C13" s="46">
        <v>14.4</v>
      </c>
      <c r="D13" s="46">
        <v>14.4</v>
      </c>
      <c r="E13" s="46">
        <v>14.4</v>
      </c>
      <c r="F13" s="46">
        <v>14.4</v>
      </c>
      <c r="G13" s="46">
        <v>14.4</v>
      </c>
      <c r="H13" s="46">
        <v>14.4</v>
      </c>
      <c r="I13" s="46">
        <v>14.4</v>
      </c>
      <c r="J13" s="46">
        <v>14.4</v>
      </c>
      <c r="K13" s="46">
        <v>14.4</v>
      </c>
      <c r="L13" s="46">
        <v>14.4</v>
      </c>
      <c r="M13" s="46">
        <v>14.4</v>
      </c>
      <c r="N13" s="46">
        <v>14.4</v>
      </c>
      <c r="O13" s="46">
        <v>14.4</v>
      </c>
      <c r="P13" s="46">
        <v>14.4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54</v>
      </c>
      <c r="AH13" s="48">
        <f t="shared" si="2"/>
        <v>14.4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50.5</v>
      </c>
      <c r="C15" s="46">
        <v>50.5</v>
      </c>
      <c r="D15" s="46">
        <v>50.5</v>
      </c>
      <c r="E15" s="46">
        <v>50.5</v>
      </c>
      <c r="F15" s="46">
        <v>50.5</v>
      </c>
      <c r="G15" s="46">
        <v>50.5</v>
      </c>
      <c r="H15" s="46">
        <v>50.5</v>
      </c>
      <c r="I15" s="46">
        <v>50.5</v>
      </c>
      <c r="J15" s="46">
        <v>50.5</v>
      </c>
      <c r="K15" s="46">
        <v>50.5</v>
      </c>
      <c r="L15" s="46">
        <v>50.5</v>
      </c>
      <c r="M15" s="46">
        <v>50.5</v>
      </c>
      <c r="N15" s="46">
        <v>50.5</v>
      </c>
      <c r="O15" s="46">
        <v>50.5</v>
      </c>
      <c r="P15" s="46">
        <v>50.5</v>
      </c>
      <c r="Q15" s="46">
        <v>50.4</v>
      </c>
      <c r="R15" s="46">
        <v>50.4</v>
      </c>
      <c r="S15" s="46">
        <v>50.4</v>
      </c>
      <c r="T15" s="46">
        <v>50.4</v>
      </c>
      <c r="U15" s="46">
        <v>50.4</v>
      </c>
      <c r="V15" s="46">
        <v>50.4</v>
      </c>
      <c r="W15" s="46">
        <v>50.4</v>
      </c>
      <c r="X15" s="46">
        <v>50.4</v>
      </c>
      <c r="Y15" s="46">
        <v>50.4</v>
      </c>
      <c r="Z15" s="46">
        <v>50.4</v>
      </c>
      <c r="AA15" s="46">
        <v>50.4</v>
      </c>
      <c r="AB15" s="53">
        <v>49.6</v>
      </c>
      <c r="AC15" s="53">
        <v>49.6</v>
      </c>
      <c r="AD15" s="53">
        <v>49.6</v>
      </c>
      <c r="AE15" s="53">
        <v>49.6</v>
      </c>
      <c r="AF15" s="53">
        <v>49.6</v>
      </c>
      <c r="AG15" s="50">
        <v>50</v>
      </c>
      <c r="AH15" s="48">
        <f t="shared" si="2"/>
        <v>50.5</v>
      </c>
      <c r="AI15" s="49">
        <f t="shared" si="3"/>
        <v>49.6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551</v>
      </c>
      <c r="AN16" s="59">
        <f t="shared" si="4"/>
        <v>551</v>
      </c>
      <c r="AO16" s="59">
        <f t="shared" si="4"/>
        <v>551</v>
      </c>
      <c r="AP16" s="59">
        <f t="shared" si="4"/>
        <v>551</v>
      </c>
      <c r="AQ16" s="59">
        <f t="shared" si="4"/>
        <v>563</v>
      </c>
      <c r="AR16" s="59">
        <f t="shared" si="4"/>
        <v>563</v>
      </c>
      <c r="AS16" s="59">
        <f>I58</f>
        <v>563</v>
      </c>
      <c r="AT16" s="59">
        <f>K58</f>
        <v>563</v>
      </c>
      <c r="AU16" s="59">
        <f t="shared" ref="AU16:BD16" si="5">M58</f>
        <v>515.5</v>
      </c>
      <c r="AV16" s="59">
        <f t="shared" si="5"/>
        <v>515.5</v>
      </c>
      <c r="AW16" s="59">
        <f t="shared" si="5"/>
        <v>526.1</v>
      </c>
      <c r="AX16" s="59">
        <f t="shared" si="5"/>
        <v>526.1</v>
      </c>
      <c r="AY16" s="59">
        <f t="shared" si="5"/>
        <v>511.70000000000005</v>
      </c>
      <c r="AZ16" s="59">
        <f t="shared" si="5"/>
        <v>514.5</v>
      </c>
      <c r="BA16" s="59">
        <f t="shared" si="5"/>
        <v>514.5</v>
      </c>
      <c r="BB16" s="59">
        <f t="shared" si="5"/>
        <v>514.5</v>
      </c>
      <c r="BC16" s="59">
        <f t="shared" si="5"/>
        <v>514.5</v>
      </c>
      <c r="BD16" s="59">
        <f t="shared" si="5"/>
        <v>514.5</v>
      </c>
      <c r="BE16" s="60">
        <f>X58</f>
        <v>514.5</v>
      </c>
      <c r="BF16" s="60">
        <f>Z58</f>
        <v>514.5</v>
      </c>
      <c r="BG16" s="60">
        <f>AB58</f>
        <v>512</v>
      </c>
      <c r="BH16" s="60">
        <f>AD58</f>
        <v>512</v>
      </c>
      <c r="BI16" s="60">
        <f>AE58</f>
        <v>512</v>
      </c>
      <c r="BJ16" s="60">
        <f>AF58</f>
        <v>512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</v>
      </c>
      <c r="U17" s="46">
        <v>16</v>
      </c>
      <c r="V17" s="46">
        <v>16</v>
      </c>
      <c r="W17" s="46">
        <v>16</v>
      </c>
      <c r="X17" s="46">
        <v>16</v>
      </c>
      <c r="Y17" s="46">
        <v>16</v>
      </c>
      <c r="Z17" s="46">
        <v>16</v>
      </c>
      <c r="AA17" s="46">
        <v>16</v>
      </c>
      <c r="AB17" s="46">
        <v>16</v>
      </c>
      <c r="AC17" s="46">
        <v>16</v>
      </c>
      <c r="AD17" s="46">
        <v>16</v>
      </c>
      <c r="AE17" s="46">
        <v>16</v>
      </c>
      <c r="AF17" s="46">
        <v>16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221.10000000000002</v>
      </c>
      <c r="AN17" s="59">
        <f t="shared" si="6"/>
        <v>211.10000000000002</v>
      </c>
      <c r="AO17" s="59">
        <f t="shared" si="6"/>
        <v>231.10000000000002</v>
      </c>
      <c r="AP17" s="59">
        <f t="shared" si="6"/>
        <v>223.10000000000002</v>
      </c>
      <c r="AQ17" s="59">
        <f t="shared" si="6"/>
        <v>223.10000000000002</v>
      </c>
      <c r="AR17" s="59">
        <f t="shared" si="6"/>
        <v>202.10000000000002</v>
      </c>
      <c r="AS17" s="59">
        <f>I62</f>
        <v>138.69999999999999</v>
      </c>
      <c r="AT17" s="59">
        <f>K62</f>
        <v>46</v>
      </c>
      <c r="AU17" s="59">
        <f t="shared" ref="AU17:BD17" si="7">M62</f>
        <v>46</v>
      </c>
      <c r="AV17" s="59">
        <f t="shared" si="7"/>
        <v>44.9</v>
      </c>
      <c r="AW17" s="59">
        <f t="shared" si="7"/>
        <v>43.7</v>
      </c>
      <c r="AX17" s="59">
        <f t="shared" si="7"/>
        <v>38.700000000000003</v>
      </c>
      <c r="AY17" s="59">
        <f t="shared" si="7"/>
        <v>38.900000000000006</v>
      </c>
      <c r="AZ17" s="59">
        <f t="shared" si="7"/>
        <v>38.799999999999997</v>
      </c>
      <c r="BA17" s="59">
        <f t="shared" si="7"/>
        <v>38.799999999999997</v>
      </c>
      <c r="BB17" s="59">
        <f t="shared" si="7"/>
        <v>38.799999999999997</v>
      </c>
      <c r="BC17" s="59">
        <f t="shared" si="7"/>
        <v>38.799999999999997</v>
      </c>
      <c r="BD17" s="59">
        <f t="shared" si="7"/>
        <v>38.799999999999997</v>
      </c>
      <c r="BE17" s="60">
        <f>X62</f>
        <v>71.400000000000006</v>
      </c>
      <c r="BF17" s="60">
        <f>Z62</f>
        <v>324</v>
      </c>
      <c r="BG17" s="60">
        <f>AB62</f>
        <v>502.8</v>
      </c>
      <c r="BH17" s="60">
        <f>AD62</f>
        <v>401.6</v>
      </c>
      <c r="BI17" s="60">
        <f>AE62</f>
        <v>345.5</v>
      </c>
      <c r="BJ17" s="60">
        <f>AF62</f>
        <v>146.5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19</v>
      </c>
      <c r="C18" s="46">
        <v>19</v>
      </c>
      <c r="D18" s="46">
        <v>19</v>
      </c>
      <c r="E18" s="46">
        <v>19</v>
      </c>
      <c r="F18" s="46">
        <v>19</v>
      </c>
      <c r="G18" s="46">
        <v>19</v>
      </c>
      <c r="H18" s="46">
        <v>19</v>
      </c>
      <c r="I18" s="46">
        <v>19</v>
      </c>
      <c r="J18" s="46">
        <v>19</v>
      </c>
      <c r="K18" s="46">
        <v>19</v>
      </c>
      <c r="L18" s="46">
        <v>19</v>
      </c>
      <c r="M18" s="46">
        <v>19</v>
      </c>
      <c r="N18" s="46">
        <v>19</v>
      </c>
      <c r="O18" s="46">
        <v>19</v>
      </c>
      <c r="P18" s="46">
        <v>19</v>
      </c>
      <c r="Q18" s="46">
        <v>19</v>
      </c>
      <c r="R18" s="46">
        <v>19</v>
      </c>
      <c r="S18" s="46">
        <v>19</v>
      </c>
      <c r="T18" s="46">
        <v>19</v>
      </c>
      <c r="U18" s="46">
        <v>19</v>
      </c>
      <c r="V18" s="46">
        <v>19</v>
      </c>
      <c r="W18" s="46">
        <v>19</v>
      </c>
      <c r="X18" s="46">
        <v>19</v>
      </c>
      <c r="Y18" s="46">
        <v>19</v>
      </c>
      <c r="Z18" s="46">
        <v>19</v>
      </c>
      <c r="AA18" s="46">
        <v>19</v>
      </c>
      <c r="AB18" s="46">
        <v>20</v>
      </c>
      <c r="AC18" s="46">
        <v>20</v>
      </c>
      <c r="AD18" s="46">
        <v>20</v>
      </c>
      <c r="AE18" s="46">
        <v>20</v>
      </c>
      <c r="AF18" s="46">
        <v>20</v>
      </c>
      <c r="AG18" s="50">
        <v>42</v>
      </c>
      <c r="AH18" s="48">
        <f t="shared" ref="AH18:AH81" si="8">MAX(B18:AF18)</f>
        <v>20</v>
      </c>
      <c r="AI18" s="49">
        <f t="shared" ref="AI18:AI81" si="9">MIN(B18:AF18)</f>
        <v>19</v>
      </c>
      <c r="AK18" s="51"/>
      <c r="AL18" s="54" t="s">
        <v>29</v>
      </c>
      <c r="AM18" s="59">
        <f t="shared" ref="AM18:AR18" si="10">B76</f>
        <v>306.33999999999997</v>
      </c>
      <c r="AN18" s="59">
        <f t="shared" si="10"/>
        <v>306.33999999999997</v>
      </c>
      <c r="AO18" s="59">
        <f t="shared" si="10"/>
        <v>327.33999999999997</v>
      </c>
      <c r="AP18" s="59">
        <f t="shared" si="10"/>
        <v>340.94</v>
      </c>
      <c r="AQ18" s="59">
        <f t="shared" si="10"/>
        <v>345.94000000000005</v>
      </c>
      <c r="AR18" s="59">
        <f t="shared" si="10"/>
        <v>345.94000000000005</v>
      </c>
      <c r="AS18" s="59">
        <f>I76</f>
        <v>395.64000000000004</v>
      </c>
      <c r="AT18" s="59">
        <f>K76</f>
        <v>321.54000000000002</v>
      </c>
      <c r="AU18" s="59">
        <f t="shared" ref="AU18:BD18" si="11">M76</f>
        <v>299.14000000000004</v>
      </c>
      <c r="AV18" s="59">
        <f t="shared" si="11"/>
        <v>239.54</v>
      </c>
      <c r="AW18" s="59">
        <f t="shared" si="11"/>
        <v>280.24</v>
      </c>
      <c r="AX18" s="59">
        <f t="shared" si="11"/>
        <v>287.44</v>
      </c>
      <c r="AY18" s="59">
        <f t="shared" si="11"/>
        <v>293.29000000000002</v>
      </c>
      <c r="AZ18" s="59">
        <f t="shared" si="11"/>
        <v>308.44000000000005</v>
      </c>
      <c r="BA18" s="59">
        <f t="shared" si="11"/>
        <v>304.24</v>
      </c>
      <c r="BB18" s="59">
        <f t="shared" si="11"/>
        <v>302.24</v>
      </c>
      <c r="BC18" s="59">
        <f t="shared" si="11"/>
        <v>300.24</v>
      </c>
      <c r="BD18" s="59">
        <f t="shared" si="11"/>
        <v>283.24</v>
      </c>
      <c r="BE18" s="60">
        <f>X76</f>
        <v>312.54000000000002</v>
      </c>
      <c r="BF18" s="60">
        <f>Z76</f>
        <v>388.9</v>
      </c>
      <c r="BG18" s="60">
        <f>AB76</f>
        <v>394.53999999999996</v>
      </c>
      <c r="BH18" s="60">
        <f>AD76</f>
        <v>364.64</v>
      </c>
      <c r="BI18" s="60">
        <f>AE76</f>
        <v>364.64</v>
      </c>
      <c r="BJ18" s="60">
        <f>AF76</f>
        <v>305.33999999999997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19.899999999999999</v>
      </c>
      <c r="C19" s="46">
        <v>19.899999999999999</v>
      </c>
      <c r="D19" s="46">
        <v>19.899999999999999</v>
      </c>
      <c r="E19" s="46">
        <v>19.899999999999999</v>
      </c>
      <c r="F19" s="46">
        <v>19.899999999999999</v>
      </c>
      <c r="G19" s="46">
        <v>19.899999999999999</v>
      </c>
      <c r="H19" s="46">
        <v>19.899999999999999</v>
      </c>
      <c r="I19" s="46">
        <v>19.899999999999999</v>
      </c>
      <c r="J19" s="46">
        <v>19.899999999999999</v>
      </c>
      <c r="K19" s="46">
        <v>19.899999999999999</v>
      </c>
      <c r="L19" s="46">
        <v>19.899999999999999</v>
      </c>
      <c r="M19" s="46">
        <v>19.899999999999999</v>
      </c>
      <c r="N19" s="46">
        <v>19.899999999999999</v>
      </c>
      <c r="O19" s="46">
        <v>19.899999999999999</v>
      </c>
      <c r="P19" s="46">
        <v>19.899999999999999</v>
      </c>
      <c r="Q19" s="46">
        <v>19.899999999999999</v>
      </c>
      <c r="R19" s="46">
        <v>19.899999999999999</v>
      </c>
      <c r="S19" s="46">
        <v>19.899999999999999</v>
      </c>
      <c r="T19" s="46">
        <v>19.899999999999999</v>
      </c>
      <c r="U19" s="46">
        <v>19.899999999999999</v>
      </c>
      <c r="V19" s="46">
        <v>19.899999999999999</v>
      </c>
      <c r="W19" s="46">
        <v>19.899999999999999</v>
      </c>
      <c r="X19" s="46">
        <v>19.899999999999999</v>
      </c>
      <c r="Y19" s="46">
        <v>19.899999999999999</v>
      </c>
      <c r="Z19" s="46">
        <v>19.899999999999999</v>
      </c>
      <c r="AA19" s="46">
        <v>19.899999999999999</v>
      </c>
      <c r="AB19" s="46">
        <v>18.600000000000001</v>
      </c>
      <c r="AC19" s="46">
        <v>18.600000000000001</v>
      </c>
      <c r="AD19" s="46">
        <v>18.600000000000001</v>
      </c>
      <c r="AE19" s="46">
        <v>18.600000000000001</v>
      </c>
      <c r="AF19" s="46">
        <v>18.600000000000001</v>
      </c>
      <c r="AG19" s="50">
        <v>38.46</v>
      </c>
      <c r="AH19" s="48">
        <f t="shared" si="8"/>
        <v>19.899999999999999</v>
      </c>
      <c r="AI19" s="49">
        <f t="shared" si="9"/>
        <v>18.600000000000001</v>
      </c>
      <c r="AK19" s="51"/>
      <c r="AL19" s="54" t="s">
        <v>31</v>
      </c>
      <c r="AM19" s="59">
        <f t="shared" ref="AM19:AR19" si="12">B92</f>
        <v>87</v>
      </c>
      <c r="AN19" s="59">
        <f t="shared" si="12"/>
        <v>92</v>
      </c>
      <c r="AO19" s="59">
        <f t="shared" si="12"/>
        <v>67</v>
      </c>
      <c r="AP19" s="59">
        <f t="shared" si="12"/>
        <v>77.3</v>
      </c>
      <c r="AQ19" s="59">
        <f t="shared" si="12"/>
        <v>66.5</v>
      </c>
      <c r="AR19" s="59">
        <f t="shared" si="12"/>
        <v>98</v>
      </c>
      <c r="AS19" s="59">
        <f>I92</f>
        <v>148.30000000000001</v>
      </c>
      <c r="AT19" s="59">
        <f>K92</f>
        <v>615.70000000000005</v>
      </c>
      <c r="AU19" s="59">
        <f t="shared" ref="AU19:BD19" si="13">M92</f>
        <v>732.8</v>
      </c>
      <c r="AV19" s="59">
        <f t="shared" si="13"/>
        <v>822.70000000000016</v>
      </c>
      <c r="AW19" s="59">
        <f t="shared" si="13"/>
        <v>856.19999999999993</v>
      </c>
      <c r="AX19" s="59">
        <f t="shared" si="13"/>
        <v>873.2</v>
      </c>
      <c r="AY19" s="59">
        <f t="shared" si="13"/>
        <v>891.3</v>
      </c>
      <c r="AZ19" s="59">
        <f t="shared" si="13"/>
        <v>907.19999999999993</v>
      </c>
      <c r="BA19" s="59">
        <f t="shared" si="13"/>
        <v>895.19999999999993</v>
      </c>
      <c r="BB19" s="59">
        <f t="shared" si="13"/>
        <v>891.1</v>
      </c>
      <c r="BC19" s="59">
        <f t="shared" si="13"/>
        <v>867.2</v>
      </c>
      <c r="BD19" s="59">
        <f t="shared" si="13"/>
        <v>841.9</v>
      </c>
      <c r="BE19" s="60">
        <f>X92</f>
        <v>638.4</v>
      </c>
      <c r="BF19" s="60">
        <f>Z92</f>
        <v>191.5</v>
      </c>
      <c r="BG19" s="60">
        <f>AB92</f>
        <v>154.80000000000001</v>
      </c>
      <c r="BH19" s="60">
        <f>AD92</f>
        <v>222.70000000000002</v>
      </c>
      <c r="BI19" s="60">
        <f>AE92</f>
        <v>200.9</v>
      </c>
      <c r="BJ19" s="60">
        <f>AF92</f>
        <v>350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12</v>
      </c>
      <c r="C20" s="46">
        <v>12</v>
      </c>
      <c r="D20" s="46">
        <v>12</v>
      </c>
      <c r="E20" s="46">
        <v>12</v>
      </c>
      <c r="F20" s="46">
        <v>12</v>
      </c>
      <c r="G20" s="46">
        <v>12</v>
      </c>
      <c r="H20" s="46">
        <v>12</v>
      </c>
      <c r="I20" s="46">
        <v>12</v>
      </c>
      <c r="J20" s="46">
        <v>12</v>
      </c>
      <c r="K20" s="46">
        <v>12</v>
      </c>
      <c r="L20" s="46">
        <v>12</v>
      </c>
      <c r="M20" s="46">
        <v>12</v>
      </c>
      <c r="N20" s="46">
        <v>12</v>
      </c>
      <c r="O20" s="46">
        <v>12</v>
      </c>
      <c r="P20" s="46">
        <v>12</v>
      </c>
      <c r="Q20" s="46">
        <v>12</v>
      </c>
      <c r="R20" s="46">
        <v>12</v>
      </c>
      <c r="S20" s="46">
        <v>12</v>
      </c>
      <c r="T20" s="46">
        <v>12</v>
      </c>
      <c r="U20" s="46">
        <v>12</v>
      </c>
      <c r="V20" s="46">
        <v>12</v>
      </c>
      <c r="W20" s="46">
        <v>12</v>
      </c>
      <c r="X20" s="46">
        <v>12</v>
      </c>
      <c r="Y20" s="46">
        <v>12</v>
      </c>
      <c r="Z20" s="46">
        <v>12</v>
      </c>
      <c r="AA20" s="46">
        <v>12</v>
      </c>
      <c r="AB20" s="46">
        <v>15</v>
      </c>
      <c r="AC20" s="46">
        <v>15</v>
      </c>
      <c r="AD20" s="46">
        <v>15</v>
      </c>
      <c r="AE20" s="46">
        <v>15</v>
      </c>
      <c r="AF20" s="46">
        <v>15</v>
      </c>
      <c r="AG20" s="50">
        <v>38.46</v>
      </c>
      <c r="AH20" s="48">
        <f t="shared" si="8"/>
        <v>15</v>
      </c>
      <c r="AI20" s="49">
        <f t="shared" si="9"/>
        <v>12</v>
      </c>
      <c r="AK20" s="51"/>
      <c r="AL20" s="54" t="s">
        <v>33</v>
      </c>
      <c r="AM20" s="59">
        <f t="shared" ref="AM20:AR20" si="14">B80</f>
        <v>96.300000000000011</v>
      </c>
      <c r="AN20" s="59">
        <f t="shared" si="14"/>
        <v>80</v>
      </c>
      <c r="AO20" s="59">
        <f t="shared" si="14"/>
        <v>49</v>
      </c>
      <c r="AP20" s="59">
        <f t="shared" si="14"/>
        <v>30.099999999999998</v>
      </c>
      <c r="AQ20" s="59">
        <f t="shared" si="14"/>
        <v>30.099999999999998</v>
      </c>
      <c r="AR20" s="59">
        <f t="shared" si="14"/>
        <v>30.099999999999998</v>
      </c>
      <c r="AS20" s="59">
        <f>I80</f>
        <v>74.2</v>
      </c>
      <c r="AT20" s="59">
        <f>K80</f>
        <v>62.1</v>
      </c>
      <c r="AU20" s="59">
        <f t="shared" ref="AU20:BD20" si="15">M80</f>
        <v>62.4</v>
      </c>
      <c r="AV20" s="59">
        <f t="shared" si="15"/>
        <v>62.800000000000004</v>
      </c>
      <c r="AW20" s="59">
        <f t="shared" si="15"/>
        <v>62.4</v>
      </c>
      <c r="AX20" s="59">
        <f t="shared" si="15"/>
        <v>62.4</v>
      </c>
      <c r="AY20" s="59">
        <f t="shared" si="15"/>
        <v>97.5</v>
      </c>
      <c r="AZ20" s="59">
        <f t="shared" si="15"/>
        <v>100.2</v>
      </c>
      <c r="BA20" s="59">
        <f t="shared" si="15"/>
        <v>98.4</v>
      </c>
      <c r="BB20" s="59">
        <f t="shared" si="15"/>
        <v>98.4</v>
      </c>
      <c r="BC20" s="59">
        <f t="shared" si="15"/>
        <v>98.300000000000011</v>
      </c>
      <c r="BD20" s="59">
        <f t="shared" si="15"/>
        <v>98.300000000000011</v>
      </c>
      <c r="BE20" s="60">
        <f>X80</f>
        <v>99.199999999999989</v>
      </c>
      <c r="BF20" s="60">
        <f>Z80</f>
        <v>89.1</v>
      </c>
      <c r="BG20" s="60">
        <f>AB80</f>
        <v>93.4</v>
      </c>
      <c r="BH20" s="60">
        <f>AD80</f>
        <v>99.2</v>
      </c>
      <c r="BI20" s="60">
        <f>AE80</f>
        <v>95</v>
      </c>
      <c r="BJ20" s="60">
        <f>AF80</f>
        <v>98.5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250</v>
      </c>
      <c r="AO21" s="59">
        <f t="shared" si="16"/>
        <v>250</v>
      </c>
      <c r="AP21" s="59">
        <f t="shared" si="16"/>
        <v>250</v>
      </c>
      <c r="AQ21" s="59">
        <f t="shared" si="16"/>
        <v>250</v>
      </c>
      <c r="AR21" s="59">
        <f t="shared" si="16"/>
        <v>250</v>
      </c>
      <c r="AS21" s="59">
        <f>I98</f>
        <v>250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250</v>
      </c>
      <c r="BH21" s="60">
        <f>AD98</f>
        <v>250</v>
      </c>
      <c r="BI21" s="60">
        <f>AE98</f>
        <v>250</v>
      </c>
      <c r="BJ21" s="60">
        <f>AF98</f>
        <v>260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9.6999999999999993</v>
      </c>
      <c r="C22" s="46">
        <v>9.6999999999999993</v>
      </c>
      <c r="D22" s="46">
        <v>9.6999999999999993</v>
      </c>
      <c r="E22" s="46">
        <v>9.6999999999999993</v>
      </c>
      <c r="F22" s="46">
        <v>9.6999999999999993</v>
      </c>
      <c r="G22" s="46">
        <v>9.6999999999999993</v>
      </c>
      <c r="H22" s="46">
        <v>9.6999999999999993</v>
      </c>
      <c r="I22" s="46">
        <v>9.6999999999999993</v>
      </c>
      <c r="J22" s="46">
        <v>9.6999999999999993</v>
      </c>
      <c r="K22" s="46">
        <v>9.6999999999999993</v>
      </c>
      <c r="L22" s="46">
        <v>9.6999999999999993</v>
      </c>
      <c r="M22" s="46">
        <v>9.6999999999999993</v>
      </c>
      <c r="N22" s="46">
        <v>9.6999999999999993</v>
      </c>
      <c r="O22" s="46">
        <v>9.6999999999999993</v>
      </c>
      <c r="P22" s="46">
        <v>9.6999999999999993</v>
      </c>
      <c r="Q22" s="46">
        <v>9.6999999999999993</v>
      </c>
      <c r="R22" s="46">
        <v>9.6999999999999993</v>
      </c>
      <c r="S22" s="46">
        <v>9.6999999999999993</v>
      </c>
      <c r="T22" s="46">
        <v>9.6999999999999993</v>
      </c>
      <c r="U22" s="46">
        <v>9.6999999999999993</v>
      </c>
      <c r="V22" s="46">
        <v>9.6999999999999993</v>
      </c>
      <c r="W22" s="46">
        <v>9.6999999999999993</v>
      </c>
      <c r="X22" s="46">
        <v>9.6999999999999993</v>
      </c>
      <c r="Y22" s="46">
        <v>9.6999999999999993</v>
      </c>
      <c r="Z22" s="46">
        <v>9.6999999999999993</v>
      </c>
      <c r="AA22" s="46">
        <v>9.6999999999999993</v>
      </c>
      <c r="AB22" s="46">
        <v>9</v>
      </c>
      <c r="AC22" s="46">
        <v>9</v>
      </c>
      <c r="AD22" s="46">
        <v>9</v>
      </c>
      <c r="AE22" s="46">
        <v>9</v>
      </c>
      <c r="AF22" s="46">
        <v>9</v>
      </c>
      <c r="AG22" s="61">
        <v>30</v>
      </c>
      <c r="AH22" s="48">
        <f t="shared" si="8"/>
        <v>9.6999999999999993</v>
      </c>
      <c r="AI22" s="49">
        <f t="shared" si="9"/>
        <v>9</v>
      </c>
      <c r="AK22" s="51"/>
      <c r="AL22" s="62" t="s">
        <v>37</v>
      </c>
      <c r="AM22" s="63">
        <f t="shared" ref="AM22:BJ22" si="18">SUM(AM16:AM21)</f>
        <v>1511.74</v>
      </c>
      <c r="AN22" s="63">
        <f t="shared" si="18"/>
        <v>1490.44</v>
      </c>
      <c r="AO22" s="63">
        <f t="shared" si="18"/>
        <v>1475.44</v>
      </c>
      <c r="AP22" s="63">
        <f t="shared" si="18"/>
        <v>1472.4399999999998</v>
      </c>
      <c r="AQ22" s="63">
        <f t="shared" si="18"/>
        <v>1478.6399999999999</v>
      </c>
      <c r="AR22" s="63">
        <f t="shared" si="18"/>
        <v>1489.1399999999999</v>
      </c>
      <c r="AS22" s="63">
        <f t="shared" si="18"/>
        <v>1569.8400000000001</v>
      </c>
      <c r="AT22" s="63">
        <f t="shared" si="18"/>
        <v>1608.34</v>
      </c>
      <c r="AU22" s="63">
        <f t="shared" si="18"/>
        <v>1655.8400000000001</v>
      </c>
      <c r="AV22" s="63">
        <f t="shared" si="18"/>
        <v>1685.44</v>
      </c>
      <c r="AW22" s="63">
        <f t="shared" si="18"/>
        <v>1768.64</v>
      </c>
      <c r="AX22" s="63">
        <f t="shared" si="18"/>
        <v>1787.8400000000001</v>
      </c>
      <c r="AY22" s="63">
        <f t="shared" si="18"/>
        <v>1832.69</v>
      </c>
      <c r="AZ22" s="63">
        <f t="shared" si="18"/>
        <v>1869.14</v>
      </c>
      <c r="BA22" s="63">
        <f t="shared" si="18"/>
        <v>1851.1399999999999</v>
      </c>
      <c r="BB22" s="63">
        <f t="shared" si="18"/>
        <v>1845.04</v>
      </c>
      <c r="BC22" s="63">
        <f t="shared" si="18"/>
        <v>1819.04</v>
      </c>
      <c r="BD22" s="63">
        <f t="shared" si="18"/>
        <v>1776.74</v>
      </c>
      <c r="BE22" s="63">
        <f t="shared" si="18"/>
        <v>1636.0400000000002</v>
      </c>
      <c r="BF22" s="63">
        <f t="shared" si="18"/>
        <v>1508</v>
      </c>
      <c r="BG22" s="63">
        <f t="shared" si="18"/>
        <v>1907.54</v>
      </c>
      <c r="BH22" s="63">
        <f t="shared" si="18"/>
        <v>1850.14</v>
      </c>
      <c r="BI22" s="63">
        <f t="shared" si="18"/>
        <v>1768.04</v>
      </c>
      <c r="BJ22" s="63">
        <f t="shared" si="18"/>
        <v>1672.34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</v>
      </c>
      <c r="C23" s="46">
        <v>7</v>
      </c>
      <c r="D23" s="46">
        <v>7</v>
      </c>
      <c r="E23" s="46">
        <v>7</v>
      </c>
      <c r="F23" s="46">
        <v>7</v>
      </c>
      <c r="G23" s="46">
        <v>7</v>
      </c>
      <c r="H23" s="46">
        <v>7</v>
      </c>
      <c r="I23" s="46">
        <v>7</v>
      </c>
      <c r="J23" s="46">
        <v>7</v>
      </c>
      <c r="K23" s="46">
        <v>7</v>
      </c>
      <c r="L23" s="46">
        <v>7</v>
      </c>
      <c r="M23" s="46">
        <v>7</v>
      </c>
      <c r="N23" s="46">
        <v>7</v>
      </c>
      <c r="O23" s="46">
        <v>7</v>
      </c>
      <c r="P23" s="46">
        <v>7</v>
      </c>
      <c r="Q23" s="46">
        <v>7</v>
      </c>
      <c r="R23" s="46">
        <v>7</v>
      </c>
      <c r="S23" s="46">
        <v>7</v>
      </c>
      <c r="T23" s="46">
        <v>7</v>
      </c>
      <c r="U23" s="46">
        <v>7</v>
      </c>
      <c r="V23" s="46">
        <v>7</v>
      </c>
      <c r="W23" s="46">
        <v>7</v>
      </c>
      <c r="X23" s="46">
        <v>7</v>
      </c>
      <c r="Y23" s="46">
        <v>7</v>
      </c>
      <c r="Z23" s="46">
        <v>7</v>
      </c>
      <c r="AA23" s="46">
        <v>7</v>
      </c>
      <c r="AB23" s="46">
        <v>7</v>
      </c>
      <c r="AC23" s="46">
        <v>7</v>
      </c>
      <c r="AD23" s="46">
        <v>7</v>
      </c>
      <c r="AE23" s="46">
        <v>7</v>
      </c>
      <c r="AF23" s="46">
        <v>7</v>
      </c>
      <c r="AG23" s="50">
        <v>24.2</v>
      </c>
      <c r="AH23" s="48">
        <f t="shared" si="8"/>
        <v>7</v>
      </c>
      <c r="AI23" s="49">
        <f t="shared" si="9"/>
        <v>7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6.6</v>
      </c>
      <c r="C24" s="46">
        <v>6.6</v>
      </c>
      <c r="D24" s="46">
        <v>6.6</v>
      </c>
      <c r="E24" s="46">
        <v>6.6</v>
      </c>
      <c r="F24" s="46">
        <v>6.6</v>
      </c>
      <c r="G24" s="46">
        <v>6.6</v>
      </c>
      <c r="H24" s="46">
        <v>6.6</v>
      </c>
      <c r="I24" s="46">
        <v>6.6</v>
      </c>
      <c r="J24" s="46">
        <v>6.6</v>
      </c>
      <c r="K24" s="46">
        <v>6.6</v>
      </c>
      <c r="L24" s="46">
        <v>6.6</v>
      </c>
      <c r="M24" s="46">
        <v>6.6</v>
      </c>
      <c r="N24" s="46">
        <v>6.6</v>
      </c>
      <c r="O24" s="46">
        <v>6.6</v>
      </c>
      <c r="P24" s="46">
        <v>6.6</v>
      </c>
      <c r="Q24" s="46">
        <v>6.6</v>
      </c>
      <c r="R24" s="46">
        <v>6.6</v>
      </c>
      <c r="S24" s="46">
        <v>6.6</v>
      </c>
      <c r="T24" s="46">
        <v>6.6</v>
      </c>
      <c r="U24" s="46">
        <v>6.6</v>
      </c>
      <c r="V24" s="46">
        <v>6.6</v>
      </c>
      <c r="W24" s="46">
        <v>6.6</v>
      </c>
      <c r="X24" s="46">
        <v>6.6</v>
      </c>
      <c r="Y24" s="46">
        <v>6.6</v>
      </c>
      <c r="Z24" s="46">
        <v>6.6</v>
      </c>
      <c r="AA24" s="46">
        <v>6.6</v>
      </c>
      <c r="AB24" s="46">
        <v>6.8</v>
      </c>
      <c r="AC24" s="46">
        <v>6.8</v>
      </c>
      <c r="AD24" s="46">
        <v>6.8</v>
      </c>
      <c r="AE24" s="46">
        <v>6.8</v>
      </c>
      <c r="AF24" s="46">
        <v>6.8</v>
      </c>
      <c r="AG24" s="50">
        <v>28</v>
      </c>
      <c r="AH24" s="48">
        <f t="shared" si="8"/>
        <v>6.8</v>
      </c>
      <c r="AI24" s="49">
        <f t="shared" si="9"/>
        <v>6.6</v>
      </c>
      <c r="AK24" s="51"/>
      <c r="AL24" s="62" t="s">
        <v>41</v>
      </c>
      <c r="AM24" s="63">
        <f t="shared" ref="AM24:BJ24" si="21">AM22+AM23</f>
        <v>1511.74</v>
      </c>
      <c r="AN24" s="63">
        <f t="shared" si="21"/>
        <v>1490.44</v>
      </c>
      <c r="AO24" s="63">
        <f t="shared" si="21"/>
        <v>1475.44</v>
      </c>
      <c r="AP24" s="63">
        <f t="shared" si="21"/>
        <v>1472.4399999999998</v>
      </c>
      <c r="AQ24" s="63">
        <f t="shared" si="21"/>
        <v>1478.6399999999999</v>
      </c>
      <c r="AR24" s="63">
        <f t="shared" si="21"/>
        <v>1489.1399999999999</v>
      </c>
      <c r="AS24" s="63">
        <f t="shared" si="21"/>
        <v>1569.8400000000001</v>
      </c>
      <c r="AT24" s="63">
        <f t="shared" si="21"/>
        <v>1608.34</v>
      </c>
      <c r="AU24" s="63">
        <f t="shared" si="21"/>
        <v>1655.8400000000001</v>
      </c>
      <c r="AV24" s="63">
        <f t="shared" si="21"/>
        <v>1685.44</v>
      </c>
      <c r="AW24" s="63">
        <f t="shared" si="21"/>
        <v>1768.64</v>
      </c>
      <c r="AX24" s="63">
        <f t="shared" si="21"/>
        <v>1787.8400000000001</v>
      </c>
      <c r="AY24" s="63">
        <f t="shared" si="21"/>
        <v>1832.69</v>
      </c>
      <c r="AZ24" s="63">
        <f t="shared" si="21"/>
        <v>1869.14</v>
      </c>
      <c r="BA24" s="63">
        <f t="shared" si="21"/>
        <v>1851.1399999999999</v>
      </c>
      <c r="BB24" s="63">
        <f t="shared" si="21"/>
        <v>1845.04</v>
      </c>
      <c r="BC24" s="63">
        <f t="shared" si="21"/>
        <v>1819.04</v>
      </c>
      <c r="BD24" s="63">
        <f t="shared" si="21"/>
        <v>1776.74</v>
      </c>
      <c r="BE24" s="63">
        <f t="shared" si="21"/>
        <v>1636.0400000000002</v>
      </c>
      <c r="BF24" s="63">
        <f t="shared" si="21"/>
        <v>1508</v>
      </c>
      <c r="BG24" s="63">
        <f t="shared" si="21"/>
        <v>1907.54</v>
      </c>
      <c r="BH24" s="63">
        <f t="shared" si="21"/>
        <v>1850.14</v>
      </c>
      <c r="BI24" s="63">
        <f t="shared" si="21"/>
        <v>1768.04</v>
      </c>
      <c r="BJ24" s="63">
        <f t="shared" si="21"/>
        <v>1672.34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7.7</v>
      </c>
      <c r="C25" s="46">
        <v>7.7</v>
      </c>
      <c r="D25" s="46">
        <v>7.7</v>
      </c>
      <c r="E25" s="46">
        <v>7.7</v>
      </c>
      <c r="F25" s="46">
        <v>7.7</v>
      </c>
      <c r="G25" s="46">
        <v>7.7</v>
      </c>
      <c r="H25" s="46">
        <v>7.7</v>
      </c>
      <c r="I25" s="46">
        <v>7.7</v>
      </c>
      <c r="J25" s="46">
        <v>7.7</v>
      </c>
      <c r="K25" s="46">
        <v>7.7</v>
      </c>
      <c r="L25" s="46">
        <v>7.7</v>
      </c>
      <c r="M25" s="46">
        <v>7.7</v>
      </c>
      <c r="N25" s="46">
        <v>7.7</v>
      </c>
      <c r="O25" s="46">
        <v>7.7</v>
      </c>
      <c r="P25" s="46">
        <v>7.7</v>
      </c>
      <c r="Q25" s="46">
        <v>7.7</v>
      </c>
      <c r="R25" s="46">
        <v>7.7</v>
      </c>
      <c r="S25" s="46">
        <v>7.7</v>
      </c>
      <c r="T25" s="46">
        <v>7.7</v>
      </c>
      <c r="U25" s="46">
        <v>7.7</v>
      </c>
      <c r="V25" s="46">
        <v>7.7</v>
      </c>
      <c r="W25" s="46">
        <v>7.7</v>
      </c>
      <c r="X25" s="46">
        <v>7.7</v>
      </c>
      <c r="Y25" s="46">
        <v>7.7</v>
      </c>
      <c r="Z25" s="46">
        <v>7.7</v>
      </c>
      <c r="AA25" s="46">
        <v>7.7</v>
      </c>
      <c r="AB25" s="46">
        <v>8.1</v>
      </c>
      <c r="AC25" s="46">
        <v>8.1</v>
      </c>
      <c r="AD25" s="46">
        <v>8.1</v>
      </c>
      <c r="AE25" s="46">
        <v>8.1</v>
      </c>
      <c r="AF25" s="46">
        <v>8.1</v>
      </c>
      <c r="AG25" s="61">
        <v>30</v>
      </c>
      <c r="AH25" s="48">
        <f t="shared" si="8"/>
        <v>8.1</v>
      </c>
      <c r="AI25" s="49">
        <f t="shared" si="9"/>
        <v>7.7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13</v>
      </c>
      <c r="J26" s="46">
        <v>13</v>
      </c>
      <c r="K26" s="46">
        <v>13</v>
      </c>
      <c r="L26" s="46">
        <v>13</v>
      </c>
      <c r="M26" s="46">
        <v>13</v>
      </c>
      <c r="N26" s="46">
        <v>13</v>
      </c>
      <c r="O26" s="46">
        <v>13</v>
      </c>
      <c r="P26" s="46">
        <v>13</v>
      </c>
      <c r="Q26" s="46">
        <v>13</v>
      </c>
      <c r="R26" s="46">
        <v>13</v>
      </c>
      <c r="S26" s="46">
        <v>13</v>
      </c>
      <c r="T26" s="46">
        <v>13</v>
      </c>
      <c r="U26" s="46">
        <v>13</v>
      </c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</v>
      </c>
      <c r="AB26" s="46">
        <v>11.8</v>
      </c>
      <c r="AC26" s="46">
        <v>11.8</v>
      </c>
      <c r="AD26" s="46">
        <v>11.8</v>
      </c>
      <c r="AE26" s="46">
        <v>11.8</v>
      </c>
      <c r="AF26" s="46">
        <v>11.8</v>
      </c>
      <c r="AG26" s="50">
        <v>25</v>
      </c>
      <c r="AH26" s="48">
        <f t="shared" si="8"/>
        <v>13</v>
      </c>
      <c r="AI26" s="49">
        <f t="shared" si="9"/>
        <v>11.8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9.6999999999999993</v>
      </c>
      <c r="C29" s="46">
        <v>9.6999999999999993</v>
      </c>
      <c r="D29" s="46">
        <v>9.6999999999999993</v>
      </c>
      <c r="E29" s="46">
        <v>9.6999999999999993</v>
      </c>
      <c r="F29" s="46">
        <v>9.6999999999999993</v>
      </c>
      <c r="G29" s="46">
        <v>9.6999999999999993</v>
      </c>
      <c r="H29" s="46">
        <v>9.6999999999999993</v>
      </c>
      <c r="I29" s="46">
        <v>9.6999999999999993</v>
      </c>
      <c r="J29" s="46">
        <v>9.6999999999999993</v>
      </c>
      <c r="K29" s="46">
        <v>9.6999999999999993</v>
      </c>
      <c r="L29" s="46">
        <v>9.6999999999999993</v>
      </c>
      <c r="M29" s="46">
        <v>9.6999999999999993</v>
      </c>
      <c r="N29" s="46">
        <v>9.6999999999999993</v>
      </c>
      <c r="O29" s="46">
        <v>9.6999999999999993</v>
      </c>
      <c r="P29" s="46">
        <v>9.6999999999999993</v>
      </c>
      <c r="Q29" s="46">
        <v>9.6999999999999993</v>
      </c>
      <c r="R29" s="46">
        <v>9.6999999999999993</v>
      </c>
      <c r="S29" s="46">
        <v>9.6999999999999993</v>
      </c>
      <c r="T29" s="46">
        <v>9.6999999999999993</v>
      </c>
      <c r="U29" s="46">
        <v>9.6999999999999993</v>
      </c>
      <c r="V29" s="46">
        <v>9.6999999999999993</v>
      </c>
      <c r="W29" s="46">
        <v>9.6999999999999993</v>
      </c>
      <c r="X29" s="46">
        <v>9.6999999999999993</v>
      </c>
      <c r="Y29" s="46">
        <v>9.6999999999999993</v>
      </c>
      <c r="Z29" s="46">
        <v>9.6999999999999993</v>
      </c>
      <c r="AA29" s="46">
        <v>9.6999999999999993</v>
      </c>
      <c r="AB29" s="46">
        <v>9.1999999999999993</v>
      </c>
      <c r="AC29" s="46">
        <v>9.1999999999999993</v>
      </c>
      <c r="AD29" s="46">
        <v>9.1999999999999993</v>
      </c>
      <c r="AE29" s="46">
        <v>9.1999999999999993</v>
      </c>
      <c r="AF29" s="46">
        <v>9.1999999999999993</v>
      </c>
      <c r="AG29" s="50">
        <v>25</v>
      </c>
      <c r="AH29" s="48">
        <f t="shared" si="8"/>
        <v>9.6999999999999993</v>
      </c>
      <c r="AI29" s="49">
        <f t="shared" si="9"/>
        <v>9.1999999999999993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5.3</v>
      </c>
      <c r="C30" s="46">
        <v>5.3</v>
      </c>
      <c r="D30" s="46">
        <v>5.3</v>
      </c>
      <c r="E30" s="46">
        <v>5.3</v>
      </c>
      <c r="F30" s="46">
        <v>5.3</v>
      </c>
      <c r="G30" s="46">
        <v>5.3</v>
      </c>
      <c r="H30" s="46">
        <v>5.3</v>
      </c>
      <c r="I30" s="46">
        <v>5.3</v>
      </c>
      <c r="J30" s="46">
        <v>5.3</v>
      </c>
      <c r="K30" s="46">
        <v>5.3</v>
      </c>
      <c r="L30" s="46">
        <v>5.3</v>
      </c>
      <c r="M30" s="46">
        <v>5.3</v>
      </c>
      <c r="N30" s="46">
        <v>5.3</v>
      </c>
      <c r="O30" s="46">
        <v>5.3</v>
      </c>
      <c r="P30" s="46">
        <v>5.3</v>
      </c>
      <c r="Q30" s="46">
        <v>5.3</v>
      </c>
      <c r="R30" s="46">
        <v>5.3</v>
      </c>
      <c r="S30" s="46">
        <v>5.3</v>
      </c>
      <c r="T30" s="46">
        <v>5.3</v>
      </c>
      <c r="U30" s="46">
        <v>5.3</v>
      </c>
      <c r="V30" s="46">
        <v>5.3</v>
      </c>
      <c r="W30" s="46">
        <v>5.3</v>
      </c>
      <c r="X30" s="46">
        <v>5.3</v>
      </c>
      <c r="Y30" s="46">
        <v>5.3</v>
      </c>
      <c r="Z30" s="46">
        <v>5.3</v>
      </c>
      <c r="AA30" s="46">
        <v>5.3</v>
      </c>
      <c r="AB30" s="46">
        <v>6.4</v>
      </c>
      <c r="AC30" s="46">
        <v>6.4</v>
      </c>
      <c r="AD30" s="46">
        <v>6.4</v>
      </c>
      <c r="AE30" s="46">
        <v>6.4</v>
      </c>
      <c r="AF30" s="46">
        <v>6.4</v>
      </c>
      <c r="AG30" s="50">
        <v>23.5</v>
      </c>
      <c r="AH30" s="48">
        <f t="shared" si="8"/>
        <v>6.4</v>
      </c>
      <c r="AI30" s="49">
        <f t="shared" si="9"/>
        <v>5.3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8</v>
      </c>
      <c r="C34" s="46">
        <v>8</v>
      </c>
      <c r="D34" s="46">
        <v>8</v>
      </c>
      <c r="E34" s="46">
        <v>8</v>
      </c>
      <c r="F34" s="46">
        <v>8</v>
      </c>
      <c r="G34" s="46">
        <v>8</v>
      </c>
      <c r="H34" s="46">
        <v>8</v>
      </c>
      <c r="I34" s="46">
        <v>8</v>
      </c>
      <c r="J34" s="46">
        <v>8</v>
      </c>
      <c r="K34" s="46">
        <v>8</v>
      </c>
      <c r="L34" s="46">
        <v>8</v>
      </c>
      <c r="M34" s="46">
        <v>8</v>
      </c>
      <c r="N34" s="46">
        <v>8</v>
      </c>
      <c r="O34" s="46">
        <v>8</v>
      </c>
      <c r="P34" s="46">
        <v>8</v>
      </c>
      <c r="Q34" s="46">
        <v>8</v>
      </c>
      <c r="R34" s="46">
        <v>8</v>
      </c>
      <c r="S34" s="46">
        <v>8</v>
      </c>
      <c r="T34" s="46">
        <v>8</v>
      </c>
      <c r="U34" s="46">
        <v>8</v>
      </c>
      <c r="V34" s="46">
        <v>8</v>
      </c>
      <c r="W34" s="46">
        <v>8</v>
      </c>
      <c r="X34" s="46">
        <v>8</v>
      </c>
      <c r="Y34" s="46">
        <v>8</v>
      </c>
      <c r="Z34" s="46">
        <v>8</v>
      </c>
      <c r="AA34" s="46">
        <v>8</v>
      </c>
      <c r="AB34" s="46">
        <v>8</v>
      </c>
      <c r="AC34" s="46">
        <v>8</v>
      </c>
      <c r="AD34" s="46">
        <v>8</v>
      </c>
      <c r="AE34" s="46">
        <v>8</v>
      </c>
      <c r="AF34" s="46">
        <v>8</v>
      </c>
      <c r="AG34" s="50">
        <v>22</v>
      </c>
      <c r="AH34" s="48">
        <f t="shared" si="8"/>
        <v>8</v>
      </c>
      <c r="AI34" s="49">
        <f t="shared" si="9"/>
        <v>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13.4</v>
      </c>
      <c r="C35" s="46">
        <v>13.4</v>
      </c>
      <c r="D35" s="46">
        <v>13.4</v>
      </c>
      <c r="E35" s="46">
        <v>13.4</v>
      </c>
      <c r="F35" s="46">
        <v>13.4</v>
      </c>
      <c r="G35" s="46">
        <v>13.4</v>
      </c>
      <c r="H35" s="46">
        <v>13.4</v>
      </c>
      <c r="I35" s="46">
        <v>13.4</v>
      </c>
      <c r="J35" s="46">
        <v>13.4</v>
      </c>
      <c r="K35" s="46">
        <v>13.4</v>
      </c>
      <c r="L35" s="46">
        <v>13.4</v>
      </c>
      <c r="M35" s="46">
        <v>0</v>
      </c>
      <c r="N35" s="46">
        <v>0</v>
      </c>
      <c r="O35" s="46">
        <v>10.8</v>
      </c>
      <c r="P35" s="46">
        <v>10.8</v>
      </c>
      <c r="Q35" s="46">
        <v>10.8</v>
      </c>
      <c r="R35" s="46">
        <v>10.8</v>
      </c>
      <c r="S35" s="46">
        <v>10.8</v>
      </c>
      <c r="T35" s="46">
        <v>10.8</v>
      </c>
      <c r="U35" s="46">
        <v>10.8</v>
      </c>
      <c r="V35" s="46">
        <v>10.8</v>
      </c>
      <c r="W35" s="46">
        <v>10.8</v>
      </c>
      <c r="X35" s="46">
        <v>10.8</v>
      </c>
      <c r="Y35" s="46">
        <v>10.8</v>
      </c>
      <c r="Z35" s="46">
        <v>10.8</v>
      </c>
      <c r="AA35" s="46">
        <v>10.8</v>
      </c>
      <c r="AB35" s="46">
        <v>10.8</v>
      </c>
      <c r="AC35" s="46">
        <v>10.8</v>
      </c>
      <c r="AD35" s="46">
        <v>10.8</v>
      </c>
      <c r="AE35" s="46">
        <v>10.8</v>
      </c>
      <c r="AF35" s="46">
        <v>10.8</v>
      </c>
      <c r="AG35" s="50">
        <v>20</v>
      </c>
      <c r="AH35" s="48">
        <f t="shared" si="8"/>
        <v>13.4</v>
      </c>
      <c r="AI35" s="49">
        <f t="shared" si="9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5.8</v>
      </c>
      <c r="C37" s="46">
        <v>5.8</v>
      </c>
      <c r="D37" s="46">
        <v>5.8</v>
      </c>
      <c r="E37" s="46">
        <v>5.8</v>
      </c>
      <c r="F37" s="46">
        <v>5.8</v>
      </c>
      <c r="G37" s="46">
        <v>5.8</v>
      </c>
      <c r="H37" s="46">
        <v>5.8</v>
      </c>
      <c r="I37" s="46">
        <v>5.8</v>
      </c>
      <c r="J37" s="46">
        <v>5.8</v>
      </c>
      <c r="K37" s="46">
        <v>5.8</v>
      </c>
      <c r="L37" s="46">
        <v>5.8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9</v>
      </c>
      <c r="AC37" s="46">
        <v>9</v>
      </c>
      <c r="AD37" s="46">
        <v>9</v>
      </c>
      <c r="AE37" s="46">
        <v>9</v>
      </c>
      <c r="AF37" s="46">
        <v>9</v>
      </c>
      <c r="AG37" s="50">
        <v>18</v>
      </c>
      <c r="AH37" s="48">
        <f t="shared" si="8"/>
        <v>9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13</v>
      </c>
      <c r="AH43" s="48">
        <f t="shared" si="8"/>
        <v>0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0</v>
      </c>
      <c r="C45" s="46">
        <v>0</v>
      </c>
      <c r="D45" s="46">
        <v>0</v>
      </c>
      <c r="E45" s="46">
        <v>0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2.2000000000000002</v>
      </c>
      <c r="C50" s="46">
        <v>2.2000000000000002</v>
      </c>
      <c r="D50" s="46">
        <v>2.2000000000000002</v>
      </c>
      <c r="E50" s="46">
        <v>2.2000000000000002</v>
      </c>
      <c r="F50" s="46">
        <v>2.2000000000000002</v>
      </c>
      <c r="G50" s="46">
        <v>2.2000000000000002</v>
      </c>
      <c r="H50" s="46">
        <v>2.2000000000000002</v>
      </c>
      <c r="I50" s="46">
        <v>2.2000000000000002</v>
      </c>
      <c r="J50" s="46">
        <v>2.2000000000000002</v>
      </c>
      <c r="K50" s="46">
        <v>2.2000000000000002</v>
      </c>
      <c r="L50" s="46">
        <v>2.2000000000000002</v>
      </c>
      <c r="M50" s="46">
        <v>1.8</v>
      </c>
      <c r="N50" s="46">
        <v>1.8</v>
      </c>
      <c r="O50" s="46">
        <v>1.8</v>
      </c>
      <c r="P50" s="46">
        <v>1.8</v>
      </c>
      <c r="Q50" s="46">
        <v>1.8</v>
      </c>
      <c r="R50" s="46">
        <v>1.8</v>
      </c>
      <c r="S50" s="46">
        <v>1.8</v>
      </c>
      <c r="T50" s="46">
        <v>1.8</v>
      </c>
      <c r="U50" s="46">
        <v>1.8</v>
      </c>
      <c r="V50" s="46">
        <v>1.8</v>
      </c>
      <c r="W50" s="46">
        <v>1.8</v>
      </c>
      <c r="X50" s="46">
        <v>1.8</v>
      </c>
      <c r="Y50" s="46">
        <v>1.8</v>
      </c>
      <c r="Z50" s="46">
        <v>1.8</v>
      </c>
      <c r="AA50" s="46">
        <v>1.8</v>
      </c>
      <c r="AB50" s="46">
        <v>1.8</v>
      </c>
      <c r="AC50" s="46">
        <v>1.8</v>
      </c>
      <c r="AD50" s="46">
        <v>1.8</v>
      </c>
      <c r="AE50" s="46">
        <v>1.8</v>
      </c>
      <c r="AF50" s="46">
        <v>1.8</v>
      </c>
      <c r="AG50" s="66">
        <v>11</v>
      </c>
      <c r="AH50" s="48">
        <f t="shared" si="8"/>
        <v>2.2000000000000002</v>
      </c>
      <c r="AI50" s="49">
        <f t="shared" si="9"/>
        <v>1.8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f>15.4+24.2</f>
        <v>39.6</v>
      </c>
      <c r="C57" s="68">
        <f>15.4+24.2</f>
        <v>39.6</v>
      </c>
      <c r="D57" s="68">
        <f>15.4+24.2</f>
        <v>39.6</v>
      </c>
      <c r="E57" s="68">
        <v>52.5</v>
      </c>
      <c r="F57" s="68">
        <v>59.1</v>
      </c>
      <c r="G57" s="68">
        <v>58</v>
      </c>
      <c r="H57" s="68">
        <v>58</v>
      </c>
      <c r="I57" s="68">
        <v>56.6</v>
      </c>
      <c r="J57" s="68">
        <v>54.6</v>
      </c>
      <c r="K57" s="68">
        <v>58</v>
      </c>
      <c r="L57" s="68">
        <v>61.1</v>
      </c>
      <c r="M57" s="68">
        <v>61.1</v>
      </c>
      <c r="N57" s="68">
        <f>19.6+27.6</f>
        <v>47.2</v>
      </c>
      <c r="O57" s="68">
        <f>19.6+27.6</f>
        <v>47.2</v>
      </c>
      <c r="P57" s="68">
        <f>19.6+27.6</f>
        <v>47.2</v>
      </c>
      <c r="Q57" s="53">
        <v>45.2</v>
      </c>
      <c r="R57" s="53">
        <v>45.2</v>
      </c>
      <c r="S57" s="53">
        <v>45.2</v>
      </c>
      <c r="T57" s="53">
        <v>45.2</v>
      </c>
      <c r="U57" s="53">
        <v>45.2</v>
      </c>
      <c r="V57" s="53">
        <v>45.2</v>
      </c>
      <c r="W57" s="53">
        <f>16.5+24.4</f>
        <v>40.9</v>
      </c>
      <c r="X57" s="53">
        <f>15.6+23.1</f>
        <v>38.700000000000003</v>
      </c>
      <c r="Y57" s="53">
        <f>15.6+23.1</f>
        <v>38.700000000000003</v>
      </c>
      <c r="Z57" s="53">
        <f>15.6+23.1</f>
        <v>38.700000000000003</v>
      </c>
      <c r="AA57" s="53">
        <f>15.6+23.1</f>
        <v>38.700000000000003</v>
      </c>
      <c r="AB57" s="68">
        <v>35.700000000000003</v>
      </c>
      <c r="AC57" s="68">
        <v>35.700000000000003</v>
      </c>
      <c r="AD57" s="68">
        <v>35.700000000000003</v>
      </c>
      <c r="AE57" s="68">
        <v>35.700000000000003</v>
      </c>
      <c r="AF57" s="68">
        <v>35.700000000000003</v>
      </c>
      <c r="AG57" s="66">
        <v>240</v>
      </c>
      <c r="AH57" s="48">
        <f t="shared" si="8"/>
        <v>61.1</v>
      </c>
      <c r="AI57" s="49">
        <f t="shared" si="9"/>
        <v>35.700000000000003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551</v>
      </c>
      <c r="C58" s="71">
        <f t="shared" si="22"/>
        <v>551</v>
      </c>
      <c r="D58" s="71">
        <f t="shared" si="22"/>
        <v>551</v>
      </c>
      <c r="E58" s="71">
        <f t="shared" si="22"/>
        <v>551</v>
      </c>
      <c r="F58" s="71">
        <f t="shared" si="22"/>
        <v>563</v>
      </c>
      <c r="G58" s="71">
        <f t="shared" si="22"/>
        <v>563</v>
      </c>
      <c r="H58" s="71">
        <f t="shared" si="22"/>
        <v>563</v>
      </c>
      <c r="I58" s="71">
        <f t="shared" si="22"/>
        <v>563</v>
      </c>
      <c r="J58" s="71">
        <f t="shared" si="22"/>
        <v>563</v>
      </c>
      <c r="K58" s="71">
        <f t="shared" si="22"/>
        <v>563</v>
      </c>
      <c r="L58" s="71">
        <f t="shared" si="22"/>
        <v>563</v>
      </c>
      <c r="M58" s="71">
        <f t="shared" si="22"/>
        <v>515.5</v>
      </c>
      <c r="N58" s="71">
        <f t="shared" si="22"/>
        <v>515.5</v>
      </c>
      <c r="O58" s="71">
        <f t="shared" si="22"/>
        <v>526.1</v>
      </c>
      <c r="P58" s="71">
        <f t="shared" si="22"/>
        <v>526.1</v>
      </c>
      <c r="Q58" s="71">
        <f t="shared" si="22"/>
        <v>511.70000000000005</v>
      </c>
      <c r="R58" s="71">
        <f t="shared" si="22"/>
        <v>514.5</v>
      </c>
      <c r="S58" s="71">
        <f t="shared" si="22"/>
        <v>514.5</v>
      </c>
      <c r="T58" s="71">
        <f t="shared" si="22"/>
        <v>514.5</v>
      </c>
      <c r="U58" s="71">
        <f t="shared" si="22"/>
        <v>514.5</v>
      </c>
      <c r="V58" s="71">
        <f t="shared" si="22"/>
        <v>514.5</v>
      </c>
      <c r="W58" s="71">
        <f t="shared" si="22"/>
        <v>514.5</v>
      </c>
      <c r="X58" s="71">
        <f t="shared" si="22"/>
        <v>514.5</v>
      </c>
      <c r="Y58" s="71">
        <f t="shared" si="22"/>
        <v>514.5</v>
      </c>
      <c r="Z58" s="71">
        <f t="shared" si="22"/>
        <v>514.5</v>
      </c>
      <c r="AA58" s="71">
        <f t="shared" si="22"/>
        <v>514.5</v>
      </c>
      <c r="AB58" s="71">
        <f t="shared" si="22"/>
        <v>512</v>
      </c>
      <c r="AC58" s="71">
        <f t="shared" si="22"/>
        <v>512</v>
      </c>
      <c r="AD58" s="71">
        <f t="shared" si="22"/>
        <v>512</v>
      </c>
      <c r="AE58" s="71">
        <f t="shared" si="22"/>
        <v>512</v>
      </c>
      <c r="AF58" s="71">
        <f t="shared" si="22"/>
        <v>512</v>
      </c>
      <c r="AG58" s="72">
        <f>SUM(AG14:AG56)</f>
        <v>1042.4000000000001</v>
      </c>
      <c r="AH58" s="48">
        <f t="shared" si="8"/>
        <v>563</v>
      </c>
      <c r="AI58" s="49">
        <f t="shared" si="9"/>
        <v>511.70000000000005</v>
      </c>
      <c r="AK58" s="51"/>
    </row>
    <row r="59" spans="1:88" x14ac:dyDescent="0.25">
      <c r="A59" s="73" t="s">
        <v>76</v>
      </c>
      <c r="B59" s="46">
        <v>170</v>
      </c>
      <c r="C59" s="46">
        <v>160</v>
      </c>
      <c r="D59" s="46">
        <v>180</v>
      </c>
      <c r="E59" s="46">
        <v>172</v>
      </c>
      <c r="F59" s="46">
        <v>172</v>
      </c>
      <c r="G59" s="46">
        <v>151</v>
      </c>
      <c r="H59" s="46">
        <v>130</v>
      </c>
      <c r="I59" s="46">
        <v>90</v>
      </c>
      <c r="J59" s="46">
        <v>0</v>
      </c>
      <c r="K59" s="46">
        <v>0</v>
      </c>
      <c r="L59" s="46">
        <v>0</v>
      </c>
      <c r="M59" s="46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46">
        <v>30.7</v>
      </c>
      <c r="X59" s="46">
        <v>30.4</v>
      </c>
      <c r="Y59" s="46">
        <v>283</v>
      </c>
      <c r="Z59" s="46">
        <v>283</v>
      </c>
      <c r="AA59" s="46">
        <v>456</v>
      </c>
      <c r="AB59" s="46">
        <v>457</v>
      </c>
      <c r="AC59" s="46">
        <v>355.7</v>
      </c>
      <c r="AD59" s="46">
        <v>355.8</v>
      </c>
      <c r="AE59" s="46">
        <v>300</v>
      </c>
      <c r="AF59" s="46">
        <v>100.7</v>
      </c>
      <c r="AG59" s="61">
        <v>456</v>
      </c>
      <c r="AH59" s="48">
        <f t="shared" si="8"/>
        <v>457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32.799999999999997</v>
      </c>
      <c r="C60" s="76">
        <v>32.799999999999997</v>
      </c>
      <c r="D60" s="76">
        <v>32.799999999999997</v>
      </c>
      <c r="E60" s="76">
        <v>32.799999999999997</v>
      </c>
      <c r="F60" s="76">
        <v>32.799999999999997</v>
      </c>
      <c r="G60" s="76">
        <v>32.799999999999997</v>
      </c>
      <c r="H60" s="76">
        <v>32.799999999999997</v>
      </c>
      <c r="I60" s="76">
        <v>28.1</v>
      </c>
      <c r="J60" s="76">
        <v>27.4</v>
      </c>
      <c r="K60" s="76">
        <v>27.4</v>
      </c>
      <c r="L60" s="76">
        <v>27.4</v>
      </c>
      <c r="M60" s="76">
        <v>27.3</v>
      </c>
      <c r="N60" s="76">
        <v>26.2</v>
      </c>
      <c r="O60" s="76">
        <v>25.1</v>
      </c>
      <c r="P60" s="76">
        <v>24.8</v>
      </c>
      <c r="Q60" s="76">
        <v>25.1</v>
      </c>
      <c r="R60" s="76">
        <v>24.9</v>
      </c>
      <c r="S60" s="76">
        <v>24.9</v>
      </c>
      <c r="T60" s="76">
        <v>24.9</v>
      </c>
      <c r="U60" s="76">
        <v>24.9</v>
      </c>
      <c r="V60" s="76">
        <v>24.9</v>
      </c>
      <c r="W60" s="76">
        <v>23.8</v>
      </c>
      <c r="X60" s="76">
        <v>22.9</v>
      </c>
      <c r="Y60" s="76">
        <v>22.9</v>
      </c>
      <c r="Z60" s="76">
        <v>22.9</v>
      </c>
      <c r="AA60" s="76">
        <v>22.9</v>
      </c>
      <c r="AB60" s="76">
        <v>23.1</v>
      </c>
      <c r="AC60" s="76">
        <v>22.2</v>
      </c>
      <c r="AD60" s="76">
        <v>23.1</v>
      </c>
      <c r="AE60" s="76">
        <v>22.8</v>
      </c>
      <c r="AF60" s="76">
        <v>23.1</v>
      </c>
      <c r="AG60" s="66">
        <v>60</v>
      </c>
      <c r="AH60" s="48">
        <f t="shared" si="8"/>
        <v>32.799999999999997</v>
      </c>
      <c r="AI60" s="49">
        <f t="shared" si="9"/>
        <v>22.2</v>
      </c>
      <c r="AK60" s="51"/>
    </row>
    <row r="61" spans="1:88" ht="15.75" thickBot="1" x14ac:dyDescent="0.3">
      <c r="A61" s="77" t="s">
        <v>78</v>
      </c>
      <c r="B61" s="78">
        <v>18.3</v>
      </c>
      <c r="C61" s="78">
        <v>18.3</v>
      </c>
      <c r="D61" s="78">
        <v>18.3</v>
      </c>
      <c r="E61" s="78">
        <v>18.3</v>
      </c>
      <c r="F61" s="78">
        <v>18.3</v>
      </c>
      <c r="G61" s="78">
        <v>18.3</v>
      </c>
      <c r="H61" s="78">
        <v>18.3</v>
      </c>
      <c r="I61" s="78">
        <v>20.6</v>
      </c>
      <c r="J61" s="78">
        <v>18.600000000000001</v>
      </c>
      <c r="K61" s="78">
        <v>18.600000000000001</v>
      </c>
      <c r="L61" s="78">
        <v>18.600000000000001</v>
      </c>
      <c r="M61" s="78">
        <v>18.7</v>
      </c>
      <c r="N61" s="78">
        <v>18.7</v>
      </c>
      <c r="O61" s="78">
        <v>18.600000000000001</v>
      </c>
      <c r="P61" s="78">
        <v>13.9</v>
      </c>
      <c r="Q61" s="78">
        <v>13.8</v>
      </c>
      <c r="R61" s="78">
        <v>13.9</v>
      </c>
      <c r="S61" s="78">
        <v>13.9</v>
      </c>
      <c r="T61" s="78">
        <v>13.9</v>
      </c>
      <c r="U61" s="78">
        <v>13.9</v>
      </c>
      <c r="V61" s="78">
        <v>13.9</v>
      </c>
      <c r="W61" s="78">
        <v>18.2</v>
      </c>
      <c r="X61" s="78">
        <v>18.100000000000001</v>
      </c>
      <c r="Y61" s="78">
        <v>18.100000000000001</v>
      </c>
      <c r="Z61" s="78">
        <v>18.100000000000001</v>
      </c>
      <c r="AA61" s="78">
        <v>22.1</v>
      </c>
      <c r="AB61" s="78">
        <v>22.7</v>
      </c>
      <c r="AC61" s="78">
        <v>22.7</v>
      </c>
      <c r="AD61" s="78">
        <v>22.7</v>
      </c>
      <c r="AE61" s="78">
        <v>22.7</v>
      </c>
      <c r="AF61" s="78">
        <v>22.7</v>
      </c>
      <c r="AG61" s="79">
        <v>22.1</v>
      </c>
      <c r="AH61" s="48">
        <f t="shared" si="8"/>
        <v>22.7</v>
      </c>
      <c r="AI61" s="49">
        <f t="shared" si="9"/>
        <v>13.8</v>
      </c>
      <c r="AK61" s="51"/>
    </row>
    <row r="62" spans="1:88" ht="15.75" thickBot="1" x14ac:dyDescent="0.3">
      <c r="A62" s="80" t="s">
        <v>79</v>
      </c>
      <c r="B62" s="71">
        <f>SUM(B59:B61)</f>
        <v>221.10000000000002</v>
      </c>
      <c r="C62" s="71">
        <f>SUM(C59:C61)</f>
        <v>211.10000000000002</v>
      </c>
      <c r="D62" s="71">
        <f>SUM(D59:D61)</f>
        <v>231.10000000000002</v>
      </c>
      <c r="E62" s="71">
        <f t="shared" ref="E62:AG62" si="23">SUM(E59:E61)</f>
        <v>223.10000000000002</v>
      </c>
      <c r="F62" s="71">
        <f t="shared" si="23"/>
        <v>223.10000000000002</v>
      </c>
      <c r="G62" s="71">
        <f t="shared" si="23"/>
        <v>202.10000000000002</v>
      </c>
      <c r="H62" s="71">
        <f t="shared" si="23"/>
        <v>181.10000000000002</v>
      </c>
      <c r="I62" s="71">
        <f t="shared" si="23"/>
        <v>138.69999999999999</v>
      </c>
      <c r="J62" s="71">
        <f t="shared" si="23"/>
        <v>46</v>
      </c>
      <c r="K62" s="71">
        <f t="shared" si="23"/>
        <v>46</v>
      </c>
      <c r="L62" s="71">
        <f t="shared" si="23"/>
        <v>46</v>
      </c>
      <c r="M62" s="71">
        <f t="shared" si="23"/>
        <v>46</v>
      </c>
      <c r="N62" s="71">
        <f t="shared" si="23"/>
        <v>44.9</v>
      </c>
      <c r="O62" s="71">
        <f t="shared" si="23"/>
        <v>43.7</v>
      </c>
      <c r="P62" s="71">
        <f t="shared" si="23"/>
        <v>38.700000000000003</v>
      </c>
      <c r="Q62" s="71">
        <f t="shared" si="23"/>
        <v>38.900000000000006</v>
      </c>
      <c r="R62" s="71">
        <f t="shared" si="23"/>
        <v>38.799999999999997</v>
      </c>
      <c r="S62" s="71">
        <f t="shared" si="23"/>
        <v>38.799999999999997</v>
      </c>
      <c r="T62" s="71">
        <f t="shared" si="23"/>
        <v>38.799999999999997</v>
      </c>
      <c r="U62" s="71">
        <f t="shared" si="23"/>
        <v>38.799999999999997</v>
      </c>
      <c r="V62" s="71">
        <f t="shared" si="23"/>
        <v>38.799999999999997</v>
      </c>
      <c r="W62" s="71">
        <f t="shared" si="23"/>
        <v>72.7</v>
      </c>
      <c r="X62" s="71">
        <f t="shared" si="23"/>
        <v>71.400000000000006</v>
      </c>
      <c r="Y62" s="71">
        <f t="shared" si="23"/>
        <v>324</v>
      </c>
      <c r="Z62" s="71">
        <f t="shared" si="23"/>
        <v>324</v>
      </c>
      <c r="AA62" s="71">
        <f t="shared" si="23"/>
        <v>501</v>
      </c>
      <c r="AB62" s="71">
        <f t="shared" si="23"/>
        <v>502.8</v>
      </c>
      <c r="AC62" s="71">
        <f t="shared" si="23"/>
        <v>400.59999999999997</v>
      </c>
      <c r="AD62" s="71">
        <f t="shared" si="23"/>
        <v>401.6</v>
      </c>
      <c r="AE62" s="71">
        <f t="shared" si="23"/>
        <v>345.5</v>
      </c>
      <c r="AF62" s="71">
        <f t="shared" si="23"/>
        <v>146.5</v>
      </c>
      <c r="AG62" s="72">
        <f t="shared" si="23"/>
        <v>538.1</v>
      </c>
      <c r="AH62" s="48">
        <f t="shared" si="8"/>
        <v>502.8</v>
      </c>
      <c r="AI62" s="49">
        <f t="shared" si="9"/>
        <v>38.700000000000003</v>
      </c>
      <c r="AK62" s="51"/>
    </row>
    <row r="63" spans="1:88" x14ac:dyDescent="0.25">
      <c r="A63" s="45" t="s">
        <v>80</v>
      </c>
      <c r="B63" s="46">
        <v>100</v>
      </c>
      <c r="C63" s="46">
        <v>100</v>
      </c>
      <c r="D63" s="46">
        <v>121</v>
      </c>
      <c r="E63" s="46">
        <v>121</v>
      </c>
      <c r="F63" s="46">
        <v>121</v>
      </c>
      <c r="G63" s="46">
        <v>121</v>
      </c>
      <c r="H63" s="46">
        <v>131.30000000000001</v>
      </c>
      <c r="I63" s="46">
        <v>142</v>
      </c>
      <c r="J63" s="46">
        <v>100</v>
      </c>
      <c r="K63" s="46">
        <v>100</v>
      </c>
      <c r="L63" s="46">
        <v>92</v>
      </c>
      <c r="M63" s="46">
        <v>80.7</v>
      </c>
      <c r="N63" s="46">
        <v>61.8</v>
      </c>
      <c r="O63" s="46">
        <v>61.9</v>
      </c>
      <c r="P63" s="46">
        <v>61.9</v>
      </c>
      <c r="Q63" s="46">
        <v>66.900000000000006</v>
      </c>
      <c r="R63" s="46">
        <v>81</v>
      </c>
      <c r="S63" s="46">
        <v>80</v>
      </c>
      <c r="T63" s="46">
        <v>97</v>
      </c>
      <c r="U63" s="46">
        <v>97</v>
      </c>
      <c r="V63" s="46">
        <v>80</v>
      </c>
      <c r="W63" s="46">
        <v>96.3</v>
      </c>
      <c r="X63" s="46">
        <v>106.6</v>
      </c>
      <c r="Y63" s="46">
        <v>131</v>
      </c>
      <c r="Z63" s="46">
        <v>142</v>
      </c>
      <c r="AA63" s="46">
        <v>141</v>
      </c>
      <c r="AB63" s="46">
        <v>141.19999999999999</v>
      </c>
      <c r="AC63" s="46">
        <v>136.1</v>
      </c>
      <c r="AD63" s="46">
        <v>136.6</v>
      </c>
      <c r="AE63" s="46">
        <v>136.6</v>
      </c>
      <c r="AF63" s="46">
        <v>96.6</v>
      </c>
      <c r="AG63" s="61">
        <v>144</v>
      </c>
      <c r="AH63" s="48">
        <f t="shared" si="8"/>
        <v>142</v>
      </c>
      <c r="AI63" s="49">
        <f t="shared" si="9"/>
        <v>61.8</v>
      </c>
      <c r="AK63" s="51"/>
    </row>
    <row r="64" spans="1:88" x14ac:dyDescent="0.25">
      <c r="A64" s="65" t="s">
        <v>81</v>
      </c>
      <c r="B64" s="76">
        <v>50</v>
      </c>
      <c r="C64" s="76">
        <v>50</v>
      </c>
      <c r="D64" s="76">
        <v>60</v>
      </c>
      <c r="E64" s="76">
        <v>60</v>
      </c>
      <c r="F64" s="76">
        <v>60</v>
      </c>
      <c r="G64" s="76">
        <v>60</v>
      </c>
      <c r="H64" s="76">
        <v>60</v>
      </c>
      <c r="I64" s="76">
        <v>66</v>
      </c>
      <c r="J64" s="76">
        <v>51</v>
      </c>
      <c r="K64" s="76">
        <v>51</v>
      </c>
      <c r="L64" s="76">
        <v>51</v>
      </c>
      <c r="M64" s="76">
        <v>50</v>
      </c>
      <c r="N64" s="76">
        <v>21.4</v>
      </c>
      <c r="O64" s="76">
        <v>35.6</v>
      </c>
      <c r="P64" s="76">
        <v>34.6</v>
      </c>
      <c r="Q64" s="76">
        <v>35.5</v>
      </c>
      <c r="R64" s="76">
        <v>35.4</v>
      </c>
      <c r="S64" s="76">
        <v>35</v>
      </c>
      <c r="T64" s="76">
        <v>33</v>
      </c>
      <c r="U64" s="76">
        <v>34</v>
      </c>
      <c r="V64" s="76">
        <v>34</v>
      </c>
      <c r="W64" s="46">
        <v>34.5</v>
      </c>
      <c r="X64" s="46">
        <v>48.7</v>
      </c>
      <c r="Y64" s="46">
        <v>59</v>
      </c>
      <c r="Z64" s="46">
        <v>69</v>
      </c>
      <c r="AA64" s="46">
        <v>69.7</v>
      </c>
      <c r="AB64" s="46">
        <v>69.2</v>
      </c>
      <c r="AC64" s="46">
        <v>69</v>
      </c>
      <c r="AD64" s="46">
        <v>69</v>
      </c>
      <c r="AE64" s="46">
        <v>69</v>
      </c>
      <c r="AF64" s="46">
        <v>59.8</v>
      </c>
      <c r="AG64" s="66">
        <v>70</v>
      </c>
      <c r="AH64" s="48">
        <f t="shared" si="8"/>
        <v>69.7</v>
      </c>
      <c r="AI64" s="49">
        <f t="shared" si="9"/>
        <v>21.4</v>
      </c>
      <c r="AK64" s="51"/>
    </row>
    <row r="65" spans="1:75" x14ac:dyDescent="0.25">
      <c r="A65" s="65" t="s">
        <v>82</v>
      </c>
      <c r="B65" s="76">
        <v>50</v>
      </c>
      <c r="C65" s="76">
        <v>50</v>
      </c>
      <c r="D65" s="76">
        <v>50</v>
      </c>
      <c r="E65" s="76">
        <v>60</v>
      </c>
      <c r="F65" s="76">
        <v>60</v>
      </c>
      <c r="G65" s="76">
        <v>60</v>
      </c>
      <c r="H65" s="76">
        <v>68</v>
      </c>
      <c r="I65" s="76">
        <v>68</v>
      </c>
      <c r="J65" s="76">
        <v>51</v>
      </c>
      <c r="K65" s="76">
        <v>51</v>
      </c>
      <c r="L65" s="76">
        <v>51</v>
      </c>
      <c r="M65" s="76">
        <v>51.4</v>
      </c>
      <c r="N65" s="76">
        <v>31.9</v>
      </c>
      <c r="O65" s="76">
        <v>45.5</v>
      </c>
      <c r="P65" s="76">
        <v>45.7</v>
      </c>
      <c r="Q65" s="76">
        <v>46</v>
      </c>
      <c r="R65" s="76">
        <v>46</v>
      </c>
      <c r="S65" s="76">
        <v>45</v>
      </c>
      <c r="T65" s="76">
        <v>45</v>
      </c>
      <c r="U65" s="76">
        <v>45</v>
      </c>
      <c r="V65" s="76">
        <v>45</v>
      </c>
      <c r="W65" s="46">
        <v>45.3</v>
      </c>
      <c r="X65" s="46">
        <v>45.3</v>
      </c>
      <c r="Y65" s="46">
        <v>68</v>
      </c>
      <c r="Z65" s="46">
        <v>68</v>
      </c>
      <c r="AA65" s="46">
        <v>67</v>
      </c>
      <c r="AB65" s="46">
        <v>67.7</v>
      </c>
      <c r="AC65" s="46">
        <v>44.5</v>
      </c>
      <c r="AD65" s="46">
        <v>44.2</v>
      </c>
      <c r="AE65" s="46">
        <v>44.2</v>
      </c>
      <c r="AF65" s="46">
        <v>33.200000000000003</v>
      </c>
      <c r="AG65" s="66">
        <v>69</v>
      </c>
      <c r="AH65" s="48">
        <f t="shared" si="8"/>
        <v>68</v>
      </c>
      <c r="AI65" s="49">
        <f t="shared" si="9"/>
        <v>31.9</v>
      </c>
      <c r="AK65" s="51"/>
    </row>
    <row r="66" spans="1:75" x14ac:dyDescent="0.25">
      <c r="A66" s="65" t="s">
        <v>83</v>
      </c>
      <c r="B66" s="76">
        <v>54.2</v>
      </c>
      <c r="C66" s="76">
        <v>54.2</v>
      </c>
      <c r="D66" s="76">
        <v>54.2</v>
      </c>
      <c r="E66" s="76">
        <v>60</v>
      </c>
      <c r="F66" s="76">
        <v>60</v>
      </c>
      <c r="G66" s="76">
        <v>60</v>
      </c>
      <c r="H66" s="76">
        <v>60</v>
      </c>
      <c r="I66" s="76">
        <v>60.4</v>
      </c>
      <c r="J66" s="76">
        <v>60.4</v>
      </c>
      <c r="K66" s="76">
        <v>60.4</v>
      </c>
      <c r="L66" s="76">
        <v>60.4</v>
      </c>
      <c r="M66" s="76">
        <v>60.4</v>
      </c>
      <c r="N66" s="76">
        <v>60.4</v>
      </c>
      <c r="O66" s="76">
        <v>60.4</v>
      </c>
      <c r="P66" s="76">
        <v>60.2</v>
      </c>
      <c r="Q66" s="76">
        <v>60.2</v>
      </c>
      <c r="R66" s="76">
        <v>60</v>
      </c>
      <c r="S66" s="76">
        <v>58</v>
      </c>
      <c r="T66" s="76">
        <v>58</v>
      </c>
      <c r="U66" s="76">
        <v>55</v>
      </c>
      <c r="V66" s="76">
        <v>55</v>
      </c>
      <c r="W66" s="46">
        <v>53.2</v>
      </c>
      <c r="X66" s="46">
        <v>53.4</v>
      </c>
      <c r="Y66" s="46">
        <v>53.4</v>
      </c>
      <c r="Z66" s="46">
        <v>53.4</v>
      </c>
      <c r="AA66" s="46">
        <v>53.2</v>
      </c>
      <c r="AB66" s="46">
        <v>55.9</v>
      </c>
      <c r="AC66" s="46">
        <v>55.9</v>
      </c>
      <c r="AD66" s="46">
        <v>58.2</v>
      </c>
      <c r="AE66" s="46">
        <v>58.2</v>
      </c>
      <c r="AF66" s="46">
        <v>58.7</v>
      </c>
      <c r="AG66" s="66">
        <v>60</v>
      </c>
      <c r="AH66" s="48">
        <f t="shared" si="8"/>
        <v>60.4</v>
      </c>
      <c r="AI66" s="49">
        <f t="shared" si="9"/>
        <v>53.2</v>
      </c>
      <c r="AK66" s="51"/>
    </row>
    <row r="67" spans="1:75" x14ac:dyDescent="0.25">
      <c r="A67" s="65" t="s">
        <v>84</v>
      </c>
      <c r="B67" s="46">
        <v>10</v>
      </c>
      <c r="C67" s="46">
        <v>10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76">
        <v>15</v>
      </c>
      <c r="J67" s="76">
        <v>15</v>
      </c>
      <c r="K67" s="76">
        <v>15</v>
      </c>
      <c r="L67" s="76">
        <v>10</v>
      </c>
      <c r="M67" s="76">
        <v>10.3</v>
      </c>
      <c r="N67" s="76">
        <v>9.9</v>
      </c>
      <c r="O67" s="76">
        <v>15.1</v>
      </c>
      <c r="P67" s="76">
        <v>23.2</v>
      </c>
      <c r="Q67" s="76">
        <v>23</v>
      </c>
      <c r="R67" s="76">
        <v>24.3</v>
      </c>
      <c r="S67" s="76">
        <v>27</v>
      </c>
      <c r="T67" s="76">
        <v>10</v>
      </c>
      <c r="U67" s="76">
        <v>10</v>
      </c>
      <c r="V67" s="76">
        <v>10</v>
      </c>
      <c r="W67" s="46">
        <v>0</v>
      </c>
      <c r="X67" s="46">
        <v>0</v>
      </c>
      <c r="Y67" s="46">
        <v>0</v>
      </c>
      <c r="Z67" s="46">
        <v>10</v>
      </c>
      <c r="AA67" s="46">
        <v>9.9</v>
      </c>
      <c r="AB67" s="46">
        <v>14.3</v>
      </c>
      <c r="AC67" s="46">
        <v>10.5</v>
      </c>
      <c r="AD67" s="46">
        <v>10.3</v>
      </c>
      <c r="AE67" s="46">
        <v>10.3</v>
      </c>
      <c r="AF67" s="46">
        <v>10.6</v>
      </c>
      <c r="AG67" s="66">
        <v>30</v>
      </c>
      <c r="AH67" s="48">
        <f t="shared" si="8"/>
        <v>27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0.7</v>
      </c>
      <c r="J68" s="46">
        <v>3.4</v>
      </c>
      <c r="K68" s="46">
        <v>3.5</v>
      </c>
      <c r="L68" s="46">
        <v>6.1</v>
      </c>
      <c r="M68" s="76">
        <v>9.6999999999999993</v>
      </c>
      <c r="N68" s="76">
        <v>13.6</v>
      </c>
      <c r="O68" s="76">
        <v>17.2</v>
      </c>
      <c r="P68" s="76">
        <v>18.3</v>
      </c>
      <c r="Q68" s="76">
        <v>18.5</v>
      </c>
      <c r="R68" s="76">
        <v>17.2</v>
      </c>
      <c r="S68" s="76">
        <v>14.7</v>
      </c>
      <c r="T68" s="76">
        <v>14.7</v>
      </c>
      <c r="U68" s="76">
        <v>14.7</v>
      </c>
      <c r="V68" s="76">
        <v>14.7</v>
      </c>
      <c r="W68" s="46">
        <v>14.1</v>
      </c>
      <c r="X68" s="46">
        <v>14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18.5</v>
      </c>
      <c r="AI68" s="49">
        <f t="shared" si="9"/>
        <v>0</v>
      </c>
      <c r="AK68" s="51"/>
      <c r="AY68" s="1" t="s">
        <v>86</v>
      </c>
      <c r="AZ68" s="82">
        <f>ROUND(C81,0)</f>
        <v>36</v>
      </c>
      <c r="BA68" s="81">
        <f t="shared" ref="BA68:BD72" si="24">D81</f>
        <v>20</v>
      </c>
      <c r="BB68" s="81">
        <f t="shared" si="24"/>
        <v>21.2</v>
      </c>
      <c r="BC68" s="81">
        <f t="shared" si="24"/>
        <v>17.600000000000001</v>
      </c>
      <c r="BD68" s="81">
        <f t="shared" si="24"/>
        <v>16</v>
      </c>
      <c r="BE68" s="82">
        <f>I81</f>
        <v>25.5</v>
      </c>
      <c r="BF68" s="82">
        <f>K81</f>
        <v>65.7</v>
      </c>
      <c r="BG68" s="82">
        <f t="shared" ref="BG68:BP72" si="25">M81</f>
        <v>64.5</v>
      </c>
      <c r="BH68" s="82">
        <f t="shared" si="25"/>
        <v>60</v>
      </c>
      <c r="BI68" s="82">
        <f t="shared" si="25"/>
        <v>69</v>
      </c>
      <c r="BJ68" s="82">
        <f t="shared" si="25"/>
        <v>66.900000000000006</v>
      </c>
      <c r="BK68" s="82">
        <f t="shared" si="25"/>
        <v>72</v>
      </c>
      <c r="BL68" s="82">
        <f t="shared" si="25"/>
        <v>73.7</v>
      </c>
      <c r="BM68" s="82">
        <f t="shared" si="25"/>
        <v>71.7</v>
      </c>
      <c r="BN68" s="82">
        <f t="shared" si="25"/>
        <v>64.5</v>
      </c>
      <c r="BO68" s="82">
        <f t="shared" si="25"/>
        <v>67</v>
      </c>
      <c r="BP68" s="82">
        <f t="shared" si="25"/>
        <v>69.900000000000006</v>
      </c>
      <c r="BQ68" s="82">
        <f>X81</f>
        <v>60</v>
      </c>
      <c r="BR68" s="82">
        <f>Z81</f>
        <v>31</v>
      </c>
      <c r="BS68" s="81">
        <f>AB81</f>
        <v>43</v>
      </c>
      <c r="BT68" s="81">
        <f t="shared" ref="BT68:BV72" si="26">AD81</f>
        <v>50.2</v>
      </c>
      <c r="BU68" s="81">
        <f t="shared" si="26"/>
        <v>47.6</v>
      </c>
      <c r="BV68" s="81">
        <f t="shared" si="26"/>
        <v>41.3</v>
      </c>
      <c r="BW68" s="81">
        <f>B81</f>
        <v>40</v>
      </c>
    </row>
    <row r="69" spans="1:75" x14ac:dyDescent="0.25">
      <c r="A69" s="65" t="s">
        <v>87</v>
      </c>
      <c r="B69" s="76">
        <v>14.2</v>
      </c>
      <c r="C69" s="76">
        <v>14.2</v>
      </c>
      <c r="D69" s="76">
        <v>14.2</v>
      </c>
      <c r="E69" s="76">
        <v>14.2</v>
      </c>
      <c r="F69" s="76">
        <v>13.6</v>
      </c>
      <c r="G69" s="76">
        <v>13.6</v>
      </c>
      <c r="H69" s="76">
        <v>13.6</v>
      </c>
      <c r="I69" s="76">
        <v>13.6</v>
      </c>
      <c r="J69" s="76">
        <v>13.6</v>
      </c>
      <c r="K69" s="76">
        <v>13.6</v>
      </c>
      <c r="L69" s="76">
        <v>13.6</v>
      </c>
      <c r="M69" s="76">
        <v>14</v>
      </c>
      <c r="N69" s="76">
        <v>14</v>
      </c>
      <c r="O69" s="76">
        <v>14</v>
      </c>
      <c r="P69" s="76">
        <v>14</v>
      </c>
      <c r="Q69" s="76">
        <v>13.9</v>
      </c>
      <c r="R69" s="76">
        <v>13.8</v>
      </c>
      <c r="S69" s="76">
        <v>13.8</v>
      </c>
      <c r="T69" s="76">
        <v>13.8</v>
      </c>
      <c r="U69" s="76">
        <v>13.8</v>
      </c>
      <c r="V69" s="76">
        <v>13.8</v>
      </c>
      <c r="W69" s="76">
        <v>13.8</v>
      </c>
      <c r="X69" s="76">
        <v>13.8</v>
      </c>
      <c r="Y69" s="76">
        <v>13.8</v>
      </c>
      <c r="Z69" s="76">
        <v>13.8</v>
      </c>
      <c r="AA69" s="76">
        <v>13.8</v>
      </c>
      <c r="AB69" s="76">
        <v>14.1</v>
      </c>
      <c r="AC69" s="76">
        <v>14</v>
      </c>
      <c r="AD69" s="76">
        <v>14</v>
      </c>
      <c r="AE69" s="76">
        <v>14</v>
      </c>
      <c r="AF69" s="76">
        <v>14</v>
      </c>
      <c r="AG69" s="66">
        <v>24</v>
      </c>
      <c r="AH69" s="48">
        <f t="shared" si="8"/>
        <v>14.2</v>
      </c>
      <c r="AI69" s="49">
        <f t="shared" si="9"/>
        <v>13.6</v>
      </c>
      <c r="AK69" s="51"/>
      <c r="AY69" s="1" t="s">
        <v>88</v>
      </c>
      <c r="AZ69" s="82">
        <f>ROUND(C82,0)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I82</f>
        <v>0</v>
      </c>
      <c r="BF69" s="82">
        <f>K82</f>
        <v>0</v>
      </c>
      <c r="BG69" s="82">
        <f t="shared" si="25"/>
        <v>87.7</v>
      </c>
      <c r="BH69" s="82">
        <f t="shared" si="25"/>
        <v>87.3</v>
      </c>
      <c r="BI69" s="82">
        <f t="shared" si="25"/>
        <v>93.6</v>
      </c>
      <c r="BJ69" s="82">
        <f t="shared" si="25"/>
        <v>100.8</v>
      </c>
      <c r="BK69" s="82">
        <f t="shared" si="25"/>
        <v>92</v>
      </c>
      <c r="BL69" s="82">
        <f t="shared" si="25"/>
        <v>86.3</v>
      </c>
      <c r="BM69" s="82">
        <f t="shared" si="25"/>
        <v>94.6</v>
      </c>
      <c r="BN69" s="82">
        <f t="shared" si="25"/>
        <v>104.6</v>
      </c>
      <c r="BO69" s="82">
        <f t="shared" si="25"/>
        <v>110</v>
      </c>
      <c r="BP69" s="82">
        <f t="shared" si="25"/>
        <v>108</v>
      </c>
      <c r="BQ69" s="82">
        <f>X82</f>
        <v>89.5</v>
      </c>
      <c r="BR69" s="82">
        <f>Z82</f>
        <v>0</v>
      </c>
      <c r="BS69" s="81">
        <f>AB82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10</v>
      </c>
      <c r="BA70" s="81">
        <f t="shared" si="24"/>
        <v>0</v>
      </c>
      <c r="BB70" s="81">
        <f t="shared" si="24"/>
        <v>10</v>
      </c>
      <c r="BC70" s="81">
        <f t="shared" si="24"/>
        <v>5</v>
      </c>
      <c r="BD70" s="81">
        <f t="shared" si="24"/>
        <v>41</v>
      </c>
      <c r="BE70" s="82">
        <f>I83</f>
        <v>84.3</v>
      </c>
      <c r="BF70" s="82">
        <f>K83</f>
        <v>339</v>
      </c>
      <c r="BG70" s="82">
        <f t="shared" si="25"/>
        <v>353.1</v>
      </c>
      <c r="BH70" s="82">
        <f t="shared" si="25"/>
        <v>462.9</v>
      </c>
      <c r="BI70" s="82">
        <f t="shared" si="25"/>
        <v>470</v>
      </c>
      <c r="BJ70" s="82">
        <f t="shared" si="25"/>
        <v>467.1</v>
      </c>
      <c r="BK70" s="82">
        <f t="shared" si="25"/>
        <v>500</v>
      </c>
      <c r="BL70" s="82">
        <f t="shared" si="25"/>
        <v>508.5</v>
      </c>
      <c r="BM70" s="82">
        <f t="shared" si="25"/>
        <v>499</v>
      </c>
      <c r="BN70" s="82">
        <f t="shared" si="25"/>
        <v>480</v>
      </c>
      <c r="BO70" s="82">
        <f t="shared" si="25"/>
        <v>465</v>
      </c>
      <c r="BP70" s="82">
        <f t="shared" si="25"/>
        <v>452</v>
      </c>
      <c r="BQ70" s="82">
        <f>X83</f>
        <v>301.8</v>
      </c>
      <c r="BR70" s="82">
        <f>Z83</f>
        <v>107</v>
      </c>
      <c r="BS70" s="81">
        <f>AB83</f>
        <v>56.4</v>
      </c>
      <c r="BT70" s="81">
        <f t="shared" si="26"/>
        <v>111.7</v>
      </c>
      <c r="BU70" s="81">
        <f t="shared" si="26"/>
        <v>88.4</v>
      </c>
      <c r="BV70" s="81">
        <f t="shared" si="26"/>
        <v>244</v>
      </c>
      <c r="BW70" s="81">
        <f>B83</f>
        <v>0</v>
      </c>
    </row>
    <row r="71" spans="1:75" s="83" customFormat="1" x14ac:dyDescent="0.25">
      <c r="A71" s="65" t="s">
        <v>91</v>
      </c>
      <c r="B71" s="76">
        <v>5.7</v>
      </c>
      <c r="C71" s="76">
        <v>5.7</v>
      </c>
      <c r="D71" s="76">
        <v>5.7</v>
      </c>
      <c r="E71" s="76">
        <v>5.7</v>
      </c>
      <c r="F71" s="76">
        <v>11.3</v>
      </c>
      <c r="G71" s="76">
        <v>11.3</v>
      </c>
      <c r="H71" s="76">
        <v>11.3</v>
      </c>
      <c r="I71" s="76">
        <v>11.3</v>
      </c>
      <c r="J71" s="76">
        <v>11.3</v>
      </c>
      <c r="K71" s="76">
        <v>11.3</v>
      </c>
      <c r="L71" s="76">
        <v>11.3</v>
      </c>
      <c r="M71" s="76">
        <v>11</v>
      </c>
      <c r="N71" s="76">
        <v>11</v>
      </c>
      <c r="O71" s="76">
        <v>11</v>
      </c>
      <c r="P71" s="76">
        <v>11</v>
      </c>
      <c r="Q71" s="76">
        <v>10.9</v>
      </c>
      <c r="R71" s="76">
        <v>11.7</v>
      </c>
      <c r="S71" s="76">
        <v>11.7</v>
      </c>
      <c r="T71" s="76">
        <v>11.7</v>
      </c>
      <c r="U71" s="76">
        <v>11.7</v>
      </c>
      <c r="V71" s="76">
        <v>11.7</v>
      </c>
      <c r="W71" s="76">
        <v>11.7</v>
      </c>
      <c r="X71" s="76">
        <v>11.7</v>
      </c>
      <c r="Y71" s="76">
        <v>11.7</v>
      </c>
      <c r="Z71" s="76">
        <v>11.7</v>
      </c>
      <c r="AA71" s="76">
        <v>11.7</v>
      </c>
      <c r="AB71" s="76">
        <v>11.9</v>
      </c>
      <c r="AC71" s="76">
        <v>12.2</v>
      </c>
      <c r="AD71" s="76">
        <v>12.2</v>
      </c>
      <c r="AE71" s="76">
        <v>12.2</v>
      </c>
      <c r="AF71" s="76">
        <v>12.5</v>
      </c>
      <c r="AG71" s="66">
        <v>14.1</v>
      </c>
      <c r="AH71" s="48">
        <f t="shared" si="8"/>
        <v>12.5</v>
      </c>
      <c r="AI71" s="49">
        <f t="shared" si="9"/>
        <v>5.7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4"/>
        <v>0</v>
      </c>
      <c r="BB71" s="81">
        <f t="shared" si="24"/>
        <v>0</v>
      </c>
      <c r="BC71" s="81">
        <f t="shared" si="24"/>
        <v>0</v>
      </c>
      <c r="BD71" s="81">
        <f t="shared" si="24"/>
        <v>0</v>
      </c>
      <c r="BE71" s="82">
        <f>I84</f>
        <v>0</v>
      </c>
      <c r="BF71" s="82">
        <f>K84</f>
        <v>48</v>
      </c>
      <c r="BG71" s="82">
        <f t="shared" si="25"/>
        <v>50.5</v>
      </c>
      <c r="BH71" s="82">
        <f t="shared" si="25"/>
        <v>52.7</v>
      </c>
      <c r="BI71" s="82">
        <f t="shared" si="25"/>
        <v>53.9</v>
      </c>
      <c r="BJ71" s="82">
        <f t="shared" si="25"/>
        <v>52.7</v>
      </c>
      <c r="BK71" s="82">
        <f t="shared" si="25"/>
        <v>50</v>
      </c>
      <c r="BL71" s="82">
        <f t="shared" si="25"/>
        <v>44.4</v>
      </c>
      <c r="BM71" s="82">
        <f t="shared" si="25"/>
        <v>42.6</v>
      </c>
      <c r="BN71" s="82">
        <f t="shared" si="25"/>
        <v>45</v>
      </c>
      <c r="BO71" s="82">
        <f t="shared" si="25"/>
        <v>44.2</v>
      </c>
      <c r="BP71" s="82">
        <f t="shared" si="25"/>
        <v>46</v>
      </c>
      <c r="BQ71" s="82">
        <f>X84</f>
        <v>42.1</v>
      </c>
      <c r="BR71" s="82">
        <f>Z84</f>
        <v>12.5</v>
      </c>
      <c r="BS71" s="81">
        <f>AB84</f>
        <v>14.1</v>
      </c>
      <c r="BT71" s="81">
        <f t="shared" si="26"/>
        <v>14.9</v>
      </c>
      <c r="BU71" s="81">
        <f t="shared" si="26"/>
        <v>15</v>
      </c>
      <c r="BV71" s="81">
        <f t="shared" si="26"/>
        <v>15.4</v>
      </c>
      <c r="BW71" s="81">
        <f>B84</f>
        <v>0</v>
      </c>
    </row>
    <row r="72" spans="1:75" x14ac:dyDescent="0.25">
      <c r="A72" s="84" t="s">
        <v>93</v>
      </c>
      <c r="B72" s="76">
        <v>11.7</v>
      </c>
      <c r="C72" s="76">
        <v>11.7</v>
      </c>
      <c r="D72" s="76">
        <v>11.7</v>
      </c>
      <c r="E72" s="76">
        <v>9.5</v>
      </c>
      <c r="F72" s="76">
        <v>9.5</v>
      </c>
      <c r="G72" s="76">
        <v>9.5</v>
      </c>
      <c r="H72" s="76">
        <v>8.1</v>
      </c>
      <c r="I72" s="76">
        <v>8.1</v>
      </c>
      <c r="J72" s="76">
        <v>8.1</v>
      </c>
      <c r="K72" s="76">
        <v>5.2</v>
      </c>
      <c r="L72" s="76">
        <v>5.2</v>
      </c>
      <c r="M72" s="76">
        <v>1.1000000000000001</v>
      </c>
      <c r="N72" s="76">
        <v>5</v>
      </c>
      <c r="O72" s="76">
        <v>9</v>
      </c>
      <c r="P72" s="76">
        <v>8</v>
      </c>
      <c r="Q72" s="76">
        <v>8</v>
      </c>
      <c r="R72" s="76">
        <v>8.6</v>
      </c>
      <c r="S72" s="76">
        <v>8.6</v>
      </c>
      <c r="T72" s="76">
        <v>8.6</v>
      </c>
      <c r="U72" s="76">
        <v>8.6</v>
      </c>
      <c r="V72" s="76">
        <v>8.6</v>
      </c>
      <c r="W72" s="76">
        <v>8.6</v>
      </c>
      <c r="X72" s="76">
        <v>8.6</v>
      </c>
      <c r="Y72" s="76">
        <v>8.6</v>
      </c>
      <c r="Z72" s="76">
        <v>8.6</v>
      </c>
      <c r="AA72" s="76">
        <v>8.6</v>
      </c>
      <c r="AB72" s="76">
        <v>9.8000000000000007</v>
      </c>
      <c r="AC72" s="76">
        <v>9.6999999999999993</v>
      </c>
      <c r="AD72" s="76">
        <v>9.6999999999999993</v>
      </c>
      <c r="AE72" s="76">
        <v>9.6999999999999993</v>
      </c>
      <c r="AF72" s="76">
        <v>9.5</v>
      </c>
      <c r="AG72" s="66">
        <v>14</v>
      </c>
      <c r="AH72" s="48">
        <f t="shared" si="8"/>
        <v>11.7</v>
      </c>
      <c r="AI72" s="49">
        <f t="shared" si="9"/>
        <v>1.1000000000000001</v>
      </c>
      <c r="AK72" s="51"/>
      <c r="AY72" s="1" t="s">
        <v>94</v>
      </c>
      <c r="AZ72" s="82">
        <f>ROUND(C85,0)</f>
        <v>0</v>
      </c>
      <c r="BA72" s="81">
        <f t="shared" si="24"/>
        <v>0</v>
      </c>
      <c r="BB72" s="81">
        <f t="shared" si="24"/>
        <v>0</v>
      </c>
      <c r="BC72" s="81">
        <f t="shared" si="24"/>
        <v>0</v>
      </c>
      <c r="BD72" s="81">
        <f t="shared" si="24"/>
        <v>0</v>
      </c>
      <c r="BE72" s="82">
        <f>I85</f>
        <v>0</v>
      </c>
      <c r="BF72" s="82">
        <f>K85</f>
        <v>119</v>
      </c>
      <c r="BG72" s="82">
        <f t="shared" si="25"/>
        <v>127.8</v>
      </c>
      <c r="BH72" s="82">
        <f t="shared" si="25"/>
        <v>115.6</v>
      </c>
      <c r="BI72" s="82">
        <f t="shared" si="25"/>
        <v>120.3</v>
      </c>
      <c r="BJ72" s="82">
        <f t="shared" si="25"/>
        <v>133.5</v>
      </c>
      <c r="BK72" s="82">
        <f t="shared" si="25"/>
        <v>122.5</v>
      </c>
      <c r="BL72" s="82">
        <f t="shared" si="25"/>
        <v>140.69999999999999</v>
      </c>
      <c r="BM72" s="82">
        <f t="shared" si="25"/>
        <v>135</v>
      </c>
      <c r="BN72" s="82">
        <f t="shared" si="25"/>
        <v>140</v>
      </c>
      <c r="BO72" s="82">
        <f t="shared" si="25"/>
        <v>127</v>
      </c>
      <c r="BP72" s="82">
        <f t="shared" si="25"/>
        <v>118</v>
      </c>
      <c r="BQ72" s="82">
        <f>X85</f>
        <v>101.2</v>
      </c>
      <c r="BR72" s="82">
        <f>Z85</f>
        <v>0</v>
      </c>
      <c r="BS72" s="81">
        <f>AB85</f>
        <v>0</v>
      </c>
      <c r="BT72" s="81">
        <f t="shared" si="26"/>
        <v>0</v>
      </c>
      <c r="BU72" s="81">
        <f t="shared" si="26"/>
        <v>0</v>
      </c>
      <c r="BV72" s="81">
        <f t="shared" si="26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46</v>
      </c>
      <c r="BA73" s="82">
        <f>D91</f>
        <v>47</v>
      </c>
      <c r="BB73" s="82">
        <f>E91</f>
        <v>46.1</v>
      </c>
      <c r="BC73" s="82">
        <f>F91</f>
        <v>43.9</v>
      </c>
      <c r="BD73" s="82">
        <f>G91</f>
        <v>41</v>
      </c>
      <c r="BE73" s="82">
        <f>I91</f>
        <v>38.5</v>
      </c>
      <c r="BF73" s="82">
        <f>K91</f>
        <v>44</v>
      </c>
      <c r="BG73" s="82">
        <f t="shared" ref="BG73:BP73" si="27">M91</f>
        <v>49.2</v>
      </c>
      <c r="BH73" s="82">
        <f t="shared" si="27"/>
        <v>44.2</v>
      </c>
      <c r="BI73" s="82">
        <f t="shared" si="27"/>
        <v>49.4</v>
      </c>
      <c r="BJ73" s="82">
        <f t="shared" si="27"/>
        <v>52.2</v>
      </c>
      <c r="BK73" s="82">
        <f t="shared" si="27"/>
        <v>54.8</v>
      </c>
      <c r="BL73" s="82">
        <f t="shared" si="27"/>
        <v>53.6</v>
      </c>
      <c r="BM73" s="82">
        <f t="shared" si="27"/>
        <v>52.3</v>
      </c>
      <c r="BN73" s="82">
        <f t="shared" si="27"/>
        <v>57</v>
      </c>
      <c r="BO73" s="82">
        <f t="shared" si="27"/>
        <v>54</v>
      </c>
      <c r="BP73" s="82">
        <f t="shared" si="27"/>
        <v>48</v>
      </c>
      <c r="BQ73" s="82">
        <f>X91</f>
        <v>43.8</v>
      </c>
      <c r="BR73" s="82">
        <f>Z91</f>
        <v>41</v>
      </c>
      <c r="BS73" s="82">
        <f>AB91</f>
        <v>41.3</v>
      </c>
      <c r="BT73" s="82">
        <f>AD91</f>
        <v>45.9</v>
      </c>
      <c r="BU73" s="82">
        <f>AE91</f>
        <v>49.9</v>
      </c>
      <c r="BV73" s="82">
        <f>AF91</f>
        <v>49.3</v>
      </c>
      <c r="BW73" s="82">
        <f>B91</f>
        <v>47</v>
      </c>
    </row>
    <row r="74" spans="1:75" x14ac:dyDescent="0.25">
      <c r="A74" s="65" t="s">
        <v>97</v>
      </c>
      <c r="B74" s="76">
        <v>2.5</v>
      </c>
      <c r="C74" s="76">
        <v>2.5</v>
      </c>
      <c r="D74" s="76">
        <v>2.5</v>
      </c>
      <c r="E74" s="76">
        <v>2.5</v>
      </c>
      <c r="F74" s="76">
        <v>2.5</v>
      </c>
      <c r="G74" s="76">
        <v>2.5</v>
      </c>
      <c r="H74" s="76">
        <v>2.5</v>
      </c>
      <c r="I74" s="76">
        <v>2.5</v>
      </c>
      <c r="J74" s="76">
        <v>2.5</v>
      </c>
      <c r="K74" s="76">
        <v>2.5</v>
      </c>
      <c r="L74" s="76">
        <v>2.5</v>
      </c>
      <c r="M74" s="76">
        <v>2.5</v>
      </c>
      <c r="N74" s="76">
        <v>2.5</v>
      </c>
      <c r="O74" s="76">
        <v>2.5</v>
      </c>
      <c r="P74" s="76">
        <v>2.5</v>
      </c>
      <c r="Q74" s="76">
        <v>2.35</v>
      </c>
      <c r="R74" s="76">
        <v>2.4</v>
      </c>
      <c r="S74" s="76">
        <v>2.4</v>
      </c>
      <c r="T74" s="76">
        <v>2.4</v>
      </c>
      <c r="U74" s="76">
        <v>2.4</v>
      </c>
      <c r="V74" s="76">
        <v>2.4</v>
      </c>
      <c r="W74" s="76">
        <v>2.4</v>
      </c>
      <c r="X74" s="76">
        <v>2.4</v>
      </c>
      <c r="Y74" s="76">
        <v>2.4</v>
      </c>
      <c r="Z74" s="76">
        <v>2.4</v>
      </c>
      <c r="AA74" s="76">
        <v>2.4</v>
      </c>
      <c r="AB74" s="76">
        <v>2.4</v>
      </c>
      <c r="AC74" s="76">
        <v>2.4</v>
      </c>
      <c r="AD74" s="76">
        <v>2.4</v>
      </c>
      <c r="AE74" s="76">
        <v>2.4</v>
      </c>
      <c r="AF74" s="76">
        <v>2.4</v>
      </c>
      <c r="AG74" s="66">
        <v>6.2</v>
      </c>
      <c r="AH74" s="48">
        <f t="shared" si="8"/>
        <v>2.5</v>
      </c>
      <c r="AI74" s="49">
        <f t="shared" si="9"/>
        <v>2.35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5.5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8">VALUE(AZ68)</f>
        <v>36</v>
      </c>
      <c r="BA75" s="82">
        <f t="shared" si="28"/>
        <v>20</v>
      </c>
      <c r="BB75" s="82">
        <f t="shared" si="28"/>
        <v>21.2</v>
      </c>
      <c r="BC75" s="82">
        <f t="shared" si="28"/>
        <v>17.600000000000001</v>
      </c>
      <c r="BD75" s="82">
        <f t="shared" si="28"/>
        <v>16</v>
      </c>
      <c r="BE75" s="82">
        <f t="shared" si="28"/>
        <v>25.5</v>
      </c>
      <c r="BF75" s="82">
        <f t="shared" si="28"/>
        <v>65.7</v>
      </c>
      <c r="BG75" s="82">
        <f t="shared" si="28"/>
        <v>64.5</v>
      </c>
      <c r="BH75" s="82">
        <f t="shared" si="28"/>
        <v>60</v>
      </c>
      <c r="BI75" s="82">
        <f t="shared" si="28"/>
        <v>69</v>
      </c>
      <c r="BJ75" s="82">
        <f t="shared" si="28"/>
        <v>66.900000000000006</v>
      </c>
      <c r="BK75" s="82">
        <f t="shared" si="28"/>
        <v>72</v>
      </c>
      <c r="BL75" s="82">
        <f t="shared" si="28"/>
        <v>73.7</v>
      </c>
      <c r="BM75" s="82">
        <f t="shared" si="28"/>
        <v>71.7</v>
      </c>
      <c r="BN75" s="82">
        <f t="shared" si="28"/>
        <v>64.5</v>
      </c>
      <c r="BO75" s="82">
        <f t="shared" si="28"/>
        <v>67</v>
      </c>
      <c r="BP75" s="82">
        <f t="shared" si="28"/>
        <v>69.900000000000006</v>
      </c>
      <c r="BQ75" s="82">
        <f t="shared" si="28"/>
        <v>60</v>
      </c>
      <c r="BR75" s="82">
        <f t="shared" si="28"/>
        <v>31</v>
      </c>
      <c r="BS75" s="82">
        <f t="shared" si="28"/>
        <v>43</v>
      </c>
      <c r="BT75" s="82">
        <f t="shared" si="28"/>
        <v>50.2</v>
      </c>
      <c r="BU75" s="82">
        <f t="shared" si="28"/>
        <v>47.6</v>
      </c>
      <c r="BV75" s="82">
        <f t="shared" si="28"/>
        <v>41.3</v>
      </c>
      <c r="BW75" s="82">
        <f t="shared" si="28"/>
        <v>40</v>
      </c>
    </row>
    <row r="76" spans="1:75" ht="15.75" thickBot="1" x14ac:dyDescent="0.3">
      <c r="A76" s="87" t="s">
        <v>99</v>
      </c>
      <c r="B76" s="71">
        <f>SUM(B63:B75)</f>
        <v>306.33999999999997</v>
      </c>
      <c r="C76" s="71">
        <f>SUM(C63:C75)</f>
        <v>306.33999999999997</v>
      </c>
      <c r="D76" s="71">
        <f>SUM(D63:D75)</f>
        <v>327.33999999999997</v>
      </c>
      <c r="E76" s="71">
        <f t="shared" ref="E76:AG76" si="29">SUM(E63:E75)</f>
        <v>340.94</v>
      </c>
      <c r="F76" s="71">
        <f t="shared" si="29"/>
        <v>345.94000000000005</v>
      </c>
      <c r="G76" s="71">
        <f t="shared" si="29"/>
        <v>345.94000000000005</v>
      </c>
      <c r="H76" s="71">
        <f t="shared" si="29"/>
        <v>362.84000000000009</v>
      </c>
      <c r="I76" s="71">
        <f t="shared" si="29"/>
        <v>395.64000000000004</v>
      </c>
      <c r="J76" s="71">
        <f t="shared" si="29"/>
        <v>324.34000000000003</v>
      </c>
      <c r="K76" s="71">
        <f t="shared" si="29"/>
        <v>321.54000000000002</v>
      </c>
      <c r="L76" s="71">
        <f t="shared" si="29"/>
        <v>311.14000000000004</v>
      </c>
      <c r="M76" s="71">
        <f t="shared" si="29"/>
        <v>299.14000000000004</v>
      </c>
      <c r="N76" s="71">
        <f t="shared" si="29"/>
        <v>239.54</v>
      </c>
      <c r="O76" s="71">
        <f t="shared" si="29"/>
        <v>280.24</v>
      </c>
      <c r="P76" s="71">
        <f t="shared" si="29"/>
        <v>287.44</v>
      </c>
      <c r="Q76" s="71">
        <f t="shared" si="29"/>
        <v>293.29000000000002</v>
      </c>
      <c r="R76" s="71">
        <f t="shared" si="29"/>
        <v>308.44000000000005</v>
      </c>
      <c r="S76" s="71">
        <f t="shared" si="29"/>
        <v>304.24</v>
      </c>
      <c r="T76" s="71">
        <f t="shared" si="29"/>
        <v>302.24</v>
      </c>
      <c r="U76" s="71">
        <f t="shared" si="29"/>
        <v>300.24</v>
      </c>
      <c r="V76" s="71">
        <f t="shared" si="29"/>
        <v>283.24</v>
      </c>
      <c r="W76" s="71">
        <f t="shared" si="29"/>
        <v>287.94</v>
      </c>
      <c r="X76" s="71">
        <f t="shared" si="29"/>
        <v>312.54000000000002</v>
      </c>
      <c r="Y76" s="71">
        <f t="shared" si="29"/>
        <v>355.9</v>
      </c>
      <c r="Z76" s="71">
        <f t="shared" si="29"/>
        <v>388.9</v>
      </c>
      <c r="AA76" s="71">
        <f t="shared" si="29"/>
        <v>387.29999999999995</v>
      </c>
      <c r="AB76" s="71">
        <f t="shared" si="29"/>
        <v>394.53999999999996</v>
      </c>
      <c r="AC76" s="71">
        <f t="shared" si="29"/>
        <v>362.34</v>
      </c>
      <c r="AD76" s="71">
        <f t="shared" si="29"/>
        <v>364.64</v>
      </c>
      <c r="AE76" s="71">
        <f t="shared" si="29"/>
        <v>364.64</v>
      </c>
      <c r="AF76" s="71">
        <f t="shared" si="29"/>
        <v>305.33999999999997</v>
      </c>
      <c r="AG76" s="72">
        <f t="shared" si="29"/>
        <v>489.91</v>
      </c>
      <c r="AH76" s="48">
        <f t="shared" si="8"/>
        <v>395.64000000000004</v>
      </c>
      <c r="AI76" s="49">
        <f t="shared" si="9"/>
        <v>239.54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87.7</v>
      </c>
      <c r="BH76" s="82">
        <f t="shared" si="28"/>
        <v>87.3</v>
      </c>
      <c r="BI76" s="82">
        <f t="shared" si="28"/>
        <v>93.6</v>
      </c>
      <c r="BJ76" s="82">
        <f t="shared" si="28"/>
        <v>100.8</v>
      </c>
      <c r="BK76" s="82">
        <f t="shared" si="28"/>
        <v>92</v>
      </c>
      <c r="BL76" s="82">
        <f t="shared" si="28"/>
        <v>86.3</v>
      </c>
      <c r="BM76" s="82">
        <f t="shared" si="28"/>
        <v>94.6</v>
      </c>
      <c r="BN76" s="82">
        <f t="shared" si="28"/>
        <v>104.6</v>
      </c>
      <c r="BO76" s="82">
        <f t="shared" si="28"/>
        <v>110</v>
      </c>
      <c r="BP76" s="82">
        <f t="shared" si="28"/>
        <v>108</v>
      </c>
      <c r="BQ76" s="82">
        <f t="shared" si="28"/>
        <v>89.5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45" t="s">
        <v>100</v>
      </c>
      <c r="B77" s="46">
        <v>59.3</v>
      </c>
      <c r="C77" s="46">
        <v>50</v>
      </c>
      <c r="D77" s="46">
        <v>30</v>
      </c>
      <c r="E77" s="46">
        <v>19.399999999999999</v>
      </c>
      <c r="F77" s="46">
        <v>19.399999999999999</v>
      </c>
      <c r="G77" s="46">
        <v>19.399999999999999</v>
      </c>
      <c r="H77" s="46">
        <v>30</v>
      </c>
      <c r="I77" s="46">
        <v>49</v>
      </c>
      <c r="J77" s="46">
        <v>34</v>
      </c>
      <c r="K77" s="46">
        <v>40</v>
      </c>
      <c r="L77" s="46">
        <v>40</v>
      </c>
      <c r="M77" s="46">
        <v>39.9</v>
      </c>
      <c r="N77" s="46">
        <v>40</v>
      </c>
      <c r="O77" s="46">
        <v>39.9</v>
      </c>
      <c r="P77" s="46">
        <v>39.9</v>
      </c>
      <c r="Q77" s="46">
        <v>59</v>
      </c>
      <c r="R77" s="46">
        <v>60.2</v>
      </c>
      <c r="S77" s="46">
        <v>59.5</v>
      </c>
      <c r="T77" s="46">
        <v>59.5</v>
      </c>
      <c r="U77" s="46">
        <v>59.5</v>
      </c>
      <c r="V77" s="46">
        <v>59.5</v>
      </c>
      <c r="W77" s="46">
        <v>59.5</v>
      </c>
      <c r="X77" s="46">
        <v>59.5</v>
      </c>
      <c r="Y77" s="46">
        <v>54</v>
      </c>
      <c r="Z77" s="46">
        <v>55</v>
      </c>
      <c r="AA77" s="46">
        <v>54.8</v>
      </c>
      <c r="AB77" s="46">
        <v>59.1</v>
      </c>
      <c r="AC77" s="46">
        <v>59.3</v>
      </c>
      <c r="AD77" s="46">
        <v>59.3</v>
      </c>
      <c r="AE77" s="46">
        <v>59.3</v>
      </c>
      <c r="AF77" s="46">
        <v>59.2</v>
      </c>
      <c r="AG77" s="61">
        <v>60</v>
      </c>
      <c r="AH77" s="48">
        <f t="shared" si="8"/>
        <v>60.2</v>
      </c>
      <c r="AI77" s="49">
        <f t="shared" si="9"/>
        <v>19.399999999999999</v>
      </c>
      <c r="AK77" s="51"/>
      <c r="AZ77" s="82">
        <f t="shared" si="28"/>
        <v>10</v>
      </c>
      <c r="BA77" s="82">
        <f t="shared" si="28"/>
        <v>0</v>
      </c>
      <c r="BB77" s="82">
        <f t="shared" si="28"/>
        <v>10</v>
      </c>
      <c r="BC77" s="82">
        <f t="shared" si="28"/>
        <v>5</v>
      </c>
      <c r="BD77" s="82">
        <f t="shared" si="28"/>
        <v>41</v>
      </c>
      <c r="BE77" s="82">
        <f t="shared" si="28"/>
        <v>84.3</v>
      </c>
      <c r="BF77" s="82">
        <f t="shared" si="28"/>
        <v>339</v>
      </c>
      <c r="BG77" s="82">
        <f t="shared" si="28"/>
        <v>353.1</v>
      </c>
      <c r="BH77" s="82">
        <f t="shared" si="28"/>
        <v>462.9</v>
      </c>
      <c r="BI77" s="82">
        <f t="shared" si="28"/>
        <v>470</v>
      </c>
      <c r="BJ77" s="82">
        <f t="shared" si="28"/>
        <v>467.1</v>
      </c>
      <c r="BK77" s="82">
        <f t="shared" si="28"/>
        <v>500</v>
      </c>
      <c r="BL77" s="82">
        <f t="shared" si="28"/>
        <v>508.5</v>
      </c>
      <c r="BM77" s="82">
        <f t="shared" si="28"/>
        <v>499</v>
      </c>
      <c r="BN77" s="82">
        <f t="shared" si="28"/>
        <v>480</v>
      </c>
      <c r="BO77" s="82">
        <f t="shared" si="28"/>
        <v>465</v>
      </c>
      <c r="BP77" s="82">
        <f t="shared" si="28"/>
        <v>452</v>
      </c>
      <c r="BQ77" s="82">
        <f t="shared" si="28"/>
        <v>301.8</v>
      </c>
      <c r="BR77" s="82">
        <f t="shared" si="28"/>
        <v>107</v>
      </c>
      <c r="BS77" s="82">
        <f t="shared" si="28"/>
        <v>56.4</v>
      </c>
      <c r="BT77" s="82">
        <f t="shared" si="28"/>
        <v>111.7</v>
      </c>
      <c r="BU77" s="82">
        <f t="shared" si="28"/>
        <v>88.4</v>
      </c>
      <c r="BV77" s="82">
        <f t="shared" si="28"/>
        <v>244</v>
      </c>
      <c r="BW77" s="82">
        <f t="shared" si="28"/>
        <v>0</v>
      </c>
    </row>
    <row r="78" spans="1:75" x14ac:dyDescent="0.25">
      <c r="A78" s="65" t="s">
        <v>101</v>
      </c>
      <c r="B78" s="76">
        <v>27.1</v>
      </c>
      <c r="C78" s="76">
        <v>22</v>
      </c>
      <c r="D78" s="76">
        <v>14</v>
      </c>
      <c r="E78" s="76">
        <v>7.8</v>
      </c>
      <c r="F78" s="76">
        <v>7.8</v>
      </c>
      <c r="G78" s="76">
        <v>7.8</v>
      </c>
      <c r="H78" s="76">
        <v>7.9</v>
      </c>
      <c r="I78" s="76">
        <v>18.5</v>
      </c>
      <c r="J78" s="76">
        <v>15.1</v>
      </c>
      <c r="K78" s="76">
        <v>16.2</v>
      </c>
      <c r="L78" s="76">
        <v>18</v>
      </c>
      <c r="M78" s="76">
        <v>16.5</v>
      </c>
      <c r="N78" s="76">
        <v>16.7</v>
      </c>
      <c r="O78" s="76">
        <v>16.5</v>
      </c>
      <c r="P78" s="76">
        <v>16.5</v>
      </c>
      <c r="Q78" s="76">
        <v>28.2</v>
      </c>
      <c r="R78" s="76">
        <v>29.3</v>
      </c>
      <c r="S78" s="76">
        <v>28.5</v>
      </c>
      <c r="T78" s="76">
        <v>28.5</v>
      </c>
      <c r="U78" s="76">
        <v>28.4</v>
      </c>
      <c r="V78" s="76">
        <v>28.4</v>
      </c>
      <c r="W78" s="76">
        <v>29.5</v>
      </c>
      <c r="X78" s="76">
        <v>29.1</v>
      </c>
      <c r="Y78" s="76">
        <v>24</v>
      </c>
      <c r="Z78" s="76">
        <v>25</v>
      </c>
      <c r="AA78" s="76">
        <v>27.5</v>
      </c>
      <c r="AB78" s="76">
        <v>25.1</v>
      </c>
      <c r="AC78" s="76">
        <v>27.7</v>
      </c>
      <c r="AD78" s="76">
        <v>29.2</v>
      </c>
      <c r="AE78" s="76">
        <v>26.2</v>
      </c>
      <c r="AF78" s="76">
        <v>28.8</v>
      </c>
      <c r="AG78" s="66">
        <v>32</v>
      </c>
      <c r="AH78" s="48">
        <f t="shared" si="8"/>
        <v>29.5</v>
      </c>
      <c r="AI78" s="49">
        <f t="shared" si="9"/>
        <v>7.8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48</v>
      </c>
      <c r="BG78" s="82">
        <f t="shared" si="28"/>
        <v>50.5</v>
      </c>
      <c r="BH78" s="82">
        <f t="shared" si="28"/>
        <v>52.7</v>
      </c>
      <c r="BI78" s="82">
        <f t="shared" si="28"/>
        <v>53.9</v>
      </c>
      <c r="BJ78" s="82">
        <f t="shared" si="28"/>
        <v>52.7</v>
      </c>
      <c r="BK78" s="82">
        <f t="shared" si="28"/>
        <v>50</v>
      </c>
      <c r="BL78" s="82">
        <f t="shared" si="28"/>
        <v>44.4</v>
      </c>
      <c r="BM78" s="82">
        <f t="shared" si="28"/>
        <v>42.6</v>
      </c>
      <c r="BN78" s="82">
        <f t="shared" si="28"/>
        <v>45</v>
      </c>
      <c r="BO78" s="82">
        <f t="shared" si="28"/>
        <v>44.2</v>
      </c>
      <c r="BP78" s="82">
        <f t="shared" si="28"/>
        <v>46</v>
      </c>
      <c r="BQ78" s="82">
        <f t="shared" si="28"/>
        <v>42.1</v>
      </c>
      <c r="BR78" s="82">
        <f t="shared" si="28"/>
        <v>12.5</v>
      </c>
      <c r="BS78" s="82">
        <f t="shared" si="28"/>
        <v>14.1</v>
      </c>
      <c r="BT78" s="82">
        <f t="shared" si="28"/>
        <v>14.9</v>
      </c>
      <c r="BU78" s="82">
        <f t="shared" si="28"/>
        <v>15</v>
      </c>
      <c r="BV78" s="82">
        <f t="shared" si="28"/>
        <v>15.4</v>
      </c>
      <c r="BW78" s="82">
        <f t="shared" si="28"/>
        <v>0</v>
      </c>
    </row>
    <row r="79" spans="1:75" ht="15.75" thickBot="1" x14ac:dyDescent="0.3">
      <c r="A79" s="84" t="s">
        <v>102</v>
      </c>
      <c r="B79" s="78">
        <v>9.9</v>
      </c>
      <c r="C79" s="78">
        <v>8</v>
      </c>
      <c r="D79" s="78">
        <v>5</v>
      </c>
      <c r="E79" s="78">
        <v>2.9</v>
      </c>
      <c r="F79" s="78">
        <v>2.9</v>
      </c>
      <c r="G79" s="78">
        <v>2.9</v>
      </c>
      <c r="H79" s="78">
        <v>2.9</v>
      </c>
      <c r="I79" s="78">
        <v>6.7</v>
      </c>
      <c r="J79" s="78">
        <v>5.5</v>
      </c>
      <c r="K79" s="78">
        <v>5.9</v>
      </c>
      <c r="L79" s="78">
        <v>6.6</v>
      </c>
      <c r="M79" s="78">
        <v>6</v>
      </c>
      <c r="N79" s="78">
        <v>6.1</v>
      </c>
      <c r="O79" s="78">
        <v>6</v>
      </c>
      <c r="P79" s="78">
        <v>6</v>
      </c>
      <c r="Q79" s="78">
        <v>10.3</v>
      </c>
      <c r="R79" s="78">
        <v>10.7</v>
      </c>
      <c r="S79" s="78">
        <v>10.4</v>
      </c>
      <c r="T79" s="78">
        <v>10.4</v>
      </c>
      <c r="U79" s="78">
        <v>10.4</v>
      </c>
      <c r="V79" s="78">
        <v>10.4</v>
      </c>
      <c r="W79" s="78">
        <v>10.8</v>
      </c>
      <c r="X79" s="78">
        <v>10.6</v>
      </c>
      <c r="Y79" s="78">
        <v>10.6</v>
      </c>
      <c r="Z79" s="78">
        <v>9.1</v>
      </c>
      <c r="AA79" s="78">
        <v>10</v>
      </c>
      <c r="AB79" s="78">
        <v>9.1999999999999993</v>
      </c>
      <c r="AC79" s="78">
        <v>10.1</v>
      </c>
      <c r="AD79" s="78">
        <v>10.7</v>
      </c>
      <c r="AE79" s="78">
        <v>9.5</v>
      </c>
      <c r="AF79" s="78">
        <v>10.5</v>
      </c>
      <c r="AG79" s="79">
        <v>14</v>
      </c>
      <c r="AH79" s="48">
        <f t="shared" si="8"/>
        <v>10.8</v>
      </c>
      <c r="AI79" s="49">
        <f t="shared" si="9"/>
        <v>2.9</v>
      </c>
      <c r="AK79" s="51"/>
      <c r="AZ79" s="82">
        <f t="shared" si="28"/>
        <v>0</v>
      </c>
      <c r="BA79" s="82">
        <f t="shared" si="28"/>
        <v>0</v>
      </c>
      <c r="BB79" s="82">
        <f t="shared" si="28"/>
        <v>0</v>
      </c>
      <c r="BC79" s="82">
        <f t="shared" si="28"/>
        <v>0</v>
      </c>
      <c r="BD79" s="82">
        <f t="shared" si="28"/>
        <v>0</v>
      </c>
      <c r="BE79" s="82">
        <f t="shared" si="28"/>
        <v>0</v>
      </c>
      <c r="BF79" s="82">
        <f t="shared" si="28"/>
        <v>119</v>
      </c>
      <c r="BG79" s="82">
        <f t="shared" si="28"/>
        <v>127.8</v>
      </c>
      <c r="BH79" s="82">
        <f t="shared" si="28"/>
        <v>115.6</v>
      </c>
      <c r="BI79" s="82">
        <f t="shared" si="28"/>
        <v>120.3</v>
      </c>
      <c r="BJ79" s="82">
        <f t="shared" si="28"/>
        <v>133.5</v>
      </c>
      <c r="BK79" s="82">
        <f t="shared" si="28"/>
        <v>122.5</v>
      </c>
      <c r="BL79" s="82">
        <f t="shared" si="28"/>
        <v>140.69999999999999</v>
      </c>
      <c r="BM79" s="82">
        <f t="shared" si="28"/>
        <v>135</v>
      </c>
      <c r="BN79" s="82">
        <f t="shared" si="28"/>
        <v>140</v>
      </c>
      <c r="BO79" s="82">
        <f t="shared" si="28"/>
        <v>127</v>
      </c>
      <c r="BP79" s="82">
        <f t="shared" si="28"/>
        <v>118</v>
      </c>
      <c r="BQ79" s="82">
        <f t="shared" si="28"/>
        <v>101.2</v>
      </c>
      <c r="BR79" s="82">
        <f t="shared" si="28"/>
        <v>0</v>
      </c>
      <c r="BS79" s="82">
        <f t="shared" si="28"/>
        <v>0</v>
      </c>
      <c r="BT79" s="82">
        <f t="shared" si="28"/>
        <v>0</v>
      </c>
      <c r="BU79" s="82">
        <f t="shared" si="28"/>
        <v>0</v>
      </c>
      <c r="BV79" s="82">
        <f t="shared" si="28"/>
        <v>0</v>
      </c>
      <c r="BW79" s="82">
        <f t="shared" si="28"/>
        <v>0</v>
      </c>
    </row>
    <row r="80" spans="1:75" ht="15.75" thickBot="1" x14ac:dyDescent="0.3">
      <c r="A80" s="87" t="s">
        <v>103</v>
      </c>
      <c r="B80" s="71">
        <f>B77+B78+B79</f>
        <v>96.300000000000011</v>
      </c>
      <c r="C80" s="71">
        <f>C77+C78+C79</f>
        <v>80</v>
      </c>
      <c r="D80" s="71">
        <f>D77+D78+D79</f>
        <v>49</v>
      </c>
      <c r="E80" s="71">
        <f t="shared" ref="E80:AF80" si="30">E77+E78+E79</f>
        <v>30.099999999999998</v>
      </c>
      <c r="F80" s="71">
        <f t="shared" si="30"/>
        <v>30.099999999999998</v>
      </c>
      <c r="G80" s="71">
        <f t="shared" si="30"/>
        <v>30.099999999999998</v>
      </c>
      <c r="H80" s="71">
        <f t="shared" si="30"/>
        <v>40.799999999999997</v>
      </c>
      <c r="I80" s="71">
        <f t="shared" si="30"/>
        <v>74.2</v>
      </c>
      <c r="J80" s="71">
        <f t="shared" si="30"/>
        <v>54.6</v>
      </c>
      <c r="K80" s="71">
        <f t="shared" si="30"/>
        <v>62.1</v>
      </c>
      <c r="L80" s="71">
        <f t="shared" si="30"/>
        <v>64.599999999999994</v>
      </c>
      <c r="M80" s="71">
        <f t="shared" si="30"/>
        <v>62.4</v>
      </c>
      <c r="N80" s="71">
        <f t="shared" si="30"/>
        <v>62.800000000000004</v>
      </c>
      <c r="O80" s="71">
        <f t="shared" si="30"/>
        <v>62.4</v>
      </c>
      <c r="P80" s="71">
        <f t="shared" si="30"/>
        <v>62.4</v>
      </c>
      <c r="Q80" s="71">
        <f t="shared" si="30"/>
        <v>97.5</v>
      </c>
      <c r="R80" s="71">
        <f t="shared" si="30"/>
        <v>100.2</v>
      </c>
      <c r="S80" s="71">
        <f t="shared" si="30"/>
        <v>98.4</v>
      </c>
      <c r="T80" s="71">
        <f t="shared" si="30"/>
        <v>98.4</v>
      </c>
      <c r="U80" s="71">
        <f t="shared" si="30"/>
        <v>98.300000000000011</v>
      </c>
      <c r="V80" s="71">
        <f t="shared" si="30"/>
        <v>98.300000000000011</v>
      </c>
      <c r="W80" s="71">
        <f t="shared" si="30"/>
        <v>99.8</v>
      </c>
      <c r="X80" s="71">
        <f t="shared" si="30"/>
        <v>99.199999999999989</v>
      </c>
      <c r="Y80" s="71">
        <f t="shared" si="30"/>
        <v>88.6</v>
      </c>
      <c r="Z80" s="71">
        <f t="shared" si="30"/>
        <v>89.1</v>
      </c>
      <c r="AA80" s="71">
        <f t="shared" si="30"/>
        <v>92.3</v>
      </c>
      <c r="AB80" s="71">
        <f t="shared" si="30"/>
        <v>93.4</v>
      </c>
      <c r="AC80" s="71">
        <f t="shared" si="30"/>
        <v>97.1</v>
      </c>
      <c r="AD80" s="71">
        <f t="shared" si="30"/>
        <v>99.2</v>
      </c>
      <c r="AE80" s="71">
        <f t="shared" si="30"/>
        <v>95</v>
      </c>
      <c r="AF80" s="71">
        <f t="shared" si="30"/>
        <v>98.5</v>
      </c>
      <c r="AG80" s="72">
        <f>SUM(AG77:AG79)</f>
        <v>106</v>
      </c>
      <c r="AH80" s="48">
        <f t="shared" si="8"/>
        <v>100.2</v>
      </c>
      <c r="AI80" s="49">
        <f t="shared" si="9"/>
        <v>30.099999999999998</v>
      </c>
      <c r="AK80" s="51"/>
      <c r="AZ80" s="82">
        <f t="shared" si="28"/>
        <v>46</v>
      </c>
      <c r="BA80" s="82">
        <f t="shared" si="28"/>
        <v>47</v>
      </c>
      <c r="BB80" s="82">
        <f t="shared" si="28"/>
        <v>46.1</v>
      </c>
      <c r="BC80" s="82">
        <f t="shared" si="28"/>
        <v>43.9</v>
      </c>
      <c r="BD80" s="82">
        <f t="shared" si="28"/>
        <v>41</v>
      </c>
      <c r="BE80" s="82">
        <f t="shared" si="28"/>
        <v>38.5</v>
      </c>
      <c r="BF80" s="82">
        <f t="shared" si="28"/>
        <v>44</v>
      </c>
      <c r="BG80" s="82">
        <f t="shared" si="28"/>
        <v>49.2</v>
      </c>
      <c r="BH80" s="82">
        <f t="shared" si="28"/>
        <v>44.2</v>
      </c>
      <c r="BI80" s="82">
        <f t="shared" si="28"/>
        <v>49.4</v>
      </c>
      <c r="BJ80" s="82">
        <f t="shared" si="28"/>
        <v>52.2</v>
      </c>
      <c r="BK80" s="82">
        <f t="shared" si="28"/>
        <v>54.8</v>
      </c>
      <c r="BL80" s="82">
        <f t="shared" si="28"/>
        <v>53.6</v>
      </c>
      <c r="BM80" s="82">
        <f t="shared" si="28"/>
        <v>52.3</v>
      </c>
      <c r="BN80" s="82">
        <f t="shared" si="28"/>
        <v>57</v>
      </c>
      <c r="BO80" s="82">
        <f t="shared" si="28"/>
        <v>54</v>
      </c>
      <c r="BP80" s="82">
        <f t="shared" si="28"/>
        <v>48</v>
      </c>
      <c r="BQ80" s="82">
        <f t="shared" si="28"/>
        <v>43.8</v>
      </c>
      <c r="BR80" s="82">
        <f t="shared" si="28"/>
        <v>41</v>
      </c>
      <c r="BS80" s="82">
        <f t="shared" si="28"/>
        <v>41.3</v>
      </c>
      <c r="BT80" s="82">
        <f t="shared" si="28"/>
        <v>45.9</v>
      </c>
      <c r="BU80" s="82">
        <f t="shared" si="28"/>
        <v>49.9</v>
      </c>
      <c r="BV80" s="82">
        <f t="shared" si="28"/>
        <v>49.3</v>
      </c>
      <c r="BW80" s="82">
        <f t="shared" si="28"/>
        <v>47</v>
      </c>
    </row>
    <row r="81" spans="1:64" x14ac:dyDescent="0.25">
      <c r="A81" s="45" t="s">
        <v>104</v>
      </c>
      <c r="B81" s="46">
        <v>40</v>
      </c>
      <c r="C81" s="46">
        <v>36</v>
      </c>
      <c r="D81" s="46">
        <v>20</v>
      </c>
      <c r="E81" s="46">
        <v>21.2</v>
      </c>
      <c r="F81" s="46">
        <v>17.600000000000001</v>
      </c>
      <c r="G81" s="46">
        <v>16</v>
      </c>
      <c r="H81" s="46">
        <v>13.2</v>
      </c>
      <c r="I81" s="46">
        <v>25.5</v>
      </c>
      <c r="J81" s="46">
        <v>64.599999999999994</v>
      </c>
      <c r="K81" s="46">
        <v>65.7</v>
      </c>
      <c r="L81" s="46">
        <v>67.400000000000006</v>
      </c>
      <c r="M81" s="46">
        <v>64.5</v>
      </c>
      <c r="N81" s="46">
        <v>60</v>
      </c>
      <c r="O81" s="46">
        <v>69</v>
      </c>
      <c r="P81" s="46">
        <v>66.900000000000006</v>
      </c>
      <c r="Q81" s="46">
        <v>72</v>
      </c>
      <c r="R81" s="46">
        <v>73.7</v>
      </c>
      <c r="S81" s="46">
        <v>71.7</v>
      </c>
      <c r="T81" s="46">
        <v>64.5</v>
      </c>
      <c r="U81" s="46">
        <v>67</v>
      </c>
      <c r="V81" s="46">
        <v>69.900000000000006</v>
      </c>
      <c r="W81" s="46">
        <v>56.4</v>
      </c>
      <c r="X81" s="46">
        <v>60</v>
      </c>
      <c r="Y81" s="46">
        <v>44</v>
      </c>
      <c r="Z81" s="46">
        <v>31</v>
      </c>
      <c r="AA81" s="46">
        <v>40.9</v>
      </c>
      <c r="AB81" s="46">
        <v>43</v>
      </c>
      <c r="AC81" s="46">
        <v>48.6</v>
      </c>
      <c r="AD81" s="46">
        <v>50.2</v>
      </c>
      <c r="AE81" s="46">
        <v>47.6</v>
      </c>
      <c r="AF81" s="46">
        <v>41.3</v>
      </c>
      <c r="AG81" s="61"/>
      <c r="AH81" s="48">
        <f t="shared" si="8"/>
        <v>73.7</v>
      </c>
      <c r="AI81" s="49">
        <f t="shared" si="9"/>
        <v>13.2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/>
      <c r="F82" s="76"/>
      <c r="G82" s="76"/>
      <c r="H82" s="76"/>
      <c r="I82" s="76"/>
      <c r="J82" s="76">
        <v>0</v>
      </c>
      <c r="K82" s="76">
        <v>0</v>
      </c>
      <c r="L82" s="76">
        <v>85.1</v>
      </c>
      <c r="M82" s="76">
        <v>87.7</v>
      </c>
      <c r="N82" s="76">
        <v>87.3</v>
      </c>
      <c r="O82" s="76">
        <v>93.6</v>
      </c>
      <c r="P82" s="76">
        <v>100.8</v>
      </c>
      <c r="Q82" s="76">
        <v>92</v>
      </c>
      <c r="R82" s="76">
        <v>86.3</v>
      </c>
      <c r="S82" s="76">
        <v>94.6</v>
      </c>
      <c r="T82" s="76">
        <v>104.6</v>
      </c>
      <c r="U82" s="76">
        <v>110</v>
      </c>
      <c r="V82" s="76">
        <v>108</v>
      </c>
      <c r="W82" s="76">
        <v>100.9</v>
      </c>
      <c r="X82" s="76">
        <v>89.5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1">MAX(B82:AF82)</f>
        <v>110</v>
      </c>
      <c r="AI82" s="49">
        <f t="shared" ref="AI82:AI125" si="32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10</v>
      </c>
      <c r="D83" s="76">
        <v>0</v>
      </c>
      <c r="E83" s="76">
        <v>10</v>
      </c>
      <c r="F83" s="76">
        <v>5</v>
      </c>
      <c r="G83" s="76">
        <v>41</v>
      </c>
      <c r="H83" s="76">
        <v>95</v>
      </c>
      <c r="I83" s="76">
        <v>84.3</v>
      </c>
      <c r="J83" s="76">
        <v>156</v>
      </c>
      <c r="K83" s="76">
        <v>339</v>
      </c>
      <c r="L83" s="76">
        <v>309</v>
      </c>
      <c r="M83" s="76">
        <v>353.1</v>
      </c>
      <c r="N83" s="76">
        <v>462.9</v>
      </c>
      <c r="O83" s="76">
        <v>470</v>
      </c>
      <c r="P83" s="76">
        <v>467.1</v>
      </c>
      <c r="Q83" s="76">
        <v>500</v>
      </c>
      <c r="R83" s="76">
        <v>508.5</v>
      </c>
      <c r="S83" s="76">
        <v>499</v>
      </c>
      <c r="T83" s="76">
        <v>480</v>
      </c>
      <c r="U83" s="76">
        <v>465</v>
      </c>
      <c r="V83" s="76">
        <v>452</v>
      </c>
      <c r="W83" s="76">
        <v>368</v>
      </c>
      <c r="X83" s="76">
        <v>301.8</v>
      </c>
      <c r="Y83" s="76">
        <v>10</v>
      </c>
      <c r="Z83" s="76">
        <v>107</v>
      </c>
      <c r="AA83" s="76">
        <v>77</v>
      </c>
      <c r="AB83" s="76">
        <v>56.4</v>
      </c>
      <c r="AC83" s="76">
        <v>147.19999999999999</v>
      </c>
      <c r="AD83" s="76">
        <v>111.7</v>
      </c>
      <c r="AE83" s="76">
        <v>88.4</v>
      </c>
      <c r="AF83" s="76">
        <v>244</v>
      </c>
      <c r="AG83" s="88"/>
      <c r="AH83" s="48">
        <f t="shared" si="31"/>
        <v>508.5</v>
      </c>
      <c r="AI83" s="49">
        <f t="shared" si="32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/>
      <c r="F84" s="89"/>
      <c r="G84" s="89"/>
      <c r="H84" s="89"/>
      <c r="I84" s="89"/>
      <c r="J84" s="89">
        <v>35</v>
      </c>
      <c r="K84" s="89">
        <v>48</v>
      </c>
      <c r="L84" s="89">
        <v>47</v>
      </c>
      <c r="M84" s="89">
        <v>50.5</v>
      </c>
      <c r="N84" s="89">
        <v>52.7</v>
      </c>
      <c r="O84" s="89">
        <v>53.9</v>
      </c>
      <c r="P84" s="89">
        <v>52.7</v>
      </c>
      <c r="Q84" s="89">
        <v>50</v>
      </c>
      <c r="R84" s="89">
        <v>44.4</v>
      </c>
      <c r="S84" s="89">
        <v>42.6</v>
      </c>
      <c r="T84" s="89">
        <v>45</v>
      </c>
      <c r="U84" s="89">
        <v>44.2</v>
      </c>
      <c r="V84" s="89">
        <v>46</v>
      </c>
      <c r="W84" s="89">
        <v>46.6</v>
      </c>
      <c r="X84" s="89">
        <v>42.1</v>
      </c>
      <c r="Y84" s="89">
        <v>10</v>
      </c>
      <c r="Z84" s="89">
        <v>12.5</v>
      </c>
      <c r="AA84" s="89">
        <v>14.6</v>
      </c>
      <c r="AB84" s="89">
        <v>14.1</v>
      </c>
      <c r="AC84" s="89">
        <v>14.3</v>
      </c>
      <c r="AD84" s="89">
        <v>14.9</v>
      </c>
      <c r="AE84" s="89">
        <v>15</v>
      </c>
      <c r="AF84" s="89">
        <v>15.4</v>
      </c>
      <c r="AG84" s="88"/>
      <c r="AH84" s="48">
        <f t="shared" si="31"/>
        <v>53.9</v>
      </c>
      <c r="AI84" s="49">
        <f t="shared" si="32"/>
        <v>0</v>
      </c>
      <c r="AK84" s="51"/>
      <c r="AY84" s="82"/>
      <c r="BF84" s="81"/>
      <c r="BG84" s="82">
        <f t="array" ref="BG84:BL107">TRANSPOSE(AZ68:BW73)</f>
        <v>36</v>
      </c>
      <c r="BH84" s="82">
        <v>0</v>
      </c>
      <c r="BI84" s="82">
        <v>10</v>
      </c>
      <c r="BJ84" s="82">
        <v>0</v>
      </c>
      <c r="BK84" s="82">
        <v>0</v>
      </c>
      <c r="BL84" s="82">
        <v>46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/>
      <c r="F85" s="46"/>
      <c r="G85" s="46"/>
      <c r="H85" s="46"/>
      <c r="I85" s="46"/>
      <c r="J85" s="46">
        <v>141</v>
      </c>
      <c r="K85" s="46">
        <v>119</v>
      </c>
      <c r="L85" s="46">
        <v>128</v>
      </c>
      <c r="M85" s="46">
        <v>127.8</v>
      </c>
      <c r="N85" s="46">
        <v>115.6</v>
      </c>
      <c r="O85" s="46">
        <v>120.3</v>
      </c>
      <c r="P85" s="46">
        <v>133.5</v>
      </c>
      <c r="Q85" s="46">
        <v>122.5</v>
      </c>
      <c r="R85" s="46">
        <v>140.69999999999999</v>
      </c>
      <c r="S85" s="46">
        <v>135</v>
      </c>
      <c r="T85" s="46">
        <v>140</v>
      </c>
      <c r="U85" s="46">
        <v>127</v>
      </c>
      <c r="V85" s="46">
        <v>118</v>
      </c>
      <c r="W85" s="46">
        <v>111</v>
      </c>
      <c r="X85" s="46">
        <v>101.2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1"/>
        <v>141</v>
      </c>
      <c r="AI85" s="49">
        <f t="shared" si="32"/>
        <v>0</v>
      </c>
      <c r="AK85" s="51"/>
      <c r="AY85" s="82"/>
      <c r="BF85" s="81"/>
      <c r="BG85" s="82">
        <v>20</v>
      </c>
      <c r="BH85" s="82">
        <v>0</v>
      </c>
      <c r="BI85" s="82">
        <v>0</v>
      </c>
      <c r="BJ85" s="82">
        <v>0</v>
      </c>
      <c r="BK85" s="82">
        <v>0</v>
      </c>
      <c r="BL85" s="82">
        <v>47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1"/>
        <v>0</v>
      </c>
      <c r="AI86" s="49">
        <f t="shared" si="32"/>
        <v>0</v>
      </c>
      <c r="AK86" s="51"/>
      <c r="AY86" s="82"/>
      <c r="BF86" s="81"/>
      <c r="BG86" s="82">
        <v>21.2</v>
      </c>
      <c r="BH86" s="82">
        <v>0</v>
      </c>
      <c r="BI86" s="82">
        <v>10</v>
      </c>
      <c r="BJ86" s="82">
        <v>0</v>
      </c>
      <c r="BK86" s="82">
        <v>0</v>
      </c>
      <c r="BL86" s="82">
        <v>46.1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1"/>
        <v>0</v>
      </c>
      <c r="AI87" s="49">
        <f t="shared" si="32"/>
        <v>0</v>
      </c>
      <c r="AK87" s="51"/>
      <c r="AL87" s="91" t="s">
        <v>111</v>
      </c>
      <c r="AM87" s="91"/>
      <c r="AY87" s="82"/>
      <c r="BF87" s="82"/>
      <c r="BG87" s="82">
        <v>17.600000000000001</v>
      </c>
      <c r="BH87" s="82">
        <v>0</v>
      </c>
      <c r="BI87" s="82">
        <v>5</v>
      </c>
      <c r="BJ87" s="82">
        <v>0</v>
      </c>
      <c r="BK87" s="82">
        <v>0</v>
      </c>
      <c r="BL87" s="82">
        <v>43.9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1"/>
        <v>0</v>
      </c>
      <c r="AI88" s="49">
        <f t="shared" si="32"/>
        <v>0</v>
      </c>
      <c r="AK88" s="92"/>
      <c r="AL88" s="93"/>
      <c r="AM88" s="93"/>
      <c r="AN88" s="94"/>
      <c r="AY88" s="82"/>
      <c r="BF88" s="82"/>
      <c r="BG88" s="82">
        <v>16</v>
      </c>
      <c r="BH88" s="82">
        <v>0</v>
      </c>
      <c r="BI88" s="82">
        <v>41</v>
      </c>
      <c r="BJ88" s="82">
        <v>0</v>
      </c>
      <c r="BK88" s="82">
        <v>0</v>
      </c>
      <c r="BL88" s="82">
        <v>41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1"/>
        <v>0</v>
      </c>
      <c r="AI89" s="49">
        <f t="shared" si="32"/>
        <v>0</v>
      </c>
      <c r="AK89" s="95" t="s">
        <v>114</v>
      </c>
      <c r="AL89" s="76"/>
      <c r="AM89" s="89"/>
      <c r="AN89" s="96"/>
      <c r="AY89" s="82"/>
      <c r="BF89" s="82"/>
      <c r="BG89" s="82">
        <v>25.5</v>
      </c>
      <c r="BH89" s="82">
        <v>0</v>
      </c>
      <c r="BI89" s="82">
        <v>84.3</v>
      </c>
      <c r="BJ89" s="82">
        <v>0</v>
      </c>
      <c r="BK89" s="82">
        <v>0</v>
      </c>
      <c r="BL89" s="82">
        <v>38.5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1"/>
        <v>0</v>
      </c>
      <c r="AI90" s="49">
        <f t="shared" si="32"/>
        <v>0</v>
      </c>
      <c r="AK90" s="95" t="s">
        <v>116</v>
      </c>
      <c r="AL90" s="89"/>
      <c r="AM90" s="89"/>
      <c r="AN90" s="96"/>
      <c r="AY90" s="82"/>
      <c r="BF90" s="82"/>
      <c r="BG90" s="82">
        <v>65.7</v>
      </c>
      <c r="BH90" s="82">
        <v>0</v>
      </c>
      <c r="BI90" s="82">
        <v>339</v>
      </c>
      <c r="BJ90" s="82">
        <v>48</v>
      </c>
      <c r="BK90" s="82">
        <v>119</v>
      </c>
      <c r="BL90" s="82">
        <v>44</v>
      </c>
    </row>
    <row r="91" spans="1:64" ht="15.75" thickBot="1" x14ac:dyDescent="0.3">
      <c r="A91" s="97" t="s">
        <v>117</v>
      </c>
      <c r="B91" s="90">
        <v>47</v>
      </c>
      <c r="C91" s="90">
        <v>46</v>
      </c>
      <c r="D91" s="90">
        <v>47</v>
      </c>
      <c r="E91" s="90">
        <v>46.1</v>
      </c>
      <c r="F91" s="90">
        <v>43.9</v>
      </c>
      <c r="G91" s="90">
        <v>41</v>
      </c>
      <c r="H91" s="90">
        <v>39.700000000000003</v>
      </c>
      <c r="I91" s="90">
        <v>38.5</v>
      </c>
      <c r="J91" s="90">
        <v>45</v>
      </c>
      <c r="K91" s="90">
        <v>44</v>
      </c>
      <c r="L91" s="90">
        <v>46.6</v>
      </c>
      <c r="M91" s="90">
        <v>49.2</v>
      </c>
      <c r="N91" s="90">
        <v>44.2</v>
      </c>
      <c r="O91" s="90">
        <v>49.4</v>
      </c>
      <c r="P91" s="90">
        <v>52.2</v>
      </c>
      <c r="Q91" s="90">
        <v>54.8</v>
      </c>
      <c r="R91" s="90">
        <v>53.6</v>
      </c>
      <c r="S91" s="90">
        <v>52.3</v>
      </c>
      <c r="T91" s="90">
        <v>57</v>
      </c>
      <c r="U91" s="90">
        <v>54</v>
      </c>
      <c r="V91" s="90">
        <v>48</v>
      </c>
      <c r="W91" s="90">
        <v>46.5</v>
      </c>
      <c r="X91" s="90">
        <v>43.8</v>
      </c>
      <c r="Y91" s="90">
        <v>43</v>
      </c>
      <c r="Z91" s="90">
        <v>41</v>
      </c>
      <c r="AA91" s="90">
        <v>44</v>
      </c>
      <c r="AB91" s="90">
        <v>41.3</v>
      </c>
      <c r="AC91" s="90">
        <v>42.3</v>
      </c>
      <c r="AD91" s="90">
        <v>45.9</v>
      </c>
      <c r="AE91" s="90">
        <v>49.9</v>
      </c>
      <c r="AF91" s="90">
        <v>49.3</v>
      </c>
      <c r="AG91" s="98"/>
      <c r="AH91" s="48">
        <f t="shared" si="31"/>
        <v>57</v>
      </c>
      <c r="AI91" s="49">
        <f t="shared" si="32"/>
        <v>38.5</v>
      </c>
      <c r="AK91" s="99"/>
      <c r="AL91" s="46"/>
      <c r="AM91" s="46"/>
      <c r="AN91" s="100"/>
      <c r="AY91" s="82"/>
      <c r="BF91" s="82"/>
      <c r="BG91" s="82">
        <v>64.5</v>
      </c>
      <c r="BH91" s="82">
        <v>87.7</v>
      </c>
      <c r="BI91" s="82">
        <v>353.1</v>
      </c>
      <c r="BJ91" s="82">
        <v>50.5</v>
      </c>
      <c r="BK91" s="82">
        <v>127.8</v>
      </c>
      <c r="BL91" s="82">
        <v>49.2</v>
      </c>
    </row>
    <row r="92" spans="1:64" ht="15.75" thickBot="1" x14ac:dyDescent="0.3">
      <c r="A92" s="87" t="s">
        <v>118</v>
      </c>
      <c r="B92" s="71">
        <f>SUMIF(B81:B91,"&gt;0")</f>
        <v>87</v>
      </c>
      <c r="C92" s="71">
        <f>SUMIF(C81:C91,"&gt;0")</f>
        <v>92</v>
      </c>
      <c r="D92" s="71">
        <f>SUMIF(D81:D91,"&gt;0")</f>
        <v>67</v>
      </c>
      <c r="E92" s="71">
        <f t="shared" ref="E92:AF92" si="33">SUMIF(E81:E91,"&gt;0")</f>
        <v>77.3</v>
      </c>
      <c r="F92" s="71">
        <f t="shared" si="33"/>
        <v>66.5</v>
      </c>
      <c r="G92" s="71">
        <f t="shared" si="33"/>
        <v>98</v>
      </c>
      <c r="H92" s="71">
        <f t="shared" si="33"/>
        <v>147.9</v>
      </c>
      <c r="I92" s="71">
        <f t="shared" si="33"/>
        <v>148.30000000000001</v>
      </c>
      <c r="J92" s="71">
        <f t="shared" si="33"/>
        <v>441.6</v>
      </c>
      <c r="K92" s="71">
        <f t="shared" si="33"/>
        <v>615.70000000000005</v>
      </c>
      <c r="L92" s="71">
        <f t="shared" si="33"/>
        <v>683.1</v>
      </c>
      <c r="M92" s="71">
        <f t="shared" si="33"/>
        <v>732.8</v>
      </c>
      <c r="N92" s="71">
        <f t="shared" si="33"/>
        <v>822.70000000000016</v>
      </c>
      <c r="O92" s="71">
        <f t="shared" si="33"/>
        <v>856.19999999999993</v>
      </c>
      <c r="P92" s="71">
        <f t="shared" si="33"/>
        <v>873.2</v>
      </c>
      <c r="Q92" s="71">
        <f t="shared" si="33"/>
        <v>891.3</v>
      </c>
      <c r="R92" s="71">
        <f t="shared" si="33"/>
        <v>907.19999999999993</v>
      </c>
      <c r="S92" s="71">
        <f t="shared" si="33"/>
        <v>895.19999999999993</v>
      </c>
      <c r="T92" s="71">
        <f t="shared" si="33"/>
        <v>891.1</v>
      </c>
      <c r="U92" s="71">
        <f t="shared" si="33"/>
        <v>867.2</v>
      </c>
      <c r="V92" s="71">
        <f t="shared" si="33"/>
        <v>841.9</v>
      </c>
      <c r="W92" s="71">
        <f t="shared" si="33"/>
        <v>729.4</v>
      </c>
      <c r="X92" s="71">
        <f t="shared" si="33"/>
        <v>638.4</v>
      </c>
      <c r="Y92" s="71">
        <f t="shared" si="33"/>
        <v>107</v>
      </c>
      <c r="Z92" s="71">
        <f t="shared" si="33"/>
        <v>191.5</v>
      </c>
      <c r="AA92" s="71">
        <f t="shared" si="33"/>
        <v>176.5</v>
      </c>
      <c r="AB92" s="71">
        <f t="shared" si="33"/>
        <v>154.80000000000001</v>
      </c>
      <c r="AC92" s="71">
        <f t="shared" si="33"/>
        <v>252.39999999999998</v>
      </c>
      <c r="AD92" s="71">
        <f t="shared" si="33"/>
        <v>222.70000000000002</v>
      </c>
      <c r="AE92" s="71">
        <f t="shared" si="33"/>
        <v>200.9</v>
      </c>
      <c r="AF92" s="71">
        <f t="shared" si="33"/>
        <v>350</v>
      </c>
      <c r="AG92" s="101">
        <f>SUM(AG81:AG91)</f>
        <v>0</v>
      </c>
      <c r="AH92" s="48">
        <f t="shared" si="31"/>
        <v>907.19999999999993</v>
      </c>
      <c r="AI92" s="49">
        <f t="shared" si="32"/>
        <v>66.5</v>
      </c>
      <c r="AK92" s="99"/>
      <c r="AL92" s="90"/>
      <c r="AM92" s="102"/>
      <c r="AN92" s="202"/>
      <c r="AY92" s="82"/>
      <c r="BF92" s="82"/>
      <c r="BG92" s="82">
        <v>60</v>
      </c>
      <c r="BH92" s="82">
        <v>87.3</v>
      </c>
      <c r="BI92" s="82">
        <v>462.9</v>
      </c>
      <c r="BJ92" s="82">
        <v>52.7</v>
      </c>
      <c r="BK92" s="82">
        <v>115.6</v>
      </c>
      <c r="BL92" s="82">
        <v>44.2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1"/>
        <v>0</v>
      </c>
      <c r="AI93" s="49">
        <f t="shared" si="32"/>
        <v>0</v>
      </c>
      <c r="AK93" s="99"/>
      <c r="AL93" s="90"/>
      <c r="AM93" s="90"/>
      <c r="AN93" s="203"/>
      <c r="BF93" s="82"/>
      <c r="BG93" s="82">
        <v>69</v>
      </c>
      <c r="BH93" s="82">
        <v>93.6</v>
      </c>
      <c r="BI93" s="82">
        <v>470</v>
      </c>
      <c r="BJ93" s="82">
        <v>53.9</v>
      </c>
      <c r="BK93" s="82">
        <v>120.3</v>
      </c>
      <c r="BL93" s="82">
        <v>49.4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1"/>
        <v>0</v>
      </c>
      <c r="AI94" s="49">
        <f t="shared" si="32"/>
        <v>0</v>
      </c>
      <c r="AK94" s="104"/>
      <c r="AL94" s="105"/>
      <c r="AM94" s="105"/>
      <c r="AN94" s="106"/>
      <c r="BF94" s="82"/>
      <c r="BG94" s="82">
        <v>66.900000000000006</v>
      </c>
      <c r="BH94" s="82">
        <v>100.8</v>
      </c>
      <c r="BI94" s="82">
        <v>467.1</v>
      </c>
      <c r="BJ94" s="82">
        <v>52.7</v>
      </c>
      <c r="BK94" s="82">
        <v>133.5</v>
      </c>
      <c r="BL94" s="82">
        <v>52.2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1"/>
        <v>0</v>
      </c>
      <c r="AI95" s="49">
        <f t="shared" si="32"/>
        <v>0</v>
      </c>
      <c r="BF95" s="82"/>
      <c r="BG95" s="82">
        <v>72</v>
      </c>
      <c r="BH95" s="82">
        <v>92</v>
      </c>
      <c r="BI95" s="82">
        <v>500</v>
      </c>
      <c r="BJ95" s="82">
        <v>50</v>
      </c>
      <c r="BK95" s="82">
        <v>122.5</v>
      </c>
      <c r="BL95" s="82">
        <v>54.8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1"/>
        <v>0</v>
      </c>
      <c r="AI96" s="49">
        <f t="shared" si="32"/>
        <v>0</v>
      </c>
      <c r="BF96" s="82"/>
      <c r="BG96" s="82">
        <v>73.7</v>
      </c>
      <c r="BH96" s="82">
        <v>86.3</v>
      </c>
      <c r="BI96" s="82">
        <v>508.5</v>
      </c>
      <c r="BJ96" s="82">
        <v>44.4</v>
      </c>
      <c r="BK96" s="82">
        <v>140.69999999999999</v>
      </c>
      <c r="BL96" s="82">
        <v>53.6</v>
      </c>
    </row>
    <row r="97" spans="1:64" ht="15.75" thickBot="1" x14ac:dyDescent="0.3">
      <c r="A97" s="87" t="s">
        <v>123</v>
      </c>
      <c r="B97" s="108">
        <f>B58+B62+B80+B76+B92+B96</f>
        <v>1261.74</v>
      </c>
      <c r="C97" s="108">
        <f>C58+C62+C80+C76+C92+C96</f>
        <v>1240.44</v>
      </c>
      <c r="D97" s="108">
        <f>D58+D62+D80+D76+D92+D96</f>
        <v>1225.44</v>
      </c>
      <c r="E97" s="108">
        <f t="shared" ref="E97:AG97" si="34">E58+E62+E80+E76+E92+E96</f>
        <v>1222.44</v>
      </c>
      <c r="F97" s="108">
        <f t="shared" si="34"/>
        <v>1228.6400000000001</v>
      </c>
      <c r="G97" s="108">
        <f t="shared" si="34"/>
        <v>1239.1400000000001</v>
      </c>
      <c r="H97" s="108">
        <f t="shared" si="34"/>
        <v>1295.6400000000001</v>
      </c>
      <c r="I97" s="108">
        <f t="shared" si="34"/>
        <v>1319.8400000000001</v>
      </c>
      <c r="J97" s="108">
        <f t="shared" si="34"/>
        <v>1429.54</v>
      </c>
      <c r="K97" s="108">
        <f t="shared" si="34"/>
        <v>1608.3400000000001</v>
      </c>
      <c r="L97" s="108">
        <f t="shared" si="34"/>
        <v>1667.8400000000001</v>
      </c>
      <c r="M97" s="108">
        <f t="shared" si="34"/>
        <v>1655.84</v>
      </c>
      <c r="N97" s="108">
        <f t="shared" si="34"/>
        <v>1685.44</v>
      </c>
      <c r="O97" s="108">
        <f t="shared" si="34"/>
        <v>1768.6399999999999</v>
      </c>
      <c r="P97" s="108">
        <f t="shared" si="34"/>
        <v>1787.8400000000001</v>
      </c>
      <c r="Q97" s="108">
        <f t="shared" si="34"/>
        <v>1832.69</v>
      </c>
      <c r="R97" s="108">
        <f t="shared" si="34"/>
        <v>1869.1399999999999</v>
      </c>
      <c r="S97" s="108">
        <f t="shared" si="34"/>
        <v>1851.1399999999999</v>
      </c>
      <c r="T97" s="108">
        <f t="shared" si="34"/>
        <v>1845.04</v>
      </c>
      <c r="U97" s="108">
        <f t="shared" si="34"/>
        <v>1819.04</v>
      </c>
      <c r="V97" s="108">
        <f t="shared" si="34"/>
        <v>1776.7399999999998</v>
      </c>
      <c r="W97" s="108">
        <f t="shared" si="34"/>
        <v>1704.3400000000001</v>
      </c>
      <c r="X97" s="108">
        <f t="shared" si="34"/>
        <v>1636.04</v>
      </c>
      <c r="Y97" s="108">
        <f t="shared" si="34"/>
        <v>1390</v>
      </c>
      <c r="Z97" s="108">
        <f t="shared" si="34"/>
        <v>1508</v>
      </c>
      <c r="AA97" s="108">
        <f t="shared" si="34"/>
        <v>1671.6</v>
      </c>
      <c r="AB97" s="108">
        <f t="shared" si="34"/>
        <v>1657.54</v>
      </c>
      <c r="AC97" s="108">
        <f t="shared" si="34"/>
        <v>1624.44</v>
      </c>
      <c r="AD97" s="108">
        <f t="shared" si="34"/>
        <v>1600.14</v>
      </c>
      <c r="AE97" s="108">
        <f t="shared" si="34"/>
        <v>1518.04</v>
      </c>
      <c r="AF97" s="108">
        <f t="shared" si="34"/>
        <v>1412.34</v>
      </c>
      <c r="AG97" s="72">
        <f t="shared" si="34"/>
        <v>2231.81</v>
      </c>
      <c r="AH97" s="48">
        <f t="shared" si="31"/>
        <v>1869.1399999999999</v>
      </c>
      <c r="AI97" s="49">
        <f t="shared" si="32"/>
        <v>1222.44</v>
      </c>
      <c r="BF97" s="82"/>
      <c r="BG97" s="82">
        <v>71.7</v>
      </c>
      <c r="BH97" s="82">
        <v>94.6</v>
      </c>
      <c r="BI97" s="82">
        <v>499</v>
      </c>
      <c r="BJ97" s="82">
        <v>42.6</v>
      </c>
      <c r="BK97" s="82">
        <v>135</v>
      </c>
      <c r="BL97" s="82">
        <v>52.3</v>
      </c>
    </row>
    <row r="98" spans="1:64" ht="15.75" thickBot="1" x14ac:dyDescent="0.3">
      <c r="A98" s="109" t="s">
        <v>124</v>
      </c>
      <c r="B98" s="110">
        <v>250</v>
      </c>
      <c r="C98" s="110">
        <v>250</v>
      </c>
      <c r="D98" s="110">
        <v>250</v>
      </c>
      <c r="E98" s="110">
        <v>250</v>
      </c>
      <c r="F98" s="110">
        <v>250</v>
      </c>
      <c r="G98" s="110">
        <v>250</v>
      </c>
      <c r="H98" s="110">
        <v>250</v>
      </c>
      <c r="I98" s="110">
        <v>250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>
        <v>250</v>
      </c>
      <c r="AC98" s="110">
        <v>250</v>
      </c>
      <c r="AD98" s="110">
        <v>250</v>
      </c>
      <c r="AE98" s="110">
        <v>250</v>
      </c>
      <c r="AF98" s="110">
        <v>260</v>
      </c>
      <c r="AG98" s="101"/>
      <c r="AH98" s="48">
        <f t="shared" si="31"/>
        <v>260</v>
      </c>
      <c r="AI98" s="49">
        <f t="shared" si="32"/>
        <v>250</v>
      </c>
      <c r="BF98" s="82"/>
      <c r="BG98" s="82">
        <v>64.5</v>
      </c>
      <c r="BH98" s="82">
        <v>104.6</v>
      </c>
      <c r="BI98" s="82">
        <v>480</v>
      </c>
      <c r="BJ98" s="82">
        <v>45</v>
      </c>
      <c r="BK98" s="82">
        <v>140</v>
      </c>
      <c r="BL98" s="82">
        <v>57</v>
      </c>
    </row>
    <row r="99" spans="1:64" ht="15.75" thickBot="1" x14ac:dyDescent="0.3">
      <c r="A99" s="87" t="s">
        <v>125</v>
      </c>
      <c r="B99" s="108">
        <f>B97+B98</f>
        <v>1511.74</v>
      </c>
      <c r="C99" s="108">
        <f>C97+C98</f>
        <v>1490.44</v>
      </c>
      <c r="D99" s="108">
        <f>D97+D98</f>
        <v>1475.44</v>
      </c>
      <c r="E99" s="108">
        <f t="shared" ref="E99:AF99" si="35">E97+E98</f>
        <v>1472.44</v>
      </c>
      <c r="F99" s="108">
        <f t="shared" si="35"/>
        <v>1478.64</v>
      </c>
      <c r="G99" s="108">
        <f t="shared" si="35"/>
        <v>1489.14</v>
      </c>
      <c r="H99" s="108">
        <f t="shared" si="35"/>
        <v>1545.64</v>
      </c>
      <c r="I99" s="108">
        <f t="shared" si="35"/>
        <v>1569.8400000000001</v>
      </c>
      <c r="J99" s="108">
        <f t="shared" si="35"/>
        <v>1429.54</v>
      </c>
      <c r="K99" s="108">
        <f t="shared" si="35"/>
        <v>1608.3400000000001</v>
      </c>
      <c r="L99" s="108">
        <f t="shared" si="35"/>
        <v>1667.8400000000001</v>
      </c>
      <c r="M99" s="108">
        <f t="shared" si="35"/>
        <v>1655.84</v>
      </c>
      <c r="N99" s="108">
        <f t="shared" si="35"/>
        <v>1685.44</v>
      </c>
      <c r="O99" s="108">
        <f t="shared" si="35"/>
        <v>1768.6399999999999</v>
      </c>
      <c r="P99" s="108">
        <f t="shared" si="35"/>
        <v>1787.8400000000001</v>
      </c>
      <c r="Q99" s="108">
        <f t="shared" si="35"/>
        <v>1832.69</v>
      </c>
      <c r="R99" s="108">
        <f t="shared" si="35"/>
        <v>1869.1399999999999</v>
      </c>
      <c r="S99" s="108">
        <f t="shared" si="35"/>
        <v>1851.1399999999999</v>
      </c>
      <c r="T99" s="108">
        <f t="shared" si="35"/>
        <v>1845.04</v>
      </c>
      <c r="U99" s="108">
        <f t="shared" si="35"/>
        <v>1819.04</v>
      </c>
      <c r="V99" s="108">
        <f t="shared" si="35"/>
        <v>1776.7399999999998</v>
      </c>
      <c r="W99" s="108">
        <f t="shared" si="35"/>
        <v>1704.3400000000001</v>
      </c>
      <c r="X99" s="108">
        <f t="shared" si="35"/>
        <v>1636.04</v>
      </c>
      <c r="Y99" s="108">
        <f t="shared" si="35"/>
        <v>1390</v>
      </c>
      <c r="Z99" s="108">
        <f t="shared" si="35"/>
        <v>1508</v>
      </c>
      <c r="AA99" s="108">
        <f t="shared" si="35"/>
        <v>1671.6</v>
      </c>
      <c r="AB99" s="108">
        <f t="shared" si="35"/>
        <v>1907.54</v>
      </c>
      <c r="AC99" s="108">
        <f t="shared" si="35"/>
        <v>1874.44</v>
      </c>
      <c r="AD99" s="108">
        <f t="shared" si="35"/>
        <v>1850.14</v>
      </c>
      <c r="AE99" s="108">
        <f t="shared" si="35"/>
        <v>1768.04</v>
      </c>
      <c r="AF99" s="108">
        <f t="shared" si="35"/>
        <v>1672.34</v>
      </c>
      <c r="AG99" s="101">
        <f>AG96+AG92+AG80+AG76+AG58+AG98</f>
        <v>1693.71</v>
      </c>
      <c r="AH99" s="48">
        <f t="shared" si="31"/>
        <v>1907.54</v>
      </c>
      <c r="AI99" s="49">
        <f t="shared" si="32"/>
        <v>1390</v>
      </c>
      <c r="BF99" s="82"/>
      <c r="BG99" s="82">
        <v>67</v>
      </c>
      <c r="BH99" s="82">
        <v>110</v>
      </c>
      <c r="BI99" s="82">
        <v>465</v>
      </c>
      <c r="BJ99" s="82">
        <v>44.2</v>
      </c>
      <c r="BK99" s="82">
        <v>127</v>
      </c>
      <c r="BL99" s="82">
        <v>54</v>
      </c>
    </row>
    <row r="100" spans="1:64" ht="15.75" thickBot="1" x14ac:dyDescent="0.3">
      <c r="A100" s="87" t="s">
        <v>126</v>
      </c>
      <c r="B100" s="108">
        <f>B99-(B107)</f>
        <v>1511.74</v>
      </c>
      <c r="C100" s="108">
        <f>C99-(C107)</f>
        <v>1490.44</v>
      </c>
      <c r="D100" s="108">
        <f>D99-(D107)</f>
        <v>1475.44</v>
      </c>
      <c r="E100" s="108">
        <f t="shared" ref="E100:AF100" si="36">E99-(E107)</f>
        <v>1472.44</v>
      </c>
      <c r="F100" s="108">
        <f t="shared" si="36"/>
        <v>1478.64</v>
      </c>
      <c r="G100" s="108">
        <f t="shared" si="36"/>
        <v>1489.14</v>
      </c>
      <c r="H100" s="108">
        <f t="shared" si="36"/>
        <v>1545.64</v>
      </c>
      <c r="I100" s="108">
        <f t="shared" si="36"/>
        <v>1569.8400000000001</v>
      </c>
      <c r="J100" s="108">
        <f t="shared" si="36"/>
        <v>1429.54</v>
      </c>
      <c r="K100" s="108">
        <f t="shared" si="36"/>
        <v>1608.3400000000001</v>
      </c>
      <c r="L100" s="108">
        <f t="shared" si="36"/>
        <v>1667.8400000000001</v>
      </c>
      <c r="M100" s="108">
        <f t="shared" si="36"/>
        <v>1655.84</v>
      </c>
      <c r="N100" s="108">
        <f t="shared" si="36"/>
        <v>1685.44</v>
      </c>
      <c r="O100" s="108">
        <f t="shared" si="36"/>
        <v>1768.6399999999999</v>
      </c>
      <c r="P100" s="108">
        <f t="shared" si="36"/>
        <v>1787.8400000000001</v>
      </c>
      <c r="Q100" s="108">
        <f t="shared" si="36"/>
        <v>1832.69</v>
      </c>
      <c r="R100" s="108">
        <f t="shared" si="36"/>
        <v>1869.1399999999999</v>
      </c>
      <c r="S100" s="108">
        <f t="shared" si="36"/>
        <v>1851.1399999999999</v>
      </c>
      <c r="T100" s="108">
        <f t="shared" si="36"/>
        <v>1845.04</v>
      </c>
      <c r="U100" s="108">
        <f t="shared" si="36"/>
        <v>1819.04</v>
      </c>
      <c r="V100" s="108">
        <f t="shared" si="36"/>
        <v>1776.7399999999998</v>
      </c>
      <c r="W100" s="108">
        <f t="shared" si="36"/>
        <v>1704.3400000000001</v>
      </c>
      <c r="X100" s="108">
        <f t="shared" si="36"/>
        <v>1636.04</v>
      </c>
      <c r="Y100" s="108">
        <f t="shared" si="36"/>
        <v>1390</v>
      </c>
      <c r="Z100" s="108">
        <f t="shared" si="36"/>
        <v>1508</v>
      </c>
      <c r="AA100" s="108">
        <f t="shared" si="36"/>
        <v>1671.6</v>
      </c>
      <c r="AB100" s="108">
        <f t="shared" si="36"/>
        <v>1907.54</v>
      </c>
      <c r="AC100" s="108">
        <f t="shared" si="36"/>
        <v>1874.44</v>
      </c>
      <c r="AD100" s="108">
        <f t="shared" si="36"/>
        <v>1850.14</v>
      </c>
      <c r="AE100" s="108">
        <f t="shared" si="36"/>
        <v>1768.04</v>
      </c>
      <c r="AF100" s="108">
        <f t="shared" si="36"/>
        <v>1672.34</v>
      </c>
      <c r="AG100" s="101"/>
      <c r="AH100" s="48">
        <f t="shared" si="31"/>
        <v>1907.54</v>
      </c>
      <c r="AI100" s="49">
        <f t="shared" si="32"/>
        <v>1390</v>
      </c>
      <c r="BF100" s="82"/>
      <c r="BG100" s="82">
        <v>69.900000000000006</v>
      </c>
      <c r="BH100" s="82">
        <v>108</v>
      </c>
      <c r="BI100" s="82">
        <v>452</v>
      </c>
      <c r="BJ100" s="82">
        <v>46</v>
      </c>
      <c r="BK100" s="82">
        <v>118</v>
      </c>
      <c r="BL100" s="82">
        <v>48</v>
      </c>
    </row>
    <row r="101" spans="1:64" x14ac:dyDescent="0.25">
      <c r="A101" s="45" t="s">
        <v>107</v>
      </c>
      <c r="B101" s="89">
        <f>IF(B84&lt;0,B84*-1,0)</f>
        <v>0</v>
      </c>
      <c r="C101" s="89">
        <f>IF(C84&lt;0,C84*-1,0)</f>
        <v>0</v>
      </c>
      <c r="D101" s="89">
        <f>IF(D84&lt;0,D84*-1,0)</f>
        <v>0</v>
      </c>
      <c r="E101" s="89">
        <f t="shared" ref="E101:AF101" si="37">IF(E84&lt;0,E84*-1,0)</f>
        <v>0</v>
      </c>
      <c r="F101" s="89">
        <f t="shared" si="37"/>
        <v>0</v>
      </c>
      <c r="G101" s="89">
        <f t="shared" si="37"/>
        <v>0</v>
      </c>
      <c r="H101" s="89">
        <f t="shared" si="37"/>
        <v>0</v>
      </c>
      <c r="I101" s="89">
        <f t="shared" si="37"/>
        <v>0</v>
      </c>
      <c r="J101" s="89">
        <f t="shared" si="37"/>
        <v>0</v>
      </c>
      <c r="K101" s="89">
        <f t="shared" si="37"/>
        <v>0</v>
      </c>
      <c r="L101" s="89">
        <f t="shared" si="37"/>
        <v>0</v>
      </c>
      <c r="M101" s="89">
        <f t="shared" si="37"/>
        <v>0</v>
      </c>
      <c r="N101" s="89">
        <f t="shared" si="37"/>
        <v>0</v>
      </c>
      <c r="O101" s="89">
        <f t="shared" si="37"/>
        <v>0</v>
      </c>
      <c r="P101" s="89">
        <f t="shared" si="37"/>
        <v>0</v>
      </c>
      <c r="Q101" s="89">
        <f t="shared" si="37"/>
        <v>0</v>
      </c>
      <c r="R101" s="89">
        <f t="shared" si="37"/>
        <v>0</v>
      </c>
      <c r="S101" s="89">
        <f t="shared" si="37"/>
        <v>0</v>
      </c>
      <c r="T101" s="89">
        <f t="shared" si="37"/>
        <v>0</v>
      </c>
      <c r="U101" s="89">
        <f t="shared" si="37"/>
        <v>0</v>
      </c>
      <c r="V101" s="89">
        <f t="shared" si="37"/>
        <v>0</v>
      </c>
      <c r="W101" s="89">
        <f t="shared" si="37"/>
        <v>0</v>
      </c>
      <c r="X101" s="89">
        <f t="shared" si="37"/>
        <v>0</v>
      </c>
      <c r="Y101" s="89">
        <f t="shared" si="37"/>
        <v>0</v>
      </c>
      <c r="Z101" s="89">
        <f t="shared" si="37"/>
        <v>0</v>
      </c>
      <c r="AA101" s="89">
        <f t="shared" si="37"/>
        <v>0</v>
      </c>
      <c r="AB101" s="89">
        <f t="shared" si="37"/>
        <v>0</v>
      </c>
      <c r="AC101" s="89">
        <f t="shared" si="37"/>
        <v>0</v>
      </c>
      <c r="AD101" s="89">
        <f t="shared" si="37"/>
        <v>0</v>
      </c>
      <c r="AE101" s="89">
        <f t="shared" si="37"/>
        <v>0</v>
      </c>
      <c r="AF101" s="89">
        <f t="shared" si="37"/>
        <v>0</v>
      </c>
      <c r="AG101" s="61"/>
      <c r="AH101" s="48">
        <f t="shared" si="31"/>
        <v>0</v>
      </c>
      <c r="AI101" s="49">
        <f t="shared" si="32"/>
        <v>0</v>
      </c>
      <c r="BF101" s="81"/>
      <c r="BG101" s="82">
        <v>60</v>
      </c>
      <c r="BH101" s="82">
        <v>89.5</v>
      </c>
      <c r="BI101" s="82">
        <v>301.8</v>
      </c>
      <c r="BJ101" s="82">
        <v>42.1</v>
      </c>
      <c r="BK101" s="82">
        <v>101.2</v>
      </c>
      <c r="BL101" s="82">
        <v>43.8</v>
      </c>
    </row>
    <row r="102" spans="1:64" x14ac:dyDescent="0.25">
      <c r="A102" s="65" t="s">
        <v>105</v>
      </c>
      <c r="B102" s="89">
        <f>IF(B82&lt;0,B82*-1,0)</f>
        <v>0</v>
      </c>
      <c r="C102" s="89">
        <f>IF(C82&lt;0,C82*-1,0)</f>
        <v>0</v>
      </c>
      <c r="D102" s="89">
        <f>IF(D82&lt;0,D82*-1,0)</f>
        <v>0</v>
      </c>
      <c r="E102" s="89">
        <f t="shared" ref="E102:AF102" si="38">IF(E82&lt;0,E82*-1,0)</f>
        <v>0</v>
      </c>
      <c r="F102" s="89">
        <f t="shared" si="38"/>
        <v>0</v>
      </c>
      <c r="G102" s="89">
        <f t="shared" si="38"/>
        <v>0</v>
      </c>
      <c r="H102" s="89">
        <f t="shared" si="38"/>
        <v>0</v>
      </c>
      <c r="I102" s="89">
        <f t="shared" si="38"/>
        <v>0</v>
      </c>
      <c r="J102" s="89">
        <f t="shared" si="38"/>
        <v>0</v>
      </c>
      <c r="K102" s="89">
        <f t="shared" si="38"/>
        <v>0</v>
      </c>
      <c r="L102" s="89">
        <f t="shared" si="38"/>
        <v>0</v>
      </c>
      <c r="M102" s="89">
        <f t="shared" si="38"/>
        <v>0</v>
      </c>
      <c r="N102" s="89">
        <f t="shared" si="38"/>
        <v>0</v>
      </c>
      <c r="O102" s="89">
        <f t="shared" si="38"/>
        <v>0</v>
      </c>
      <c r="P102" s="89">
        <f t="shared" si="38"/>
        <v>0</v>
      </c>
      <c r="Q102" s="89">
        <f t="shared" si="38"/>
        <v>0</v>
      </c>
      <c r="R102" s="89">
        <f t="shared" si="38"/>
        <v>0</v>
      </c>
      <c r="S102" s="89">
        <f t="shared" si="38"/>
        <v>0</v>
      </c>
      <c r="T102" s="89">
        <f t="shared" si="38"/>
        <v>0</v>
      </c>
      <c r="U102" s="89">
        <f t="shared" si="38"/>
        <v>0</v>
      </c>
      <c r="V102" s="89">
        <f t="shared" si="38"/>
        <v>0</v>
      </c>
      <c r="W102" s="89">
        <f t="shared" si="38"/>
        <v>0</v>
      </c>
      <c r="X102" s="89">
        <f t="shared" si="38"/>
        <v>0</v>
      </c>
      <c r="Y102" s="89">
        <f t="shared" si="38"/>
        <v>0</v>
      </c>
      <c r="Z102" s="89">
        <f t="shared" si="38"/>
        <v>0</v>
      </c>
      <c r="AA102" s="89">
        <f t="shared" si="38"/>
        <v>0</v>
      </c>
      <c r="AB102" s="89">
        <f t="shared" si="38"/>
        <v>0</v>
      </c>
      <c r="AC102" s="89">
        <f t="shared" si="38"/>
        <v>0</v>
      </c>
      <c r="AD102" s="89">
        <f t="shared" si="38"/>
        <v>0</v>
      </c>
      <c r="AE102" s="89">
        <f t="shared" si="38"/>
        <v>0</v>
      </c>
      <c r="AF102" s="89">
        <f t="shared" si="38"/>
        <v>0</v>
      </c>
      <c r="AG102" s="66"/>
      <c r="AH102" s="48">
        <f t="shared" si="31"/>
        <v>0</v>
      </c>
      <c r="AI102" s="49">
        <f t="shared" si="32"/>
        <v>0</v>
      </c>
      <c r="BF102" s="81"/>
      <c r="BG102" s="82">
        <v>31</v>
      </c>
      <c r="BH102" s="82">
        <v>0</v>
      </c>
      <c r="BI102" s="82">
        <v>107</v>
      </c>
      <c r="BJ102" s="82">
        <v>12.5</v>
      </c>
      <c r="BK102" s="82">
        <v>0</v>
      </c>
      <c r="BL102" s="82">
        <v>41</v>
      </c>
    </row>
    <row r="103" spans="1:64" x14ac:dyDescent="0.25">
      <c r="A103" s="97" t="s">
        <v>127</v>
      </c>
      <c r="B103" s="89">
        <f>IF(B85&lt;0,B85*-1,0)</f>
        <v>0</v>
      </c>
      <c r="C103" s="89">
        <f>IF(C85&lt;0,C85*-1,0)</f>
        <v>0</v>
      </c>
      <c r="D103" s="89">
        <f>IF(D85&lt;0,D85*-1,0)</f>
        <v>0</v>
      </c>
      <c r="E103" s="89">
        <f t="shared" ref="E103:AF103" si="39">IF(E85&lt;0,E85*-1,0)</f>
        <v>0</v>
      </c>
      <c r="F103" s="89">
        <f t="shared" si="39"/>
        <v>0</v>
      </c>
      <c r="G103" s="89">
        <f t="shared" si="39"/>
        <v>0</v>
      </c>
      <c r="H103" s="89">
        <f t="shared" si="39"/>
        <v>0</v>
      </c>
      <c r="I103" s="89">
        <f t="shared" si="39"/>
        <v>0</v>
      </c>
      <c r="J103" s="89">
        <f t="shared" si="39"/>
        <v>0</v>
      </c>
      <c r="K103" s="89">
        <f t="shared" si="39"/>
        <v>0</v>
      </c>
      <c r="L103" s="89">
        <f t="shared" si="39"/>
        <v>0</v>
      </c>
      <c r="M103" s="89">
        <f t="shared" si="39"/>
        <v>0</v>
      </c>
      <c r="N103" s="89">
        <f t="shared" si="39"/>
        <v>0</v>
      </c>
      <c r="O103" s="89">
        <f t="shared" si="39"/>
        <v>0</v>
      </c>
      <c r="P103" s="89">
        <f t="shared" si="39"/>
        <v>0</v>
      </c>
      <c r="Q103" s="89">
        <f t="shared" si="39"/>
        <v>0</v>
      </c>
      <c r="R103" s="89">
        <f t="shared" si="39"/>
        <v>0</v>
      </c>
      <c r="S103" s="89">
        <f t="shared" si="39"/>
        <v>0</v>
      </c>
      <c r="T103" s="89">
        <f t="shared" si="39"/>
        <v>0</v>
      </c>
      <c r="U103" s="89">
        <f t="shared" si="39"/>
        <v>0</v>
      </c>
      <c r="V103" s="89">
        <f t="shared" si="39"/>
        <v>0</v>
      </c>
      <c r="W103" s="89">
        <f t="shared" si="39"/>
        <v>0</v>
      </c>
      <c r="X103" s="89">
        <f t="shared" si="39"/>
        <v>0</v>
      </c>
      <c r="Y103" s="89">
        <f t="shared" si="39"/>
        <v>0</v>
      </c>
      <c r="Z103" s="89">
        <f t="shared" si="39"/>
        <v>0</v>
      </c>
      <c r="AA103" s="89">
        <f t="shared" si="39"/>
        <v>0</v>
      </c>
      <c r="AB103" s="89">
        <f t="shared" si="39"/>
        <v>0</v>
      </c>
      <c r="AC103" s="89">
        <f t="shared" si="39"/>
        <v>0</v>
      </c>
      <c r="AD103" s="89">
        <f t="shared" si="39"/>
        <v>0</v>
      </c>
      <c r="AE103" s="89">
        <f t="shared" si="39"/>
        <v>0</v>
      </c>
      <c r="AF103" s="89">
        <f t="shared" si="39"/>
        <v>0</v>
      </c>
      <c r="AG103" s="111"/>
      <c r="AH103" s="48">
        <f t="shared" si="31"/>
        <v>0</v>
      </c>
      <c r="AI103" s="49">
        <f t="shared" si="32"/>
        <v>0</v>
      </c>
      <c r="BF103" s="81"/>
      <c r="BG103" s="82">
        <v>43</v>
      </c>
      <c r="BH103" s="82">
        <v>0</v>
      </c>
      <c r="BI103" s="82">
        <v>56.4</v>
      </c>
      <c r="BJ103" s="82">
        <v>14.1</v>
      </c>
      <c r="BK103" s="82">
        <v>0</v>
      </c>
      <c r="BL103" s="82">
        <v>41.3</v>
      </c>
    </row>
    <row r="104" spans="1:64" x14ac:dyDescent="0.25">
      <c r="A104" s="97" t="s">
        <v>128</v>
      </c>
      <c r="B104" s="89">
        <f>IF(B83&lt;0,B83*-1,0)</f>
        <v>0</v>
      </c>
      <c r="C104" s="89">
        <f>IF(C83&lt;0,C83*-1,0)</f>
        <v>0</v>
      </c>
      <c r="D104" s="89">
        <f>IF(D83&lt;0,D83*-1,0)</f>
        <v>0</v>
      </c>
      <c r="E104" s="89">
        <f t="shared" ref="E104:AF104" si="40">IF(E83&lt;0,E83*-1,0)</f>
        <v>0</v>
      </c>
      <c r="F104" s="89">
        <f t="shared" si="40"/>
        <v>0</v>
      </c>
      <c r="G104" s="89">
        <f t="shared" si="40"/>
        <v>0</v>
      </c>
      <c r="H104" s="89">
        <f t="shared" si="40"/>
        <v>0</v>
      </c>
      <c r="I104" s="89">
        <f t="shared" si="40"/>
        <v>0</v>
      </c>
      <c r="J104" s="89">
        <f t="shared" si="40"/>
        <v>0</v>
      </c>
      <c r="K104" s="89">
        <f t="shared" si="40"/>
        <v>0</v>
      </c>
      <c r="L104" s="89">
        <f t="shared" si="40"/>
        <v>0</v>
      </c>
      <c r="M104" s="89">
        <f t="shared" si="40"/>
        <v>0</v>
      </c>
      <c r="N104" s="89">
        <f t="shared" si="40"/>
        <v>0</v>
      </c>
      <c r="O104" s="89">
        <f t="shared" si="40"/>
        <v>0</v>
      </c>
      <c r="P104" s="89">
        <f t="shared" si="40"/>
        <v>0</v>
      </c>
      <c r="Q104" s="89">
        <f t="shared" si="40"/>
        <v>0</v>
      </c>
      <c r="R104" s="89">
        <f t="shared" si="40"/>
        <v>0</v>
      </c>
      <c r="S104" s="89">
        <f t="shared" si="40"/>
        <v>0</v>
      </c>
      <c r="T104" s="89">
        <f t="shared" si="40"/>
        <v>0</v>
      </c>
      <c r="U104" s="89">
        <f t="shared" si="40"/>
        <v>0</v>
      </c>
      <c r="V104" s="89">
        <f t="shared" si="40"/>
        <v>0</v>
      </c>
      <c r="W104" s="89">
        <f t="shared" si="40"/>
        <v>0</v>
      </c>
      <c r="X104" s="89">
        <f t="shared" si="40"/>
        <v>0</v>
      </c>
      <c r="Y104" s="89">
        <f t="shared" si="40"/>
        <v>0</v>
      </c>
      <c r="Z104" s="89">
        <f t="shared" si="40"/>
        <v>0</v>
      </c>
      <c r="AA104" s="89">
        <f t="shared" si="40"/>
        <v>0</v>
      </c>
      <c r="AB104" s="89">
        <f t="shared" si="40"/>
        <v>0</v>
      </c>
      <c r="AC104" s="89">
        <f t="shared" si="40"/>
        <v>0</v>
      </c>
      <c r="AD104" s="89">
        <f t="shared" si="40"/>
        <v>0</v>
      </c>
      <c r="AE104" s="89">
        <f t="shared" si="40"/>
        <v>0</v>
      </c>
      <c r="AF104" s="89">
        <f t="shared" si="40"/>
        <v>0</v>
      </c>
      <c r="AG104" s="111"/>
      <c r="AH104" s="48">
        <f t="shared" si="31"/>
        <v>0</v>
      </c>
      <c r="AI104" s="49">
        <f t="shared" si="32"/>
        <v>0</v>
      </c>
      <c r="BF104" s="81"/>
      <c r="BG104" s="82">
        <v>50.2</v>
      </c>
      <c r="BH104" s="82">
        <v>0</v>
      </c>
      <c r="BI104" s="82">
        <v>111.7</v>
      </c>
      <c r="BJ104" s="82">
        <v>14.9</v>
      </c>
      <c r="BK104" s="82">
        <v>0</v>
      </c>
      <c r="BL104" s="82">
        <v>45.9</v>
      </c>
    </row>
    <row r="105" spans="1:64" x14ac:dyDescent="0.25">
      <c r="A105" s="97" t="s">
        <v>104</v>
      </c>
      <c r="B105" s="89">
        <f>IF(B81&lt;0,B81*-1,0)</f>
        <v>0</v>
      </c>
      <c r="C105" s="89">
        <f>IF(C81&lt;0,C81*-1,0)</f>
        <v>0</v>
      </c>
      <c r="D105" s="89">
        <f>IF(D81&lt;0,D81*-1,0)</f>
        <v>0</v>
      </c>
      <c r="E105" s="89">
        <f t="shared" ref="E105:AF105" si="41">IF(E81&lt;0,E81*-1,0)</f>
        <v>0</v>
      </c>
      <c r="F105" s="89">
        <f t="shared" si="41"/>
        <v>0</v>
      </c>
      <c r="G105" s="89">
        <f t="shared" si="41"/>
        <v>0</v>
      </c>
      <c r="H105" s="89">
        <f t="shared" si="41"/>
        <v>0</v>
      </c>
      <c r="I105" s="89">
        <f t="shared" si="41"/>
        <v>0</v>
      </c>
      <c r="J105" s="89">
        <f t="shared" si="41"/>
        <v>0</v>
      </c>
      <c r="K105" s="89">
        <f t="shared" si="41"/>
        <v>0</v>
      </c>
      <c r="L105" s="89">
        <f t="shared" si="41"/>
        <v>0</v>
      </c>
      <c r="M105" s="89">
        <f t="shared" si="41"/>
        <v>0</v>
      </c>
      <c r="N105" s="89">
        <f t="shared" si="41"/>
        <v>0</v>
      </c>
      <c r="O105" s="89">
        <f t="shared" si="41"/>
        <v>0</v>
      </c>
      <c r="P105" s="89">
        <f t="shared" si="41"/>
        <v>0</v>
      </c>
      <c r="Q105" s="89">
        <f t="shared" si="41"/>
        <v>0</v>
      </c>
      <c r="R105" s="89">
        <f t="shared" si="41"/>
        <v>0</v>
      </c>
      <c r="S105" s="89">
        <f t="shared" si="41"/>
        <v>0</v>
      </c>
      <c r="T105" s="89">
        <f t="shared" si="41"/>
        <v>0</v>
      </c>
      <c r="U105" s="89">
        <f t="shared" si="41"/>
        <v>0</v>
      </c>
      <c r="V105" s="89">
        <f t="shared" si="41"/>
        <v>0</v>
      </c>
      <c r="W105" s="89">
        <f t="shared" si="41"/>
        <v>0</v>
      </c>
      <c r="X105" s="89">
        <f t="shared" si="41"/>
        <v>0</v>
      </c>
      <c r="Y105" s="89">
        <f t="shared" si="41"/>
        <v>0</v>
      </c>
      <c r="Z105" s="89">
        <f t="shared" si="41"/>
        <v>0</v>
      </c>
      <c r="AA105" s="89">
        <f t="shared" si="41"/>
        <v>0</v>
      </c>
      <c r="AB105" s="89">
        <f t="shared" si="41"/>
        <v>0</v>
      </c>
      <c r="AC105" s="89">
        <f t="shared" si="41"/>
        <v>0</v>
      </c>
      <c r="AD105" s="89">
        <f t="shared" si="41"/>
        <v>0</v>
      </c>
      <c r="AE105" s="89">
        <f t="shared" si="41"/>
        <v>0</v>
      </c>
      <c r="AF105" s="89">
        <f t="shared" si="41"/>
        <v>0</v>
      </c>
      <c r="AG105" s="111"/>
      <c r="AH105" s="48">
        <f t="shared" si="31"/>
        <v>0</v>
      </c>
      <c r="AI105" s="49">
        <f t="shared" si="32"/>
        <v>0</v>
      </c>
      <c r="BF105" s="81"/>
      <c r="BG105" s="82">
        <v>47.6</v>
      </c>
      <c r="BH105" s="82">
        <v>0</v>
      </c>
      <c r="BI105" s="82">
        <v>88.4</v>
      </c>
      <c r="BJ105" s="82">
        <v>15</v>
      </c>
      <c r="BK105" s="82">
        <v>0</v>
      </c>
      <c r="BL105" s="82">
        <v>49.9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1"/>
        <v>0</v>
      </c>
      <c r="AI106" s="49">
        <f t="shared" si="32"/>
        <v>0</v>
      </c>
      <c r="BG106" s="82">
        <v>41.3</v>
      </c>
      <c r="BH106" s="82">
        <v>0</v>
      </c>
      <c r="BI106" s="82">
        <v>244</v>
      </c>
      <c r="BJ106" s="82">
        <v>15.4</v>
      </c>
      <c r="BK106" s="82">
        <v>0</v>
      </c>
      <c r="BL106" s="82">
        <v>49.3</v>
      </c>
    </row>
    <row r="107" spans="1:64" ht="15.75" thickBot="1" x14ac:dyDescent="0.3">
      <c r="A107" s="112" t="s">
        <v>130</v>
      </c>
      <c r="B107" s="71">
        <v>0</v>
      </c>
      <c r="C107" s="71">
        <v>0</v>
      </c>
      <c r="D107" s="71">
        <v>0</v>
      </c>
      <c r="E107" s="71">
        <f t="shared" ref="E107:AF107" si="42">SUM(E101:E106)</f>
        <v>0</v>
      </c>
      <c r="F107" s="71">
        <f t="shared" si="42"/>
        <v>0</v>
      </c>
      <c r="G107" s="71">
        <f t="shared" si="42"/>
        <v>0</v>
      </c>
      <c r="H107" s="71">
        <f t="shared" si="42"/>
        <v>0</v>
      </c>
      <c r="I107" s="71">
        <f t="shared" si="42"/>
        <v>0</v>
      </c>
      <c r="J107" s="71">
        <f t="shared" si="42"/>
        <v>0</v>
      </c>
      <c r="K107" s="71">
        <f t="shared" si="42"/>
        <v>0</v>
      </c>
      <c r="L107" s="71">
        <f t="shared" si="42"/>
        <v>0</v>
      </c>
      <c r="M107" s="71">
        <f t="shared" si="42"/>
        <v>0</v>
      </c>
      <c r="N107" s="71">
        <f t="shared" si="42"/>
        <v>0</v>
      </c>
      <c r="O107" s="71">
        <f t="shared" si="42"/>
        <v>0</v>
      </c>
      <c r="P107" s="71">
        <f t="shared" si="42"/>
        <v>0</v>
      </c>
      <c r="Q107" s="71">
        <f t="shared" si="42"/>
        <v>0</v>
      </c>
      <c r="R107" s="71">
        <f t="shared" si="42"/>
        <v>0</v>
      </c>
      <c r="S107" s="71">
        <f t="shared" si="42"/>
        <v>0</v>
      </c>
      <c r="T107" s="71">
        <f t="shared" si="42"/>
        <v>0</v>
      </c>
      <c r="U107" s="71">
        <f t="shared" si="42"/>
        <v>0</v>
      </c>
      <c r="V107" s="71">
        <f t="shared" si="42"/>
        <v>0</v>
      </c>
      <c r="W107" s="71">
        <f t="shared" si="42"/>
        <v>0</v>
      </c>
      <c r="X107" s="71">
        <f t="shared" si="42"/>
        <v>0</v>
      </c>
      <c r="Y107" s="71">
        <f t="shared" si="42"/>
        <v>0</v>
      </c>
      <c r="Z107" s="71">
        <f t="shared" si="42"/>
        <v>0</v>
      </c>
      <c r="AA107" s="71">
        <f t="shared" si="42"/>
        <v>0</v>
      </c>
      <c r="AB107" s="71">
        <f t="shared" si="42"/>
        <v>0</v>
      </c>
      <c r="AC107" s="71">
        <f t="shared" si="42"/>
        <v>0</v>
      </c>
      <c r="AD107" s="71">
        <f t="shared" si="42"/>
        <v>0</v>
      </c>
      <c r="AE107" s="71">
        <f t="shared" si="42"/>
        <v>0</v>
      </c>
      <c r="AF107" s="71">
        <f t="shared" si="42"/>
        <v>0</v>
      </c>
      <c r="AG107" s="101"/>
      <c r="AH107" s="48">
        <f t="shared" si="31"/>
        <v>0</v>
      </c>
      <c r="AI107" s="49">
        <f t="shared" si="32"/>
        <v>0</v>
      </c>
      <c r="AK107" s="51"/>
      <c r="BG107" s="82">
        <v>40</v>
      </c>
      <c r="BH107" s="82">
        <v>0</v>
      </c>
      <c r="BI107" s="82">
        <v>0</v>
      </c>
      <c r="BJ107" s="82">
        <v>0</v>
      </c>
      <c r="BK107" s="82">
        <v>0</v>
      </c>
      <c r="BL107" s="82">
        <v>47</v>
      </c>
    </row>
    <row r="108" spans="1:64" ht="15.75" thickBot="1" x14ac:dyDescent="0.3">
      <c r="A108" s="87" t="s">
        <v>131</v>
      </c>
      <c r="B108" s="71">
        <f>B92-B107</f>
        <v>87</v>
      </c>
      <c r="C108" s="71">
        <f>C92-C107</f>
        <v>92</v>
      </c>
      <c r="D108" s="71">
        <f>D92-D107</f>
        <v>67</v>
      </c>
      <c r="E108" s="71">
        <f t="shared" ref="E108:AF108" si="43">E92-E107</f>
        <v>77.3</v>
      </c>
      <c r="F108" s="71">
        <f t="shared" si="43"/>
        <v>66.5</v>
      </c>
      <c r="G108" s="71">
        <f t="shared" si="43"/>
        <v>98</v>
      </c>
      <c r="H108" s="71">
        <f t="shared" si="43"/>
        <v>147.9</v>
      </c>
      <c r="I108" s="71">
        <f t="shared" si="43"/>
        <v>148.30000000000001</v>
      </c>
      <c r="J108" s="71">
        <f t="shared" si="43"/>
        <v>441.6</v>
      </c>
      <c r="K108" s="71">
        <f t="shared" si="43"/>
        <v>615.70000000000005</v>
      </c>
      <c r="L108" s="71">
        <f t="shared" si="43"/>
        <v>683.1</v>
      </c>
      <c r="M108" s="71">
        <f t="shared" si="43"/>
        <v>732.8</v>
      </c>
      <c r="N108" s="71">
        <f t="shared" si="43"/>
        <v>822.70000000000016</v>
      </c>
      <c r="O108" s="71">
        <f t="shared" si="43"/>
        <v>856.19999999999993</v>
      </c>
      <c r="P108" s="71">
        <f t="shared" si="43"/>
        <v>873.2</v>
      </c>
      <c r="Q108" s="71">
        <f t="shared" si="43"/>
        <v>891.3</v>
      </c>
      <c r="R108" s="71">
        <f t="shared" si="43"/>
        <v>907.19999999999993</v>
      </c>
      <c r="S108" s="71">
        <f t="shared" si="43"/>
        <v>895.19999999999993</v>
      </c>
      <c r="T108" s="71">
        <f t="shared" si="43"/>
        <v>891.1</v>
      </c>
      <c r="U108" s="71">
        <f t="shared" si="43"/>
        <v>867.2</v>
      </c>
      <c r="V108" s="71">
        <f t="shared" si="43"/>
        <v>841.9</v>
      </c>
      <c r="W108" s="71">
        <f t="shared" si="43"/>
        <v>729.4</v>
      </c>
      <c r="X108" s="71">
        <f t="shared" si="43"/>
        <v>638.4</v>
      </c>
      <c r="Y108" s="71">
        <f t="shared" si="43"/>
        <v>107</v>
      </c>
      <c r="Z108" s="71">
        <f t="shared" si="43"/>
        <v>191.5</v>
      </c>
      <c r="AA108" s="71">
        <f t="shared" si="43"/>
        <v>176.5</v>
      </c>
      <c r="AB108" s="71">
        <f t="shared" si="43"/>
        <v>154.80000000000001</v>
      </c>
      <c r="AC108" s="71">
        <f t="shared" si="43"/>
        <v>252.39999999999998</v>
      </c>
      <c r="AD108" s="71">
        <f t="shared" si="43"/>
        <v>222.70000000000002</v>
      </c>
      <c r="AE108" s="71">
        <f t="shared" si="43"/>
        <v>200.9</v>
      </c>
      <c r="AF108" s="71">
        <f t="shared" si="43"/>
        <v>350</v>
      </c>
      <c r="AG108" s="101"/>
      <c r="AH108" s="48">
        <f t="shared" si="31"/>
        <v>907.19999999999993</v>
      </c>
      <c r="AI108" s="49">
        <f t="shared" si="32"/>
        <v>66.5</v>
      </c>
    </row>
    <row r="109" spans="1:64" x14ac:dyDescent="0.25">
      <c r="A109" s="113" t="s">
        <v>132</v>
      </c>
      <c r="B109" s="114">
        <v>50.036000000000001</v>
      </c>
      <c r="C109" s="114">
        <v>50</v>
      </c>
      <c r="D109" s="114">
        <v>49.97</v>
      </c>
      <c r="E109" s="114">
        <v>50.005000000000003</v>
      </c>
      <c r="F109" s="114">
        <v>50.015000000000001</v>
      </c>
      <c r="G109" s="114">
        <v>50.024999999999999</v>
      </c>
      <c r="H109" s="114">
        <v>50.024999999999999</v>
      </c>
      <c r="I109" s="114">
        <v>49.996000000000002</v>
      </c>
      <c r="J109" s="114">
        <v>50</v>
      </c>
      <c r="K109" s="114">
        <v>49.984000000000002</v>
      </c>
      <c r="L109" s="114">
        <v>49.991999999999997</v>
      </c>
      <c r="M109" s="114">
        <v>50.051000000000002</v>
      </c>
      <c r="N109" s="114">
        <v>50.006999999999998</v>
      </c>
      <c r="O109" s="114">
        <v>49.960999999999999</v>
      </c>
      <c r="P109" s="114">
        <v>49.991</v>
      </c>
      <c r="Q109" s="114">
        <v>49.945</v>
      </c>
      <c r="R109" s="114">
        <v>50.064999999999998</v>
      </c>
      <c r="S109" s="114">
        <v>49.972999999999999</v>
      </c>
      <c r="T109" s="114">
        <v>50.021000000000001</v>
      </c>
      <c r="U109" s="114">
        <v>50.048000000000002</v>
      </c>
      <c r="V109" s="114">
        <v>50.055999999999997</v>
      </c>
      <c r="W109" s="114">
        <v>50.01</v>
      </c>
      <c r="X109" s="114">
        <v>50.042999999999999</v>
      </c>
      <c r="Y109" s="114">
        <v>50.045000000000002</v>
      </c>
      <c r="Z109" s="114">
        <v>50.05</v>
      </c>
      <c r="AA109" s="114">
        <v>50.012999999999998</v>
      </c>
      <c r="AB109" s="114">
        <v>50.006999999999998</v>
      </c>
      <c r="AC109" s="114">
        <v>50.048999999999999</v>
      </c>
      <c r="AD109" s="114">
        <v>50.012999999999998</v>
      </c>
      <c r="AE109" s="114">
        <v>49.963000000000001</v>
      </c>
      <c r="AF109" s="114">
        <v>49.978999999999999</v>
      </c>
      <c r="AG109" s="115"/>
      <c r="AH109" s="48">
        <f t="shared" si="31"/>
        <v>50.064999999999998</v>
      </c>
      <c r="AI109" s="49">
        <f t="shared" si="32"/>
        <v>49.945</v>
      </c>
    </row>
    <row r="110" spans="1:64" x14ac:dyDescent="0.25">
      <c r="A110" s="116" t="s">
        <v>133</v>
      </c>
      <c r="B110" s="76">
        <v>128</v>
      </c>
      <c r="C110" s="76">
        <v>128</v>
      </c>
      <c r="D110" s="76">
        <v>128</v>
      </c>
      <c r="E110" s="76">
        <v>128.4</v>
      </c>
      <c r="F110" s="76">
        <v>128.30000000000001</v>
      </c>
      <c r="G110" s="76">
        <v>127</v>
      </c>
      <c r="H110" s="76">
        <v>127</v>
      </c>
      <c r="I110" s="76">
        <v>126.8</v>
      </c>
      <c r="J110" s="76">
        <v>128.9</v>
      </c>
      <c r="K110" s="76">
        <v>127</v>
      </c>
      <c r="L110" s="76">
        <v>126.5</v>
      </c>
      <c r="M110" s="76">
        <v>126.4</v>
      </c>
      <c r="N110" s="76">
        <v>123.8</v>
      </c>
      <c r="O110" s="76">
        <v>123.9</v>
      </c>
      <c r="P110" s="76">
        <v>124.6</v>
      </c>
      <c r="Q110" s="76">
        <v>123.4</v>
      </c>
      <c r="R110" s="76">
        <v>123.2</v>
      </c>
      <c r="S110" s="76">
        <v>123.6</v>
      </c>
      <c r="T110" s="76">
        <v>124.3</v>
      </c>
      <c r="U110" s="76">
        <v>125.1</v>
      </c>
      <c r="V110" s="76">
        <v>126.6</v>
      </c>
      <c r="W110" s="76">
        <v>127.7</v>
      </c>
      <c r="X110" s="76">
        <v>129.69999999999999</v>
      </c>
      <c r="Y110" s="76">
        <v>129.6</v>
      </c>
      <c r="Z110" s="76">
        <v>126.5</v>
      </c>
      <c r="AA110" s="76">
        <v>126.3</v>
      </c>
      <c r="AB110" s="76">
        <v>127.1</v>
      </c>
      <c r="AC110" s="76">
        <v>128.19999999999999</v>
      </c>
      <c r="AD110" s="76">
        <v>127.4</v>
      </c>
      <c r="AE110" s="76">
        <v>127.8</v>
      </c>
      <c r="AF110" s="76">
        <v>129.69999999999999</v>
      </c>
      <c r="AG110" s="117"/>
      <c r="AH110" s="48">
        <f t="shared" si="31"/>
        <v>129.69999999999999</v>
      </c>
      <c r="AI110" s="49">
        <f t="shared" si="32"/>
        <v>123.2</v>
      </c>
    </row>
    <row r="111" spans="1:64" x14ac:dyDescent="0.25">
      <c r="A111" s="116" t="s">
        <v>134</v>
      </c>
      <c r="B111" s="76">
        <v>131</v>
      </c>
      <c r="C111" s="76">
        <v>131</v>
      </c>
      <c r="D111" s="76">
        <v>131</v>
      </c>
      <c r="E111" s="76">
        <v>132.19999999999999</v>
      </c>
      <c r="F111" s="76">
        <v>132.1</v>
      </c>
      <c r="G111" s="76">
        <v>130.69999999999999</v>
      </c>
      <c r="H111" s="76">
        <v>130.69999999999999</v>
      </c>
      <c r="I111" s="76">
        <v>130.4</v>
      </c>
      <c r="J111" s="76">
        <v>131.1</v>
      </c>
      <c r="K111" s="76">
        <v>129.4</v>
      </c>
      <c r="L111" s="76">
        <v>129</v>
      </c>
      <c r="M111" s="76">
        <v>128.9</v>
      </c>
      <c r="N111" s="76">
        <v>127.2</v>
      </c>
      <c r="O111" s="76">
        <v>126.1</v>
      </c>
      <c r="P111" s="76">
        <v>127.2</v>
      </c>
      <c r="Q111" s="76">
        <v>126.6</v>
      </c>
      <c r="R111" s="76">
        <v>126.6</v>
      </c>
      <c r="S111" s="76">
        <v>126.9</v>
      </c>
      <c r="T111" s="76">
        <v>127.6</v>
      </c>
      <c r="U111" s="76">
        <v>128.30000000000001</v>
      </c>
      <c r="V111" s="76">
        <v>129.4</v>
      </c>
      <c r="W111" s="76">
        <v>130.4</v>
      </c>
      <c r="X111" s="76">
        <v>131.4</v>
      </c>
      <c r="Y111" s="76">
        <v>131.1</v>
      </c>
      <c r="Z111" s="76">
        <v>129.19999999999999</v>
      </c>
      <c r="AA111" s="76">
        <v>128.6</v>
      </c>
      <c r="AB111" s="76">
        <v>129.5</v>
      </c>
      <c r="AC111" s="76">
        <v>130.5</v>
      </c>
      <c r="AD111" s="76">
        <v>130.30000000000001</v>
      </c>
      <c r="AE111" s="76">
        <v>128.19999999999999</v>
      </c>
      <c r="AF111" s="76">
        <v>132.69999999999999</v>
      </c>
      <c r="AG111" s="117"/>
      <c r="AH111" s="48">
        <f t="shared" si="31"/>
        <v>132.69999999999999</v>
      </c>
      <c r="AI111" s="49">
        <f t="shared" si="32"/>
        <v>126.1</v>
      </c>
    </row>
    <row r="112" spans="1:64" x14ac:dyDescent="0.25">
      <c r="A112" s="116" t="s">
        <v>135</v>
      </c>
      <c r="B112" s="76">
        <v>131</v>
      </c>
      <c r="C112" s="76">
        <v>131</v>
      </c>
      <c r="D112" s="76">
        <v>130</v>
      </c>
      <c r="E112" s="76">
        <v>130.96</v>
      </c>
      <c r="F112" s="76">
        <v>131.9</v>
      </c>
      <c r="G112" s="76">
        <v>130.80000000000001</v>
      </c>
      <c r="H112" s="76">
        <v>130.80000000000001</v>
      </c>
      <c r="I112" s="76">
        <v>130.1</v>
      </c>
      <c r="J112" s="76">
        <v>127</v>
      </c>
      <c r="K112" s="76">
        <v>125.8</v>
      </c>
      <c r="L112" s="76">
        <v>132</v>
      </c>
      <c r="M112" s="76">
        <v>124.5</v>
      </c>
      <c r="N112" s="76">
        <v>127.1</v>
      </c>
      <c r="O112" s="76">
        <v>122.9</v>
      </c>
      <c r="P112" s="76">
        <v>120.6</v>
      </c>
      <c r="Q112" s="76">
        <v>126</v>
      </c>
      <c r="R112" s="76">
        <v>124.2</v>
      </c>
      <c r="S112" s="76">
        <v>127.6</v>
      </c>
      <c r="T112" s="76">
        <v>120.1</v>
      </c>
      <c r="U112" s="76">
        <v>127.3</v>
      </c>
      <c r="V112" s="76">
        <v>125.9</v>
      </c>
      <c r="W112" s="76">
        <v>132.30000000000001</v>
      </c>
      <c r="X112" s="76">
        <v>132.5</v>
      </c>
      <c r="Y112" s="76">
        <v>129.69999999999999</v>
      </c>
      <c r="Z112" s="76">
        <v>126.2</v>
      </c>
      <c r="AA112" s="76">
        <v>129.5</v>
      </c>
      <c r="AB112" s="76">
        <v>126.7</v>
      </c>
      <c r="AC112" s="76">
        <v>128.1</v>
      </c>
      <c r="AD112" s="76">
        <v>126.4</v>
      </c>
      <c r="AE112" s="76">
        <v>128.80000000000001</v>
      </c>
      <c r="AF112" s="76">
        <v>132.19999999999999</v>
      </c>
      <c r="AG112" s="117"/>
      <c r="AH112" s="48">
        <f t="shared" si="31"/>
        <v>132.5</v>
      </c>
      <c r="AI112" s="49">
        <f t="shared" si="32"/>
        <v>120.1</v>
      </c>
    </row>
    <row r="113" spans="1:35" x14ac:dyDescent="0.25">
      <c r="A113" s="118" t="s">
        <v>136</v>
      </c>
      <c r="B113" s="76">
        <v>133</v>
      </c>
      <c r="C113" s="76">
        <v>133</v>
      </c>
      <c r="D113" s="76">
        <v>131</v>
      </c>
      <c r="E113" s="76">
        <v>131.6</v>
      </c>
      <c r="F113" s="76">
        <v>133.4</v>
      </c>
      <c r="G113" s="76">
        <v>132.1</v>
      </c>
      <c r="H113" s="76">
        <v>132.1</v>
      </c>
      <c r="I113" s="76">
        <v>131.6</v>
      </c>
      <c r="J113" s="76">
        <v>130</v>
      </c>
      <c r="K113" s="76">
        <v>129.30000000000001</v>
      </c>
      <c r="L113" s="76">
        <v>132</v>
      </c>
      <c r="M113" s="76">
        <v>129.69999999999999</v>
      </c>
      <c r="N113" s="76">
        <v>130.5</v>
      </c>
      <c r="O113" s="76">
        <v>124.4</v>
      </c>
      <c r="P113" s="76">
        <v>123.7</v>
      </c>
      <c r="Q113" s="76">
        <v>126.5</v>
      </c>
      <c r="R113" s="76">
        <v>127.6</v>
      </c>
      <c r="S113" s="76">
        <v>128.19999999999999</v>
      </c>
      <c r="T113" s="76">
        <v>131.4</v>
      </c>
      <c r="U113" s="76">
        <v>127.3</v>
      </c>
      <c r="V113" s="76">
        <v>130.19999999999999</v>
      </c>
      <c r="W113" s="76">
        <v>130.69999999999999</v>
      </c>
      <c r="X113" s="76">
        <v>131.69999999999999</v>
      </c>
      <c r="Y113" s="76">
        <v>128.19999999999999</v>
      </c>
      <c r="Z113" s="76">
        <v>124.7</v>
      </c>
      <c r="AA113" s="76">
        <v>129.19999999999999</v>
      </c>
      <c r="AB113" s="76">
        <v>127.7</v>
      </c>
      <c r="AC113" s="76">
        <v>129.19999999999999</v>
      </c>
      <c r="AD113" s="76">
        <v>126.8</v>
      </c>
      <c r="AE113" s="76">
        <v>129</v>
      </c>
      <c r="AF113" s="76">
        <v>132.30000000000001</v>
      </c>
      <c r="AG113" s="117"/>
      <c r="AH113" s="48">
        <f t="shared" si="31"/>
        <v>133.4</v>
      </c>
      <c r="AI113" s="49">
        <f t="shared" si="32"/>
        <v>123.7</v>
      </c>
    </row>
    <row r="114" spans="1:35" x14ac:dyDescent="0.25">
      <c r="A114" s="118" t="s">
        <v>137</v>
      </c>
      <c r="B114" s="119">
        <v>134.69999999999999</v>
      </c>
      <c r="C114" s="119">
        <v>134.69999999999999</v>
      </c>
      <c r="D114" s="119">
        <v>133</v>
      </c>
      <c r="E114" s="119">
        <v>133.80000000000001</v>
      </c>
      <c r="F114" s="119">
        <v>135</v>
      </c>
      <c r="G114" s="119">
        <v>134.9</v>
      </c>
      <c r="H114" s="119">
        <v>134.9</v>
      </c>
      <c r="I114" s="119">
        <v>135</v>
      </c>
      <c r="J114" s="119">
        <v>134</v>
      </c>
      <c r="K114" s="119">
        <v>131.69999999999999</v>
      </c>
      <c r="L114" s="119">
        <v>130.4</v>
      </c>
      <c r="M114" s="119">
        <v>132.19999999999999</v>
      </c>
      <c r="N114" s="119">
        <v>130.30000000000001</v>
      </c>
      <c r="O114" s="119">
        <v>131</v>
      </c>
      <c r="P114" s="119">
        <v>131.19999999999999</v>
      </c>
      <c r="Q114" s="119">
        <v>131.80000000000001</v>
      </c>
      <c r="R114" s="119">
        <v>132.30000000000001</v>
      </c>
      <c r="S114" s="119">
        <v>132.69999999999999</v>
      </c>
      <c r="T114" s="119">
        <v>133.30000000000001</v>
      </c>
      <c r="U114" s="119">
        <v>132.4</v>
      </c>
      <c r="V114" s="119">
        <v>134</v>
      </c>
      <c r="W114" s="119">
        <v>136.4</v>
      </c>
      <c r="X114" s="119">
        <v>135.4</v>
      </c>
      <c r="Y114" s="119">
        <v>132.5</v>
      </c>
      <c r="Z114" s="119">
        <v>133.69999999999999</v>
      </c>
      <c r="AA114" s="119">
        <v>135.30000000000001</v>
      </c>
      <c r="AB114" s="119">
        <v>136.5</v>
      </c>
      <c r="AC114" s="119">
        <v>136.19999999999999</v>
      </c>
      <c r="AD114" s="119">
        <v>132.5</v>
      </c>
      <c r="AE114" s="119">
        <v>132.9</v>
      </c>
      <c r="AF114" s="119">
        <v>134</v>
      </c>
      <c r="AG114" s="120"/>
      <c r="AH114" s="48">
        <f t="shared" si="31"/>
        <v>136.5</v>
      </c>
      <c r="AI114" s="49">
        <f t="shared" si="32"/>
        <v>130.30000000000001</v>
      </c>
    </row>
    <row r="115" spans="1:35" x14ac:dyDescent="0.25">
      <c r="A115" s="116" t="s">
        <v>138</v>
      </c>
      <c r="B115" s="76">
        <v>133</v>
      </c>
      <c r="C115" s="76">
        <v>133</v>
      </c>
      <c r="D115" s="76">
        <v>129</v>
      </c>
      <c r="E115" s="76">
        <v>128.6</v>
      </c>
      <c r="F115" s="76">
        <v>133.1</v>
      </c>
      <c r="G115" s="76">
        <v>128.69999999999999</v>
      </c>
      <c r="H115" s="76">
        <v>128.69999999999999</v>
      </c>
      <c r="I115" s="76">
        <v>128.9</v>
      </c>
      <c r="J115" s="76">
        <v>125.3</v>
      </c>
      <c r="K115" s="76">
        <v>130</v>
      </c>
      <c r="L115" s="76">
        <v>130</v>
      </c>
      <c r="M115" s="76">
        <v>129.9</v>
      </c>
      <c r="N115" s="76">
        <v>131.30000000000001</v>
      </c>
      <c r="O115" s="76">
        <v>124.4</v>
      </c>
      <c r="P115" s="76">
        <v>124.1</v>
      </c>
      <c r="Q115" s="76">
        <v>130</v>
      </c>
      <c r="R115" s="76">
        <v>128.80000000000001</v>
      </c>
      <c r="S115" s="76">
        <v>125.4</v>
      </c>
      <c r="T115" s="76">
        <v>128.80000000000001</v>
      </c>
      <c r="U115" s="76">
        <v>127.4</v>
      </c>
      <c r="V115" s="76">
        <v>132</v>
      </c>
      <c r="W115" s="76">
        <v>128.19999999999999</v>
      </c>
      <c r="X115" s="76">
        <v>132</v>
      </c>
      <c r="Y115" s="76">
        <v>133.19999999999999</v>
      </c>
      <c r="Z115" s="76">
        <v>133.1</v>
      </c>
      <c r="AA115" s="76">
        <v>131.30000000000001</v>
      </c>
      <c r="AB115" s="76">
        <v>125.1</v>
      </c>
      <c r="AC115" s="76">
        <v>132.30000000000001</v>
      </c>
      <c r="AD115" s="76">
        <v>131.30000000000001</v>
      </c>
      <c r="AE115" s="76">
        <v>132.1</v>
      </c>
      <c r="AF115" s="76">
        <v>131.80000000000001</v>
      </c>
      <c r="AG115" s="117"/>
      <c r="AH115" s="48">
        <f t="shared" si="31"/>
        <v>133.19999999999999</v>
      </c>
      <c r="AI115" s="49">
        <f t="shared" si="32"/>
        <v>124.1</v>
      </c>
    </row>
    <row r="116" spans="1:35" ht="15.75" thickBot="1" x14ac:dyDescent="0.3">
      <c r="A116" s="116" t="s">
        <v>139</v>
      </c>
      <c r="B116" s="105">
        <v>66.3</v>
      </c>
      <c r="C116" s="105">
        <v>66.3</v>
      </c>
      <c r="D116" s="105">
        <v>66.099999999999994</v>
      </c>
      <c r="E116" s="105">
        <v>66.400000000000006</v>
      </c>
      <c r="F116" s="105">
        <v>66.400000000000006</v>
      </c>
      <c r="G116" s="105">
        <v>65.5</v>
      </c>
      <c r="H116" s="105">
        <v>65.5</v>
      </c>
      <c r="I116" s="105">
        <v>65.8</v>
      </c>
      <c r="J116" s="105">
        <v>66</v>
      </c>
      <c r="K116" s="105">
        <v>65.2</v>
      </c>
      <c r="L116" s="105">
        <v>65</v>
      </c>
      <c r="M116" s="105">
        <v>64.599999999999994</v>
      </c>
      <c r="N116" s="105">
        <v>64.099999999999994</v>
      </c>
      <c r="O116" s="105">
        <v>63.7</v>
      </c>
      <c r="P116" s="105">
        <v>64.2</v>
      </c>
      <c r="Q116" s="105">
        <v>63.7</v>
      </c>
      <c r="R116" s="105">
        <v>63.7</v>
      </c>
      <c r="S116" s="105">
        <v>63.9</v>
      </c>
      <c r="T116" s="105">
        <v>64.099999999999994</v>
      </c>
      <c r="U116" s="105">
        <v>64.400000000000006</v>
      </c>
      <c r="V116" s="105">
        <v>64.900000000000006</v>
      </c>
      <c r="W116" s="105">
        <v>65.5</v>
      </c>
      <c r="X116" s="105">
        <v>65.900000000000006</v>
      </c>
      <c r="Y116" s="105">
        <v>65.5</v>
      </c>
      <c r="Z116" s="105">
        <v>64.8</v>
      </c>
      <c r="AA116" s="105">
        <v>64.7</v>
      </c>
      <c r="AB116" s="105">
        <v>65.099999999999994</v>
      </c>
      <c r="AC116" s="105">
        <v>65.5</v>
      </c>
      <c r="AD116" s="105">
        <v>65.599999999999994</v>
      </c>
      <c r="AE116" s="105">
        <v>66.099999999999994</v>
      </c>
      <c r="AF116" s="105">
        <v>66.400000000000006</v>
      </c>
      <c r="AG116" s="121"/>
      <c r="AH116" s="48">
        <f t="shared" si="31"/>
        <v>66.400000000000006</v>
      </c>
      <c r="AI116" s="49">
        <f t="shared" si="32"/>
        <v>63.7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1"/>
        <v>0</v>
      </c>
      <c r="AI117" s="49">
        <f t="shared" si="32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122.24000000000001</v>
      </c>
      <c r="C118" s="124">
        <f>SUM(C22,C28,C31:C32,C66,C68:C69,C71,C73,C119:C123,C155,C161,C167,C176,C178,C190,C197,C200:C201,C208,C210,C212,C216:C218,C220:C222,C227,C233:C234,C236:C238,C246,C251)</f>
        <v>122.24000000000001</v>
      </c>
      <c r="D118" s="124">
        <f>SUM(D22,D28,D31:D32,D66,D68:D69,D71,D73,D119:D123,D155,D161,D167,D176,D178,D190,D197,D200:D201,D208,D210,D212,D216:D218,D220:D222,D227,D233:D234,D236:D238,D246,D251)</f>
        <v>99.640000000000015</v>
      </c>
      <c r="E118" s="124">
        <f t="shared" ref="E118:O118" si="44">SUM(E22,E28,E31:E32,E66,E68:E69,E71,E73,E119:E123,E155,E161,E167,E176,E178,E190,E197,E200:E201,E208,E210,E212,E216:E218,E220:E222,E227,E233:E234,E236:E238,E246,E251)</f>
        <v>102.74000000000001</v>
      </c>
      <c r="F118" s="124">
        <f t="shared" si="44"/>
        <v>115.44</v>
      </c>
      <c r="G118" s="124">
        <f t="shared" si="44"/>
        <v>168.44</v>
      </c>
      <c r="H118" s="124">
        <f t="shared" si="44"/>
        <v>168.44</v>
      </c>
      <c r="I118" s="124">
        <f t="shared" si="44"/>
        <v>201.44</v>
      </c>
      <c r="J118" s="124">
        <f t="shared" si="44"/>
        <v>254.54000000000002</v>
      </c>
      <c r="K118" s="124">
        <f t="shared" si="44"/>
        <v>282.54000000000002</v>
      </c>
      <c r="L118" s="124">
        <f t="shared" si="44"/>
        <v>295.03999999999996</v>
      </c>
      <c r="M118" s="124">
        <f t="shared" si="44"/>
        <v>269.94</v>
      </c>
      <c r="N118" s="124">
        <f t="shared" si="44"/>
        <v>266.53999999999996</v>
      </c>
      <c r="O118" s="124">
        <f t="shared" si="44"/>
        <v>289.64000000000004</v>
      </c>
      <c r="P118" s="124">
        <v>42</v>
      </c>
      <c r="Q118" s="124">
        <f t="shared" ref="Q118:X118" si="45">SUM(Q22,Q28,Q31:Q32,Q66,Q68:Q69,Q71,Q73,Q119:Q123,Q155,Q161,Q167,Q176,Q178,Q190,Q197,Q200:Q201,Q208,Q210,Q212,Q216:Q218,Q220:Q222,Q227,Q233:Q234,Q236:Q238,Q246,Q251)</f>
        <v>259.74</v>
      </c>
      <c r="R118" s="124">
        <f t="shared" si="45"/>
        <v>259.94</v>
      </c>
      <c r="S118" s="124">
        <f t="shared" si="45"/>
        <v>311.44</v>
      </c>
      <c r="T118" s="124">
        <f t="shared" si="45"/>
        <v>322.74</v>
      </c>
      <c r="U118" s="124">
        <f t="shared" si="45"/>
        <v>318.33999999999997</v>
      </c>
      <c r="V118" s="124">
        <f t="shared" si="45"/>
        <v>326.54000000000002</v>
      </c>
      <c r="W118" s="124">
        <f t="shared" si="45"/>
        <v>317.34000000000003</v>
      </c>
      <c r="X118" s="124">
        <f t="shared" si="45"/>
        <v>308.33999999999997</v>
      </c>
      <c r="Y118" s="124">
        <f>SUM(Y20,Y26,Y37:Y38,Y66,Y68:Y69,Y71,Y73,Y119:Y123,Y148,Y154,Y160,Y169,Y171,Y183,Y190,Y193:Y194,Y201,Y203,Y205,Y209:Y211,Y213:Y215,Y220,Y226:Y227,Y229:Y231,Y239,Y244)</f>
        <v>308.2</v>
      </c>
      <c r="Z118" s="124">
        <f>SUM(Z20,Z26,Z37:Z38,Z66,Z68:Z69,Z71,Z73,Z119:Z123,Z148,Z154,Z160,Z169,Z171,Z183,Z190,Z193:Z194,Z201,Z203,Z205,Z209:Z211,Z213:Z215,Z220,Z226:Z227,Z229:Z231,Z239,Z244)</f>
        <v>352.7</v>
      </c>
      <c r="AA118" s="124">
        <f t="shared" ref="AA118:AF118" si="46">SUM(AA22,AA28,AA31:AA32,AA66,AA68:AA69,AA71,AA73,AA119:AA123,AA155,AA161,AA167,AA176,AA178,AA190,AA197,AA200:AA201,AA208,AA210,AA212,AA216:AA218,AA220:AA222,AA227,AA233:AA234,AA236:AA238,AA246,AA251)</f>
        <v>368.94</v>
      </c>
      <c r="AB118" s="124">
        <f t="shared" si="46"/>
        <v>301.24</v>
      </c>
      <c r="AC118" s="124">
        <f t="shared" si="46"/>
        <v>274.84000000000003</v>
      </c>
      <c r="AD118" s="124">
        <f t="shared" si="46"/>
        <v>218.04</v>
      </c>
      <c r="AE118" s="124">
        <f t="shared" si="46"/>
        <v>167.94000000000003</v>
      </c>
      <c r="AF118" s="124">
        <f t="shared" si="46"/>
        <v>125.94</v>
      </c>
      <c r="AG118" s="125"/>
      <c r="AH118" s="48">
        <f t="shared" si="31"/>
        <v>368.94</v>
      </c>
      <c r="AI118" s="49">
        <f t="shared" si="32"/>
        <v>42</v>
      </c>
    </row>
    <row r="119" spans="1:35" x14ac:dyDescent="0.25">
      <c r="A119" s="126" t="s">
        <v>142</v>
      </c>
      <c r="B119" s="127">
        <v>28</v>
      </c>
      <c r="C119" s="127">
        <v>28</v>
      </c>
      <c r="D119" s="127">
        <v>30</v>
      </c>
      <c r="E119" s="127">
        <v>30.6</v>
      </c>
      <c r="F119" s="127">
        <v>32.1</v>
      </c>
      <c r="G119" s="127">
        <v>38</v>
      </c>
      <c r="H119" s="127">
        <v>38</v>
      </c>
      <c r="I119" s="127">
        <v>42.3</v>
      </c>
      <c r="J119" s="127">
        <v>38.200000000000003</v>
      </c>
      <c r="K119" s="127">
        <v>34</v>
      </c>
      <c r="L119" s="127">
        <v>27</v>
      </c>
      <c r="M119" s="127">
        <v>21</v>
      </c>
      <c r="N119" s="127">
        <v>2.7</v>
      </c>
      <c r="O119" s="127">
        <v>5.7</v>
      </c>
      <c r="P119" s="127">
        <v>2.2999999999999998</v>
      </c>
      <c r="Q119" s="127">
        <v>0.6</v>
      </c>
      <c r="R119" s="127">
        <v>-2.8</v>
      </c>
      <c r="S119" s="127">
        <v>3.4</v>
      </c>
      <c r="T119" s="127">
        <v>6.1</v>
      </c>
      <c r="U119" s="127">
        <v>9.5</v>
      </c>
      <c r="V119" s="127">
        <v>9.6</v>
      </c>
      <c r="W119" s="127">
        <v>13.3</v>
      </c>
      <c r="X119" s="127">
        <v>19.7</v>
      </c>
      <c r="Y119" s="127">
        <v>39.6</v>
      </c>
      <c r="Z119" s="127">
        <v>36.200000000000003</v>
      </c>
      <c r="AA119" s="127">
        <v>30.2</v>
      </c>
      <c r="AB119" s="127">
        <v>27.1</v>
      </c>
      <c r="AC119" s="127">
        <v>21.2</v>
      </c>
      <c r="AD119" s="127">
        <v>20.100000000000001</v>
      </c>
      <c r="AE119" s="127">
        <v>17.8</v>
      </c>
      <c r="AF119" s="127">
        <v>10.9</v>
      </c>
      <c r="AG119" s="128">
        <v>75</v>
      </c>
      <c r="AH119" s="48">
        <f t="shared" si="31"/>
        <v>42.3</v>
      </c>
      <c r="AI119" s="49">
        <f t="shared" si="32"/>
        <v>-2.8</v>
      </c>
    </row>
    <row r="120" spans="1:35" x14ac:dyDescent="0.25">
      <c r="A120" s="129" t="s">
        <v>143</v>
      </c>
      <c r="B120" s="130">
        <v>46</v>
      </c>
      <c r="C120" s="130">
        <v>46</v>
      </c>
      <c r="D120" s="130">
        <v>49</v>
      </c>
      <c r="E120" s="130">
        <v>50.1</v>
      </c>
      <c r="F120" s="130">
        <v>52.8</v>
      </c>
      <c r="G120" s="130">
        <v>59</v>
      </c>
      <c r="H120" s="130">
        <v>59</v>
      </c>
      <c r="I120" s="130">
        <v>63.2</v>
      </c>
      <c r="J120" s="130">
        <v>51</v>
      </c>
      <c r="K120" s="130">
        <v>44</v>
      </c>
      <c r="L120" s="130">
        <v>33</v>
      </c>
      <c r="M120" s="130">
        <v>25.5</v>
      </c>
      <c r="N120" s="130">
        <v>-0.3</v>
      </c>
      <c r="O120" s="130">
        <v>3.8</v>
      </c>
      <c r="P120" s="130">
        <v>-2.4</v>
      </c>
      <c r="Q120" s="130">
        <v>-6.8</v>
      </c>
      <c r="R120" s="130">
        <v>-9.6</v>
      </c>
      <c r="S120" s="130">
        <v>-0.9</v>
      </c>
      <c r="T120" s="130">
        <v>2.2999999999999998</v>
      </c>
      <c r="U120" s="130">
        <v>7.5</v>
      </c>
      <c r="V120" s="130">
        <v>11.6</v>
      </c>
      <c r="W120" s="130">
        <v>11.9</v>
      </c>
      <c r="X120" s="130">
        <v>25.3</v>
      </c>
      <c r="Y120" s="130">
        <v>54.1</v>
      </c>
      <c r="Z120" s="130">
        <v>50</v>
      </c>
      <c r="AA120" s="130">
        <v>40.9</v>
      </c>
      <c r="AB120" s="130">
        <v>36.799999999999997</v>
      </c>
      <c r="AC120" s="130">
        <v>30.8</v>
      </c>
      <c r="AD120" s="130">
        <v>31.6</v>
      </c>
      <c r="AE120" s="130">
        <v>30.3</v>
      </c>
      <c r="AF120" s="130">
        <v>21.9</v>
      </c>
      <c r="AG120" s="128">
        <v>240</v>
      </c>
      <c r="AH120" s="48">
        <f t="shared" si="31"/>
        <v>63.2</v>
      </c>
      <c r="AI120" s="49">
        <f t="shared" si="32"/>
        <v>-9.6</v>
      </c>
    </row>
    <row r="121" spans="1:35" x14ac:dyDescent="0.25">
      <c r="A121" s="129" t="s">
        <v>144</v>
      </c>
      <c r="B121" s="130">
        <v>-90</v>
      </c>
      <c r="C121" s="130">
        <v>-90</v>
      </c>
      <c r="D121" s="130">
        <v>-98</v>
      </c>
      <c r="E121" s="130">
        <v>-96</v>
      </c>
      <c r="F121" s="130">
        <v>-98</v>
      </c>
      <c r="G121" s="130">
        <v>-88</v>
      </c>
      <c r="H121" s="130">
        <v>-88</v>
      </c>
      <c r="I121" s="130">
        <v>-92</v>
      </c>
      <c r="J121" s="130">
        <v>-41</v>
      </c>
      <c r="K121" s="130">
        <v>-25</v>
      </c>
      <c r="L121" s="130">
        <v>-8</v>
      </c>
      <c r="M121" s="130">
        <v>-18.8</v>
      </c>
      <c r="N121" s="130">
        <v>-15</v>
      </c>
      <c r="O121" s="130">
        <v>-12</v>
      </c>
      <c r="P121" s="130">
        <v>-19</v>
      </c>
      <c r="Q121" s="130">
        <v>-32.200000000000003</v>
      </c>
      <c r="R121" s="130">
        <v>-23</v>
      </c>
      <c r="S121" s="130">
        <v>16</v>
      </c>
      <c r="T121" s="130">
        <f>15+7</f>
        <v>22</v>
      </c>
      <c r="U121" s="130">
        <f>15+7</f>
        <v>22</v>
      </c>
      <c r="V121" s="130">
        <f>16+9</f>
        <v>25</v>
      </c>
      <c r="W121" s="130">
        <f>15.5+7.4</f>
        <v>22.9</v>
      </c>
      <c r="X121" s="130">
        <v>16</v>
      </c>
      <c r="Y121" s="130">
        <v>-13</v>
      </c>
      <c r="Z121" s="130">
        <v>-12</v>
      </c>
      <c r="AA121" s="130">
        <v>-3</v>
      </c>
      <c r="AB121" s="130">
        <v>-39.5</v>
      </c>
      <c r="AC121" s="130">
        <v>-42</v>
      </c>
      <c r="AD121" s="130">
        <v>-68</v>
      </c>
      <c r="AE121" s="130">
        <v>-83</v>
      </c>
      <c r="AF121" s="130">
        <v>-82</v>
      </c>
      <c r="AG121" s="128">
        <v>240</v>
      </c>
      <c r="AH121" s="48">
        <f t="shared" si="31"/>
        <v>25</v>
      </c>
      <c r="AI121" s="49">
        <f t="shared" si="32"/>
        <v>-98</v>
      </c>
    </row>
    <row r="122" spans="1:35" ht="15.75" thickBot="1" x14ac:dyDescent="0.3">
      <c r="A122" s="129" t="s">
        <v>145</v>
      </c>
      <c r="B122" s="130">
        <v>15</v>
      </c>
      <c r="C122" s="130">
        <v>15</v>
      </c>
      <c r="D122" s="130">
        <v>6</v>
      </c>
      <c r="E122" s="130">
        <v>1</v>
      </c>
      <c r="F122" s="130">
        <v>2</v>
      </c>
      <c r="G122" s="130">
        <v>5.4</v>
      </c>
      <c r="H122" s="130">
        <v>5.4</v>
      </c>
      <c r="I122" s="130">
        <v>17</v>
      </c>
      <c r="J122" s="130">
        <v>11.3</v>
      </c>
      <c r="K122" s="130">
        <v>20</v>
      </c>
      <c r="L122" s="130">
        <v>22.3</v>
      </c>
      <c r="M122" s="130">
        <v>28.8</v>
      </c>
      <c r="N122" s="130">
        <v>20.9</v>
      </c>
      <c r="O122" s="130">
        <v>24.8</v>
      </c>
      <c r="P122" s="130">
        <v>25.2</v>
      </c>
      <c r="Q122" s="130">
        <v>35.200000000000003</v>
      </c>
      <c r="R122" s="130">
        <v>31.3</v>
      </c>
      <c r="S122" s="130">
        <v>34.6</v>
      </c>
      <c r="T122" s="130">
        <v>33</v>
      </c>
      <c r="U122" s="130">
        <v>35</v>
      </c>
      <c r="V122" s="130">
        <v>42</v>
      </c>
      <c r="W122" s="130">
        <v>41</v>
      </c>
      <c r="X122" s="130">
        <v>45.1</v>
      </c>
      <c r="Y122" s="130">
        <v>59</v>
      </c>
      <c r="Z122" s="130">
        <v>59</v>
      </c>
      <c r="AA122" s="130">
        <v>60</v>
      </c>
      <c r="AB122" s="130">
        <v>43.5</v>
      </c>
      <c r="AC122" s="130">
        <v>42</v>
      </c>
      <c r="AD122" s="130">
        <v>36.9</v>
      </c>
      <c r="AE122" s="130">
        <v>30.8</v>
      </c>
      <c r="AF122" s="130">
        <v>27.2</v>
      </c>
      <c r="AG122" s="128">
        <v>60</v>
      </c>
      <c r="AH122" s="48">
        <f t="shared" si="31"/>
        <v>60</v>
      </c>
      <c r="AI122" s="49">
        <f t="shared" si="32"/>
        <v>1</v>
      </c>
    </row>
    <row r="123" spans="1:35" x14ac:dyDescent="0.25">
      <c r="A123" s="126" t="s">
        <v>146</v>
      </c>
      <c r="B123" s="131">
        <v>18</v>
      </c>
      <c r="C123" s="131">
        <v>18</v>
      </c>
      <c r="D123" s="131">
        <v>7.4</v>
      </c>
      <c r="E123" s="131">
        <v>6</v>
      </c>
      <c r="F123" s="131">
        <v>10.5</v>
      </c>
      <c r="G123" s="131">
        <v>38</v>
      </c>
      <c r="H123" s="131">
        <v>38</v>
      </c>
      <c r="I123" s="131">
        <v>53.8</v>
      </c>
      <c r="J123" s="131">
        <v>75.2</v>
      </c>
      <c r="K123" s="131">
        <v>89.6</v>
      </c>
      <c r="L123" s="131">
        <v>98.2</v>
      </c>
      <c r="M123" s="131">
        <v>87.2</v>
      </c>
      <c r="N123" s="131">
        <v>128.1</v>
      </c>
      <c r="O123" s="131">
        <v>133.6</v>
      </c>
      <c r="P123" s="131">
        <v>125.1</v>
      </c>
      <c r="Q123" s="131">
        <v>128.30000000000001</v>
      </c>
      <c r="R123" s="131">
        <v>130.19999999999999</v>
      </c>
      <c r="S123" s="131">
        <v>129</v>
      </c>
      <c r="T123" s="131">
        <v>130</v>
      </c>
      <c r="U123" s="131">
        <v>118</v>
      </c>
      <c r="V123" s="131">
        <v>112</v>
      </c>
      <c r="W123" s="131">
        <v>104.3</v>
      </c>
      <c r="X123" s="131">
        <v>78.2</v>
      </c>
      <c r="Y123" s="131">
        <v>55</v>
      </c>
      <c r="Z123" s="131">
        <v>106</v>
      </c>
      <c r="AA123" s="131">
        <v>131</v>
      </c>
      <c r="AB123" s="131">
        <v>121</v>
      </c>
      <c r="AC123" s="131">
        <v>110.3</v>
      </c>
      <c r="AD123" s="131">
        <v>82.6</v>
      </c>
      <c r="AE123" s="131">
        <v>57.2</v>
      </c>
      <c r="AF123" s="131">
        <v>32.299999999999997</v>
      </c>
      <c r="AG123" s="132">
        <v>120</v>
      </c>
      <c r="AH123" s="48">
        <f t="shared" si="31"/>
        <v>133.6</v>
      </c>
      <c r="AI123" s="49">
        <f t="shared" si="32"/>
        <v>6</v>
      </c>
    </row>
    <row r="124" spans="1:35" x14ac:dyDescent="0.25">
      <c r="A124" s="129" t="s">
        <v>147</v>
      </c>
      <c r="B124" s="131">
        <v>34</v>
      </c>
      <c r="C124" s="131">
        <v>34</v>
      </c>
      <c r="D124" s="131">
        <v>29</v>
      </c>
      <c r="E124" s="131">
        <v>28.3</v>
      </c>
      <c r="F124" s="131">
        <v>30.5</v>
      </c>
      <c r="G124" s="131">
        <v>44</v>
      </c>
      <c r="H124" s="131">
        <v>44</v>
      </c>
      <c r="I124" s="131">
        <v>52.5</v>
      </c>
      <c r="J124" s="131">
        <v>62.5</v>
      </c>
      <c r="K124" s="131">
        <v>70</v>
      </c>
      <c r="L124" s="131">
        <v>72.3</v>
      </c>
      <c r="M124" s="131">
        <v>68.5</v>
      </c>
      <c r="N124" s="131">
        <v>88.6</v>
      </c>
      <c r="O124" s="131">
        <v>89.4</v>
      </c>
      <c r="P124" s="131">
        <v>86.6</v>
      </c>
      <c r="Q124" s="131">
        <v>87.9</v>
      </c>
      <c r="R124" s="131">
        <v>88.7</v>
      </c>
      <c r="S124" s="131">
        <v>86</v>
      </c>
      <c r="T124" s="131">
        <v>87</v>
      </c>
      <c r="U124" s="131">
        <v>81</v>
      </c>
      <c r="V124" s="131">
        <v>78</v>
      </c>
      <c r="W124" s="131">
        <v>75.900000000000006</v>
      </c>
      <c r="X124" s="131">
        <v>62.9</v>
      </c>
      <c r="Y124" s="131">
        <v>50</v>
      </c>
      <c r="Z124" s="131">
        <v>75</v>
      </c>
      <c r="AA124" s="131">
        <v>87</v>
      </c>
      <c r="AB124" s="131">
        <v>77.5</v>
      </c>
      <c r="AC124" s="131">
        <v>77.5</v>
      </c>
      <c r="AD124" s="131">
        <v>64.900000000000006</v>
      </c>
      <c r="AE124" s="131">
        <v>52.9</v>
      </c>
      <c r="AF124" s="131">
        <v>40</v>
      </c>
      <c r="AG124" s="132"/>
      <c r="AH124" s="48">
        <f t="shared" si="31"/>
        <v>89.4</v>
      </c>
      <c r="AI124" s="49">
        <f t="shared" si="32"/>
        <v>28.3</v>
      </c>
    </row>
    <row r="125" spans="1:35" x14ac:dyDescent="0.25">
      <c r="A125" s="129" t="s">
        <v>148</v>
      </c>
      <c r="B125" s="131">
        <v>-4</v>
      </c>
      <c r="C125" s="131">
        <v>-4</v>
      </c>
      <c r="D125" s="131">
        <v>-5</v>
      </c>
      <c r="E125" s="131">
        <v>-6</v>
      </c>
      <c r="F125" s="131">
        <v>-6.4</v>
      </c>
      <c r="G125" s="131">
        <v>-11</v>
      </c>
      <c r="H125" s="131">
        <v>-11</v>
      </c>
      <c r="I125" s="131">
        <v>-11.1</v>
      </c>
      <c r="J125" s="131">
        <v>-18.100000000000001</v>
      </c>
      <c r="K125" s="131">
        <v>-19.100000000000001</v>
      </c>
      <c r="L125" s="131">
        <v>-18.3</v>
      </c>
      <c r="M125" s="131">
        <v>-19.899999999999999</v>
      </c>
      <c r="N125" s="131">
        <v>25.4</v>
      </c>
      <c r="O125" s="131">
        <v>25.4</v>
      </c>
      <c r="P125" s="131">
        <v>35.799999999999997</v>
      </c>
      <c r="Q125" s="131">
        <v>35</v>
      </c>
      <c r="R125" s="131">
        <v>35</v>
      </c>
      <c r="S125" s="131">
        <v>28</v>
      </c>
      <c r="T125" s="131">
        <v>21</v>
      </c>
      <c r="U125" s="131">
        <v>9.4</v>
      </c>
      <c r="V125" s="131">
        <v>-1</v>
      </c>
      <c r="W125" s="131">
        <v>-4.4000000000000004</v>
      </c>
      <c r="X125" s="131">
        <v>-28</v>
      </c>
      <c r="Y125" s="131">
        <v>-55</v>
      </c>
      <c r="Z125" s="131">
        <v>-37</v>
      </c>
      <c r="AA125" s="131">
        <v>-30</v>
      </c>
      <c r="AB125" s="131">
        <v>-24.9</v>
      </c>
      <c r="AC125" s="131">
        <v>-17.5</v>
      </c>
      <c r="AD125" s="131">
        <v>-15</v>
      </c>
      <c r="AE125" s="131">
        <v>-6.7</v>
      </c>
      <c r="AF125" s="131">
        <v>-6</v>
      </c>
      <c r="AG125" s="132"/>
      <c r="AH125" s="48">
        <f t="shared" si="31"/>
        <v>35.799999999999997</v>
      </c>
      <c r="AI125" s="49">
        <f t="shared" si="32"/>
        <v>-55</v>
      </c>
    </row>
    <row r="126" spans="1:35" ht="15.75" thickBot="1" x14ac:dyDescent="0.3">
      <c r="A126" s="129" t="s">
        <v>149</v>
      </c>
      <c r="B126" s="131">
        <v>10</v>
      </c>
      <c r="C126" s="131">
        <v>10</v>
      </c>
      <c r="D126" s="131">
        <v>20</v>
      </c>
      <c r="E126" s="131">
        <v>21.8</v>
      </c>
      <c r="F126" s="131">
        <v>25</v>
      </c>
      <c r="G126" s="131">
        <v>36</v>
      </c>
      <c r="H126" s="131">
        <v>36</v>
      </c>
      <c r="I126" s="131">
        <v>14</v>
      </c>
      <c r="J126" s="131">
        <v>17</v>
      </c>
      <c r="K126" s="131">
        <v>45.1</v>
      </c>
      <c r="L126" s="131">
        <v>52.6</v>
      </c>
      <c r="M126" s="131">
        <v>79.400000000000006</v>
      </c>
      <c r="N126" s="131">
        <v>105.1</v>
      </c>
      <c r="O126" s="131">
        <v>101.9</v>
      </c>
      <c r="P126" s="131">
        <v>102.2</v>
      </c>
      <c r="Q126" s="131">
        <v>106.3</v>
      </c>
      <c r="R126" s="131">
        <v>102.5</v>
      </c>
      <c r="S126" s="131">
        <v>106</v>
      </c>
      <c r="T126" s="131">
        <v>98</v>
      </c>
      <c r="U126" s="131">
        <v>95</v>
      </c>
      <c r="V126" s="131">
        <v>88</v>
      </c>
      <c r="W126" s="131">
        <v>79.099999999999994</v>
      </c>
      <c r="X126" s="131">
        <v>62.6</v>
      </c>
      <c r="Y126" s="131">
        <v>28</v>
      </c>
      <c r="Z126" s="131">
        <v>64</v>
      </c>
      <c r="AA126" s="131">
        <v>74</v>
      </c>
      <c r="AB126" s="131">
        <v>69.900000000000006</v>
      </c>
      <c r="AC126" s="131">
        <v>71.3</v>
      </c>
      <c r="AD126" s="131">
        <v>56.7</v>
      </c>
      <c r="AE126" s="131">
        <v>49.8</v>
      </c>
      <c r="AF126" s="131">
        <v>40.299999999999997</v>
      </c>
      <c r="AG126" s="128"/>
      <c r="AH126" s="48">
        <f>MAX(B126:AF126)</f>
        <v>106.3</v>
      </c>
      <c r="AI126" s="49">
        <f>MIN(B126:AF126)</f>
        <v>10</v>
      </c>
    </row>
    <row r="127" spans="1:35" x14ac:dyDescent="0.25">
      <c r="A127" s="126" t="s">
        <v>150</v>
      </c>
      <c r="B127" s="131">
        <v>-112</v>
      </c>
      <c r="C127" s="131">
        <v>-112</v>
      </c>
      <c r="D127" s="131">
        <v>-120</v>
      </c>
      <c r="E127" s="131">
        <v>-118</v>
      </c>
      <c r="F127" s="131">
        <v>-114</v>
      </c>
      <c r="G127" s="131">
        <v>-64</v>
      </c>
      <c r="H127" s="131">
        <v>-64</v>
      </c>
      <c r="I127" s="131">
        <v>-51</v>
      </c>
      <c r="J127" s="131">
        <v>5</v>
      </c>
      <c r="K127" s="131">
        <v>14</v>
      </c>
      <c r="L127" s="131">
        <v>19</v>
      </c>
      <c r="M127" s="131">
        <v>14</v>
      </c>
      <c r="N127" s="131">
        <v>36.1</v>
      </c>
      <c r="O127" s="131">
        <v>37.200000000000003</v>
      </c>
      <c r="P127" s="131">
        <v>32.9</v>
      </c>
      <c r="Q127" s="131">
        <v>37</v>
      </c>
      <c r="R127" s="131">
        <v>37.200000000000003</v>
      </c>
      <c r="S127" s="131">
        <v>37</v>
      </c>
      <c r="T127" s="131">
        <v>37</v>
      </c>
      <c r="U127" s="131">
        <v>33</v>
      </c>
      <c r="V127" s="131">
        <v>28</v>
      </c>
      <c r="W127" s="131">
        <v>10.3</v>
      </c>
      <c r="X127" s="131">
        <v>-3.2</v>
      </c>
      <c r="Y127" s="131">
        <v>-128</v>
      </c>
      <c r="Z127" s="131">
        <v>-167</v>
      </c>
      <c r="AA127" s="131">
        <v>-182</v>
      </c>
      <c r="AB127" s="131">
        <v>-188</v>
      </c>
      <c r="AC127" s="131">
        <v>-145</v>
      </c>
      <c r="AD127" s="131">
        <v>-159.6</v>
      </c>
      <c r="AE127" s="131">
        <v>-146.19999999999999</v>
      </c>
      <c r="AF127" s="131">
        <v>-62.8</v>
      </c>
      <c r="AG127" s="128"/>
      <c r="AH127" s="48">
        <f>MAX(B127:AF127)</f>
        <v>37.200000000000003</v>
      </c>
      <c r="AI127" s="49">
        <f>MIN(B127:AF127)</f>
        <v>-188</v>
      </c>
    </row>
    <row r="128" spans="1:35" x14ac:dyDescent="0.25">
      <c r="A128" s="129" t="s">
        <v>151</v>
      </c>
      <c r="B128" s="119">
        <v>-22</v>
      </c>
      <c r="C128" s="119">
        <v>-22</v>
      </c>
      <c r="D128" s="119">
        <v>-19</v>
      </c>
      <c r="E128" s="119">
        <v>-18.399999999999999</v>
      </c>
      <c r="F128" s="119">
        <v>-11.6</v>
      </c>
      <c r="G128" s="119">
        <v>-16.2</v>
      </c>
      <c r="H128" s="119">
        <v>-16.2</v>
      </c>
      <c r="I128" s="119">
        <v>-11.4</v>
      </c>
      <c r="J128" s="119">
        <v>-19.3</v>
      </c>
      <c r="K128" s="119">
        <v>-18</v>
      </c>
      <c r="L128" s="119">
        <v>-20</v>
      </c>
      <c r="M128" s="119">
        <v>-18.100000000000001</v>
      </c>
      <c r="N128" s="119">
        <v>-26.9</v>
      </c>
      <c r="O128" s="119">
        <v>-35.299999999999997</v>
      </c>
      <c r="P128" s="119">
        <v>-34.5</v>
      </c>
      <c r="Q128" s="119">
        <v>-33.4</v>
      </c>
      <c r="R128" s="119">
        <v>-34.1</v>
      </c>
      <c r="S128" s="119">
        <v>-34</v>
      </c>
      <c r="T128" s="119">
        <v>-40</v>
      </c>
      <c r="U128" s="119">
        <v>-43</v>
      </c>
      <c r="V128" s="119">
        <v>-44</v>
      </c>
      <c r="W128" s="119">
        <v>-47.8</v>
      </c>
      <c r="X128" s="119">
        <v>-38.9</v>
      </c>
      <c r="Y128" s="119">
        <v>-52</v>
      </c>
      <c r="Z128" s="119">
        <v>-56</v>
      </c>
      <c r="AA128" s="119">
        <v>-52</v>
      </c>
      <c r="AB128" s="119">
        <v>-53.6</v>
      </c>
      <c r="AC128" s="119">
        <v>-55.4</v>
      </c>
      <c r="AD128" s="119">
        <v>-52</v>
      </c>
      <c r="AE128" s="119">
        <v>-45.8</v>
      </c>
      <c r="AF128" s="119">
        <v>-46.3</v>
      </c>
      <c r="AG128" s="128"/>
      <c r="AH128" s="48">
        <f>MAX(B128:AF128)</f>
        <v>-11.4</v>
      </c>
      <c r="AI128" s="49">
        <f>MIN(B128:AF128)</f>
        <v>-56</v>
      </c>
    </row>
    <row r="129" spans="1:37" x14ac:dyDescent="0.25">
      <c r="A129" s="129" t="s">
        <v>152</v>
      </c>
      <c r="B129" s="119">
        <v>68</v>
      </c>
      <c r="C129" s="119">
        <v>68</v>
      </c>
      <c r="D129" s="119">
        <v>64</v>
      </c>
      <c r="E129" s="119">
        <v>62.8</v>
      </c>
      <c r="F129" s="119">
        <v>57</v>
      </c>
      <c r="G129" s="119">
        <v>54</v>
      </c>
      <c r="H129" s="119">
        <v>54</v>
      </c>
      <c r="I129" s="119">
        <v>47</v>
      </c>
      <c r="J129" s="119">
        <v>57</v>
      </c>
      <c r="K129" s="119">
        <v>93</v>
      </c>
      <c r="L129" s="119">
        <v>52</v>
      </c>
      <c r="M129" s="119">
        <v>60.6</v>
      </c>
      <c r="N129" s="119">
        <v>69</v>
      </c>
      <c r="O129" s="119">
        <v>68.8</v>
      </c>
      <c r="P129" s="119">
        <v>70.3</v>
      </c>
      <c r="Q129" s="119">
        <v>76.900000000000006</v>
      </c>
      <c r="R129" s="119">
        <v>78.7</v>
      </c>
      <c r="S129" s="119">
        <v>80</v>
      </c>
      <c r="T129" s="119">
        <v>72</v>
      </c>
      <c r="U129" s="119">
        <v>76</v>
      </c>
      <c r="V129" s="119">
        <v>72</v>
      </c>
      <c r="W129" s="119">
        <v>71.5</v>
      </c>
      <c r="X129" s="119">
        <v>62.5</v>
      </c>
      <c r="Y129" s="119">
        <v>101</v>
      </c>
      <c r="Z129" s="119">
        <v>108</v>
      </c>
      <c r="AA129" s="119">
        <v>104</v>
      </c>
      <c r="AB129" s="119">
        <v>105.1</v>
      </c>
      <c r="AC129" s="119">
        <v>104</v>
      </c>
      <c r="AD129" s="119">
        <v>110.9</v>
      </c>
      <c r="AE129" s="119">
        <v>106.2</v>
      </c>
      <c r="AF129" s="119">
        <v>101</v>
      </c>
      <c r="AG129" s="128"/>
      <c r="AH129" s="48">
        <f>MAX(B129:AF129)</f>
        <v>110.9</v>
      </c>
      <c r="AI129" s="49">
        <f>MIN(B129:AF129)</f>
        <v>47</v>
      </c>
    </row>
    <row r="130" spans="1:37" ht="15.75" thickBot="1" x14ac:dyDescent="0.3">
      <c r="A130" s="129" t="s">
        <v>153</v>
      </c>
      <c r="B130" s="119"/>
      <c r="C130" s="119">
        <v>84</v>
      </c>
      <c r="D130" s="119">
        <v>81</v>
      </c>
      <c r="E130" s="119">
        <v>80</v>
      </c>
      <c r="F130" s="119">
        <v>72.3</v>
      </c>
      <c r="G130" s="119">
        <v>71.3</v>
      </c>
      <c r="H130" s="119">
        <v>71.3</v>
      </c>
      <c r="I130" s="119">
        <v>66</v>
      </c>
      <c r="J130" s="119">
        <v>91</v>
      </c>
      <c r="K130" s="119">
        <v>102</v>
      </c>
      <c r="L130" s="119">
        <v>58.1</v>
      </c>
      <c r="M130" s="119">
        <v>71.400000000000006</v>
      </c>
      <c r="N130" s="119">
        <v>75.5</v>
      </c>
      <c r="O130" s="119">
        <v>78.8</v>
      </c>
      <c r="P130" s="119">
        <v>76.400000000000006</v>
      </c>
      <c r="Q130" s="119">
        <v>85.4</v>
      </c>
      <c r="R130" s="119">
        <v>88.4</v>
      </c>
      <c r="S130" s="119">
        <v>88</v>
      </c>
      <c r="T130" s="119">
        <v>81</v>
      </c>
      <c r="U130" s="119">
        <v>87</v>
      </c>
      <c r="V130" s="119">
        <v>84</v>
      </c>
      <c r="W130" s="119">
        <v>79.5</v>
      </c>
      <c r="X130" s="119">
        <v>79.5</v>
      </c>
      <c r="Y130" s="119">
        <v>107</v>
      </c>
      <c r="Z130" s="119">
        <v>119</v>
      </c>
      <c r="AA130" s="119">
        <v>116</v>
      </c>
      <c r="AB130" s="119">
        <v>114.4</v>
      </c>
      <c r="AC130" s="119">
        <v>112.8</v>
      </c>
      <c r="AD130" s="119">
        <v>119.6</v>
      </c>
      <c r="AE130" s="119">
        <v>117.8</v>
      </c>
      <c r="AF130" s="119">
        <v>112.6</v>
      </c>
      <c r="AG130" s="128"/>
      <c r="AH130" s="48">
        <f>MAX(B130:AF130)</f>
        <v>119.6</v>
      </c>
      <c r="AI130" s="49">
        <f>MIN(B130:AF130)</f>
        <v>58.1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1983.8</v>
      </c>
      <c r="C132" s="137">
        <v>1983.6</v>
      </c>
      <c r="D132" s="137">
        <v>1983.4</v>
      </c>
      <c r="E132" s="137">
        <v>1983.12</v>
      </c>
      <c r="F132" s="137">
        <v>1982.88</v>
      </c>
      <c r="G132" s="137">
        <v>1982.65</v>
      </c>
      <c r="H132" s="137"/>
      <c r="I132" s="137">
        <v>1982.5</v>
      </c>
      <c r="J132" s="137"/>
      <c r="K132" s="137">
        <v>1982.9</v>
      </c>
      <c r="L132" s="137"/>
      <c r="M132" s="137">
        <v>1983.3</v>
      </c>
      <c r="N132" s="137">
        <v>1983.61</v>
      </c>
      <c r="O132" s="137">
        <v>1983.98</v>
      </c>
      <c r="P132" s="137">
        <v>1984.25</v>
      </c>
      <c r="Q132" s="137">
        <v>1984.55</v>
      </c>
      <c r="R132" s="137">
        <v>1984.85</v>
      </c>
      <c r="S132" s="137">
        <v>1985.1</v>
      </c>
      <c r="T132" s="137">
        <v>1985.35</v>
      </c>
      <c r="U132" s="137">
        <v>1985.62</v>
      </c>
      <c r="V132" s="137">
        <v>1985.86</v>
      </c>
      <c r="W132" s="137"/>
      <c r="X132" s="137">
        <v>1986.05</v>
      </c>
      <c r="Y132" s="137"/>
      <c r="Z132" s="137">
        <v>1985.7</v>
      </c>
      <c r="AA132" s="137"/>
      <c r="AB132" s="137">
        <v>1984.8</v>
      </c>
      <c r="AC132" s="137"/>
      <c r="AD132" s="137">
        <v>1983.9</v>
      </c>
      <c r="AE132" s="137">
        <v>1982.98</v>
      </c>
      <c r="AF132" s="138">
        <v>1982.55</v>
      </c>
      <c r="AG132" s="139"/>
      <c r="AH132" s="48"/>
      <c r="AI132" s="49"/>
    </row>
    <row r="133" spans="1:37" x14ac:dyDescent="0.25">
      <c r="A133" s="136" t="s">
        <v>156</v>
      </c>
      <c r="B133" s="140">
        <v>521.36</v>
      </c>
      <c r="C133" s="140">
        <v>521.26</v>
      </c>
      <c r="D133" s="140">
        <v>521.08000000000004</v>
      </c>
      <c r="E133" s="140">
        <v>520.9</v>
      </c>
      <c r="F133" s="140">
        <v>520.70000000000005</v>
      </c>
      <c r="G133" s="140">
        <v>520.54</v>
      </c>
      <c r="H133" s="140"/>
      <c r="I133" s="140">
        <v>520.21</v>
      </c>
      <c r="J133" s="140"/>
      <c r="K133" s="140">
        <v>520.08000000000004</v>
      </c>
      <c r="L133" s="140"/>
      <c r="M133" s="140">
        <v>520.15</v>
      </c>
      <c r="N133" s="140">
        <v>520.38</v>
      </c>
      <c r="O133" s="140">
        <v>520.67999999999995</v>
      </c>
      <c r="P133" s="140">
        <v>520.94000000000005</v>
      </c>
      <c r="Q133" s="140">
        <v>521.17999999999995</v>
      </c>
      <c r="R133" s="140">
        <v>521.34</v>
      </c>
      <c r="S133" s="140">
        <v>521.36</v>
      </c>
      <c r="T133" s="140">
        <v>521.34</v>
      </c>
      <c r="U133" s="140">
        <v>521.24</v>
      </c>
      <c r="V133" s="140">
        <v>521.20000000000005</v>
      </c>
      <c r="W133" s="140"/>
      <c r="X133" s="140">
        <v>521.15</v>
      </c>
      <c r="Y133" s="140"/>
      <c r="Z133" s="140">
        <v>520.91</v>
      </c>
      <c r="AA133" s="140"/>
      <c r="AB133" s="140">
        <v>520.41999999999996</v>
      </c>
      <c r="AC133" s="140"/>
      <c r="AD133" s="140">
        <v>520</v>
      </c>
      <c r="AE133" s="140">
        <v>519.5</v>
      </c>
      <c r="AF133" s="141">
        <v>519.08000000000004</v>
      </c>
      <c r="AG133" s="139"/>
      <c r="AH133" s="48"/>
      <c r="AI133" s="49"/>
    </row>
    <row r="134" spans="1:37" x14ac:dyDescent="0.25">
      <c r="A134" s="136" t="s">
        <v>157</v>
      </c>
      <c r="B134" s="140">
        <v>623.27</v>
      </c>
      <c r="C134" s="140">
        <v>623.20000000000005</v>
      </c>
      <c r="D134" s="140">
        <v>623.04</v>
      </c>
      <c r="E134" s="140">
        <v>622.9</v>
      </c>
      <c r="F134" s="140">
        <v>622.84</v>
      </c>
      <c r="G134" s="140">
        <v>622.73</v>
      </c>
      <c r="H134" s="140"/>
      <c r="I134" s="140">
        <v>622.47</v>
      </c>
      <c r="J134" s="140"/>
      <c r="K134" s="140">
        <v>622.29</v>
      </c>
      <c r="L134" s="140"/>
      <c r="M134" s="140">
        <v>622.22</v>
      </c>
      <c r="N134" s="140">
        <v>622.70000000000005</v>
      </c>
      <c r="O134" s="140">
        <v>623.04</v>
      </c>
      <c r="P134" s="140">
        <v>623.22</v>
      </c>
      <c r="Q134" s="140">
        <v>623.4</v>
      </c>
      <c r="R134" s="140">
        <v>623.5</v>
      </c>
      <c r="S134" s="140">
        <v>623.70000000000005</v>
      </c>
      <c r="T134" s="140">
        <v>623.80999999999995</v>
      </c>
      <c r="U134" s="140">
        <v>624</v>
      </c>
      <c r="V134" s="140">
        <v>624.16</v>
      </c>
      <c r="W134" s="140"/>
      <c r="X134" s="140">
        <v>624.20000000000005</v>
      </c>
      <c r="Y134" s="140"/>
      <c r="Z134" s="140">
        <v>624.04</v>
      </c>
      <c r="AA134" s="140"/>
      <c r="AB134" s="140">
        <v>623.62</v>
      </c>
      <c r="AC134" s="140"/>
      <c r="AD134" s="140">
        <v>623.20000000000005</v>
      </c>
      <c r="AE134" s="140">
        <v>622.95000000000005</v>
      </c>
      <c r="AF134" s="141">
        <v>622.61</v>
      </c>
      <c r="AG134" s="139"/>
      <c r="AH134" s="48"/>
      <c r="AI134" s="49"/>
    </row>
    <row r="135" spans="1:37" x14ac:dyDescent="0.25">
      <c r="A135" s="136" t="s">
        <v>158</v>
      </c>
      <c r="B135" s="140">
        <v>335.63</v>
      </c>
      <c r="C135" s="140">
        <v>335.52</v>
      </c>
      <c r="D135" s="140">
        <v>335.6</v>
      </c>
      <c r="E135" s="140">
        <v>335.61</v>
      </c>
      <c r="F135" s="140">
        <v>335.55</v>
      </c>
      <c r="G135" s="140">
        <v>335.42</v>
      </c>
      <c r="H135" s="140"/>
      <c r="I135" s="140">
        <v>335.25</v>
      </c>
      <c r="J135" s="140"/>
      <c r="K135" s="140">
        <v>335.18</v>
      </c>
      <c r="L135" s="140"/>
      <c r="M135" s="140">
        <v>335.24</v>
      </c>
      <c r="N135" s="140">
        <v>335.35</v>
      </c>
      <c r="O135" s="140">
        <v>335.58</v>
      </c>
      <c r="P135" s="140">
        <v>335.73</v>
      </c>
      <c r="Q135" s="140">
        <v>335.82</v>
      </c>
      <c r="R135" s="140">
        <v>335.89</v>
      </c>
      <c r="S135" s="140">
        <v>335.9</v>
      </c>
      <c r="T135" s="140">
        <v>335.8</v>
      </c>
      <c r="U135" s="140">
        <v>335.64</v>
      </c>
      <c r="V135" s="140">
        <v>335.5</v>
      </c>
      <c r="W135" s="140"/>
      <c r="X135" s="140">
        <v>335.39</v>
      </c>
      <c r="Y135" s="140"/>
      <c r="Z135" s="140">
        <v>335.16</v>
      </c>
      <c r="AA135" s="140"/>
      <c r="AB135" s="140">
        <v>334.71</v>
      </c>
      <c r="AC135" s="140"/>
      <c r="AD135" s="140">
        <v>334.44</v>
      </c>
      <c r="AE135" s="140">
        <v>334.32</v>
      </c>
      <c r="AF135" s="141">
        <v>334.31</v>
      </c>
      <c r="AG135" s="139"/>
      <c r="AH135" s="48"/>
      <c r="AI135" s="49"/>
    </row>
    <row r="136" spans="1:37" x14ac:dyDescent="0.25">
      <c r="A136" s="136" t="s">
        <v>159</v>
      </c>
      <c r="B136" s="140">
        <v>883</v>
      </c>
      <c r="C136" s="140">
        <v>883.3</v>
      </c>
      <c r="D136" s="140">
        <v>884.2</v>
      </c>
      <c r="E136" s="140">
        <v>885.2</v>
      </c>
      <c r="F136" s="140">
        <v>886</v>
      </c>
      <c r="G136" s="140">
        <v>886.7</v>
      </c>
      <c r="H136" s="140"/>
      <c r="I136" s="140">
        <v>887.2</v>
      </c>
      <c r="J136" s="140"/>
      <c r="K136" s="140">
        <v>887.1</v>
      </c>
      <c r="L136" s="140"/>
      <c r="M136" s="140">
        <v>887</v>
      </c>
      <c r="N136" s="140">
        <v>887.1</v>
      </c>
      <c r="O136" s="140">
        <v>887.1</v>
      </c>
      <c r="P136" s="140">
        <v>886.8</v>
      </c>
      <c r="Q136" s="140">
        <v>886.1</v>
      </c>
      <c r="R136" s="140">
        <v>885.3</v>
      </c>
      <c r="S136" s="140">
        <v>884.1</v>
      </c>
      <c r="T136" s="140">
        <v>882.6</v>
      </c>
      <c r="U136" s="140">
        <v>882.7</v>
      </c>
      <c r="V136" s="140">
        <v>882.7</v>
      </c>
      <c r="W136" s="140"/>
      <c r="X136" s="140">
        <v>883.5</v>
      </c>
      <c r="Y136" s="140"/>
      <c r="Z136" s="140">
        <v>884.1</v>
      </c>
      <c r="AA136" s="140"/>
      <c r="AB136" s="140">
        <v>883.9</v>
      </c>
      <c r="AC136" s="140"/>
      <c r="AD136" s="140">
        <v>883.9</v>
      </c>
      <c r="AE136" s="140">
        <v>883.9</v>
      </c>
      <c r="AF136" s="141">
        <v>884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1497.46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>
        <v>1497.29</v>
      </c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7">SUM(B139:B243)</f>
        <v>0</v>
      </c>
      <c r="C244" s="161">
        <f t="shared" si="47"/>
        <v>0</v>
      </c>
      <c r="D244" s="161">
        <f t="shared" si="47"/>
        <v>0</v>
      </c>
      <c r="E244" s="161">
        <f t="shared" si="47"/>
        <v>0</v>
      </c>
      <c r="F244" s="161">
        <f t="shared" si="47"/>
        <v>0</v>
      </c>
      <c r="G244" s="161">
        <f t="shared" si="47"/>
        <v>0</v>
      </c>
      <c r="H244" s="161">
        <f t="shared" si="47"/>
        <v>0</v>
      </c>
      <c r="I244" s="161">
        <f t="shared" si="47"/>
        <v>0</v>
      </c>
      <c r="J244" s="161">
        <f t="shared" si="47"/>
        <v>0</v>
      </c>
      <c r="K244" s="161">
        <f t="shared" si="47"/>
        <v>0</v>
      </c>
      <c r="L244" s="161">
        <f t="shared" si="47"/>
        <v>0</v>
      </c>
      <c r="M244" s="161">
        <f t="shared" si="47"/>
        <v>0</v>
      </c>
      <c r="N244" s="161">
        <f t="shared" si="47"/>
        <v>0</v>
      </c>
      <c r="O244" s="161">
        <f t="shared" si="47"/>
        <v>0</v>
      </c>
      <c r="P244" s="161">
        <f t="shared" si="47"/>
        <v>0</v>
      </c>
      <c r="Q244" s="161">
        <f t="shared" si="47"/>
        <v>0</v>
      </c>
      <c r="R244" s="161">
        <f t="shared" si="47"/>
        <v>0</v>
      </c>
      <c r="S244" s="161">
        <f t="shared" si="47"/>
        <v>0</v>
      </c>
      <c r="T244" s="161">
        <f t="shared" si="47"/>
        <v>0</v>
      </c>
      <c r="U244" s="161">
        <f t="shared" si="47"/>
        <v>0</v>
      </c>
      <c r="V244" s="161">
        <f t="shared" si="47"/>
        <v>0</v>
      </c>
      <c r="W244" s="161">
        <f t="shared" si="47"/>
        <v>0</v>
      </c>
      <c r="X244" s="161">
        <f t="shared" si="47"/>
        <v>0</v>
      </c>
      <c r="Y244" s="161">
        <f t="shared" si="47"/>
        <v>0</v>
      </c>
      <c r="Z244" s="161">
        <f t="shared" si="47"/>
        <v>0</v>
      </c>
      <c r="AA244" s="161">
        <f t="shared" si="47"/>
        <v>0</v>
      </c>
      <c r="AB244" s="161">
        <f t="shared" si="47"/>
        <v>0</v>
      </c>
      <c r="AC244" s="161">
        <f t="shared" si="47"/>
        <v>0</v>
      </c>
      <c r="AD244" s="161">
        <f t="shared" si="47"/>
        <v>0</v>
      </c>
      <c r="AE244" s="161">
        <f t="shared" si="47"/>
        <v>0</v>
      </c>
      <c r="AF244" s="162">
        <f t="shared" si="47"/>
        <v>0</v>
      </c>
      <c r="AG244" s="163">
        <f t="shared" si="4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8">AF246</f>
        <v>0.3</v>
      </c>
      <c r="C246" s="166">
        <v>0.3</v>
      </c>
      <c r="D246" s="166">
        <f t="shared" ref="D246:S251" si="49">C246</f>
        <v>0.3</v>
      </c>
      <c r="E246" s="166">
        <f t="shared" si="49"/>
        <v>0.3</v>
      </c>
      <c r="F246" s="166">
        <f t="shared" si="49"/>
        <v>0.3</v>
      </c>
      <c r="G246" s="166">
        <f t="shared" si="49"/>
        <v>0.3</v>
      </c>
      <c r="H246" s="166">
        <f t="shared" si="49"/>
        <v>0.3</v>
      </c>
      <c r="I246" s="166">
        <f t="shared" si="49"/>
        <v>0.3</v>
      </c>
      <c r="J246" s="166">
        <f t="shared" si="49"/>
        <v>0.3</v>
      </c>
      <c r="K246" s="166">
        <f t="shared" si="49"/>
        <v>0.3</v>
      </c>
      <c r="L246" s="166">
        <f t="shared" si="49"/>
        <v>0.3</v>
      </c>
      <c r="M246" s="166">
        <f t="shared" si="49"/>
        <v>0.3</v>
      </c>
      <c r="N246" s="166">
        <f t="shared" si="49"/>
        <v>0.3</v>
      </c>
      <c r="O246" s="166">
        <f t="shared" si="49"/>
        <v>0.3</v>
      </c>
      <c r="P246" s="166">
        <f t="shared" si="49"/>
        <v>0.3</v>
      </c>
      <c r="Q246" s="166">
        <f t="shared" si="49"/>
        <v>0.3</v>
      </c>
      <c r="R246" s="166">
        <f t="shared" si="49"/>
        <v>0.3</v>
      </c>
      <c r="S246" s="166">
        <f t="shared" si="49"/>
        <v>0.3</v>
      </c>
      <c r="T246" s="166">
        <f t="shared" ref="T246:AF251" si="50">S246</f>
        <v>0.3</v>
      </c>
      <c r="U246" s="166">
        <f t="shared" si="50"/>
        <v>0.3</v>
      </c>
      <c r="V246" s="166">
        <f t="shared" si="50"/>
        <v>0.3</v>
      </c>
      <c r="W246" s="166">
        <f t="shared" si="50"/>
        <v>0.3</v>
      </c>
      <c r="X246" s="166">
        <f t="shared" si="50"/>
        <v>0.3</v>
      </c>
      <c r="Y246" s="166">
        <f t="shared" si="50"/>
        <v>0.3</v>
      </c>
      <c r="Z246" s="166">
        <f t="shared" si="50"/>
        <v>0.3</v>
      </c>
      <c r="AA246" s="166">
        <f t="shared" si="50"/>
        <v>0.3</v>
      </c>
      <c r="AB246" s="166">
        <f t="shared" si="50"/>
        <v>0.3</v>
      </c>
      <c r="AC246" s="166">
        <f t="shared" si="50"/>
        <v>0.3</v>
      </c>
      <c r="AD246" s="166">
        <f t="shared" si="50"/>
        <v>0.3</v>
      </c>
      <c r="AE246" s="166">
        <f t="shared" si="50"/>
        <v>0.3</v>
      </c>
      <c r="AF246" s="166">
        <f t="shared" si="50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8"/>
        <v>0.4</v>
      </c>
      <c r="C247" s="152">
        <v>0.4</v>
      </c>
      <c r="D247" s="152">
        <f t="shared" si="49"/>
        <v>0.4</v>
      </c>
      <c r="E247" s="152">
        <f t="shared" si="49"/>
        <v>0.4</v>
      </c>
      <c r="F247" s="152">
        <f t="shared" si="49"/>
        <v>0.4</v>
      </c>
      <c r="G247" s="152">
        <f t="shared" si="49"/>
        <v>0.4</v>
      </c>
      <c r="H247" s="152">
        <f t="shared" si="49"/>
        <v>0.4</v>
      </c>
      <c r="I247" s="152">
        <f t="shared" si="49"/>
        <v>0.4</v>
      </c>
      <c r="J247" s="152">
        <f t="shared" si="49"/>
        <v>0.4</v>
      </c>
      <c r="K247" s="152">
        <f t="shared" si="49"/>
        <v>0.4</v>
      </c>
      <c r="L247" s="152">
        <f t="shared" si="49"/>
        <v>0.4</v>
      </c>
      <c r="M247" s="152">
        <f t="shared" si="49"/>
        <v>0.4</v>
      </c>
      <c r="N247" s="152">
        <f t="shared" si="49"/>
        <v>0.4</v>
      </c>
      <c r="O247" s="152">
        <f t="shared" si="49"/>
        <v>0.4</v>
      </c>
      <c r="P247" s="152">
        <f t="shared" si="49"/>
        <v>0.4</v>
      </c>
      <c r="Q247" s="152">
        <f t="shared" si="49"/>
        <v>0.4</v>
      </c>
      <c r="R247" s="152">
        <f t="shared" si="49"/>
        <v>0.4</v>
      </c>
      <c r="S247" s="152">
        <f t="shared" si="49"/>
        <v>0.4</v>
      </c>
      <c r="T247" s="152">
        <f t="shared" si="50"/>
        <v>0.4</v>
      </c>
      <c r="U247" s="152">
        <f t="shared" si="50"/>
        <v>0.4</v>
      </c>
      <c r="V247" s="152">
        <f t="shared" si="50"/>
        <v>0.4</v>
      </c>
      <c r="W247" s="152">
        <f t="shared" si="50"/>
        <v>0.4</v>
      </c>
      <c r="X247" s="152">
        <f t="shared" si="50"/>
        <v>0.4</v>
      </c>
      <c r="Y247" s="152">
        <f t="shared" si="50"/>
        <v>0.4</v>
      </c>
      <c r="Z247" s="152">
        <f t="shared" si="50"/>
        <v>0.4</v>
      </c>
      <c r="AA247" s="152">
        <f t="shared" si="50"/>
        <v>0.4</v>
      </c>
      <c r="AB247" s="152">
        <f t="shared" si="50"/>
        <v>0.4</v>
      </c>
      <c r="AC247" s="152">
        <f t="shared" si="50"/>
        <v>0.4</v>
      </c>
      <c r="AD247" s="152">
        <f t="shared" si="50"/>
        <v>0.4</v>
      </c>
      <c r="AE247" s="152">
        <f t="shared" si="50"/>
        <v>0.4</v>
      </c>
      <c r="AF247" s="152">
        <f t="shared" si="50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8"/>
        <v>1.5</v>
      </c>
      <c r="C248" s="152">
        <v>1.5</v>
      </c>
      <c r="D248" s="152">
        <f t="shared" si="49"/>
        <v>1.5</v>
      </c>
      <c r="E248" s="152">
        <f t="shared" si="49"/>
        <v>1.5</v>
      </c>
      <c r="F248" s="152">
        <f t="shared" si="49"/>
        <v>1.5</v>
      </c>
      <c r="G248" s="152">
        <f t="shared" si="49"/>
        <v>1.5</v>
      </c>
      <c r="H248" s="152">
        <f t="shared" si="49"/>
        <v>1.5</v>
      </c>
      <c r="I248" s="152">
        <f t="shared" si="49"/>
        <v>1.5</v>
      </c>
      <c r="J248" s="152">
        <f t="shared" si="49"/>
        <v>1.5</v>
      </c>
      <c r="K248" s="152">
        <f t="shared" si="49"/>
        <v>1.5</v>
      </c>
      <c r="L248" s="152">
        <f t="shared" si="49"/>
        <v>1.5</v>
      </c>
      <c r="M248" s="152">
        <f t="shared" si="49"/>
        <v>1.5</v>
      </c>
      <c r="N248" s="152">
        <f t="shared" si="49"/>
        <v>1.5</v>
      </c>
      <c r="O248" s="152">
        <f t="shared" si="49"/>
        <v>1.5</v>
      </c>
      <c r="P248" s="152">
        <f t="shared" si="49"/>
        <v>1.5</v>
      </c>
      <c r="Q248" s="152">
        <f t="shared" si="49"/>
        <v>1.5</v>
      </c>
      <c r="R248" s="152">
        <f t="shared" si="49"/>
        <v>1.5</v>
      </c>
      <c r="S248" s="152">
        <f t="shared" si="49"/>
        <v>1.5</v>
      </c>
      <c r="T248" s="152">
        <f t="shared" si="50"/>
        <v>1.5</v>
      </c>
      <c r="U248" s="152">
        <f t="shared" si="50"/>
        <v>1.5</v>
      </c>
      <c r="V248" s="152">
        <f t="shared" si="50"/>
        <v>1.5</v>
      </c>
      <c r="W248" s="152">
        <f t="shared" si="50"/>
        <v>1.5</v>
      </c>
      <c r="X248" s="152">
        <f t="shared" si="50"/>
        <v>1.5</v>
      </c>
      <c r="Y248" s="152">
        <f t="shared" si="50"/>
        <v>1.5</v>
      </c>
      <c r="Z248" s="152">
        <f t="shared" si="50"/>
        <v>1.5</v>
      </c>
      <c r="AA248" s="152">
        <f t="shared" si="50"/>
        <v>1.5</v>
      </c>
      <c r="AB248" s="152">
        <f t="shared" si="50"/>
        <v>1.5</v>
      </c>
      <c r="AC248" s="152">
        <f t="shared" si="50"/>
        <v>1.5</v>
      </c>
      <c r="AD248" s="152">
        <f t="shared" si="50"/>
        <v>1.5</v>
      </c>
      <c r="AE248" s="152">
        <f t="shared" si="50"/>
        <v>1.5</v>
      </c>
      <c r="AF248" s="152">
        <f t="shared" si="50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8"/>
        <v>0.3</v>
      </c>
      <c r="C249" s="152">
        <v>0.3</v>
      </c>
      <c r="D249" s="152">
        <f t="shared" si="49"/>
        <v>0.3</v>
      </c>
      <c r="E249" s="152">
        <f t="shared" si="49"/>
        <v>0.3</v>
      </c>
      <c r="F249" s="152">
        <f t="shared" si="49"/>
        <v>0.3</v>
      </c>
      <c r="G249" s="152">
        <f t="shared" si="49"/>
        <v>0.3</v>
      </c>
      <c r="H249" s="152">
        <f t="shared" si="49"/>
        <v>0.3</v>
      </c>
      <c r="I249" s="152">
        <f t="shared" si="49"/>
        <v>0.3</v>
      </c>
      <c r="J249" s="152">
        <f t="shared" si="49"/>
        <v>0.3</v>
      </c>
      <c r="K249" s="152">
        <f t="shared" si="49"/>
        <v>0.3</v>
      </c>
      <c r="L249" s="152">
        <f t="shared" si="49"/>
        <v>0.3</v>
      </c>
      <c r="M249" s="152">
        <f t="shared" si="49"/>
        <v>0.3</v>
      </c>
      <c r="N249" s="152">
        <f t="shared" si="49"/>
        <v>0.3</v>
      </c>
      <c r="O249" s="152">
        <f t="shared" si="49"/>
        <v>0.3</v>
      </c>
      <c r="P249" s="152">
        <f t="shared" si="49"/>
        <v>0.3</v>
      </c>
      <c r="Q249" s="152">
        <f t="shared" si="49"/>
        <v>0.3</v>
      </c>
      <c r="R249" s="152">
        <f t="shared" si="49"/>
        <v>0.3</v>
      </c>
      <c r="S249" s="152">
        <f t="shared" si="49"/>
        <v>0.3</v>
      </c>
      <c r="T249" s="152">
        <f t="shared" si="50"/>
        <v>0.3</v>
      </c>
      <c r="U249" s="152">
        <f t="shared" si="50"/>
        <v>0.3</v>
      </c>
      <c r="V249" s="152">
        <f t="shared" si="50"/>
        <v>0.3</v>
      </c>
      <c r="W249" s="152">
        <f t="shared" si="50"/>
        <v>0.3</v>
      </c>
      <c r="X249" s="152">
        <f t="shared" si="50"/>
        <v>0.3</v>
      </c>
      <c r="Y249" s="152">
        <f t="shared" si="50"/>
        <v>0.3</v>
      </c>
      <c r="Z249" s="152">
        <f t="shared" si="50"/>
        <v>0.3</v>
      </c>
      <c r="AA249" s="152">
        <f t="shared" si="50"/>
        <v>0.3</v>
      </c>
      <c r="AB249" s="152">
        <f t="shared" si="50"/>
        <v>0.3</v>
      </c>
      <c r="AC249" s="152">
        <f t="shared" si="50"/>
        <v>0.3</v>
      </c>
      <c r="AD249" s="152">
        <f t="shared" si="50"/>
        <v>0.3</v>
      </c>
      <c r="AE249" s="152">
        <f t="shared" si="50"/>
        <v>0.3</v>
      </c>
      <c r="AF249" s="152">
        <f t="shared" si="50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50"/>
        <v>0.4</v>
      </c>
      <c r="U250" s="152">
        <f t="shared" si="50"/>
        <v>0.4</v>
      </c>
      <c r="V250" s="152">
        <f t="shared" si="50"/>
        <v>0.4</v>
      </c>
      <c r="W250" s="152">
        <f t="shared" si="50"/>
        <v>0.4</v>
      </c>
      <c r="X250" s="152">
        <f t="shared" si="50"/>
        <v>0.4</v>
      </c>
      <c r="Y250" s="152">
        <f t="shared" si="50"/>
        <v>0.4</v>
      </c>
      <c r="Z250" s="152">
        <f t="shared" si="50"/>
        <v>0.4</v>
      </c>
      <c r="AA250" s="152">
        <f t="shared" si="50"/>
        <v>0.4</v>
      </c>
      <c r="AB250" s="152">
        <f t="shared" si="50"/>
        <v>0.4</v>
      </c>
      <c r="AC250" s="152">
        <f t="shared" si="50"/>
        <v>0.4</v>
      </c>
      <c r="AD250" s="152">
        <f t="shared" si="50"/>
        <v>0.4</v>
      </c>
      <c r="AE250" s="152">
        <f t="shared" si="50"/>
        <v>0.4</v>
      </c>
      <c r="AF250" s="152">
        <f t="shared" si="50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8"/>
        <v>0.64</v>
      </c>
      <c r="C251" s="157">
        <v>0.64</v>
      </c>
      <c r="D251" s="157">
        <f t="shared" si="49"/>
        <v>0.64</v>
      </c>
      <c r="E251" s="157">
        <f t="shared" si="49"/>
        <v>0.64</v>
      </c>
      <c r="F251" s="157">
        <f t="shared" si="49"/>
        <v>0.64</v>
      </c>
      <c r="G251" s="157">
        <f t="shared" si="49"/>
        <v>0.64</v>
      </c>
      <c r="H251" s="157">
        <f t="shared" si="49"/>
        <v>0.64</v>
      </c>
      <c r="I251" s="157">
        <f t="shared" si="49"/>
        <v>0.64</v>
      </c>
      <c r="J251" s="157">
        <f t="shared" si="49"/>
        <v>0.64</v>
      </c>
      <c r="K251" s="157">
        <f t="shared" si="49"/>
        <v>0.64</v>
      </c>
      <c r="L251" s="157">
        <f t="shared" si="49"/>
        <v>0.64</v>
      </c>
      <c r="M251" s="157">
        <f t="shared" si="49"/>
        <v>0.64</v>
      </c>
      <c r="N251" s="157">
        <f t="shared" si="49"/>
        <v>0.64</v>
      </c>
      <c r="O251" s="157">
        <f t="shared" si="49"/>
        <v>0.64</v>
      </c>
      <c r="P251" s="157">
        <f t="shared" si="49"/>
        <v>0.64</v>
      </c>
      <c r="Q251" s="157">
        <f t="shared" si="49"/>
        <v>0.64</v>
      </c>
      <c r="R251" s="157">
        <f t="shared" si="49"/>
        <v>0.64</v>
      </c>
      <c r="S251" s="157">
        <f t="shared" si="49"/>
        <v>0.64</v>
      </c>
      <c r="T251" s="157">
        <f t="shared" si="50"/>
        <v>0.64</v>
      </c>
      <c r="U251" s="157">
        <f t="shared" si="50"/>
        <v>0.64</v>
      </c>
      <c r="V251" s="157">
        <f t="shared" si="50"/>
        <v>0.64</v>
      </c>
      <c r="W251" s="157">
        <f t="shared" si="50"/>
        <v>0.64</v>
      </c>
      <c r="X251" s="157">
        <f t="shared" si="50"/>
        <v>0.64</v>
      </c>
      <c r="Y251" s="157">
        <f t="shared" si="50"/>
        <v>0.64</v>
      </c>
      <c r="Z251" s="157">
        <f t="shared" si="50"/>
        <v>0.64</v>
      </c>
      <c r="AA251" s="157">
        <f t="shared" si="50"/>
        <v>0.64</v>
      </c>
      <c r="AB251" s="157">
        <f t="shared" si="50"/>
        <v>0.64</v>
      </c>
      <c r="AC251" s="157">
        <f t="shared" si="50"/>
        <v>0.64</v>
      </c>
      <c r="AD251" s="157">
        <f t="shared" si="50"/>
        <v>0.64</v>
      </c>
      <c r="AE251" s="157">
        <f t="shared" si="50"/>
        <v>0.64</v>
      </c>
      <c r="AF251" s="157">
        <f t="shared" si="50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1">SUM(B246:B251)</f>
        <v>3.54</v>
      </c>
      <c r="C252" s="161">
        <f t="shared" si="51"/>
        <v>3.54</v>
      </c>
      <c r="D252" s="161">
        <f t="shared" si="51"/>
        <v>3.54</v>
      </c>
      <c r="E252" s="161">
        <f t="shared" si="51"/>
        <v>3.54</v>
      </c>
      <c r="F252" s="161">
        <f t="shared" si="51"/>
        <v>3.54</v>
      </c>
      <c r="G252" s="161">
        <f t="shared" si="51"/>
        <v>3.54</v>
      </c>
      <c r="H252" s="161">
        <f t="shared" si="51"/>
        <v>3.54</v>
      </c>
      <c r="I252" s="161">
        <f t="shared" si="51"/>
        <v>3.54</v>
      </c>
      <c r="J252" s="161">
        <f t="shared" si="51"/>
        <v>3.54</v>
      </c>
      <c r="K252" s="161">
        <f t="shared" si="51"/>
        <v>3.54</v>
      </c>
      <c r="L252" s="161">
        <f t="shared" si="51"/>
        <v>3.54</v>
      </c>
      <c r="M252" s="161">
        <f t="shared" si="51"/>
        <v>3.54</v>
      </c>
      <c r="N252" s="161">
        <f t="shared" si="51"/>
        <v>3.54</v>
      </c>
      <c r="O252" s="161">
        <f t="shared" si="51"/>
        <v>3.54</v>
      </c>
      <c r="P252" s="161">
        <f t="shared" si="51"/>
        <v>3.54</v>
      </c>
      <c r="Q252" s="161">
        <f t="shared" si="51"/>
        <v>3.54</v>
      </c>
      <c r="R252" s="161">
        <f t="shared" si="51"/>
        <v>3.54</v>
      </c>
      <c r="S252" s="161">
        <f t="shared" si="51"/>
        <v>3.54</v>
      </c>
      <c r="T252" s="161">
        <f t="shared" si="51"/>
        <v>3.54</v>
      </c>
      <c r="U252" s="161">
        <f t="shared" si="51"/>
        <v>3.54</v>
      </c>
      <c r="V252" s="161">
        <f t="shared" si="51"/>
        <v>3.54</v>
      </c>
      <c r="W252" s="161">
        <f t="shared" si="51"/>
        <v>3.54</v>
      </c>
      <c r="X252" s="161">
        <f t="shared" si="51"/>
        <v>3.54</v>
      </c>
      <c r="Y252" s="161">
        <f t="shared" si="51"/>
        <v>3.54</v>
      </c>
      <c r="Z252" s="161">
        <f t="shared" si="51"/>
        <v>3.54</v>
      </c>
      <c r="AA252" s="161">
        <f t="shared" si="51"/>
        <v>3.54</v>
      </c>
      <c r="AB252" s="161">
        <f t="shared" si="51"/>
        <v>3.54</v>
      </c>
      <c r="AC252" s="161">
        <f t="shared" si="51"/>
        <v>3.54</v>
      </c>
      <c r="AD252" s="161">
        <f t="shared" si="51"/>
        <v>3.54</v>
      </c>
      <c r="AE252" s="161">
        <f t="shared" si="51"/>
        <v>3.54</v>
      </c>
      <c r="AF252" s="161">
        <f t="shared" si="51"/>
        <v>3.54</v>
      </c>
      <c r="AG252" s="171">
        <f t="shared" si="5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1685.44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2080/10/3)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352" priority="89">
      <formula>$AH11=0</formula>
    </cfRule>
  </conditionalFormatting>
  <conditionalFormatting sqref="A132:A253">
    <cfRule type="expression" dxfId="4351" priority="90">
      <formula>$AH132=0</formula>
    </cfRule>
  </conditionalFormatting>
  <conditionalFormatting sqref="B8">
    <cfRule type="expression" dxfId="4350" priority="144">
      <formula>AND(C$9&gt;=14/24,C$9&lt;20/24)</formula>
    </cfRule>
    <cfRule type="expression" dxfId="4349" priority="145">
      <formula>AND(C$9&gt;=8/24,C$9&lt;14/24)</formula>
    </cfRule>
    <cfRule type="expression" dxfId="4348" priority="146">
      <formula>C$9&lt;8/24</formula>
    </cfRule>
    <cfRule type="expression" dxfId="4347" priority="147">
      <formula>C$9&gt;=20/24</formula>
    </cfRule>
  </conditionalFormatting>
  <conditionalFormatting sqref="B53:AA57">
    <cfRule type="expression" dxfId="4346" priority="53">
      <formula>B$9&lt;8/24</formula>
    </cfRule>
  </conditionalFormatting>
  <conditionalFormatting sqref="B9:AF10 B11:AA52 AB11:AF55 E59:I61 B59:D74 E63:H74 E69:AF74 B77:AF99 B101:AF117 B119:AF137 B244:AF244 B246:B252">
    <cfRule type="expression" dxfId="4345" priority="44">
      <formula>B$9&lt;8/24</formula>
    </cfRule>
  </conditionalFormatting>
  <conditionalFormatting sqref="B9:AF52 E59:I61 B59:D74 E63:H74 E69:AF74 B77:AF99 B101:AF117 B119:AF137 B244:AF244 B246:B252">
    <cfRule type="expression" dxfId="4344" priority="41">
      <formula>B$9&gt;=20/24</formula>
    </cfRule>
    <cfRule type="expression" dxfId="4343" priority="42">
      <formula>AND(B$9&gt;=14/24,B$9&lt;20/24)</formula>
    </cfRule>
    <cfRule type="expression" dxfId="4342" priority="43">
      <formula>AND(B$9&gt;=8/24,B$9&lt;14/24)</formula>
    </cfRule>
  </conditionalFormatting>
  <conditionalFormatting sqref="D246:AF252">
    <cfRule type="expression" dxfId="4341" priority="129">
      <formula>D$9&gt;=20/24</formula>
    </cfRule>
    <cfRule type="expression" dxfId="4340" priority="130">
      <formula>AND(D$9&gt;=14/24,D$9&lt;20/24)</formula>
    </cfRule>
    <cfRule type="expression" dxfId="4339" priority="131">
      <formula>AND(D$9&gt;=8/24,D$9&lt;14/24)</formula>
    </cfRule>
    <cfRule type="expression" dxfId="4338" priority="132">
      <formula>D$9&lt;8/24</formula>
    </cfRule>
  </conditionalFormatting>
  <conditionalFormatting sqref="E63:I67 J64:L67">
    <cfRule type="expression" dxfId="4337" priority="54">
      <formula>E$9&gt;=20/24</formula>
    </cfRule>
    <cfRule type="expression" dxfId="4336" priority="55">
      <formula>AND(E$9&gt;=14/24,E$9&lt;20/24)</formula>
    </cfRule>
    <cfRule type="expression" dxfId="4335" priority="56">
      <formula>AND(E$9&gt;=8/24,E$9&lt;14/24)</formula>
    </cfRule>
    <cfRule type="expression" dxfId="4334" priority="57">
      <formula>E$9&lt;8/24</formula>
    </cfRule>
  </conditionalFormatting>
  <conditionalFormatting sqref="E68:L68">
    <cfRule type="expression" dxfId="4333" priority="49">
      <formula>E$9&gt;=20/24</formula>
    </cfRule>
    <cfRule type="expression" dxfId="4332" priority="50">
      <formula>AND(E$9&gt;=14/24,E$9&lt;20/24)</formula>
    </cfRule>
    <cfRule type="expression" dxfId="4331" priority="51">
      <formula>AND(E$9&gt;=8/24,E$9&lt;14/24)</formula>
    </cfRule>
    <cfRule type="expression" dxfId="4330" priority="52">
      <formula>E$9&lt;8/24</formula>
    </cfRule>
  </conditionalFormatting>
  <conditionalFormatting sqref="E59:AF62">
    <cfRule type="expression" dxfId="4329" priority="67">
      <formula>E$9&gt;=20/24</formula>
    </cfRule>
    <cfRule type="expression" dxfId="4328" priority="68">
      <formula>AND(E$9&gt;=14/24,E$9&lt;20/24)</formula>
    </cfRule>
    <cfRule type="expression" dxfId="4327" priority="69">
      <formula>AND(E$9&gt;=8/24,E$9&lt;14/24)</formula>
    </cfRule>
    <cfRule type="expression" dxfId="4326" priority="70">
      <formula>E$9&lt;8/24</formula>
    </cfRule>
  </conditionalFormatting>
  <conditionalFormatting sqref="F63:L65">
    <cfRule type="expression" dxfId="4325" priority="81">
      <formula>F$9&gt;=20/24</formula>
    </cfRule>
    <cfRule type="expression" dxfId="4324" priority="82">
      <formula>AND(F$9&gt;=14/24,F$9&lt;20/24)</formula>
    </cfRule>
    <cfRule type="expression" dxfId="4323" priority="83">
      <formula>AND(F$9&gt;=8/24,F$9&lt;14/24)</formula>
    </cfRule>
    <cfRule type="expression" dxfId="4322" priority="84">
      <formula>F$9&lt;8/24</formula>
    </cfRule>
  </conditionalFormatting>
  <conditionalFormatting sqref="L68:V68">
    <cfRule type="expression" dxfId="4321" priority="77">
      <formula>L$9&gt;=20/24</formula>
    </cfRule>
    <cfRule type="expression" dxfId="4320" priority="78">
      <formula>AND(L$9&gt;=14/24,L$9&lt;20/24)</formula>
    </cfRule>
    <cfRule type="expression" dxfId="4319" priority="79">
      <formula>AND(L$9&gt;=8/24,L$9&lt;14/24)</formula>
    </cfRule>
    <cfRule type="expression" dxfId="4318" priority="80">
      <formula>L$9&lt;8/24</formula>
    </cfRule>
  </conditionalFormatting>
  <conditionalFormatting sqref="M8 S8 AB8">
    <cfRule type="expression" dxfId="4317" priority="136">
      <formula>AND(N$9&gt;=14/24,N$9&lt;20/24)</formula>
    </cfRule>
    <cfRule type="expression" dxfId="4316" priority="137">
      <formula>AND(N$9&gt;=8/24,N$9&lt;14/24)</formula>
    </cfRule>
    <cfRule type="expression" dxfId="4315" priority="138">
      <formula>N$9&lt;8/24</formula>
    </cfRule>
  </conditionalFormatting>
  <conditionalFormatting sqref="M56:P56 Q56:AF57">
    <cfRule type="expression" dxfId="4314" priority="46">
      <formula>M$9&gt;=20/24</formula>
    </cfRule>
    <cfRule type="expression" dxfId="4313" priority="47">
      <formula>AND(M$9&gt;=14/24,M$9&lt;20/24)</formula>
    </cfRule>
    <cfRule type="expression" dxfId="4312" priority="48">
      <formula>AND(M$9&gt;=8/24,M$9&lt;14/24)</formula>
    </cfRule>
  </conditionalFormatting>
  <conditionalFormatting sqref="M63:V67">
    <cfRule type="expression" dxfId="4311" priority="85">
      <formula>M$9&gt;=20/24</formula>
    </cfRule>
    <cfRule type="expression" dxfId="4310" priority="86">
      <formula>AND(M$9&gt;=14/24,M$9&lt;20/24)</formula>
    </cfRule>
    <cfRule type="expression" dxfId="4309" priority="87">
      <formula>AND(M$9&gt;=8/24,M$9&lt;14/24)</formula>
    </cfRule>
    <cfRule type="expression" dxfId="4308" priority="88">
      <formula>M$9&lt;8/24</formula>
    </cfRule>
  </conditionalFormatting>
  <conditionalFormatting sqref="M56:AA56">
    <cfRule type="expression" dxfId="4307" priority="45">
      <formula>M56&gt;$AG56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AA55 E11:P57 AB11:AF57 B11:D80 Q57:AA57 E58:AF61 E62:AG62 E63:AF80 AG80">
    <cfRule type="expression" dxfId="4306" priority="40">
      <formula>B11&gt;$AG11</formula>
    </cfRule>
  </conditionalFormatting>
  <conditionalFormatting sqref="Q53:AF55 B53:P57">
    <cfRule type="expression" dxfId="4305" priority="37">
      <formula>B$9&gt;=20/24</formula>
    </cfRule>
    <cfRule type="expression" dxfId="4304" priority="38">
      <formula>AND(B$9&gt;=14/24,B$9&lt;20/24)</formula>
    </cfRule>
    <cfRule type="expression" dxfId="4303" priority="39">
      <formula>AND(B$9&gt;=8/24,B$9&lt;14/24)</formula>
    </cfRule>
  </conditionalFormatting>
  <conditionalFormatting sqref="S8 AB8 M8">
    <cfRule type="expression" dxfId="4302" priority="135">
      <formula>N$9&gt;=20/24</formula>
    </cfRule>
  </conditionalFormatting>
  <conditionalFormatting sqref="S8">
    <cfRule type="expression" dxfId="4301" priority="122">
      <formula>U$9&gt;=20/24</formula>
    </cfRule>
    <cfRule type="expression" dxfId="4300" priority="123">
      <formula>AND(U$9&gt;=14/24,U$9&lt;20/24)</formula>
    </cfRule>
    <cfRule type="expression" dxfId="4299" priority="124">
      <formula>AND(U$9&gt;=8/24,U$9&lt;14/24)</formula>
    </cfRule>
    <cfRule type="expression" dxfId="4298" priority="125">
      <formula>U$9&lt;8/24</formula>
    </cfRule>
  </conditionalFormatting>
  <conditionalFormatting sqref="T63:AF68">
    <cfRule type="expression" dxfId="4297" priority="71">
      <formula>T$9&gt;=20/24</formula>
    </cfRule>
    <cfRule type="expression" dxfId="4296" priority="72">
      <formula>AND(T$9&gt;=14/24,T$9&lt;20/24)</formula>
    </cfRule>
    <cfRule type="expression" dxfId="4295" priority="73">
      <formula>AND(T$9&gt;=8/24,T$9&lt;14/24)</formula>
    </cfRule>
    <cfRule type="expression" dxfId="4294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293" priority="118">
      <formula>AD$9&gt;=20/24</formula>
    </cfRule>
    <cfRule type="expression" dxfId="4292" priority="119">
      <formula>AND(AD$9&gt;=14/24,AD$9&lt;20/24)</formula>
    </cfRule>
    <cfRule type="expression" dxfId="4291" priority="120">
      <formula>AND(AD$9&gt;=8/24,AD$9&lt;14/24)</formula>
    </cfRule>
    <cfRule type="expression" dxfId="4290" priority="121">
      <formula>AD$9&lt;8/24</formula>
    </cfRule>
  </conditionalFormatting>
  <conditionalFormatting sqref="AB56:AF57">
    <cfRule type="expression" dxfId="4289" priority="75">
      <formula>AB$9&lt;8/24</formula>
    </cfRule>
  </conditionalFormatting>
  <conditionalFormatting sqref="AG58">
    <cfRule type="expression" dxfId="4288" priority="113">
      <formula>AG58&gt;$AG58</formula>
    </cfRule>
  </conditionalFormatting>
  <conditionalFormatting sqref="AG62">
    <cfRule type="expression" dxfId="4287" priority="96">
      <formula>AG$9&gt;=20/24</formula>
    </cfRule>
    <cfRule type="expression" dxfId="4286" priority="97">
      <formula>AND(AG$9&gt;=14/24,AG$9&lt;20/24)</formula>
    </cfRule>
    <cfRule type="expression" dxfId="4285" priority="98">
      <formula>AND(AG$9&gt;=8/24,AG$9&lt;14/24)</formula>
    </cfRule>
    <cfRule type="expression" dxfId="4284" priority="99">
      <formula>AG$9&lt;8/24</formula>
    </cfRule>
  </conditionalFormatting>
  <conditionalFormatting sqref="AG75:AG76">
    <cfRule type="expression" dxfId="4283" priority="91">
      <formula>AG75&gt;$AG75</formula>
    </cfRule>
  </conditionalFormatting>
  <conditionalFormatting sqref="AG80">
    <cfRule type="expression" dxfId="4282" priority="92">
      <formula>AG$9&gt;=20/24</formula>
    </cfRule>
    <cfRule type="expression" dxfId="4281" priority="93">
      <formula>AND(AG$9&gt;=14/24,AG$9&lt;20/24)</formula>
    </cfRule>
    <cfRule type="expression" dxfId="4280" priority="94">
      <formula>AND(AG$9&gt;=8/24,AG$9&lt;14/24)</formula>
    </cfRule>
    <cfRule type="expression" dxfId="4279" priority="95">
      <formula>AG$9&lt;8/24</formula>
    </cfRule>
  </conditionalFormatting>
  <conditionalFormatting sqref="AG97">
    <cfRule type="expression" dxfId="4278" priority="114">
      <formula>AG$9&gt;=20/24</formula>
    </cfRule>
    <cfRule type="expression" dxfId="4277" priority="115">
      <formula>AND(AG$9&gt;=14/24,AG$9&lt;20/24)</formula>
    </cfRule>
    <cfRule type="expression" dxfId="4276" priority="116">
      <formula>AND(AG$9&gt;=8/24,AG$9&lt;14/24)</formula>
    </cfRule>
    <cfRule type="expression" dxfId="4275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274" priority="139">
      <formula>AJ$9&gt;=20/24</formula>
    </cfRule>
    <cfRule type="expression" dxfId="4273" priority="140">
      <formula>AND(AJ$9&gt;=14/24,AJ$9&lt;20/24)</formula>
    </cfRule>
    <cfRule type="expression" dxfId="4272" priority="141">
      <formula>AND(AJ$9&gt;=8/24,AJ$9&lt;14/24)</formula>
    </cfRule>
    <cfRule type="expression" dxfId="4271" priority="142">
      <formula>AJ$9&lt;8/24</formula>
    </cfRule>
  </conditionalFormatting>
  <conditionalFormatting sqref="AL88:AN88 AL94:AN94">
    <cfRule type="expression" dxfId="4270" priority="106">
      <formula>AL$9&gt;=20/24</formula>
    </cfRule>
    <cfRule type="expression" dxfId="4269" priority="107">
      <formula>AND(AL$9&gt;=14/24,AL$9&lt;20/24)</formula>
    </cfRule>
    <cfRule type="expression" dxfId="4268" priority="108">
      <formula>AND(AL$9&gt;=8/24,AL$9&lt;14/24)</formula>
    </cfRule>
    <cfRule type="expression" dxfId="4267" priority="109">
      <formula>AL$9&lt;8/24</formula>
    </cfRule>
  </conditionalFormatting>
  <conditionalFormatting sqref="AM15:AM21 AN16:AR21">
    <cfRule type="expression" dxfId="4266" priority="13">
      <formula>AX$9&gt;=20/24</formula>
    </cfRule>
    <cfRule type="expression" dxfId="4265" priority="14">
      <formula>AND(AX$9&gt;=14/24,AX$9&lt;20/24)</formula>
    </cfRule>
    <cfRule type="expression" dxfId="4264" priority="15">
      <formula>AND(AX$9&gt;=8/24,AX$9&lt;14/24)</formula>
    </cfRule>
    <cfRule type="expression" dxfId="4263" priority="16">
      <formula>AX$9&lt;8/24</formula>
    </cfRule>
  </conditionalFormatting>
  <conditionalFormatting sqref="AN89:AN92">
    <cfRule type="expression" dxfId="4262" priority="102">
      <formula>AN$9&gt;=20/24</formula>
    </cfRule>
    <cfRule type="expression" dxfId="4261" priority="103">
      <formula>AND(AN$9&gt;=14/24,AN$9&lt;20/24)</formula>
    </cfRule>
    <cfRule type="expression" dxfId="4260" priority="104">
      <formula>AND(AN$9&gt;=8/24,AN$9&lt;14/24)</formula>
    </cfRule>
    <cfRule type="expression" dxfId="4259" priority="105">
      <formula>AN$9&lt;8/24</formula>
    </cfRule>
  </conditionalFormatting>
  <conditionalFormatting sqref="AN15:AR15">
    <cfRule type="expression" dxfId="4258" priority="1">
      <formula>U$9&gt;=20/24</formula>
    </cfRule>
    <cfRule type="expression" dxfId="4257" priority="2">
      <formula>AND(U$9&gt;=14/24,U$9&lt;20/24)</formula>
    </cfRule>
    <cfRule type="expression" dxfId="4256" priority="3">
      <formula>AND(U$9&gt;=8/24,U$9&lt;14/24)</formula>
    </cfRule>
    <cfRule type="expression" dxfId="4255" priority="4">
      <formula>U$9&lt;8/24</formula>
    </cfRule>
  </conditionalFormatting>
  <conditionalFormatting sqref="AS15">
    <cfRule type="expression" dxfId="4254" priority="9">
      <formula>AA$9&gt;=20/24</formula>
    </cfRule>
    <cfRule type="expression" dxfId="4253" priority="10">
      <formula>AND(AA$9&gt;=14/24,AA$9&lt;20/24)</formula>
    </cfRule>
    <cfRule type="expression" dxfId="4252" priority="11">
      <formula>AND(AA$9&gt;=8/24,AA$9&lt;14/24)</formula>
    </cfRule>
    <cfRule type="expression" dxfId="4251" priority="12">
      <formula>AA$9&lt;8/24</formula>
    </cfRule>
  </conditionalFormatting>
  <conditionalFormatting sqref="AS16:AS21">
    <cfRule type="expression" dxfId="4250" priority="17">
      <formula>BE$9&gt;=20/24</formula>
    </cfRule>
    <cfRule type="expression" dxfId="4249" priority="18">
      <formula>AND(BE$9&gt;=14/24,BE$9&lt;20/24)</formula>
    </cfRule>
    <cfRule type="expression" dxfId="4248" priority="19">
      <formula>AND(BE$9&gt;=8/24,BE$9&lt;14/24)</formula>
    </cfRule>
    <cfRule type="expression" dxfId="4247" priority="20">
      <formula>BE$9&lt;8/24</formula>
    </cfRule>
  </conditionalFormatting>
  <conditionalFormatting sqref="AT15 AX15:BJ15">
    <cfRule type="expression" dxfId="4246" priority="21">
      <formula>AC$9&gt;=20/24</formula>
    </cfRule>
    <cfRule type="expression" dxfId="4245" priority="22">
      <formula>AND(AC$9&gt;=14/24,AC$9&lt;20/24)</formula>
    </cfRule>
    <cfRule type="expression" dxfId="4244" priority="23">
      <formula>AND(AC$9&gt;=8/24,AC$9&lt;14/24)</formula>
    </cfRule>
    <cfRule type="expression" dxfId="4243" priority="24">
      <formula>AC$9&lt;8/24</formula>
    </cfRule>
  </conditionalFormatting>
  <conditionalFormatting sqref="AT16:AT21">
    <cfRule type="expression" dxfId="4242" priority="25">
      <formula>BG$9&gt;=20/24</formula>
    </cfRule>
    <cfRule type="expression" dxfId="4241" priority="26">
      <formula>AND(BG$9&gt;=14/24,BG$9&lt;20/24)</formula>
    </cfRule>
    <cfRule type="expression" dxfId="4240" priority="27">
      <formula>AND(BG$9&gt;=8/24,BG$9&lt;14/24)</formula>
    </cfRule>
    <cfRule type="expression" dxfId="4239" priority="28">
      <formula>BG$9&lt;8/24</formula>
    </cfRule>
  </conditionalFormatting>
  <conditionalFormatting sqref="AU15:AV15">
    <cfRule type="expression" dxfId="4238" priority="29">
      <formula>AE$9&gt;=20/24</formula>
    </cfRule>
    <cfRule type="expression" dxfId="4237" priority="30">
      <formula>AND(AE$9&gt;=14/24,AE$9&lt;20/24)</formula>
    </cfRule>
    <cfRule type="expression" dxfId="4236" priority="31">
      <formula>AND(AE$9&gt;=8/24,AE$9&lt;14/24)</formula>
    </cfRule>
    <cfRule type="expression" dxfId="4235" priority="32">
      <formula>AE$9&lt;8/24</formula>
    </cfRule>
  </conditionalFormatting>
  <conditionalFormatting sqref="AU16:BJ21">
    <cfRule type="expression" dxfId="4234" priority="33">
      <formula>BI$9&gt;=20/24</formula>
    </cfRule>
    <cfRule type="expression" dxfId="4233" priority="34">
      <formula>AND(BI$9&gt;=14/24,BI$9&lt;20/24)</formula>
    </cfRule>
    <cfRule type="expression" dxfId="4232" priority="35">
      <formula>AND(BI$9&gt;=8/24,BI$9&lt;14/24)</formula>
    </cfRule>
    <cfRule type="expression" dxfId="4231" priority="36">
      <formula>BI$9&lt;8/24</formula>
    </cfRule>
  </conditionalFormatting>
  <conditionalFormatting sqref="AW15">
    <cfRule type="expression" dxfId="4230" priority="5">
      <formula>B$9&gt;=20/24</formula>
    </cfRule>
    <cfRule type="expression" dxfId="4229" priority="6">
      <formula>AND(B$9&gt;=14/24,B$9&lt;20/24)</formula>
    </cfRule>
    <cfRule type="expression" dxfId="4228" priority="7">
      <formula>AND(B$9&gt;=8/24,B$9&lt;14/24)</formula>
    </cfRule>
    <cfRule type="expression" dxfId="422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0A1B-769F-4719-A616-47A2809A2F85}">
  <sheetPr codeName="Sheet4"/>
  <dimension ref="A1:CJ294"/>
  <sheetViews>
    <sheetView zoomScale="106" workbookViewId="0">
      <pane xSplit="1" ySplit="10" topLeftCell="B124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6.710937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2080/10/4</v>
      </c>
      <c r="C4" s="187"/>
      <c r="D4" s="187"/>
      <c r="E4" s="188" t="str">
        <f ca="1">"2080/"&amp;"10/"&amp;INT(MID(CELL("filename",G6),FIND("]",CELL("filename",G6))+1,200))</f>
        <v>2080/10/4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259.40000000000003</v>
      </c>
      <c r="C5" s="30">
        <f t="shared" si="0"/>
        <v>256.90000000000003</v>
      </c>
      <c r="D5" s="30">
        <f t="shared" si="0"/>
        <v>269.20000000000005</v>
      </c>
      <c r="E5" s="30">
        <f t="shared" si="0"/>
        <v>269</v>
      </c>
      <c r="F5" s="30">
        <f t="shared" si="0"/>
        <v>239.70000000000002</v>
      </c>
      <c r="G5" s="30">
        <f t="shared" si="0"/>
        <v>282.7</v>
      </c>
      <c r="H5" s="30">
        <f t="shared" si="0"/>
        <v>280.70000000000005</v>
      </c>
      <c r="I5" s="30">
        <f t="shared" si="0"/>
        <v>601.5</v>
      </c>
      <c r="J5" s="30">
        <f t="shared" si="0"/>
        <v>806.39999999999986</v>
      </c>
      <c r="K5" s="30">
        <f t="shared" si="0"/>
        <v>774.5</v>
      </c>
      <c r="L5" s="30">
        <f t="shared" si="0"/>
        <v>793.89999999999986</v>
      </c>
      <c r="M5" s="30">
        <f t="shared" si="0"/>
        <v>795.8</v>
      </c>
      <c r="N5" s="30">
        <f t="shared" si="0"/>
        <v>905.1</v>
      </c>
      <c r="O5" s="30">
        <f t="shared" si="0"/>
        <v>902.80000000000007</v>
      </c>
      <c r="P5" s="30">
        <f t="shared" si="0"/>
        <v>893.19999999999993</v>
      </c>
      <c r="Q5" s="30">
        <f t="shared" si="0"/>
        <v>885.3</v>
      </c>
      <c r="R5" s="30">
        <f t="shared" si="0"/>
        <v>904.50000000000011</v>
      </c>
      <c r="S5" s="30">
        <f t="shared" si="0"/>
        <v>894.30000000000007</v>
      </c>
      <c r="T5" s="30">
        <f t="shared" si="0"/>
        <v>862</v>
      </c>
      <c r="U5" s="30">
        <f t="shared" si="0"/>
        <v>856.6</v>
      </c>
      <c r="V5" s="30">
        <f t="shared" si="0"/>
        <v>782.30000000000007</v>
      </c>
      <c r="W5" s="30">
        <f t="shared" si="0"/>
        <v>641.70000000000005</v>
      </c>
      <c r="X5" s="30">
        <f t="shared" si="0"/>
        <v>166.7</v>
      </c>
      <c r="Y5" s="30">
        <f t="shared" si="0"/>
        <v>174</v>
      </c>
      <c r="Z5" s="30">
        <f t="shared" si="0"/>
        <v>199</v>
      </c>
      <c r="AA5" s="30">
        <f t="shared" si="0"/>
        <v>176.9</v>
      </c>
      <c r="AB5" s="30">
        <f t="shared" si="0"/>
        <v>212.3</v>
      </c>
      <c r="AC5" s="30">
        <f t="shared" si="0"/>
        <v>207</v>
      </c>
      <c r="AD5" s="30">
        <f t="shared" si="0"/>
        <v>194</v>
      </c>
      <c r="AE5" s="30">
        <f t="shared" si="0"/>
        <v>198.9</v>
      </c>
      <c r="AF5" s="30">
        <f>B92</f>
        <v>272.8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Load=1355</v>
      </c>
      <c r="B7" s="35">
        <f t="shared" ref="B7:AF7" si="1">B100</f>
        <v>1601.6399999999999</v>
      </c>
      <c r="C7" s="35">
        <f t="shared" si="1"/>
        <v>1589.94</v>
      </c>
      <c r="D7" s="35">
        <f t="shared" si="1"/>
        <v>1550.7400000000002</v>
      </c>
      <c r="E7" s="35">
        <f t="shared" si="1"/>
        <v>1536.94</v>
      </c>
      <c r="F7" s="35">
        <f t="shared" si="1"/>
        <v>1536.14</v>
      </c>
      <c r="G7" s="35">
        <f t="shared" si="1"/>
        <v>1508.8600000000001</v>
      </c>
      <c r="H7" s="35">
        <f t="shared" si="1"/>
        <v>1500.3400000000001</v>
      </c>
      <c r="I7" s="35">
        <f t="shared" si="1"/>
        <v>1355.2400000000002</v>
      </c>
      <c r="J7" s="35">
        <f t="shared" si="1"/>
        <v>1504.4300000000003</v>
      </c>
      <c r="K7" s="35">
        <f t="shared" si="1"/>
        <v>1655.73</v>
      </c>
      <c r="L7" s="35">
        <f t="shared" si="1"/>
        <v>1715.74</v>
      </c>
      <c r="M7" s="35">
        <f t="shared" si="1"/>
        <v>1737.9399999999998</v>
      </c>
      <c r="N7" s="35">
        <f t="shared" si="1"/>
        <v>1734.8400000000001</v>
      </c>
      <c r="O7" s="35">
        <f t="shared" si="1"/>
        <v>1859.7400000000002</v>
      </c>
      <c r="P7" s="35">
        <f t="shared" si="1"/>
        <v>1862.1400000000003</v>
      </c>
      <c r="Q7" s="35">
        <f t="shared" si="1"/>
        <v>1838.44</v>
      </c>
      <c r="R7" s="35">
        <f t="shared" si="1"/>
        <v>1845.9399999999998</v>
      </c>
      <c r="S7" s="35">
        <f t="shared" si="1"/>
        <v>1890.1400000000003</v>
      </c>
      <c r="T7" s="35">
        <f t="shared" si="1"/>
        <v>1895.1400000000003</v>
      </c>
      <c r="U7" s="35">
        <f t="shared" si="1"/>
        <v>1829.54</v>
      </c>
      <c r="V7" s="35">
        <f t="shared" si="1"/>
        <v>1742.6399999999999</v>
      </c>
      <c r="W7" s="35">
        <f t="shared" si="1"/>
        <v>1715.44</v>
      </c>
      <c r="X7" s="35">
        <f t="shared" si="1"/>
        <v>1709.04</v>
      </c>
      <c r="Y7" s="35">
        <f t="shared" si="1"/>
        <v>1782.2000000000003</v>
      </c>
      <c r="Z7" s="35">
        <f t="shared" si="1"/>
        <v>1832.2000000000003</v>
      </c>
      <c r="AA7" s="35">
        <f t="shared" si="1"/>
        <v>1923.0400000000002</v>
      </c>
      <c r="AB7" s="35">
        <f t="shared" si="1"/>
        <v>1914.64</v>
      </c>
      <c r="AC7" s="35">
        <f t="shared" si="1"/>
        <v>1912.84</v>
      </c>
      <c r="AD7" s="35">
        <f t="shared" si="1"/>
        <v>1861.7400000000002</v>
      </c>
      <c r="AE7" s="35">
        <f t="shared" si="1"/>
        <v>1669.74</v>
      </c>
      <c r="AF7" s="35">
        <f t="shared" si="1"/>
        <v>1701.5400000000002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1914.64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1914.64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</v>
      </c>
      <c r="C11" s="46">
        <v>23.8</v>
      </c>
      <c r="D11" s="46">
        <v>23.8</v>
      </c>
      <c r="E11" s="46">
        <v>24</v>
      </c>
      <c r="F11" s="46">
        <v>25</v>
      </c>
      <c r="G11" s="46">
        <v>25.9</v>
      </c>
      <c r="H11" s="46">
        <v>22.7</v>
      </c>
      <c r="I11" s="46">
        <v>22.7</v>
      </c>
      <c r="J11" s="46">
        <v>22.7</v>
      </c>
      <c r="K11" s="46">
        <v>20.7</v>
      </c>
      <c r="L11" s="46">
        <v>20.7</v>
      </c>
      <c r="M11" s="46">
        <v>20.7</v>
      </c>
      <c r="N11" s="46">
        <v>20.7</v>
      </c>
      <c r="O11" s="46">
        <v>20.7</v>
      </c>
      <c r="P11" s="46">
        <v>20.7</v>
      </c>
      <c r="Q11" s="46">
        <v>13.7</v>
      </c>
      <c r="R11" s="46">
        <v>13.7</v>
      </c>
      <c r="S11" s="46">
        <v>21.2</v>
      </c>
      <c r="T11" s="46">
        <v>21.2</v>
      </c>
      <c r="U11" s="46">
        <v>21.2</v>
      </c>
      <c r="V11" s="46">
        <v>21.2</v>
      </c>
      <c r="W11" s="46">
        <v>21.2</v>
      </c>
      <c r="X11" s="46">
        <v>21.2</v>
      </c>
      <c r="Y11" s="46">
        <v>21.2</v>
      </c>
      <c r="Z11" s="46">
        <v>30.5</v>
      </c>
      <c r="AA11" s="46">
        <v>30.5</v>
      </c>
      <c r="AB11" s="46">
        <v>44.8</v>
      </c>
      <c r="AC11" s="46">
        <v>44.8</v>
      </c>
      <c r="AD11" s="46">
        <v>44.8</v>
      </c>
      <c r="AE11" s="46">
        <v>44.8</v>
      </c>
      <c r="AF11" s="46">
        <v>44.8</v>
      </c>
      <c r="AG11" s="47">
        <v>86</v>
      </c>
      <c r="AH11" s="48">
        <f t="shared" ref="AH11:AH16" si="2">MAX(B11:AF11)</f>
        <v>44.8</v>
      </c>
      <c r="AI11" s="49">
        <f t="shared" ref="AI11:AI16" si="3">MIN(B11:AF11)</f>
        <v>13.7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12</v>
      </c>
      <c r="C12" s="46">
        <v>12</v>
      </c>
      <c r="D12" s="46">
        <v>12</v>
      </c>
      <c r="E12" s="46">
        <v>12</v>
      </c>
      <c r="F12" s="46">
        <v>12</v>
      </c>
      <c r="G12" s="46">
        <v>12</v>
      </c>
      <c r="H12" s="46">
        <v>12</v>
      </c>
      <c r="I12" s="46">
        <v>12</v>
      </c>
      <c r="J12" s="46">
        <v>12</v>
      </c>
      <c r="K12" s="46">
        <v>12</v>
      </c>
      <c r="L12" s="46">
        <v>12</v>
      </c>
      <c r="M12" s="46">
        <v>12</v>
      </c>
      <c r="N12" s="46">
        <v>12</v>
      </c>
      <c r="O12" s="46">
        <v>12</v>
      </c>
      <c r="P12" s="46">
        <v>12</v>
      </c>
      <c r="Q12" s="46">
        <v>12</v>
      </c>
      <c r="R12" s="46">
        <v>12</v>
      </c>
      <c r="S12" s="46">
        <v>12</v>
      </c>
      <c r="T12" s="46">
        <v>12</v>
      </c>
      <c r="U12" s="46">
        <v>12</v>
      </c>
      <c r="V12" s="46">
        <v>12</v>
      </c>
      <c r="W12" s="46">
        <v>12</v>
      </c>
      <c r="X12" s="46">
        <v>12</v>
      </c>
      <c r="Y12" s="46">
        <v>12</v>
      </c>
      <c r="Z12" s="46">
        <v>12</v>
      </c>
      <c r="AA12" s="46">
        <v>12</v>
      </c>
      <c r="AB12" s="46">
        <v>8.6</v>
      </c>
      <c r="AC12" s="46">
        <v>8.6</v>
      </c>
      <c r="AD12" s="46">
        <v>8.6</v>
      </c>
      <c r="AE12" s="46">
        <v>8.6</v>
      </c>
      <c r="AF12" s="46">
        <v>8.6</v>
      </c>
      <c r="AG12" s="50">
        <v>54</v>
      </c>
      <c r="AH12" s="48">
        <f t="shared" si="2"/>
        <v>12</v>
      </c>
      <c r="AI12" s="49">
        <f t="shared" si="3"/>
        <v>8.6</v>
      </c>
      <c r="AK12" s="51"/>
      <c r="AL12" s="52" t="str">
        <f ca="1">MID(CELL("filename",C7),FIND("]",CELL("filename",C7))+1,600)</f>
        <v>04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16</v>
      </c>
      <c r="C13" s="46">
        <v>16</v>
      </c>
      <c r="D13" s="46">
        <v>16</v>
      </c>
      <c r="E13" s="46">
        <v>16.3</v>
      </c>
      <c r="F13" s="46">
        <v>16</v>
      </c>
      <c r="G13" s="46">
        <v>15.8</v>
      </c>
      <c r="H13" s="46">
        <v>15.8</v>
      </c>
      <c r="I13" s="46">
        <v>15.8</v>
      </c>
      <c r="J13" s="46">
        <v>15.8</v>
      </c>
      <c r="K13" s="46">
        <v>15.8</v>
      </c>
      <c r="L13" s="46">
        <v>15.8</v>
      </c>
      <c r="M13" s="46">
        <v>15.8</v>
      </c>
      <c r="N13" s="46">
        <v>15.8</v>
      </c>
      <c r="O13" s="46">
        <v>15.8</v>
      </c>
      <c r="P13" s="46">
        <v>15.8</v>
      </c>
      <c r="Q13" s="46">
        <v>15</v>
      </c>
      <c r="R13" s="46">
        <v>15</v>
      </c>
      <c r="S13" s="46">
        <v>15</v>
      </c>
      <c r="T13" s="46">
        <v>15</v>
      </c>
      <c r="U13" s="46">
        <v>15</v>
      </c>
      <c r="V13" s="46">
        <v>15</v>
      </c>
      <c r="W13" s="46">
        <v>15</v>
      </c>
      <c r="X13" s="46">
        <v>15</v>
      </c>
      <c r="Y13" s="46">
        <v>15</v>
      </c>
      <c r="Z13" s="46">
        <v>15</v>
      </c>
      <c r="AA13" s="46">
        <v>15</v>
      </c>
      <c r="AB13" s="46">
        <v>24</v>
      </c>
      <c r="AC13" s="46">
        <v>24</v>
      </c>
      <c r="AD13" s="46">
        <v>24</v>
      </c>
      <c r="AE13" s="46">
        <v>24</v>
      </c>
      <c r="AF13" s="46">
        <v>24</v>
      </c>
      <c r="AG13" s="50">
        <v>54</v>
      </c>
      <c r="AH13" s="48">
        <f t="shared" si="2"/>
        <v>24</v>
      </c>
      <c r="AI13" s="49">
        <f t="shared" si="3"/>
        <v>15</v>
      </c>
      <c r="AK13" s="51"/>
      <c r="AL13" s="52" t="str">
        <f ca="1">"Daily Load Curve(Excluding of Export) of Nepal ("&amp;A4&amp;" "&amp;B4&amp;")"</f>
        <v>Daily Load Curve(Excluding of Export) of Nepal (Nepali Date: 2080/10/4)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49.6</v>
      </c>
      <c r="C15" s="46">
        <v>49.6</v>
      </c>
      <c r="D15" s="46">
        <v>49.6</v>
      </c>
      <c r="E15" s="46">
        <v>50.5</v>
      </c>
      <c r="F15" s="46">
        <v>50.1</v>
      </c>
      <c r="G15" s="46">
        <v>50.2</v>
      </c>
      <c r="H15" s="46">
        <v>50.5</v>
      </c>
      <c r="I15" s="46">
        <v>50.5</v>
      </c>
      <c r="J15" s="46">
        <v>50.5</v>
      </c>
      <c r="K15" s="46">
        <v>50.4</v>
      </c>
      <c r="L15" s="46">
        <v>50.4</v>
      </c>
      <c r="M15" s="46">
        <v>50.4</v>
      </c>
      <c r="N15" s="46">
        <v>50.4</v>
      </c>
      <c r="O15" s="46">
        <v>50.4</v>
      </c>
      <c r="P15" s="46">
        <v>50.4</v>
      </c>
      <c r="Q15" s="46">
        <v>50.4</v>
      </c>
      <c r="R15" s="46">
        <v>50.4</v>
      </c>
      <c r="S15" s="46">
        <v>50.3</v>
      </c>
      <c r="T15" s="46">
        <v>50.3</v>
      </c>
      <c r="U15" s="46">
        <v>50.3</v>
      </c>
      <c r="V15" s="46">
        <v>50.3</v>
      </c>
      <c r="W15" s="46">
        <v>50.3</v>
      </c>
      <c r="X15" s="46">
        <v>50.3</v>
      </c>
      <c r="Y15" s="46">
        <v>50.3</v>
      </c>
      <c r="Z15" s="46">
        <v>50.3</v>
      </c>
      <c r="AA15" s="46">
        <v>50.3</v>
      </c>
      <c r="AB15" s="53">
        <v>50</v>
      </c>
      <c r="AC15" s="53">
        <v>50</v>
      </c>
      <c r="AD15" s="53">
        <v>50</v>
      </c>
      <c r="AE15" s="53">
        <v>50</v>
      </c>
      <c r="AF15" s="53">
        <v>50</v>
      </c>
      <c r="AG15" s="50">
        <v>50</v>
      </c>
      <c r="AH15" s="48">
        <f t="shared" si="2"/>
        <v>50.5</v>
      </c>
      <c r="AI15" s="49">
        <f t="shared" si="3"/>
        <v>49.6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539</v>
      </c>
      <c r="AN16" s="59">
        <f t="shared" si="4"/>
        <v>539.79999999999995</v>
      </c>
      <c r="AO16" s="59">
        <f t="shared" si="4"/>
        <v>541.70000000000005</v>
      </c>
      <c r="AP16" s="59">
        <f t="shared" si="4"/>
        <v>541.6</v>
      </c>
      <c r="AQ16" s="59">
        <f t="shared" si="4"/>
        <v>542.90000000000009</v>
      </c>
      <c r="AR16" s="59">
        <f t="shared" si="4"/>
        <v>539.22</v>
      </c>
      <c r="AS16" s="59">
        <f>I58</f>
        <v>539.40000000000009</v>
      </c>
      <c r="AT16" s="59">
        <f>K58</f>
        <v>534.20000000000005</v>
      </c>
      <c r="AU16" s="59">
        <f t="shared" ref="AU16:BD16" si="5">M58</f>
        <v>534.20000000000005</v>
      </c>
      <c r="AV16" s="59">
        <f t="shared" si="5"/>
        <v>528.6</v>
      </c>
      <c r="AW16" s="59">
        <f t="shared" si="5"/>
        <v>528.6</v>
      </c>
      <c r="AX16" s="59">
        <f t="shared" si="5"/>
        <v>528.6</v>
      </c>
      <c r="AY16" s="59">
        <f t="shared" si="5"/>
        <v>504.8</v>
      </c>
      <c r="AZ16" s="59">
        <f t="shared" si="5"/>
        <v>504.8</v>
      </c>
      <c r="BA16" s="59">
        <f t="shared" si="5"/>
        <v>517.80000000000007</v>
      </c>
      <c r="BB16" s="59">
        <f t="shared" si="5"/>
        <v>517.80000000000007</v>
      </c>
      <c r="BC16" s="59">
        <f t="shared" si="5"/>
        <v>517.80000000000007</v>
      </c>
      <c r="BD16" s="59">
        <f t="shared" si="5"/>
        <v>517.80000000000007</v>
      </c>
      <c r="BE16" s="60">
        <f>X58</f>
        <v>517.80000000000007</v>
      </c>
      <c r="BF16" s="60">
        <f>Z58</f>
        <v>527.10000000000014</v>
      </c>
      <c r="BG16" s="60">
        <f>AB58</f>
        <v>561.79999999999995</v>
      </c>
      <c r="BH16" s="60">
        <f>AD58</f>
        <v>561.79999999999995</v>
      </c>
      <c r="BI16" s="60">
        <f>AE58</f>
        <v>561.79999999999995</v>
      </c>
      <c r="BJ16" s="60">
        <f>AF58</f>
        <v>561.79999999999995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</v>
      </c>
      <c r="U17" s="46">
        <v>16</v>
      </c>
      <c r="V17" s="46">
        <v>16</v>
      </c>
      <c r="W17" s="46">
        <v>16</v>
      </c>
      <c r="X17" s="46">
        <v>16</v>
      </c>
      <c r="Y17" s="46">
        <v>16</v>
      </c>
      <c r="Z17" s="46">
        <v>16</v>
      </c>
      <c r="AA17" s="46">
        <v>16</v>
      </c>
      <c r="AB17" s="46">
        <v>16</v>
      </c>
      <c r="AC17" s="46">
        <v>16</v>
      </c>
      <c r="AD17" s="46">
        <v>16</v>
      </c>
      <c r="AE17" s="46">
        <v>16</v>
      </c>
      <c r="AF17" s="46">
        <v>16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146</v>
      </c>
      <c r="AN17" s="59">
        <f t="shared" si="6"/>
        <v>146.29999999999998</v>
      </c>
      <c r="AO17" s="59">
        <f t="shared" si="6"/>
        <v>147</v>
      </c>
      <c r="AP17" s="59">
        <f t="shared" si="6"/>
        <v>146.6</v>
      </c>
      <c r="AQ17" s="59">
        <f t="shared" si="6"/>
        <v>145.5</v>
      </c>
      <c r="AR17" s="59">
        <f t="shared" si="6"/>
        <v>144.1</v>
      </c>
      <c r="AS17" s="59">
        <f>I62</f>
        <v>195.10000000000002</v>
      </c>
      <c r="AT17" s="59">
        <f>K62</f>
        <v>44.099999999999994</v>
      </c>
      <c r="AU17" s="59">
        <f t="shared" ref="AU17:BD17" si="7">M62</f>
        <v>42.9</v>
      </c>
      <c r="AV17" s="59">
        <f t="shared" si="7"/>
        <v>42.9</v>
      </c>
      <c r="AW17" s="59">
        <f t="shared" si="7"/>
        <v>43.7</v>
      </c>
      <c r="AX17" s="59">
        <f t="shared" si="7"/>
        <v>43.7</v>
      </c>
      <c r="AY17" s="59">
        <f t="shared" si="7"/>
        <v>39.1</v>
      </c>
      <c r="AZ17" s="59">
        <f t="shared" si="7"/>
        <v>39.1</v>
      </c>
      <c r="BA17" s="59">
        <f t="shared" si="7"/>
        <v>34.900000000000006</v>
      </c>
      <c r="BB17" s="59">
        <f t="shared" si="7"/>
        <v>34.900000000000006</v>
      </c>
      <c r="BC17" s="59">
        <f t="shared" si="7"/>
        <v>34.900000000000006</v>
      </c>
      <c r="BD17" s="59">
        <f t="shared" si="7"/>
        <v>43.3</v>
      </c>
      <c r="BE17" s="60">
        <f>X62</f>
        <v>74.900000000000006</v>
      </c>
      <c r="BF17" s="60">
        <f>Z62</f>
        <v>455</v>
      </c>
      <c r="BG17" s="60">
        <f>AB62</f>
        <v>470.5</v>
      </c>
      <c r="BH17" s="60">
        <f>AD62</f>
        <v>394.1</v>
      </c>
      <c r="BI17" s="60">
        <f>AE62</f>
        <v>195.1</v>
      </c>
      <c r="BJ17" s="60">
        <f>AF62</f>
        <v>142.6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20</v>
      </c>
      <c r="C18" s="46">
        <v>20</v>
      </c>
      <c r="D18" s="46">
        <v>20</v>
      </c>
      <c r="E18" s="46">
        <v>16</v>
      </c>
      <c r="F18" s="46">
        <v>16</v>
      </c>
      <c r="G18" s="46">
        <v>15</v>
      </c>
      <c r="H18" s="46">
        <v>15</v>
      </c>
      <c r="I18" s="46">
        <v>15</v>
      </c>
      <c r="J18" s="46">
        <v>15</v>
      </c>
      <c r="K18" s="46">
        <v>14</v>
      </c>
      <c r="L18" s="46">
        <v>14</v>
      </c>
      <c r="M18" s="46">
        <v>14</v>
      </c>
      <c r="N18" s="46">
        <v>14</v>
      </c>
      <c r="O18" s="46">
        <v>14</v>
      </c>
      <c r="P18" s="46">
        <v>14</v>
      </c>
      <c r="Q18" s="46">
        <v>13.5</v>
      </c>
      <c r="R18" s="46">
        <v>13.5</v>
      </c>
      <c r="S18" s="46">
        <v>20.3</v>
      </c>
      <c r="T18" s="46">
        <v>20.3</v>
      </c>
      <c r="U18" s="46">
        <v>20.3</v>
      </c>
      <c r="V18" s="46">
        <v>20.3</v>
      </c>
      <c r="W18" s="46">
        <v>20.3</v>
      </c>
      <c r="X18" s="46">
        <v>20.3</v>
      </c>
      <c r="Y18" s="46">
        <v>20.3</v>
      </c>
      <c r="Z18" s="46">
        <v>20.3</v>
      </c>
      <c r="AA18" s="46">
        <v>20.3</v>
      </c>
      <c r="AB18" s="46">
        <v>24</v>
      </c>
      <c r="AC18" s="46">
        <v>24</v>
      </c>
      <c r="AD18" s="46">
        <v>24</v>
      </c>
      <c r="AE18" s="46">
        <v>24</v>
      </c>
      <c r="AF18" s="46">
        <v>24</v>
      </c>
      <c r="AG18" s="50">
        <v>42</v>
      </c>
      <c r="AH18" s="48">
        <f t="shared" ref="AH18:AH81" si="8">MAX(B18:AF18)</f>
        <v>24</v>
      </c>
      <c r="AI18" s="49">
        <f t="shared" ref="AI18:AI81" si="9">MIN(B18:AF18)</f>
        <v>13.5</v>
      </c>
      <c r="AK18" s="51"/>
      <c r="AL18" s="54" t="s">
        <v>29</v>
      </c>
      <c r="AM18" s="59">
        <f t="shared" ref="AM18:AR18" si="10">B76</f>
        <v>295.33999999999997</v>
      </c>
      <c r="AN18" s="59">
        <f t="shared" si="10"/>
        <v>295.94</v>
      </c>
      <c r="AO18" s="59">
        <f t="shared" si="10"/>
        <v>257.44000000000005</v>
      </c>
      <c r="AP18" s="59">
        <f t="shared" si="10"/>
        <v>231.04</v>
      </c>
      <c r="AQ18" s="59">
        <f t="shared" si="10"/>
        <v>231.23999999999998</v>
      </c>
      <c r="AR18" s="59">
        <f t="shared" si="10"/>
        <v>239.34000000000003</v>
      </c>
      <c r="AS18" s="59">
        <f>I76</f>
        <v>240.93999999999997</v>
      </c>
      <c r="AT18" s="59">
        <f>K76</f>
        <v>231.02999999999997</v>
      </c>
      <c r="AU18" s="59">
        <f t="shared" ref="AU18:BD18" si="11">M76</f>
        <v>268.33999999999997</v>
      </c>
      <c r="AV18" s="59">
        <f t="shared" si="11"/>
        <v>268.94000000000005</v>
      </c>
      <c r="AW18" s="59">
        <f t="shared" si="11"/>
        <v>283.74000000000007</v>
      </c>
      <c r="AX18" s="59">
        <f t="shared" si="11"/>
        <v>288.44000000000005</v>
      </c>
      <c r="AY18" s="59">
        <f t="shared" si="11"/>
        <v>303.33999999999997</v>
      </c>
      <c r="AZ18" s="59">
        <f t="shared" si="11"/>
        <v>318.73999999999995</v>
      </c>
      <c r="BA18" s="59">
        <f t="shared" si="11"/>
        <v>334.6400000000001</v>
      </c>
      <c r="BB18" s="59">
        <f t="shared" si="11"/>
        <v>349.84000000000009</v>
      </c>
      <c r="BC18" s="59">
        <f t="shared" si="11"/>
        <v>316.54000000000008</v>
      </c>
      <c r="BD18" s="59">
        <f t="shared" si="11"/>
        <v>246.14</v>
      </c>
      <c r="BE18" s="60">
        <f>X76</f>
        <v>254.74</v>
      </c>
      <c r="BF18" s="60">
        <f>Z76</f>
        <v>334.2000000000001</v>
      </c>
      <c r="BG18" s="60">
        <f>AB76</f>
        <v>364.74000000000007</v>
      </c>
      <c r="BH18" s="60">
        <f>AD76</f>
        <v>354.84000000000009</v>
      </c>
      <c r="BI18" s="60">
        <f>AE76</f>
        <v>354.84000000000009</v>
      </c>
      <c r="BJ18" s="60">
        <f>AF76</f>
        <v>354.84000000000009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18.600000000000001</v>
      </c>
      <c r="C19" s="46">
        <v>18.600000000000001</v>
      </c>
      <c r="D19" s="46">
        <v>18.600000000000001</v>
      </c>
      <c r="E19" s="46">
        <v>22</v>
      </c>
      <c r="F19" s="46">
        <v>22</v>
      </c>
      <c r="G19" s="46">
        <v>21.5</v>
      </c>
      <c r="H19" s="46">
        <v>21</v>
      </c>
      <c r="I19" s="46">
        <v>21</v>
      </c>
      <c r="J19" s="46">
        <v>21</v>
      </c>
      <c r="K19" s="46">
        <v>20.3</v>
      </c>
      <c r="L19" s="46">
        <v>20.3</v>
      </c>
      <c r="M19" s="46">
        <v>20.3</v>
      </c>
      <c r="N19" s="46">
        <v>20.3</v>
      </c>
      <c r="O19" s="46">
        <v>20.3</v>
      </c>
      <c r="P19" s="46">
        <v>20.3</v>
      </c>
      <c r="Q19" s="46">
        <v>18.600000000000001</v>
      </c>
      <c r="R19" s="46">
        <v>18.600000000000001</v>
      </c>
      <c r="S19" s="46">
        <v>17.399999999999999</v>
      </c>
      <c r="T19" s="46">
        <v>17.399999999999999</v>
      </c>
      <c r="U19" s="46">
        <v>17.399999999999999</v>
      </c>
      <c r="V19" s="46">
        <v>17.399999999999999</v>
      </c>
      <c r="W19" s="46">
        <v>17.399999999999999</v>
      </c>
      <c r="X19" s="46">
        <v>17.399999999999999</v>
      </c>
      <c r="Y19" s="46">
        <v>17.399999999999999</v>
      </c>
      <c r="Z19" s="46">
        <v>17.399999999999999</v>
      </c>
      <c r="AA19" s="46">
        <v>17.399999999999999</v>
      </c>
      <c r="AB19" s="46">
        <v>21.2</v>
      </c>
      <c r="AC19" s="46">
        <v>21.2</v>
      </c>
      <c r="AD19" s="46">
        <v>21.2</v>
      </c>
      <c r="AE19" s="46">
        <v>21.2</v>
      </c>
      <c r="AF19" s="46">
        <v>21.2</v>
      </c>
      <c r="AG19" s="50">
        <v>38.46</v>
      </c>
      <c r="AH19" s="48">
        <f t="shared" si="8"/>
        <v>22</v>
      </c>
      <c r="AI19" s="49">
        <f t="shared" si="9"/>
        <v>17.399999999999999</v>
      </c>
      <c r="AK19" s="51"/>
      <c r="AL19" s="54" t="s">
        <v>31</v>
      </c>
      <c r="AM19" s="59">
        <f t="shared" ref="AM19:AR19" si="12">B92</f>
        <v>272.8</v>
      </c>
      <c r="AN19" s="59">
        <f t="shared" si="12"/>
        <v>259.40000000000003</v>
      </c>
      <c r="AO19" s="59">
        <f t="shared" si="12"/>
        <v>256.90000000000003</v>
      </c>
      <c r="AP19" s="59">
        <f t="shared" si="12"/>
        <v>269.20000000000005</v>
      </c>
      <c r="AQ19" s="59">
        <f t="shared" si="12"/>
        <v>269</v>
      </c>
      <c r="AR19" s="59">
        <f t="shared" si="12"/>
        <v>239.70000000000002</v>
      </c>
      <c r="AS19" s="59">
        <f>I92</f>
        <v>280.70000000000005</v>
      </c>
      <c r="AT19" s="59">
        <f>K92</f>
        <v>806.39999999999986</v>
      </c>
      <c r="AU19" s="59">
        <f t="shared" ref="AU19:BD19" si="13">M92</f>
        <v>793.89999999999986</v>
      </c>
      <c r="AV19" s="59">
        <f t="shared" si="13"/>
        <v>795.8</v>
      </c>
      <c r="AW19" s="59">
        <f t="shared" si="13"/>
        <v>905.1</v>
      </c>
      <c r="AX19" s="59">
        <f t="shared" si="13"/>
        <v>902.80000000000007</v>
      </c>
      <c r="AY19" s="59">
        <f t="shared" si="13"/>
        <v>893.19999999999993</v>
      </c>
      <c r="AZ19" s="59">
        <f t="shared" si="13"/>
        <v>885.3</v>
      </c>
      <c r="BA19" s="59">
        <f t="shared" si="13"/>
        <v>904.50000000000011</v>
      </c>
      <c r="BB19" s="59">
        <f t="shared" si="13"/>
        <v>894.30000000000007</v>
      </c>
      <c r="BC19" s="59">
        <f t="shared" si="13"/>
        <v>862</v>
      </c>
      <c r="BD19" s="59">
        <f t="shared" si="13"/>
        <v>856.6</v>
      </c>
      <c r="BE19" s="60">
        <f>X92</f>
        <v>641.70000000000005</v>
      </c>
      <c r="BF19" s="60">
        <f>Z92</f>
        <v>174</v>
      </c>
      <c r="BG19" s="60">
        <f>AB92</f>
        <v>176.9</v>
      </c>
      <c r="BH19" s="60">
        <f>AD92</f>
        <v>207</v>
      </c>
      <c r="BI19" s="60">
        <f>AE92</f>
        <v>194</v>
      </c>
      <c r="BJ19" s="60">
        <f>AF92</f>
        <v>198.9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15</v>
      </c>
      <c r="C20" s="46">
        <v>15</v>
      </c>
      <c r="D20" s="46">
        <v>15</v>
      </c>
      <c r="E20" s="46">
        <v>15</v>
      </c>
      <c r="F20" s="46">
        <v>15</v>
      </c>
      <c r="G20" s="46">
        <v>17.12</v>
      </c>
      <c r="H20" s="46">
        <v>15</v>
      </c>
      <c r="I20" s="46">
        <v>15</v>
      </c>
      <c r="J20" s="46">
        <v>15</v>
      </c>
      <c r="K20" s="46">
        <v>15</v>
      </c>
      <c r="L20" s="46">
        <v>15</v>
      </c>
      <c r="M20" s="46">
        <v>15</v>
      </c>
      <c r="N20" s="46">
        <v>15</v>
      </c>
      <c r="O20" s="46">
        <v>15</v>
      </c>
      <c r="P20" s="46">
        <v>15</v>
      </c>
      <c r="Q20" s="46">
        <v>15</v>
      </c>
      <c r="R20" s="46">
        <v>15</v>
      </c>
      <c r="S20" s="46">
        <v>15</v>
      </c>
      <c r="T20" s="46">
        <v>15</v>
      </c>
      <c r="U20" s="46">
        <v>15</v>
      </c>
      <c r="V20" s="46">
        <v>15</v>
      </c>
      <c r="W20" s="46">
        <v>15</v>
      </c>
      <c r="X20" s="46">
        <v>15</v>
      </c>
      <c r="Y20" s="46">
        <v>15</v>
      </c>
      <c r="Z20" s="46">
        <v>15</v>
      </c>
      <c r="AA20" s="46">
        <v>15</v>
      </c>
      <c r="AB20" s="46">
        <v>15</v>
      </c>
      <c r="AC20" s="46">
        <v>15</v>
      </c>
      <c r="AD20" s="46">
        <v>15</v>
      </c>
      <c r="AE20" s="46">
        <v>15</v>
      </c>
      <c r="AF20" s="46">
        <v>15</v>
      </c>
      <c r="AG20" s="50">
        <v>38.46</v>
      </c>
      <c r="AH20" s="48">
        <f t="shared" si="8"/>
        <v>17.12</v>
      </c>
      <c r="AI20" s="49">
        <f t="shared" si="9"/>
        <v>15</v>
      </c>
      <c r="AK20" s="51"/>
      <c r="AL20" s="54" t="s">
        <v>33</v>
      </c>
      <c r="AM20" s="59">
        <f t="shared" ref="AM20:AR20" si="14">B80</f>
        <v>98.5</v>
      </c>
      <c r="AN20" s="59">
        <f t="shared" si="14"/>
        <v>98.5</v>
      </c>
      <c r="AO20" s="59">
        <f t="shared" si="14"/>
        <v>97.7</v>
      </c>
      <c r="AP20" s="59">
        <f t="shared" si="14"/>
        <v>98.5</v>
      </c>
      <c r="AQ20" s="59">
        <f t="shared" si="14"/>
        <v>98.5</v>
      </c>
      <c r="AR20" s="59">
        <f t="shared" si="14"/>
        <v>98.5</v>
      </c>
      <c r="AS20" s="59">
        <f>I80</f>
        <v>99.100000000000009</v>
      </c>
      <c r="AT20" s="59">
        <f>K80</f>
        <v>40</v>
      </c>
      <c r="AU20" s="59">
        <f t="shared" ref="AU20:BD20" si="15">M80</f>
        <v>98.6</v>
      </c>
      <c r="AV20" s="59">
        <f t="shared" si="15"/>
        <v>98.6</v>
      </c>
      <c r="AW20" s="59">
        <f t="shared" si="15"/>
        <v>98.6</v>
      </c>
      <c r="AX20" s="59">
        <f t="shared" si="15"/>
        <v>98.6</v>
      </c>
      <c r="AY20" s="59">
        <f t="shared" si="15"/>
        <v>98</v>
      </c>
      <c r="AZ20" s="59">
        <f t="shared" si="15"/>
        <v>98</v>
      </c>
      <c r="BA20" s="59">
        <f t="shared" si="15"/>
        <v>98.300000000000011</v>
      </c>
      <c r="BB20" s="59">
        <f t="shared" si="15"/>
        <v>98.300000000000011</v>
      </c>
      <c r="BC20" s="59">
        <f t="shared" si="15"/>
        <v>98.300000000000011</v>
      </c>
      <c r="BD20" s="59">
        <f t="shared" si="15"/>
        <v>78.8</v>
      </c>
      <c r="BE20" s="60">
        <f>X80</f>
        <v>69.900000000000006</v>
      </c>
      <c r="BF20" s="60">
        <f>Z80</f>
        <v>91.899999999999991</v>
      </c>
      <c r="BG20" s="60">
        <f>AB80</f>
        <v>90.7</v>
      </c>
      <c r="BH20" s="60">
        <f>AD80</f>
        <v>94</v>
      </c>
      <c r="BI20" s="60">
        <f>AE80</f>
        <v>94</v>
      </c>
      <c r="BJ20" s="60">
        <f>AF80</f>
        <v>93.4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250</v>
      </c>
      <c r="AO21" s="59">
        <f t="shared" si="16"/>
        <v>250</v>
      </c>
      <c r="AP21" s="59">
        <f t="shared" si="16"/>
        <v>250</v>
      </c>
      <c r="AQ21" s="59">
        <f t="shared" si="16"/>
        <v>250</v>
      </c>
      <c r="AR21" s="59">
        <f t="shared" si="16"/>
        <v>250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150</v>
      </c>
      <c r="BF21" s="60">
        <f>Z98</f>
        <v>250</v>
      </c>
      <c r="BG21" s="60">
        <f>AB98</f>
        <v>250</v>
      </c>
      <c r="BH21" s="60">
        <f>AD98</f>
        <v>250</v>
      </c>
      <c r="BI21" s="60">
        <f>AE98</f>
        <v>270</v>
      </c>
      <c r="BJ21" s="60">
        <f>AF98</f>
        <v>350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9</v>
      </c>
      <c r="C22" s="46">
        <v>9</v>
      </c>
      <c r="D22" s="46">
        <v>9.9</v>
      </c>
      <c r="E22" s="46">
        <v>9.6999999999999993</v>
      </c>
      <c r="F22" s="46">
        <v>9.6999999999999993</v>
      </c>
      <c r="G22" s="46">
        <v>9.4</v>
      </c>
      <c r="H22" s="46">
        <v>9.9</v>
      </c>
      <c r="I22" s="46">
        <v>9.9</v>
      </c>
      <c r="J22" s="46">
        <v>9.9</v>
      </c>
      <c r="K22" s="46">
        <v>9.6999999999999993</v>
      </c>
      <c r="L22" s="46">
        <v>9.6999999999999993</v>
      </c>
      <c r="M22" s="46">
        <v>9.6999999999999993</v>
      </c>
      <c r="N22" s="46">
        <v>9.6999999999999993</v>
      </c>
      <c r="O22" s="46">
        <v>9.6999999999999993</v>
      </c>
      <c r="P22" s="46">
        <v>9.6999999999999993</v>
      </c>
      <c r="Q22" s="46">
        <v>8.8000000000000007</v>
      </c>
      <c r="R22" s="46">
        <v>8.8000000000000007</v>
      </c>
      <c r="S22" s="46">
        <v>8.8000000000000007</v>
      </c>
      <c r="T22" s="46">
        <v>8.8000000000000007</v>
      </c>
      <c r="U22" s="46">
        <v>8.8000000000000007</v>
      </c>
      <c r="V22" s="46">
        <v>8.8000000000000007</v>
      </c>
      <c r="W22" s="46">
        <v>8.8000000000000007</v>
      </c>
      <c r="X22" s="46">
        <v>8.8000000000000007</v>
      </c>
      <c r="Y22" s="46">
        <v>8.8000000000000007</v>
      </c>
      <c r="Z22" s="46">
        <v>8.8000000000000007</v>
      </c>
      <c r="AA22" s="46">
        <v>8.8000000000000007</v>
      </c>
      <c r="AB22" s="46">
        <v>11.2</v>
      </c>
      <c r="AC22" s="46">
        <v>11.2</v>
      </c>
      <c r="AD22" s="46">
        <v>11.2</v>
      </c>
      <c r="AE22" s="46">
        <v>11.2</v>
      </c>
      <c r="AF22" s="46">
        <v>11.2</v>
      </c>
      <c r="AG22" s="61">
        <v>30</v>
      </c>
      <c r="AH22" s="48">
        <f t="shared" si="8"/>
        <v>11.2</v>
      </c>
      <c r="AI22" s="49">
        <f t="shared" si="9"/>
        <v>8.8000000000000007</v>
      </c>
      <c r="AK22" s="51"/>
      <c r="AL22" s="62" t="s">
        <v>37</v>
      </c>
      <c r="AM22" s="63">
        <f t="shared" ref="AM22:BJ22" si="18">SUM(AM16:AM21)</f>
        <v>1601.6399999999999</v>
      </c>
      <c r="AN22" s="63">
        <f t="shared" si="18"/>
        <v>1589.94</v>
      </c>
      <c r="AO22" s="63">
        <f t="shared" si="18"/>
        <v>1550.7400000000002</v>
      </c>
      <c r="AP22" s="63">
        <f t="shared" si="18"/>
        <v>1536.94</v>
      </c>
      <c r="AQ22" s="63">
        <f t="shared" si="18"/>
        <v>1537.14</v>
      </c>
      <c r="AR22" s="63">
        <f t="shared" si="18"/>
        <v>1510.8600000000001</v>
      </c>
      <c r="AS22" s="63">
        <f t="shared" si="18"/>
        <v>1355.24</v>
      </c>
      <c r="AT22" s="63">
        <f t="shared" si="18"/>
        <v>1655.73</v>
      </c>
      <c r="AU22" s="63">
        <f t="shared" si="18"/>
        <v>1737.9399999999998</v>
      </c>
      <c r="AV22" s="63">
        <f t="shared" si="18"/>
        <v>1734.84</v>
      </c>
      <c r="AW22" s="63">
        <f t="shared" si="18"/>
        <v>1859.7400000000002</v>
      </c>
      <c r="AX22" s="63">
        <f t="shared" si="18"/>
        <v>1862.14</v>
      </c>
      <c r="AY22" s="63">
        <f t="shared" si="18"/>
        <v>1838.44</v>
      </c>
      <c r="AZ22" s="63">
        <f t="shared" si="18"/>
        <v>1845.9399999999998</v>
      </c>
      <c r="BA22" s="63">
        <f t="shared" si="18"/>
        <v>1890.14</v>
      </c>
      <c r="BB22" s="63">
        <f t="shared" si="18"/>
        <v>1895.14</v>
      </c>
      <c r="BC22" s="63">
        <f t="shared" si="18"/>
        <v>1829.5400000000002</v>
      </c>
      <c r="BD22" s="63">
        <f t="shared" si="18"/>
        <v>1742.64</v>
      </c>
      <c r="BE22" s="63">
        <f t="shared" si="18"/>
        <v>1709.0400000000002</v>
      </c>
      <c r="BF22" s="63">
        <f t="shared" si="18"/>
        <v>1832.2000000000003</v>
      </c>
      <c r="BG22" s="63">
        <f t="shared" si="18"/>
        <v>1914.64</v>
      </c>
      <c r="BH22" s="63">
        <f t="shared" si="18"/>
        <v>1861.74</v>
      </c>
      <c r="BI22" s="63">
        <f t="shared" si="18"/>
        <v>1669.74</v>
      </c>
      <c r="BJ22" s="63">
        <f t="shared" si="18"/>
        <v>1701.5400000000002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</v>
      </c>
      <c r="C23" s="46">
        <v>7</v>
      </c>
      <c r="D23" s="46">
        <v>7</v>
      </c>
      <c r="E23" s="46">
        <v>7</v>
      </c>
      <c r="F23" s="46">
        <v>7</v>
      </c>
      <c r="G23" s="46">
        <v>7</v>
      </c>
      <c r="H23" s="46">
        <v>7</v>
      </c>
      <c r="I23" s="46">
        <v>7</v>
      </c>
      <c r="J23" s="46">
        <v>7</v>
      </c>
      <c r="K23" s="46">
        <v>7</v>
      </c>
      <c r="L23" s="46">
        <v>7</v>
      </c>
      <c r="M23" s="46">
        <v>7</v>
      </c>
      <c r="N23" s="46">
        <v>7</v>
      </c>
      <c r="O23" s="46">
        <v>7</v>
      </c>
      <c r="P23" s="46">
        <v>7</v>
      </c>
      <c r="Q23" s="46">
        <v>7</v>
      </c>
      <c r="R23" s="46">
        <v>7</v>
      </c>
      <c r="S23" s="46">
        <v>7</v>
      </c>
      <c r="T23" s="46">
        <v>7</v>
      </c>
      <c r="U23" s="46">
        <v>7</v>
      </c>
      <c r="V23" s="46">
        <v>7</v>
      </c>
      <c r="W23" s="46">
        <v>7</v>
      </c>
      <c r="X23" s="46">
        <v>7</v>
      </c>
      <c r="Y23" s="46">
        <v>7</v>
      </c>
      <c r="Z23" s="46">
        <v>7</v>
      </c>
      <c r="AA23" s="46">
        <v>7</v>
      </c>
      <c r="AB23" s="46">
        <v>8.6</v>
      </c>
      <c r="AC23" s="46">
        <v>8.6</v>
      </c>
      <c r="AD23" s="46">
        <v>8.6</v>
      </c>
      <c r="AE23" s="46">
        <v>8.6</v>
      </c>
      <c r="AF23" s="46">
        <v>8.6</v>
      </c>
      <c r="AG23" s="50">
        <v>24.2</v>
      </c>
      <c r="AH23" s="48">
        <f t="shared" si="8"/>
        <v>8.6</v>
      </c>
      <c r="AI23" s="49">
        <f t="shared" si="9"/>
        <v>7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-1</v>
      </c>
      <c r="AR23" s="63">
        <f t="shared" si="19"/>
        <v>-2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6.8</v>
      </c>
      <c r="C24" s="46">
        <v>6.8</v>
      </c>
      <c r="D24" s="46">
        <v>6.8</v>
      </c>
      <c r="E24" s="46">
        <v>6.7</v>
      </c>
      <c r="F24" s="46">
        <v>6.7</v>
      </c>
      <c r="G24" s="46">
        <v>6.7</v>
      </c>
      <c r="H24" s="46">
        <v>7.4</v>
      </c>
      <c r="I24" s="46">
        <v>7.4</v>
      </c>
      <c r="J24" s="46">
        <v>7.4</v>
      </c>
      <c r="K24" s="46">
        <v>7.4</v>
      </c>
      <c r="L24" s="46">
        <v>7.4</v>
      </c>
      <c r="M24" s="46">
        <v>7.4</v>
      </c>
      <c r="N24" s="46">
        <v>7.4</v>
      </c>
      <c r="O24" s="46">
        <v>7.4</v>
      </c>
      <c r="P24" s="46">
        <v>7.4</v>
      </c>
      <c r="Q24" s="46">
        <v>6.6</v>
      </c>
      <c r="R24" s="46">
        <v>6.6</v>
      </c>
      <c r="S24" s="46">
        <v>6.6</v>
      </c>
      <c r="T24" s="46">
        <v>6.6</v>
      </c>
      <c r="U24" s="46">
        <v>6.6</v>
      </c>
      <c r="V24" s="46">
        <v>6.6</v>
      </c>
      <c r="W24" s="46">
        <v>6.6</v>
      </c>
      <c r="X24" s="46">
        <v>6.6</v>
      </c>
      <c r="Y24" s="46">
        <v>6.6</v>
      </c>
      <c r="Z24" s="46">
        <v>6.6</v>
      </c>
      <c r="AA24" s="46">
        <v>6.6</v>
      </c>
      <c r="AB24" s="46">
        <v>6</v>
      </c>
      <c r="AC24" s="46">
        <v>6</v>
      </c>
      <c r="AD24" s="46">
        <v>6</v>
      </c>
      <c r="AE24" s="46">
        <v>6</v>
      </c>
      <c r="AF24" s="46">
        <v>6</v>
      </c>
      <c r="AG24" s="50">
        <v>28</v>
      </c>
      <c r="AH24" s="48">
        <f t="shared" si="8"/>
        <v>7.4</v>
      </c>
      <c r="AI24" s="49">
        <f t="shared" si="9"/>
        <v>6</v>
      </c>
      <c r="AK24" s="51"/>
      <c r="AL24" s="62" t="s">
        <v>41</v>
      </c>
      <c r="AM24" s="63">
        <f t="shared" ref="AM24:BJ24" si="21">AM22+AM23</f>
        <v>1601.6399999999999</v>
      </c>
      <c r="AN24" s="63">
        <f t="shared" si="21"/>
        <v>1589.94</v>
      </c>
      <c r="AO24" s="63">
        <f t="shared" si="21"/>
        <v>1550.7400000000002</v>
      </c>
      <c r="AP24" s="63">
        <f t="shared" si="21"/>
        <v>1536.94</v>
      </c>
      <c r="AQ24" s="63">
        <f t="shared" si="21"/>
        <v>1536.14</v>
      </c>
      <c r="AR24" s="63">
        <f t="shared" si="21"/>
        <v>1508.8600000000001</v>
      </c>
      <c r="AS24" s="63">
        <f t="shared" si="21"/>
        <v>1355.24</v>
      </c>
      <c r="AT24" s="63">
        <f t="shared" si="21"/>
        <v>1655.73</v>
      </c>
      <c r="AU24" s="63">
        <f t="shared" si="21"/>
        <v>1737.9399999999998</v>
      </c>
      <c r="AV24" s="63">
        <f t="shared" si="21"/>
        <v>1734.84</v>
      </c>
      <c r="AW24" s="63">
        <f t="shared" si="21"/>
        <v>1859.7400000000002</v>
      </c>
      <c r="AX24" s="63">
        <f t="shared" si="21"/>
        <v>1862.14</v>
      </c>
      <c r="AY24" s="63">
        <f t="shared" si="21"/>
        <v>1838.44</v>
      </c>
      <c r="AZ24" s="63">
        <f t="shared" si="21"/>
        <v>1845.9399999999998</v>
      </c>
      <c r="BA24" s="63">
        <f t="shared" si="21"/>
        <v>1890.14</v>
      </c>
      <c r="BB24" s="63">
        <f t="shared" si="21"/>
        <v>1895.14</v>
      </c>
      <c r="BC24" s="63">
        <f t="shared" si="21"/>
        <v>1829.5400000000002</v>
      </c>
      <c r="BD24" s="63">
        <f t="shared" si="21"/>
        <v>1742.64</v>
      </c>
      <c r="BE24" s="63">
        <f t="shared" si="21"/>
        <v>1709.0400000000002</v>
      </c>
      <c r="BF24" s="63">
        <f t="shared" si="21"/>
        <v>1832.2000000000003</v>
      </c>
      <c r="BG24" s="63">
        <f t="shared" si="21"/>
        <v>1914.64</v>
      </c>
      <c r="BH24" s="63">
        <f t="shared" si="21"/>
        <v>1861.74</v>
      </c>
      <c r="BI24" s="63">
        <f t="shared" si="21"/>
        <v>1669.74</v>
      </c>
      <c r="BJ24" s="63">
        <f t="shared" si="21"/>
        <v>1701.5400000000002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</v>
      </c>
      <c r="C25" s="46">
        <v>9</v>
      </c>
      <c r="D25" s="46">
        <v>9</v>
      </c>
      <c r="E25" s="46">
        <v>9</v>
      </c>
      <c r="F25" s="46">
        <v>10</v>
      </c>
      <c r="G25" s="46">
        <v>10</v>
      </c>
      <c r="H25" s="46">
        <v>9.9</v>
      </c>
      <c r="I25" s="46">
        <v>9.9</v>
      </c>
      <c r="J25" s="46">
        <v>9.9</v>
      </c>
      <c r="K25" s="46">
        <v>8.8000000000000007</v>
      </c>
      <c r="L25" s="46">
        <v>8.8000000000000007</v>
      </c>
      <c r="M25" s="46">
        <v>8.8000000000000007</v>
      </c>
      <c r="N25" s="46">
        <v>8.8000000000000007</v>
      </c>
      <c r="O25" s="46">
        <v>8.8000000000000007</v>
      </c>
      <c r="P25" s="46">
        <v>8.8000000000000007</v>
      </c>
      <c r="Q25" s="46">
        <v>6.7</v>
      </c>
      <c r="R25" s="46">
        <v>6.7</v>
      </c>
      <c r="S25" s="46">
        <v>6.7</v>
      </c>
      <c r="T25" s="46">
        <v>6.7</v>
      </c>
      <c r="U25" s="46">
        <v>6.7</v>
      </c>
      <c r="V25" s="46">
        <v>6.7</v>
      </c>
      <c r="W25" s="46">
        <v>6.7</v>
      </c>
      <c r="X25" s="46">
        <v>6.7</v>
      </c>
      <c r="Y25" s="46">
        <v>6.7</v>
      </c>
      <c r="Z25" s="46">
        <v>6.7</v>
      </c>
      <c r="AA25" s="46">
        <v>6.7</v>
      </c>
      <c r="AB25" s="46">
        <v>9</v>
      </c>
      <c r="AC25" s="46">
        <v>9</v>
      </c>
      <c r="AD25" s="46">
        <v>9</v>
      </c>
      <c r="AE25" s="46">
        <v>9</v>
      </c>
      <c r="AF25" s="46">
        <v>9</v>
      </c>
      <c r="AG25" s="61">
        <v>30</v>
      </c>
      <c r="AH25" s="48">
        <f t="shared" si="8"/>
        <v>10</v>
      </c>
      <c r="AI25" s="49">
        <f t="shared" si="9"/>
        <v>6.7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10.5</v>
      </c>
      <c r="C26" s="46">
        <v>10.5</v>
      </c>
      <c r="D26" s="46">
        <v>10.5</v>
      </c>
      <c r="E26" s="46">
        <v>12</v>
      </c>
      <c r="F26" s="46">
        <v>12</v>
      </c>
      <c r="G26" s="46">
        <v>10.4</v>
      </c>
      <c r="H26" s="46">
        <v>11.8</v>
      </c>
      <c r="I26" s="46">
        <v>11.8</v>
      </c>
      <c r="J26" s="46">
        <v>11.8</v>
      </c>
      <c r="K26" s="46">
        <v>11.7</v>
      </c>
      <c r="L26" s="46">
        <v>11.7</v>
      </c>
      <c r="M26" s="46">
        <v>11.7</v>
      </c>
      <c r="N26" s="46">
        <v>11.7</v>
      </c>
      <c r="O26" s="46">
        <v>11.7</v>
      </c>
      <c r="P26" s="46">
        <v>11.7</v>
      </c>
      <c r="Q26" s="46">
        <v>11.1</v>
      </c>
      <c r="R26" s="46">
        <v>11.1</v>
      </c>
      <c r="S26" s="46">
        <v>11.1</v>
      </c>
      <c r="T26" s="46">
        <v>11.1</v>
      </c>
      <c r="U26" s="46">
        <v>11.1</v>
      </c>
      <c r="V26" s="46">
        <v>11.1</v>
      </c>
      <c r="W26" s="46">
        <v>11.1</v>
      </c>
      <c r="X26" s="46">
        <v>11.1</v>
      </c>
      <c r="Y26" s="46">
        <v>11.1</v>
      </c>
      <c r="Z26" s="46">
        <v>11.1</v>
      </c>
      <c r="AA26" s="46">
        <v>11.1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</v>
      </c>
      <c r="AI26" s="49">
        <f t="shared" si="9"/>
        <v>10.4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12</v>
      </c>
      <c r="C29" s="46">
        <v>12</v>
      </c>
      <c r="D29" s="46">
        <v>12.4</v>
      </c>
      <c r="E29" s="46">
        <v>10.9</v>
      </c>
      <c r="F29" s="46">
        <v>10.9</v>
      </c>
      <c r="G29" s="46">
        <v>10.199999999999999</v>
      </c>
      <c r="H29" s="46">
        <v>10.9</v>
      </c>
      <c r="I29" s="46">
        <v>10.9</v>
      </c>
      <c r="J29" s="46">
        <v>10.9</v>
      </c>
      <c r="K29" s="46">
        <v>10.9</v>
      </c>
      <c r="L29" s="46">
        <v>10.9</v>
      </c>
      <c r="M29" s="46">
        <v>10.9</v>
      </c>
      <c r="N29" s="46">
        <v>10.9</v>
      </c>
      <c r="O29" s="46">
        <v>10.9</v>
      </c>
      <c r="P29" s="46">
        <v>10.9</v>
      </c>
      <c r="Q29" s="46">
        <v>9.1999999999999993</v>
      </c>
      <c r="R29" s="46">
        <v>9.1999999999999993</v>
      </c>
      <c r="S29" s="46">
        <v>9.1999999999999993</v>
      </c>
      <c r="T29" s="46">
        <v>9.1999999999999993</v>
      </c>
      <c r="U29" s="46">
        <v>9.1999999999999993</v>
      </c>
      <c r="V29" s="46">
        <v>9.1999999999999993</v>
      </c>
      <c r="W29" s="46">
        <v>9.1999999999999993</v>
      </c>
      <c r="X29" s="46">
        <v>9.1999999999999993</v>
      </c>
      <c r="Y29" s="46">
        <v>9.1999999999999993</v>
      </c>
      <c r="Z29" s="46">
        <v>9.1999999999999993</v>
      </c>
      <c r="AA29" s="46">
        <v>9.1999999999999993</v>
      </c>
      <c r="AB29" s="46">
        <v>9.1999999999999993</v>
      </c>
      <c r="AC29" s="46">
        <v>9.1999999999999993</v>
      </c>
      <c r="AD29" s="46">
        <v>9.1999999999999993</v>
      </c>
      <c r="AE29" s="46">
        <v>9.1999999999999993</v>
      </c>
      <c r="AF29" s="46">
        <v>9.1999999999999993</v>
      </c>
      <c r="AG29" s="50">
        <v>25</v>
      </c>
      <c r="AH29" s="48">
        <f t="shared" si="8"/>
        <v>12.4</v>
      </c>
      <c r="AI29" s="49">
        <f t="shared" si="9"/>
        <v>9.1999999999999993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6.4</v>
      </c>
      <c r="C30" s="46">
        <v>6.4</v>
      </c>
      <c r="D30" s="46">
        <v>7</v>
      </c>
      <c r="E30" s="46">
        <v>5.6</v>
      </c>
      <c r="F30" s="46">
        <v>5.6</v>
      </c>
      <c r="G30" s="46">
        <v>6.2</v>
      </c>
      <c r="H30" s="46">
        <v>5.6</v>
      </c>
      <c r="I30" s="46">
        <v>5.6</v>
      </c>
      <c r="J30" s="46">
        <v>5.6</v>
      </c>
      <c r="K30" s="46">
        <v>5.6</v>
      </c>
      <c r="L30" s="46">
        <v>5.6</v>
      </c>
      <c r="M30" s="46">
        <v>5.6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23.5</v>
      </c>
      <c r="AH30" s="48">
        <f t="shared" si="8"/>
        <v>7</v>
      </c>
      <c r="AI30" s="49">
        <f t="shared" si="9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8</v>
      </c>
      <c r="C34" s="46">
        <v>8</v>
      </c>
      <c r="D34" s="46">
        <v>8</v>
      </c>
      <c r="E34" s="46">
        <v>8.8000000000000007</v>
      </c>
      <c r="F34" s="46">
        <v>8.8000000000000007</v>
      </c>
      <c r="G34" s="46">
        <v>8.6</v>
      </c>
      <c r="H34" s="46">
        <v>8.8000000000000007</v>
      </c>
      <c r="I34" s="46">
        <v>8.8000000000000007</v>
      </c>
      <c r="J34" s="46">
        <v>8.8000000000000007</v>
      </c>
      <c r="K34" s="46">
        <v>8.8000000000000007</v>
      </c>
      <c r="L34" s="46">
        <v>8.8000000000000007</v>
      </c>
      <c r="M34" s="46">
        <v>8.8000000000000007</v>
      </c>
      <c r="N34" s="46">
        <v>8.8000000000000007</v>
      </c>
      <c r="O34" s="46">
        <v>8.8000000000000007</v>
      </c>
      <c r="P34" s="46">
        <v>8.8000000000000007</v>
      </c>
      <c r="Q34" s="46">
        <v>7</v>
      </c>
      <c r="R34" s="46">
        <v>7</v>
      </c>
      <c r="S34" s="46">
        <v>7</v>
      </c>
      <c r="T34" s="46">
        <v>7</v>
      </c>
      <c r="U34" s="46">
        <v>7</v>
      </c>
      <c r="V34" s="46">
        <v>7</v>
      </c>
      <c r="W34" s="46">
        <v>7</v>
      </c>
      <c r="X34" s="46">
        <v>7</v>
      </c>
      <c r="Y34" s="46">
        <v>7</v>
      </c>
      <c r="Z34" s="46">
        <v>7</v>
      </c>
      <c r="AA34" s="46">
        <v>7</v>
      </c>
      <c r="AB34" s="46">
        <v>7</v>
      </c>
      <c r="AC34" s="46">
        <v>7</v>
      </c>
      <c r="AD34" s="46">
        <v>7</v>
      </c>
      <c r="AE34" s="46">
        <v>7</v>
      </c>
      <c r="AF34" s="46">
        <v>7</v>
      </c>
      <c r="AG34" s="50">
        <v>22</v>
      </c>
      <c r="AH34" s="48">
        <f t="shared" si="8"/>
        <v>8.8000000000000007</v>
      </c>
      <c r="AI34" s="49">
        <f t="shared" si="9"/>
        <v>7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13</v>
      </c>
      <c r="C35" s="46">
        <v>13</v>
      </c>
      <c r="D35" s="46">
        <v>13</v>
      </c>
      <c r="E35" s="46">
        <v>13</v>
      </c>
      <c r="F35" s="46">
        <v>13</v>
      </c>
      <c r="G35" s="46">
        <v>10.8</v>
      </c>
      <c r="H35" s="46">
        <v>13</v>
      </c>
      <c r="I35" s="46">
        <v>13</v>
      </c>
      <c r="J35" s="46">
        <v>13</v>
      </c>
      <c r="K35" s="46">
        <v>13</v>
      </c>
      <c r="L35" s="46">
        <v>13</v>
      </c>
      <c r="M35" s="46">
        <v>13</v>
      </c>
      <c r="N35" s="46">
        <v>13</v>
      </c>
      <c r="O35" s="46">
        <v>13</v>
      </c>
      <c r="P35" s="46">
        <v>13</v>
      </c>
      <c r="Q35" s="46">
        <v>8.9</v>
      </c>
      <c r="R35" s="46">
        <v>8.9</v>
      </c>
      <c r="S35" s="46">
        <v>8.9</v>
      </c>
      <c r="T35" s="46">
        <v>8.9</v>
      </c>
      <c r="U35" s="46">
        <v>8.9</v>
      </c>
      <c r="V35" s="46">
        <v>8.9</v>
      </c>
      <c r="W35" s="46">
        <v>8.9</v>
      </c>
      <c r="X35" s="46">
        <v>8.9</v>
      </c>
      <c r="Y35" s="46">
        <v>8.9</v>
      </c>
      <c r="Z35" s="46">
        <v>8.9</v>
      </c>
      <c r="AA35" s="46">
        <v>8.9</v>
      </c>
      <c r="AB35" s="46">
        <v>8.9</v>
      </c>
      <c r="AC35" s="46">
        <v>8.9</v>
      </c>
      <c r="AD35" s="46">
        <v>8.9</v>
      </c>
      <c r="AE35" s="46">
        <v>8.9</v>
      </c>
      <c r="AF35" s="46">
        <v>8.9</v>
      </c>
      <c r="AG35" s="50">
        <v>20</v>
      </c>
      <c r="AH35" s="48">
        <f t="shared" si="8"/>
        <v>13</v>
      </c>
      <c r="AI35" s="49">
        <f t="shared" si="9"/>
        <v>8.9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9.4</v>
      </c>
      <c r="C37" s="46">
        <v>9.4</v>
      </c>
      <c r="D37" s="46">
        <v>9.4</v>
      </c>
      <c r="E37" s="46">
        <v>9.4</v>
      </c>
      <c r="F37" s="46">
        <v>9.4</v>
      </c>
      <c r="G37" s="46">
        <v>8.6999999999999993</v>
      </c>
      <c r="H37" s="46">
        <v>9.4</v>
      </c>
      <c r="I37" s="46">
        <v>9.4</v>
      </c>
      <c r="J37" s="46">
        <v>9.4</v>
      </c>
      <c r="K37" s="46">
        <v>9.4</v>
      </c>
      <c r="L37" s="46">
        <v>9.4</v>
      </c>
      <c r="M37" s="46">
        <v>9.4</v>
      </c>
      <c r="N37" s="46">
        <v>9.4</v>
      </c>
      <c r="O37" s="46">
        <v>9.4</v>
      </c>
      <c r="P37" s="46">
        <v>9.4</v>
      </c>
      <c r="Q37" s="46">
        <v>7.6</v>
      </c>
      <c r="R37" s="46">
        <v>7.6</v>
      </c>
      <c r="S37" s="46">
        <v>7.6</v>
      </c>
      <c r="T37" s="46">
        <v>7.6</v>
      </c>
      <c r="U37" s="46">
        <v>7.6</v>
      </c>
      <c r="V37" s="46">
        <v>7.6</v>
      </c>
      <c r="W37" s="46">
        <v>7.6</v>
      </c>
      <c r="X37" s="46">
        <v>7.6</v>
      </c>
      <c r="Y37" s="46">
        <v>7.6</v>
      </c>
      <c r="Z37" s="46">
        <v>7.6</v>
      </c>
      <c r="AA37" s="46">
        <v>7.6</v>
      </c>
      <c r="AB37" s="46">
        <v>7.6</v>
      </c>
      <c r="AC37" s="46">
        <v>7.6</v>
      </c>
      <c r="AD37" s="46">
        <v>7.6</v>
      </c>
      <c r="AE37" s="46">
        <v>7.6</v>
      </c>
      <c r="AF37" s="46">
        <v>7.6</v>
      </c>
      <c r="AG37" s="50">
        <v>18</v>
      </c>
      <c r="AH37" s="48">
        <f t="shared" si="8"/>
        <v>9.4</v>
      </c>
      <c r="AI37" s="49">
        <f t="shared" si="9"/>
        <v>7.6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14.9</v>
      </c>
      <c r="AH41" s="48">
        <f t="shared" si="8"/>
        <v>4</v>
      </c>
      <c r="AI41" s="49">
        <f t="shared" si="9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13</v>
      </c>
      <c r="AH43" s="48">
        <f t="shared" si="8"/>
        <v>0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12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</v>
      </c>
      <c r="C50" s="46">
        <v>1.8</v>
      </c>
      <c r="D50" s="46">
        <v>1.8</v>
      </c>
      <c r="E50" s="46">
        <v>1.8</v>
      </c>
      <c r="F50" s="46">
        <v>1.8</v>
      </c>
      <c r="G50" s="46">
        <v>1.8</v>
      </c>
      <c r="H50" s="46">
        <v>1.8</v>
      </c>
      <c r="I50" s="46">
        <v>1.8</v>
      </c>
      <c r="J50" s="46">
        <v>1.8</v>
      </c>
      <c r="K50" s="46">
        <v>1.8</v>
      </c>
      <c r="L50" s="46">
        <v>1.8</v>
      </c>
      <c r="M50" s="46">
        <v>1.8</v>
      </c>
      <c r="N50" s="46">
        <v>1.8</v>
      </c>
      <c r="O50" s="46">
        <v>1.8</v>
      </c>
      <c r="P50" s="46">
        <v>1.8</v>
      </c>
      <c r="Q50" s="46">
        <v>1.8</v>
      </c>
      <c r="R50" s="46">
        <v>1.8</v>
      </c>
      <c r="S50" s="46">
        <v>1.8</v>
      </c>
      <c r="T50" s="46">
        <v>1.8</v>
      </c>
      <c r="U50" s="46">
        <v>1.8</v>
      </c>
      <c r="V50" s="46">
        <v>1.8</v>
      </c>
      <c r="W50" s="46">
        <v>1.8</v>
      </c>
      <c r="X50" s="46">
        <v>1.8</v>
      </c>
      <c r="Y50" s="46">
        <v>1.8</v>
      </c>
      <c r="Z50" s="46">
        <v>1.8</v>
      </c>
      <c r="AA50" s="46">
        <v>1.8</v>
      </c>
      <c r="AB50" s="46">
        <v>1.8</v>
      </c>
      <c r="AC50" s="46">
        <v>1.8</v>
      </c>
      <c r="AD50" s="46">
        <v>1.8</v>
      </c>
      <c r="AE50" s="46">
        <v>1.8</v>
      </c>
      <c r="AF50" s="46">
        <v>1.8</v>
      </c>
      <c r="AG50" s="66">
        <v>11</v>
      </c>
      <c r="AH50" s="48">
        <f t="shared" si="8"/>
        <v>1.8</v>
      </c>
      <c r="AI50" s="49">
        <f t="shared" si="9"/>
        <v>1.8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35.700000000000003</v>
      </c>
      <c r="C57" s="68">
        <v>35.700000000000003</v>
      </c>
      <c r="D57" s="68">
        <v>35.700000000000003</v>
      </c>
      <c r="E57" s="68">
        <v>41.6</v>
      </c>
      <c r="F57" s="68">
        <v>46.9</v>
      </c>
      <c r="G57" s="68">
        <v>47</v>
      </c>
      <c r="H57" s="68">
        <v>49</v>
      </c>
      <c r="I57" s="68">
        <v>48.7</v>
      </c>
      <c r="J57" s="68">
        <v>49.5</v>
      </c>
      <c r="K57" s="53">
        <v>46.4</v>
      </c>
      <c r="L57" s="53">
        <v>46.4</v>
      </c>
      <c r="M57" s="53">
        <v>46.4</v>
      </c>
      <c r="N57" s="53">
        <v>46.4</v>
      </c>
      <c r="O57" s="53">
        <v>49</v>
      </c>
      <c r="P57" s="53">
        <v>39</v>
      </c>
      <c r="Q57" s="53">
        <f>15.2+24.1</f>
        <v>39.299999999999997</v>
      </c>
      <c r="R57" s="53">
        <v>47</v>
      </c>
      <c r="S57" s="53">
        <f>19+26.9</f>
        <v>45.9</v>
      </c>
      <c r="T57" s="53">
        <f>19+26.9</f>
        <v>45.9</v>
      </c>
      <c r="U57" s="53">
        <f>19+26.9</f>
        <v>45.9</v>
      </c>
      <c r="V57" s="53">
        <f>15.3+24.1</f>
        <v>39.400000000000006</v>
      </c>
      <c r="W57" s="53">
        <f>23.2+44.2</f>
        <v>67.400000000000006</v>
      </c>
      <c r="X57" s="53">
        <f>22.7+43.6</f>
        <v>66.3</v>
      </c>
      <c r="Y57" s="68">
        <f>20.1+35</f>
        <v>55.1</v>
      </c>
      <c r="Z57" s="68">
        <f>20.1+35</f>
        <v>55.1</v>
      </c>
      <c r="AA57" s="68">
        <f>20.1+35</f>
        <v>55.1</v>
      </c>
      <c r="AB57" s="68">
        <v>69.2</v>
      </c>
      <c r="AC57" s="68">
        <v>69.2</v>
      </c>
      <c r="AD57" s="68">
        <v>69.2</v>
      </c>
      <c r="AE57" s="68">
        <v>69.2</v>
      </c>
      <c r="AF57" s="68">
        <v>60</v>
      </c>
      <c r="AG57" s="66">
        <v>240</v>
      </c>
      <c r="AH57" s="48">
        <f t="shared" si="8"/>
        <v>69.2</v>
      </c>
      <c r="AI57" s="49">
        <f t="shared" si="9"/>
        <v>35.700000000000003</v>
      </c>
      <c r="AK57" s="51"/>
    </row>
    <row r="58" spans="1:88" ht="15.75" thickBot="1" x14ac:dyDescent="0.3">
      <c r="A58" s="70" t="s">
        <v>75</v>
      </c>
      <c r="B58" s="71">
        <f t="shared" ref="B58:H58" si="22">SUM(B11:B56)</f>
        <v>539</v>
      </c>
      <c r="C58" s="71">
        <f t="shared" si="22"/>
        <v>539.79999999999995</v>
      </c>
      <c r="D58" s="71">
        <f t="shared" si="22"/>
        <v>541.70000000000005</v>
      </c>
      <c r="E58" s="71">
        <f t="shared" si="22"/>
        <v>541.6</v>
      </c>
      <c r="F58" s="71">
        <f t="shared" si="22"/>
        <v>542.90000000000009</v>
      </c>
      <c r="G58" s="71">
        <f t="shared" si="22"/>
        <v>539.22</v>
      </c>
      <c r="H58" s="71">
        <f t="shared" si="22"/>
        <v>539.40000000000009</v>
      </c>
      <c r="I58" s="71">
        <f t="shared" ref="I58:S58" si="23">SUM(I11:I56)</f>
        <v>539.40000000000009</v>
      </c>
      <c r="J58" s="71">
        <f t="shared" si="23"/>
        <v>539.40000000000009</v>
      </c>
      <c r="K58" s="71">
        <f t="shared" si="23"/>
        <v>534.20000000000005</v>
      </c>
      <c r="L58" s="71">
        <f t="shared" si="23"/>
        <v>534.20000000000005</v>
      </c>
      <c r="M58" s="71">
        <f t="shared" si="23"/>
        <v>534.20000000000005</v>
      </c>
      <c r="N58" s="71">
        <f t="shared" si="23"/>
        <v>528.6</v>
      </c>
      <c r="O58" s="71">
        <f t="shared" si="23"/>
        <v>528.6</v>
      </c>
      <c r="P58" s="71">
        <f t="shared" si="23"/>
        <v>528.6</v>
      </c>
      <c r="Q58" s="71">
        <f t="shared" si="23"/>
        <v>504.8</v>
      </c>
      <c r="R58" s="71">
        <f t="shared" si="23"/>
        <v>504.8</v>
      </c>
      <c r="S58" s="71">
        <f t="shared" si="23"/>
        <v>517.80000000000007</v>
      </c>
      <c r="T58" s="71">
        <f>SUM(T11:T56)</f>
        <v>517.80000000000007</v>
      </c>
      <c r="U58" s="71">
        <f>SUM(U11:U56)</f>
        <v>517.80000000000007</v>
      </c>
      <c r="V58" s="71">
        <f t="shared" ref="V58:AF58" si="24">SUM(V11:V56)</f>
        <v>517.80000000000007</v>
      </c>
      <c r="W58" s="71">
        <f t="shared" si="24"/>
        <v>517.80000000000007</v>
      </c>
      <c r="X58" s="71">
        <f t="shared" si="24"/>
        <v>517.80000000000007</v>
      </c>
      <c r="Y58" s="71">
        <f t="shared" si="24"/>
        <v>517.80000000000007</v>
      </c>
      <c r="Z58" s="71">
        <f t="shared" si="24"/>
        <v>527.10000000000014</v>
      </c>
      <c r="AA58" s="71">
        <f t="shared" si="24"/>
        <v>527.10000000000014</v>
      </c>
      <c r="AB58" s="71">
        <f t="shared" si="24"/>
        <v>561.79999999999995</v>
      </c>
      <c r="AC58" s="71">
        <f t="shared" si="24"/>
        <v>561.79999999999995</v>
      </c>
      <c r="AD58" s="71">
        <f t="shared" si="24"/>
        <v>561.79999999999995</v>
      </c>
      <c r="AE58" s="71">
        <f t="shared" si="24"/>
        <v>561.79999999999995</v>
      </c>
      <c r="AF58" s="71">
        <f t="shared" si="24"/>
        <v>561.79999999999995</v>
      </c>
      <c r="AG58" s="72">
        <f>SUM(AG14:AG56)</f>
        <v>1042.4000000000001</v>
      </c>
      <c r="AH58" s="48">
        <f t="shared" si="8"/>
        <v>561.79999999999995</v>
      </c>
      <c r="AI58" s="49">
        <f t="shared" si="9"/>
        <v>504.8</v>
      </c>
      <c r="AK58" s="51"/>
    </row>
    <row r="59" spans="1:88" x14ac:dyDescent="0.25">
      <c r="A59" s="73" t="s">
        <v>76</v>
      </c>
      <c r="B59" s="46">
        <v>100</v>
      </c>
      <c r="C59" s="46">
        <v>100</v>
      </c>
      <c r="D59" s="46">
        <v>100</v>
      </c>
      <c r="E59" s="46">
        <v>100.7</v>
      </c>
      <c r="F59" s="46">
        <v>100.7</v>
      </c>
      <c r="G59" s="46">
        <v>100.7</v>
      </c>
      <c r="H59" s="46">
        <v>100</v>
      </c>
      <c r="I59" s="46">
        <v>150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46">
        <v>0</v>
      </c>
      <c r="X59" s="46">
        <v>30.5</v>
      </c>
      <c r="Y59" s="46">
        <v>380</v>
      </c>
      <c r="Z59" s="46">
        <v>410</v>
      </c>
      <c r="AA59" s="46">
        <v>427.9</v>
      </c>
      <c r="AB59" s="46">
        <v>427</v>
      </c>
      <c r="AC59" s="46">
        <v>400</v>
      </c>
      <c r="AD59" s="46">
        <v>349</v>
      </c>
      <c r="AE59" s="46">
        <v>150</v>
      </c>
      <c r="AF59" s="46">
        <v>100</v>
      </c>
      <c r="AG59" s="61">
        <v>456</v>
      </c>
      <c r="AH59" s="48">
        <f t="shared" si="8"/>
        <v>427.9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23.3</v>
      </c>
      <c r="C60" s="76">
        <v>23.6</v>
      </c>
      <c r="D60" s="76">
        <v>24.3</v>
      </c>
      <c r="E60" s="76">
        <v>23.2</v>
      </c>
      <c r="F60" s="76">
        <v>23.2</v>
      </c>
      <c r="G60" s="76">
        <v>22.2</v>
      </c>
      <c r="H60" s="76">
        <v>23.2</v>
      </c>
      <c r="I60" s="76">
        <v>23.8</v>
      </c>
      <c r="J60" s="76">
        <v>22.9</v>
      </c>
      <c r="K60" s="76">
        <v>22.9</v>
      </c>
      <c r="L60" s="76">
        <v>22.9</v>
      </c>
      <c r="M60" s="76">
        <v>21.7</v>
      </c>
      <c r="N60" s="76">
        <v>21.7</v>
      </c>
      <c r="O60" s="76">
        <v>22.5</v>
      </c>
      <c r="P60" s="76">
        <v>22.5</v>
      </c>
      <c r="Q60" s="76">
        <v>22.6</v>
      </c>
      <c r="R60" s="76">
        <v>22.6</v>
      </c>
      <c r="S60" s="76">
        <v>21.1</v>
      </c>
      <c r="T60" s="76">
        <v>21.1</v>
      </c>
      <c r="U60" s="76">
        <v>21.1</v>
      </c>
      <c r="V60" s="76">
        <v>21.2</v>
      </c>
      <c r="W60" s="76">
        <v>21.9</v>
      </c>
      <c r="X60" s="76">
        <v>21.9</v>
      </c>
      <c r="Y60" s="76">
        <v>22</v>
      </c>
      <c r="Z60" s="76">
        <v>22.6</v>
      </c>
      <c r="AA60" s="76">
        <v>21.4</v>
      </c>
      <c r="AB60" s="76">
        <v>21</v>
      </c>
      <c r="AC60" s="76">
        <v>21</v>
      </c>
      <c r="AD60" s="76">
        <v>22.6</v>
      </c>
      <c r="AE60" s="76">
        <v>22.6</v>
      </c>
      <c r="AF60" s="76">
        <v>20</v>
      </c>
      <c r="AG60" s="66">
        <v>60</v>
      </c>
      <c r="AH60" s="48">
        <f t="shared" si="8"/>
        <v>24.3</v>
      </c>
      <c r="AI60" s="49">
        <f t="shared" si="9"/>
        <v>20</v>
      </c>
      <c r="AK60" s="51"/>
    </row>
    <row r="61" spans="1:88" ht="15.75" thickBot="1" x14ac:dyDescent="0.3">
      <c r="A61" s="77" t="s">
        <v>78</v>
      </c>
      <c r="B61" s="78">
        <v>22.7</v>
      </c>
      <c r="C61" s="78">
        <v>22.7</v>
      </c>
      <c r="D61" s="78">
        <v>22.7</v>
      </c>
      <c r="E61" s="78">
        <v>22.7</v>
      </c>
      <c r="F61" s="78">
        <v>21.6</v>
      </c>
      <c r="G61" s="78">
        <v>21.2</v>
      </c>
      <c r="H61" s="78">
        <v>21.2</v>
      </c>
      <c r="I61" s="78">
        <v>21.3</v>
      </c>
      <c r="J61" s="78">
        <v>21.2</v>
      </c>
      <c r="K61" s="78">
        <v>21.2</v>
      </c>
      <c r="L61" s="78">
        <v>21.2</v>
      </c>
      <c r="M61" s="78">
        <v>21.2</v>
      </c>
      <c r="N61" s="78">
        <v>21.2</v>
      </c>
      <c r="O61" s="78">
        <v>21.2</v>
      </c>
      <c r="P61" s="78">
        <v>21.2</v>
      </c>
      <c r="Q61" s="78">
        <v>16.5</v>
      </c>
      <c r="R61" s="78">
        <v>16.5</v>
      </c>
      <c r="S61" s="78">
        <v>13.8</v>
      </c>
      <c r="T61" s="78">
        <v>13.8</v>
      </c>
      <c r="U61" s="78">
        <v>13.8</v>
      </c>
      <c r="V61" s="78">
        <v>22.1</v>
      </c>
      <c r="W61" s="78">
        <v>22.4</v>
      </c>
      <c r="X61" s="78">
        <v>22.5</v>
      </c>
      <c r="Y61" s="78">
        <v>22.5</v>
      </c>
      <c r="Z61" s="78">
        <v>22.4</v>
      </c>
      <c r="AA61" s="78">
        <v>22.5</v>
      </c>
      <c r="AB61" s="78">
        <v>22.5</v>
      </c>
      <c r="AC61" s="78">
        <v>22.5</v>
      </c>
      <c r="AD61" s="78">
        <v>22.5</v>
      </c>
      <c r="AE61" s="78">
        <v>22.5</v>
      </c>
      <c r="AF61" s="78">
        <v>22.6</v>
      </c>
      <c r="AG61" s="79">
        <v>22.1</v>
      </c>
      <c r="AH61" s="48">
        <f t="shared" si="8"/>
        <v>22.7</v>
      </c>
      <c r="AI61" s="49">
        <f t="shared" si="9"/>
        <v>13.8</v>
      </c>
      <c r="AK61" s="51"/>
    </row>
    <row r="62" spans="1:88" ht="15.75" thickBot="1" x14ac:dyDescent="0.3">
      <c r="A62" s="80" t="s">
        <v>79</v>
      </c>
      <c r="B62" s="71">
        <f t="shared" ref="B62:AG62" si="25">SUM(B59:B61)</f>
        <v>146</v>
      </c>
      <c r="C62" s="71">
        <f t="shared" si="25"/>
        <v>146.29999999999998</v>
      </c>
      <c r="D62" s="71">
        <f t="shared" si="25"/>
        <v>147</v>
      </c>
      <c r="E62" s="71">
        <f t="shared" si="25"/>
        <v>146.6</v>
      </c>
      <c r="F62" s="71">
        <f>SUM(F59:F61)</f>
        <v>145.5</v>
      </c>
      <c r="G62" s="71">
        <f>SUM(G59:G61)</f>
        <v>144.1</v>
      </c>
      <c r="H62" s="71">
        <f>SUM(H59:H61)</f>
        <v>144.4</v>
      </c>
      <c r="I62" s="71">
        <f t="shared" si="25"/>
        <v>195.10000000000002</v>
      </c>
      <c r="J62" s="71">
        <f t="shared" si="25"/>
        <v>44.099999999999994</v>
      </c>
      <c r="K62" s="71">
        <f t="shared" si="25"/>
        <v>44.099999999999994</v>
      </c>
      <c r="L62" s="71">
        <f t="shared" si="25"/>
        <v>44.099999999999994</v>
      </c>
      <c r="M62" s="71">
        <f t="shared" si="25"/>
        <v>42.9</v>
      </c>
      <c r="N62" s="71">
        <f t="shared" si="25"/>
        <v>42.9</v>
      </c>
      <c r="O62" s="71">
        <f t="shared" si="25"/>
        <v>43.7</v>
      </c>
      <c r="P62" s="71">
        <f t="shared" si="25"/>
        <v>43.7</v>
      </c>
      <c r="Q62" s="71">
        <f t="shared" si="25"/>
        <v>39.1</v>
      </c>
      <c r="R62" s="71">
        <f t="shared" si="25"/>
        <v>39.1</v>
      </c>
      <c r="S62" s="71">
        <f t="shared" si="25"/>
        <v>34.900000000000006</v>
      </c>
      <c r="T62" s="71">
        <f>SUM(T59:T61)</f>
        <v>34.900000000000006</v>
      </c>
      <c r="U62" s="71">
        <f>SUM(U59:U61)</f>
        <v>34.900000000000006</v>
      </c>
      <c r="V62" s="71">
        <f t="shared" si="25"/>
        <v>43.3</v>
      </c>
      <c r="W62" s="71">
        <f t="shared" si="25"/>
        <v>44.3</v>
      </c>
      <c r="X62" s="71">
        <f t="shared" si="25"/>
        <v>74.900000000000006</v>
      </c>
      <c r="Y62" s="71">
        <f t="shared" si="25"/>
        <v>424.5</v>
      </c>
      <c r="Z62" s="71">
        <f t="shared" si="25"/>
        <v>455</v>
      </c>
      <c r="AA62" s="71">
        <f t="shared" si="25"/>
        <v>471.79999999999995</v>
      </c>
      <c r="AB62" s="71">
        <f t="shared" si="25"/>
        <v>470.5</v>
      </c>
      <c r="AC62" s="71">
        <f t="shared" si="25"/>
        <v>443.5</v>
      </c>
      <c r="AD62" s="71">
        <f t="shared" si="25"/>
        <v>394.1</v>
      </c>
      <c r="AE62" s="71">
        <f t="shared" si="25"/>
        <v>195.1</v>
      </c>
      <c r="AF62" s="71">
        <f t="shared" si="25"/>
        <v>142.6</v>
      </c>
      <c r="AG62" s="72">
        <f t="shared" si="25"/>
        <v>538.1</v>
      </c>
      <c r="AH62" s="48">
        <f t="shared" si="8"/>
        <v>471.79999999999995</v>
      </c>
      <c r="AI62" s="49">
        <f t="shared" si="9"/>
        <v>34.900000000000006</v>
      </c>
      <c r="AK62" s="51"/>
    </row>
    <row r="63" spans="1:88" x14ac:dyDescent="0.25">
      <c r="A63" s="45" t="s">
        <v>80</v>
      </c>
      <c r="B63" s="46">
        <v>85.5</v>
      </c>
      <c r="C63" s="46">
        <v>86.1</v>
      </c>
      <c r="D63" s="46">
        <v>70.7</v>
      </c>
      <c r="E63" s="46">
        <v>60.5</v>
      </c>
      <c r="F63" s="46">
        <v>60.5</v>
      </c>
      <c r="G63" s="46">
        <v>60.7</v>
      </c>
      <c r="H63" s="46">
        <v>60.5</v>
      </c>
      <c r="I63" s="46">
        <v>70.5</v>
      </c>
      <c r="J63" s="46">
        <v>60.4</v>
      </c>
      <c r="K63" s="46">
        <v>60.2</v>
      </c>
      <c r="L63" s="46">
        <v>60.1</v>
      </c>
      <c r="M63" s="46">
        <v>60.1</v>
      </c>
      <c r="N63" s="46">
        <v>60.1</v>
      </c>
      <c r="O63" s="46">
        <v>70</v>
      </c>
      <c r="P63" s="46">
        <v>70</v>
      </c>
      <c r="Q63" s="46">
        <v>80.599999999999994</v>
      </c>
      <c r="R63" s="46">
        <v>80.599999999999994</v>
      </c>
      <c r="S63" s="46">
        <v>80.8</v>
      </c>
      <c r="T63" s="46">
        <v>96</v>
      </c>
      <c r="U63" s="46">
        <v>95</v>
      </c>
      <c r="V63" s="46">
        <v>66.2</v>
      </c>
      <c r="W63" s="46">
        <v>60.3</v>
      </c>
      <c r="X63" s="46">
        <v>60.1</v>
      </c>
      <c r="Y63" s="46">
        <v>121.3</v>
      </c>
      <c r="Z63" s="46">
        <v>121.3</v>
      </c>
      <c r="AA63" s="46">
        <v>120.9</v>
      </c>
      <c r="AB63" s="46">
        <v>112</v>
      </c>
      <c r="AC63" s="46">
        <v>111.3</v>
      </c>
      <c r="AD63" s="46">
        <v>111.3</v>
      </c>
      <c r="AE63" s="46">
        <v>111.3</v>
      </c>
      <c r="AF63" s="46">
        <v>111.3</v>
      </c>
      <c r="AG63" s="61">
        <v>144</v>
      </c>
      <c r="AH63" s="48">
        <f t="shared" si="8"/>
        <v>121.3</v>
      </c>
      <c r="AI63" s="49">
        <f t="shared" si="9"/>
        <v>60.1</v>
      </c>
      <c r="AK63" s="51"/>
    </row>
    <row r="64" spans="1:88" x14ac:dyDescent="0.25">
      <c r="A64" s="65" t="s">
        <v>81</v>
      </c>
      <c r="B64" s="76">
        <v>59.1</v>
      </c>
      <c r="C64" s="76">
        <v>59</v>
      </c>
      <c r="D64" s="76">
        <v>45.7</v>
      </c>
      <c r="E64" s="76">
        <v>30.1</v>
      </c>
      <c r="F64" s="76">
        <v>30.1</v>
      </c>
      <c r="G64" s="76">
        <v>30</v>
      </c>
      <c r="H64" s="76">
        <v>30.1</v>
      </c>
      <c r="I64" s="76">
        <v>23</v>
      </c>
      <c r="J64" s="76">
        <v>23.5</v>
      </c>
      <c r="K64" s="76">
        <v>23</v>
      </c>
      <c r="L64" s="76">
        <v>35.799999999999997</v>
      </c>
      <c r="M64" s="76">
        <v>35.799999999999997</v>
      </c>
      <c r="N64" s="76">
        <v>35.799999999999997</v>
      </c>
      <c r="O64" s="76">
        <v>35.799999999999997</v>
      </c>
      <c r="P64" s="76">
        <v>35.799999999999997</v>
      </c>
      <c r="Q64" s="76">
        <v>35.5</v>
      </c>
      <c r="R64" s="76">
        <v>50.1</v>
      </c>
      <c r="S64" s="76">
        <v>70.2</v>
      </c>
      <c r="T64" s="76">
        <v>70.2</v>
      </c>
      <c r="U64" s="76">
        <v>55</v>
      </c>
      <c r="V64" s="76">
        <v>45.8</v>
      </c>
      <c r="W64" s="46">
        <v>46.8</v>
      </c>
      <c r="X64" s="46">
        <v>46.7</v>
      </c>
      <c r="Y64" s="46">
        <v>34.700000000000003</v>
      </c>
      <c r="Z64" s="46">
        <v>34.700000000000003</v>
      </c>
      <c r="AA64" s="46">
        <v>68.8</v>
      </c>
      <c r="AB64" s="46">
        <v>60.8</v>
      </c>
      <c r="AC64" s="46">
        <v>59.7</v>
      </c>
      <c r="AD64" s="46">
        <v>60</v>
      </c>
      <c r="AE64" s="46">
        <v>60</v>
      </c>
      <c r="AF64" s="46">
        <v>60</v>
      </c>
      <c r="AG64" s="66">
        <v>70</v>
      </c>
      <c r="AH64" s="48">
        <f t="shared" si="8"/>
        <v>70.2</v>
      </c>
      <c r="AI64" s="49">
        <f t="shared" si="9"/>
        <v>23</v>
      </c>
      <c r="AK64" s="51"/>
    </row>
    <row r="65" spans="1:75" x14ac:dyDescent="0.25">
      <c r="A65" s="65" t="s">
        <v>82</v>
      </c>
      <c r="B65" s="76">
        <v>33.799999999999997</v>
      </c>
      <c r="C65" s="76">
        <v>33.9</v>
      </c>
      <c r="D65" s="76">
        <v>34.200000000000003</v>
      </c>
      <c r="E65" s="76">
        <v>34.299999999999997</v>
      </c>
      <c r="F65" s="76">
        <v>34.299999999999997</v>
      </c>
      <c r="G65" s="76">
        <v>34.700000000000003</v>
      </c>
      <c r="H65" s="76">
        <v>34.299999999999997</v>
      </c>
      <c r="I65" s="76">
        <v>33.9</v>
      </c>
      <c r="J65" s="76">
        <v>33</v>
      </c>
      <c r="K65" s="76">
        <v>33</v>
      </c>
      <c r="L65" s="76">
        <v>45.5</v>
      </c>
      <c r="M65" s="76">
        <v>45.5</v>
      </c>
      <c r="N65" s="76">
        <v>45.5</v>
      </c>
      <c r="O65" s="76">
        <v>45.5</v>
      </c>
      <c r="P65" s="76">
        <v>45.5</v>
      </c>
      <c r="Q65" s="76">
        <v>46.1</v>
      </c>
      <c r="R65" s="76">
        <v>46.1</v>
      </c>
      <c r="S65" s="76">
        <v>44.8</v>
      </c>
      <c r="T65" s="76">
        <v>44.8</v>
      </c>
      <c r="U65" s="76">
        <v>44.8</v>
      </c>
      <c r="V65" s="76">
        <v>32.299999999999997</v>
      </c>
      <c r="W65" s="46">
        <v>32.5</v>
      </c>
      <c r="X65" s="46">
        <v>32.4</v>
      </c>
      <c r="Y65" s="46">
        <v>53.2</v>
      </c>
      <c r="Z65" s="46">
        <v>53.2</v>
      </c>
      <c r="AA65" s="46">
        <v>68.5</v>
      </c>
      <c r="AB65" s="46">
        <v>68</v>
      </c>
      <c r="AC65" s="46">
        <v>68.099999999999994</v>
      </c>
      <c r="AD65" s="46">
        <v>68.099999999999994</v>
      </c>
      <c r="AE65" s="46">
        <v>68.099999999999994</v>
      </c>
      <c r="AF65" s="46">
        <v>68.099999999999994</v>
      </c>
      <c r="AG65" s="66">
        <v>69</v>
      </c>
      <c r="AH65" s="48">
        <f t="shared" si="8"/>
        <v>68.5</v>
      </c>
      <c r="AI65" s="49">
        <f t="shared" si="9"/>
        <v>32.299999999999997</v>
      </c>
      <c r="AK65" s="51"/>
    </row>
    <row r="66" spans="1:75" x14ac:dyDescent="0.25">
      <c r="A66" s="65" t="s">
        <v>83</v>
      </c>
      <c r="B66" s="76">
        <v>60</v>
      </c>
      <c r="C66" s="76">
        <v>60</v>
      </c>
      <c r="D66" s="76">
        <v>60.2</v>
      </c>
      <c r="E66" s="76">
        <v>60.2</v>
      </c>
      <c r="F66" s="76">
        <v>60.4</v>
      </c>
      <c r="G66" s="76">
        <v>60.2</v>
      </c>
      <c r="H66" s="76">
        <v>60</v>
      </c>
      <c r="I66" s="76">
        <v>60</v>
      </c>
      <c r="J66" s="76">
        <v>60</v>
      </c>
      <c r="K66" s="76">
        <v>60</v>
      </c>
      <c r="L66" s="68">
        <v>60.2</v>
      </c>
      <c r="M66" s="68">
        <v>60.2</v>
      </c>
      <c r="N66" s="68">
        <v>60.2</v>
      </c>
      <c r="O66" s="68">
        <v>60.2</v>
      </c>
      <c r="P66" s="68">
        <v>60.2</v>
      </c>
      <c r="Q66" s="76">
        <v>60</v>
      </c>
      <c r="R66" s="76">
        <v>60</v>
      </c>
      <c r="S66" s="76">
        <v>60</v>
      </c>
      <c r="T66" s="76">
        <v>60</v>
      </c>
      <c r="U66" s="76">
        <v>60</v>
      </c>
      <c r="V66" s="76">
        <v>59.7</v>
      </c>
      <c r="W66" s="46">
        <v>59.7</v>
      </c>
      <c r="X66" s="46">
        <v>59.7</v>
      </c>
      <c r="Y66" s="46">
        <v>59.7</v>
      </c>
      <c r="Z66" s="46">
        <v>59.7</v>
      </c>
      <c r="AA66" s="46">
        <v>60.2</v>
      </c>
      <c r="AB66" s="46">
        <v>60.2</v>
      </c>
      <c r="AC66" s="46">
        <v>60.2</v>
      </c>
      <c r="AD66" s="46">
        <v>60.2</v>
      </c>
      <c r="AE66" s="46">
        <v>60.2</v>
      </c>
      <c r="AF66" s="46">
        <v>60.2</v>
      </c>
      <c r="AG66" s="66">
        <v>60</v>
      </c>
      <c r="AH66" s="48">
        <f t="shared" si="8"/>
        <v>60.4</v>
      </c>
      <c r="AI66" s="49">
        <f t="shared" si="9"/>
        <v>59.7</v>
      </c>
      <c r="AK66" s="51"/>
    </row>
    <row r="67" spans="1:75" x14ac:dyDescent="0.25">
      <c r="A67" s="65" t="s">
        <v>84</v>
      </c>
      <c r="B67" s="46">
        <v>10.4</v>
      </c>
      <c r="C67" s="46">
        <v>10.4</v>
      </c>
      <c r="D67" s="46">
        <v>0</v>
      </c>
      <c r="E67" s="76">
        <v>0</v>
      </c>
      <c r="F67" s="76">
        <v>0</v>
      </c>
      <c r="G67" s="76">
        <v>10</v>
      </c>
      <c r="H67" s="76">
        <v>9.6</v>
      </c>
      <c r="I67" s="76">
        <v>9.6</v>
      </c>
      <c r="J67" s="76">
        <v>9</v>
      </c>
      <c r="K67" s="76">
        <v>9</v>
      </c>
      <c r="L67" s="68">
        <v>15</v>
      </c>
      <c r="M67" s="68">
        <v>15</v>
      </c>
      <c r="N67" s="68">
        <v>12</v>
      </c>
      <c r="O67" s="68">
        <v>15</v>
      </c>
      <c r="P67" s="68">
        <v>23</v>
      </c>
      <c r="Q67" s="76">
        <v>28</v>
      </c>
      <c r="R67" s="76">
        <v>28</v>
      </c>
      <c r="S67" s="76">
        <v>27.1</v>
      </c>
      <c r="T67" s="76">
        <v>27.1</v>
      </c>
      <c r="U67" s="76">
        <v>10</v>
      </c>
      <c r="V67" s="76">
        <v>0</v>
      </c>
      <c r="W67" s="46">
        <v>10.5</v>
      </c>
      <c r="X67" s="46">
        <v>14.6</v>
      </c>
      <c r="Y67" s="46">
        <v>22.6</v>
      </c>
      <c r="Z67" s="46">
        <v>22.6</v>
      </c>
      <c r="AA67" s="46">
        <v>22.7</v>
      </c>
      <c r="AB67" s="46">
        <v>22.5</v>
      </c>
      <c r="AC67" s="46">
        <v>14</v>
      </c>
      <c r="AD67" s="46">
        <v>14</v>
      </c>
      <c r="AE67" s="46">
        <v>14</v>
      </c>
      <c r="AF67" s="46">
        <v>14</v>
      </c>
      <c r="AG67" s="66">
        <v>30</v>
      </c>
      <c r="AH67" s="48">
        <f t="shared" si="8"/>
        <v>28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0.5</v>
      </c>
      <c r="I68" s="46">
        <v>0.9</v>
      </c>
      <c r="J68" s="46">
        <v>2.2000000000000002</v>
      </c>
      <c r="K68" s="46">
        <v>2.2000000000000002</v>
      </c>
      <c r="L68" s="76">
        <v>6.2</v>
      </c>
      <c r="M68" s="76">
        <v>8.6999999999999993</v>
      </c>
      <c r="N68" s="76">
        <v>12.9</v>
      </c>
      <c r="O68" s="76">
        <v>15.9</v>
      </c>
      <c r="P68" s="76">
        <v>14.3</v>
      </c>
      <c r="Q68" s="76">
        <v>14.9</v>
      </c>
      <c r="R68" s="76">
        <v>13.9</v>
      </c>
      <c r="S68" s="76">
        <v>12.1</v>
      </c>
      <c r="T68" s="76">
        <v>12.1</v>
      </c>
      <c r="U68" s="76">
        <v>12.1</v>
      </c>
      <c r="V68" s="76">
        <v>2.5</v>
      </c>
      <c r="W68" s="46">
        <v>0.7</v>
      </c>
      <c r="X68" s="46">
        <v>0.6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15.9</v>
      </c>
      <c r="AI68" s="49">
        <f t="shared" si="9"/>
        <v>0</v>
      </c>
      <c r="AK68" s="51"/>
      <c r="AY68" s="1" t="s">
        <v>86</v>
      </c>
      <c r="AZ68" s="82">
        <f>ROUND(C81,0)</f>
        <v>31</v>
      </c>
      <c r="BA68" s="81">
        <f t="shared" ref="BA68:BD72" si="26">D81</f>
        <v>38.700000000000003</v>
      </c>
      <c r="BB68" s="81">
        <f t="shared" si="26"/>
        <v>38.9</v>
      </c>
      <c r="BC68" s="81">
        <f t="shared" si="26"/>
        <v>39</v>
      </c>
      <c r="BD68" s="81">
        <f t="shared" si="26"/>
        <v>27</v>
      </c>
      <c r="BE68" s="82">
        <f>I81</f>
        <v>28.3</v>
      </c>
      <c r="BF68" s="82">
        <f>K81</f>
        <v>70</v>
      </c>
      <c r="BG68" s="82">
        <f t="shared" ref="BG68:BP72" si="27">M81</f>
        <v>69.2</v>
      </c>
      <c r="BH68" s="82">
        <f t="shared" si="27"/>
        <v>57.7</v>
      </c>
      <c r="BI68" s="82">
        <f t="shared" si="27"/>
        <v>65.400000000000006</v>
      </c>
      <c r="BJ68" s="82">
        <f t="shared" si="27"/>
        <v>70.7</v>
      </c>
      <c r="BK68" s="82">
        <f t="shared" si="27"/>
        <v>70.8</v>
      </c>
      <c r="BL68" s="82">
        <f t="shared" si="27"/>
        <v>72.5</v>
      </c>
      <c r="BM68" s="82">
        <f t="shared" si="27"/>
        <v>73.8</v>
      </c>
      <c r="BN68" s="82">
        <f t="shared" si="27"/>
        <v>73.8</v>
      </c>
      <c r="BO68" s="82">
        <f t="shared" si="27"/>
        <v>66</v>
      </c>
      <c r="BP68" s="82">
        <f t="shared" si="27"/>
        <v>74.7</v>
      </c>
      <c r="BQ68" s="82">
        <f>X81</f>
        <v>69.3</v>
      </c>
      <c r="BR68" s="82">
        <f>Z81</f>
        <v>23</v>
      </c>
      <c r="BS68" s="81">
        <f>AB81</f>
        <v>42.3</v>
      </c>
      <c r="BT68" s="81">
        <f t="shared" ref="BT68:BV72" si="28">AD81</f>
        <v>45</v>
      </c>
      <c r="BU68" s="81">
        <f t="shared" si="28"/>
        <v>29</v>
      </c>
      <c r="BV68" s="81">
        <f t="shared" si="28"/>
        <v>33.9</v>
      </c>
      <c r="BW68" s="81">
        <f>B81</f>
        <v>34.5</v>
      </c>
    </row>
    <row r="69" spans="1:75" x14ac:dyDescent="0.25">
      <c r="A69" s="65" t="s">
        <v>87</v>
      </c>
      <c r="B69" s="76">
        <v>13.9</v>
      </c>
      <c r="C69" s="76">
        <v>13.9</v>
      </c>
      <c r="D69" s="76">
        <v>13.8</v>
      </c>
      <c r="E69" s="76">
        <v>13.8</v>
      </c>
      <c r="F69" s="76">
        <v>13.8</v>
      </c>
      <c r="G69" s="76">
        <v>13.8</v>
      </c>
      <c r="H69" s="76">
        <v>13.6</v>
      </c>
      <c r="I69" s="76">
        <v>13.7</v>
      </c>
      <c r="J69" s="76">
        <v>13.7</v>
      </c>
      <c r="K69" s="76">
        <v>13.7</v>
      </c>
      <c r="L69" s="76">
        <v>13.7</v>
      </c>
      <c r="M69" s="76">
        <v>13.7</v>
      </c>
      <c r="N69" s="76">
        <v>13.7</v>
      </c>
      <c r="O69" s="76">
        <v>13.7</v>
      </c>
      <c r="P69" s="76">
        <v>12</v>
      </c>
      <c r="Q69" s="76">
        <v>12.1</v>
      </c>
      <c r="R69" s="76">
        <v>13.8</v>
      </c>
      <c r="S69" s="76">
        <v>13.6</v>
      </c>
      <c r="T69" s="76">
        <v>13.6</v>
      </c>
      <c r="U69" s="76">
        <v>13.6</v>
      </c>
      <c r="V69" s="76">
        <v>13.6</v>
      </c>
      <c r="W69" s="76">
        <v>14.5</v>
      </c>
      <c r="X69" s="76">
        <v>14.6</v>
      </c>
      <c r="Y69" s="76">
        <v>14.6</v>
      </c>
      <c r="Z69" s="76">
        <v>14.6</v>
      </c>
      <c r="AA69" s="76">
        <v>14.6</v>
      </c>
      <c r="AB69" s="76">
        <v>14.5</v>
      </c>
      <c r="AC69" s="76">
        <v>14.5</v>
      </c>
      <c r="AD69" s="76">
        <v>14.5</v>
      </c>
      <c r="AE69" s="76">
        <v>14.5</v>
      </c>
      <c r="AF69" s="76">
        <v>14.5</v>
      </c>
      <c r="AG69" s="66">
        <v>24</v>
      </c>
      <c r="AH69" s="48">
        <f t="shared" si="8"/>
        <v>14.6</v>
      </c>
      <c r="AI69" s="49">
        <f t="shared" si="9"/>
        <v>12</v>
      </c>
      <c r="AK69" s="51"/>
      <c r="AY69" s="1" t="s">
        <v>88</v>
      </c>
      <c r="AZ69" s="82">
        <f>ROUND(C82,0)</f>
        <v>0</v>
      </c>
      <c r="BA69" s="81">
        <f t="shared" si="26"/>
        <v>0</v>
      </c>
      <c r="BB69" s="81">
        <f t="shared" si="26"/>
        <v>0</v>
      </c>
      <c r="BC69" s="81">
        <f t="shared" si="26"/>
        <v>0</v>
      </c>
      <c r="BD69" s="81">
        <f t="shared" si="26"/>
        <v>0</v>
      </c>
      <c r="BE69" s="82">
        <f>I82</f>
        <v>0</v>
      </c>
      <c r="BF69" s="82">
        <f>K82</f>
        <v>89.8</v>
      </c>
      <c r="BG69" s="82">
        <f t="shared" si="27"/>
        <v>91.6</v>
      </c>
      <c r="BH69" s="82">
        <f t="shared" si="27"/>
        <v>103.8</v>
      </c>
      <c r="BI69" s="82">
        <f t="shared" si="27"/>
        <v>111.2</v>
      </c>
      <c r="BJ69" s="82">
        <f t="shared" si="27"/>
        <v>103</v>
      </c>
      <c r="BK69" s="82">
        <f t="shared" si="27"/>
        <v>100.6</v>
      </c>
      <c r="BL69" s="82">
        <f t="shared" si="27"/>
        <v>107.8</v>
      </c>
      <c r="BM69" s="82">
        <f t="shared" si="27"/>
        <v>106.2</v>
      </c>
      <c r="BN69" s="82">
        <f t="shared" si="27"/>
        <v>106.2</v>
      </c>
      <c r="BO69" s="82">
        <f t="shared" si="27"/>
        <v>105</v>
      </c>
      <c r="BP69" s="82">
        <f t="shared" si="27"/>
        <v>89.3</v>
      </c>
      <c r="BQ69" s="82">
        <f>X82</f>
        <v>91.3</v>
      </c>
      <c r="BR69" s="82">
        <f>Z82</f>
        <v>0</v>
      </c>
      <c r="BS69" s="81">
        <f>AB82</f>
        <v>0</v>
      </c>
      <c r="BT69" s="81">
        <f t="shared" si="28"/>
        <v>0</v>
      </c>
      <c r="BU69" s="81">
        <f t="shared" si="28"/>
        <v>0</v>
      </c>
      <c r="BV69" s="81">
        <f t="shared" si="28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166</v>
      </c>
      <c r="BA70" s="81">
        <f t="shared" si="26"/>
        <v>155.9</v>
      </c>
      <c r="BB70" s="81">
        <f t="shared" si="26"/>
        <v>170.8</v>
      </c>
      <c r="BC70" s="81">
        <f t="shared" si="26"/>
        <v>172</v>
      </c>
      <c r="BD70" s="81">
        <f t="shared" si="26"/>
        <v>159</v>
      </c>
      <c r="BE70" s="82">
        <f>I83</f>
        <v>198</v>
      </c>
      <c r="BF70" s="82">
        <f>K83</f>
        <v>423</v>
      </c>
      <c r="BG70" s="82">
        <f t="shared" si="27"/>
        <v>409.5</v>
      </c>
      <c r="BH70" s="82">
        <f t="shared" si="27"/>
        <v>408.3</v>
      </c>
      <c r="BI70" s="82">
        <f t="shared" si="27"/>
        <v>495</v>
      </c>
      <c r="BJ70" s="82">
        <f t="shared" si="27"/>
        <v>488</v>
      </c>
      <c r="BK70" s="82">
        <f t="shared" si="27"/>
        <v>479</v>
      </c>
      <c r="BL70" s="82">
        <f t="shared" si="27"/>
        <v>489</v>
      </c>
      <c r="BM70" s="82">
        <f t="shared" si="27"/>
        <v>490.2</v>
      </c>
      <c r="BN70" s="82">
        <f t="shared" si="27"/>
        <v>480</v>
      </c>
      <c r="BO70" s="82">
        <f t="shared" si="27"/>
        <v>460</v>
      </c>
      <c r="BP70" s="82">
        <f t="shared" si="27"/>
        <v>461</v>
      </c>
      <c r="BQ70" s="82">
        <f>X83</f>
        <v>306</v>
      </c>
      <c r="BR70" s="82">
        <f>Z83</f>
        <v>94.4</v>
      </c>
      <c r="BS70" s="81">
        <f>AB83</f>
        <v>72.599999999999994</v>
      </c>
      <c r="BT70" s="81">
        <f t="shared" si="28"/>
        <v>100</v>
      </c>
      <c r="BU70" s="81">
        <f t="shared" si="28"/>
        <v>106</v>
      </c>
      <c r="BV70" s="81">
        <f t="shared" si="28"/>
        <v>106</v>
      </c>
      <c r="BW70" s="81">
        <f>B83</f>
        <v>176</v>
      </c>
    </row>
    <row r="71" spans="1:75" s="83" customFormat="1" x14ac:dyDescent="0.25">
      <c r="A71" s="65" t="s">
        <v>91</v>
      </c>
      <c r="B71" s="76">
        <v>12.2</v>
      </c>
      <c r="C71" s="76">
        <v>12.2</v>
      </c>
      <c r="D71" s="76">
        <v>12.4</v>
      </c>
      <c r="E71" s="76">
        <v>12.5</v>
      </c>
      <c r="F71" s="76">
        <v>12.5</v>
      </c>
      <c r="G71" s="76">
        <v>12.5</v>
      </c>
      <c r="H71" s="76">
        <v>11.9</v>
      </c>
      <c r="I71" s="76">
        <v>11.7</v>
      </c>
      <c r="J71" s="76">
        <v>11.5</v>
      </c>
      <c r="K71" s="76">
        <v>11.5</v>
      </c>
      <c r="L71" s="76">
        <v>11.1</v>
      </c>
      <c r="M71" s="76">
        <v>11.1</v>
      </c>
      <c r="N71" s="76">
        <v>11.1</v>
      </c>
      <c r="O71" s="76">
        <v>11.1</v>
      </c>
      <c r="P71" s="76">
        <v>11.1</v>
      </c>
      <c r="Q71" s="76">
        <v>9.4</v>
      </c>
      <c r="R71" s="76">
        <v>9.4</v>
      </c>
      <c r="S71" s="76">
        <v>9.4</v>
      </c>
      <c r="T71" s="76">
        <v>9.4</v>
      </c>
      <c r="U71" s="76">
        <v>9.4</v>
      </c>
      <c r="V71" s="76">
        <v>9.4</v>
      </c>
      <c r="W71" s="76">
        <v>9.4</v>
      </c>
      <c r="X71" s="76">
        <v>9.4</v>
      </c>
      <c r="Y71" s="76">
        <v>10.6</v>
      </c>
      <c r="Z71" s="76">
        <v>10.6</v>
      </c>
      <c r="AA71" s="76">
        <v>10.6</v>
      </c>
      <c r="AB71" s="76">
        <v>11.2</v>
      </c>
      <c r="AC71" s="76">
        <v>11.2</v>
      </c>
      <c r="AD71" s="76">
        <v>11.2</v>
      </c>
      <c r="AE71" s="76">
        <v>11.2</v>
      </c>
      <c r="AF71" s="76">
        <v>11.2</v>
      </c>
      <c r="AG71" s="66">
        <v>14.1</v>
      </c>
      <c r="AH71" s="48">
        <f t="shared" si="8"/>
        <v>12.5</v>
      </c>
      <c r="AI71" s="49">
        <f t="shared" si="9"/>
        <v>9.4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15</v>
      </c>
      <c r="BA71" s="81">
        <f t="shared" si="26"/>
        <v>14.7</v>
      </c>
      <c r="BB71" s="81">
        <f t="shared" si="26"/>
        <v>14.9</v>
      </c>
      <c r="BC71" s="81">
        <f t="shared" si="26"/>
        <v>16</v>
      </c>
      <c r="BD71" s="81">
        <f t="shared" si="26"/>
        <v>13.8</v>
      </c>
      <c r="BE71" s="82">
        <f>I84</f>
        <v>12.8</v>
      </c>
      <c r="BF71" s="82">
        <f>K84</f>
        <v>49.9</v>
      </c>
      <c r="BG71" s="82">
        <f t="shared" si="27"/>
        <v>53.8</v>
      </c>
      <c r="BH71" s="82">
        <f t="shared" si="27"/>
        <v>52.8</v>
      </c>
      <c r="BI71" s="82">
        <f t="shared" si="27"/>
        <v>51.5</v>
      </c>
      <c r="BJ71" s="82">
        <f t="shared" si="27"/>
        <v>51.1</v>
      </c>
      <c r="BK71" s="82">
        <f t="shared" si="27"/>
        <v>49</v>
      </c>
      <c r="BL71" s="82">
        <f t="shared" si="27"/>
        <v>48</v>
      </c>
      <c r="BM71" s="82">
        <f t="shared" si="27"/>
        <v>49.2</v>
      </c>
      <c r="BN71" s="82">
        <f t="shared" si="27"/>
        <v>49.2</v>
      </c>
      <c r="BO71" s="82">
        <f t="shared" si="27"/>
        <v>51</v>
      </c>
      <c r="BP71" s="82">
        <f t="shared" si="27"/>
        <v>52.1</v>
      </c>
      <c r="BQ71" s="82">
        <f>X84</f>
        <v>36.4</v>
      </c>
      <c r="BR71" s="82">
        <f>Z84</f>
        <v>11.6</v>
      </c>
      <c r="BS71" s="81">
        <f>AB84</f>
        <v>14.6</v>
      </c>
      <c r="BT71" s="81">
        <f t="shared" si="28"/>
        <v>15</v>
      </c>
      <c r="BU71" s="81">
        <f t="shared" si="28"/>
        <v>15</v>
      </c>
      <c r="BV71" s="81">
        <f t="shared" si="28"/>
        <v>15</v>
      </c>
      <c r="BW71" s="81">
        <f>B84</f>
        <v>15.2</v>
      </c>
    </row>
    <row r="72" spans="1:75" x14ac:dyDescent="0.25">
      <c r="A72" s="84" t="s">
        <v>93</v>
      </c>
      <c r="B72" s="76">
        <v>10</v>
      </c>
      <c r="C72" s="76">
        <v>10</v>
      </c>
      <c r="D72" s="76">
        <v>10</v>
      </c>
      <c r="E72" s="76">
        <v>9.1999999999999993</v>
      </c>
      <c r="F72" s="76">
        <v>9.1999999999999993</v>
      </c>
      <c r="G72" s="76">
        <v>7</v>
      </c>
      <c r="H72" s="76">
        <v>7.4</v>
      </c>
      <c r="I72" s="76">
        <v>7.2</v>
      </c>
      <c r="J72" s="76">
        <v>7.99</v>
      </c>
      <c r="K72" s="76">
        <v>7.99</v>
      </c>
      <c r="L72" s="76">
        <v>7.8</v>
      </c>
      <c r="M72" s="76">
        <v>7.8</v>
      </c>
      <c r="N72" s="76">
        <v>7.8</v>
      </c>
      <c r="O72" s="76">
        <v>6.7</v>
      </c>
      <c r="P72" s="76">
        <v>6.7</v>
      </c>
      <c r="Q72" s="76">
        <v>6.9</v>
      </c>
      <c r="R72" s="76">
        <v>7</v>
      </c>
      <c r="S72" s="76">
        <v>7</v>
      </c>
      <c r="T72" s="76">
        <v>7</v>
      </c>
      <c r="U72" s="76">
        <v>7</v>
      </c>
      <c r="V72" s="76">
        <v>7</v>
      </c>
      <c r="W72" s="76">
        <v>7</v>
      </c>
      <c r="X72" s="76">
        <v>7</v>
      </c>
      <c r="Y72" s="76">
        <v>7.3</v>
      </c>
      <c r="Z72" s="76">
        <v>7.3</v>
      </c>
      <c r="AA72" s="76">
        <v>7.3</v>
      </c>
      <c r="AB72" s="76">
        <v>7.3</v>
      </c>
      <c r="AC72" s="76">
        <v>7.3</v>
      </c>
      <c r="AD72" s="76">
        <v>7.3</v>
      </c>
      <c r="AE72" s="76">
        <v>7.3</v>
      </c>
      <c r="AF72" s="76">
        <v>7.3</v>
      </c>
      <c r="AG72" s="66">
        <v>14</v>
      </c>
      <c r="AH72" s="48">
        <f t="shared" si="8"/>
        <v>10</v>
      </c>
      <c r="AI72" s="49">
        <f t="shared" si="9"/>
        <v>6.7</v>
      </c>
      <c r="AK72" s="51"/>
      <c r="AY72" s="1" t="s">
        <v>94</v>
      </c>
      <c r="AZ72" s="82">
        <f>ROUND(C85,0)</f>
        <v>0</v>
      </c>
      <c r="BA72" s="81">
        <f t="shared" si="26"/>
        <v>0</v>
      </c>
      <c r="BB72" s="81">
        <f t="shared" si="26"/>
        <v>0</v>
      </c>
      <c r="BC72" s="81">
        <f t="shared" si="26"/>
        <v>0</v>
      </c>
      <c r="BD72" s="81">
        <f t="shared" si="26"/>
        <v>0</v>
      </c>
      <c r="BE72" s="82">
        <f>I85</f>
        <v>0</v>
      </c>
      <c r="BF72" s="82">
        <f>K85</f>
        <v>123.9</v>
      </c>
      <c r="BG72" s="82">
        <f t="shared" si="27"/>
        <v>116.3</v>
      </c>
      <c r="BH72" s="82">
        <f t="shared" si="27"/>
        <v>115.5</v>
      </c>
      <c r="BI72" s="82">
        <f t="shared" si="27"/>
        <v>125</v>
      </c>
      <c r="BJ72" s="82">
        <f t="shared" si="27"/>
        <v>130</v>
      </c>
      <c r="BK72" s="82">
        <f t="shared" si="27"/>
        <v>137.9</v>
      </c>
      <c r="BL72" s="82">
        <f t="shared" si="27"/>
        <v>120</v>
      </c>
      <c r="BM72" s="82">
        <f t="shared" si="27"/>
        <v>131</v>
      </c>
      <c r="BN72" s="82">
        <f t="shared" si="27"/>
        <v>131</v>
      </c>
      <c r="BO72" s="82">
        <f t="shared" si="27"/>
        <v>130</v>
      </c>
      <c r="BP72" s="82">
        <f t="shared" si="27"/>
        <v>127.8</v>
      </c>
      <c r="BQ72" s="82">
        <f>X85</f>
        <v>94.5</v>
      </c>
      <c r="BR72" s="82">
        <f>Z85</f>
        <v>0</v>
      </c>
      <c r="BS72" s="81">
        <f>AB85</f>
        <v>0</v>
      </c>
      <c r="BT72" s="81">
        <f t="shared" si="28"/>
        <v>0</v>
      </c>
      <c r="BU72" s="81">
        <f t="shared" si="28"/>
        <v>0</v>
      </c>
      <c r="BV72" s="81">
        <f t="shared" si="28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3.1</v>
      </c>
      <c r="Z73" s="76">
        <v>3.1</v>
      </c>
      <c r="AA73" s="76">
        <v>3.1</v>
      </c>
      <c r="AB73" s="76">
        <v>3.1</v>
      </c>
      <c r="AC73" s="76">
        <v>3.1</v>
      </c>
      <c r="AD73" s="76">
        <v>3.1</v>
      </c>
      <c r="AE73" s="76">
        <v>3.1</v>
      </c>
      <c r="AF73" s="76">
        <v>3.1</v>
      </c>
      <c r="AG73" s="66">
        <v>10.050000000000001</v>
      </c>
      <c r="AH73" s="48">
        <f t="shared" si="8"/>
        <v>4.5</v>
      </c>
      <c r="AI73" s="49">
        <f t="shared" si="9"/>
        <v>3.1</v>
      </c>
      <c r="AK73" s="51"/>
      <c r="AY73" s="1" t="s">
        <v>96</v>
      </c>
      <c r="AZ73" s="82">
        <f>ROUND(C91,0)</f>
        <v>48</v>
      </c>
      <c r="BA73" s="82">
        <f>D91</f>
        <v>47.6</v>
      </c>
      <c r="BB73" s="82">
        <f>E91</f>
        <v>44.6</v>
      </c>
      <c r="BC73" s="82">
        <f>F91</f>
        <v>42</v>
      </c>
      <c r="BD73" s="82">
        <f>G91</f>
        <v>39.9</v>
      </c>
      <c r="BE73" s="82">
        <f>I91</f>
        <v>41.6</v>
      </c>
      <c r="BF73" s="82">
        <f>K91</f>
        <v>49.8</v>
      </c>
      <c r="BG73" s="82">
        <f t="shared" ref="BG73:BP73" si="29">M91</f>
        <v>53.5</v>
      </c>
      <c r="BH73" s="82">
        <f t="shared" si="29"/>
        <v>57.7</v>
      </c>
      <c r="BI73" s="82">
        <f t="shared" si="29"/>
        <v>57</v>
      </c>
      <c r="BJ73" s="82">
        <f t="shared" si="29"/>
        <v>60</v>
      </c>
      <c r="BK73" s="82">
        <f t="shared" si="29"/>
        <v>55.9</v>
      </c>
      <c r="BL73" s="82">
        <f t="shared" si="29"/>
        <v>48</v>
      </c>
      <c r="BM73" s="82">
        <f t="shared" si="29"/>
        <v>54.1</v>
      </c>
      <c r="BN73" s="82">
        <f t="shared" si="29"/>
        <v>54.1</v>
      </c>
      <c r="BO73" s="82">
        <f t="shared" si="29"/>
        <v>50</v>
      </c>
      <c r="BP73" s="82">
        <f t="shared" si="29"/>
        <v>51.7</v>
      </c>
      <c r="BQ73" s="82">
        <f>X91</f>
        <v>44.2</v>
      </c>
      <c r="BR73" s="82">
        <f>Z91</f>
        <v>45</v>
      </c>
      <c r="BS73" s="82">
        <f>AB91</f>
        <v>47.4</v>
      </c>
      <c r="BT73" s="82">
        <f>AD91</f>
        <v>47</v>
      </c>
      <c r="BU73" s="82">
        <f>AE91</f>
        <v>44</v>
      </c>
      <c r="BV73" s="82">
        <f>AF91</f>
        <v>44</v>
      </c>
      <c r="BW73" s="82">
        <f>B91</f>
        <v>47.1</v>
      </c>
    </row>
    <row r="74" spans="1:75" x14ac:dyDescent="0.25">
      <c r="A74" s="65" t="s">
        <v>97</v>
      </c>
      <c r="B74" s="76">
        <v>2.4</v>
      </c>
      <c r="C74" s="76">
        <v>2.4</v>
      </c>
      <c r="D74" s="76">
        <v>2.4</v>
      </c>
      <c r="E74" s="76">
        <v>2.4</v>
      </c>
      <c r="F74" s="76">
        <v>2.4</v>
      </c>
      <c r="G74" s="76">
        <v>2.4</v>
      </c>
      <c r="H74" s="76">
        <v>2.4</v>
      </c>
      <c r="I74" s="76">
        <v>2.4</v>
      </c>
      <c r="J74" s="76">
        <v>2.4</v>
      </c>
      <c r="K74" s="76">
        <v>2.4</v>
      </c>
      <c r="L74" s="76">
        <v>2.4</v>
      </c>
      <c r="M74" s="76">
        <v>2.4</v>
      </c>
      <c r="N74" s="76">
        <v>1.8</v>
      </c>
      <c r="O74" s="76">
        <v>1.8</v>
      </c>
      <c r="P74" s="76">
        <v>1.8</v>
      </c>
      <c r="Q74" s="76">
        <v>1.8</v>
      </c>
      <c r="R74" s="76">
        <v>1.8</v>
      </c>
      <c r="S74" s="76">
        <v>1.6</v>
      </c>
      <c r="T74" s="76">
        <v>1.6</v>
      </c>
      <c r="U74" s="76">
        <v>1.6</v>
      </c>
      <c r="V74" s="76">
        <v>1.6</v>
      </c>
      <c r="W74" s="76">
        <v>1.6</v>
      </c>
      <c r="X74" s="76">
        <v>1.6</v>
      </c>
      <c r="Y74" s="76">
        <v>1.6</v>
      </c>
      <c r="Z74" s="76">
        <v>1.6</v>
      </c>
      <c r="AA74" s="76">
        <v>1.6</v>
      </c>
      <c r="AB74" s="76">
        <v>1.6</v>
      </c>
      <c r="AC74" s="76">
        <v>1.6</v>
      </c>
      <c r="AD74" s="76">
        <v>1.6</v>
      </c>
      <c r="AE74" s="76">
        <v>1.6</v>
      </c>
      <c r="AF74" s="76">
        <v>1.6</v>
      </c>
      <c r="AG74" s="66">
        <v>6.2</v>
      </c>
      <c r="AH74" s="48">
        <f t="shared" si="8"/>
        <v>2.4</v>
      </c>
      <c r="AI74" s="49">
        <f t="shared" si="9"/>
        <v>1.6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0">VALUE(AZ68)</f>
        <v>31</v>
      </c>
      <c r="BA75" s="82">
        <f t="shared" si="30"/>
        <v>38.700000000000003</v>
      </c>
      <c r="BB75" s="82">
        <f t="shared" si="30"/>
        <v>38.9</v>
      </c>
      <c r="BC75" s="82">
        <f t="shared" si="30"/>
        <v>39</v>
      </c>
      <c r="BD75" s="82">
        <f t="shared" si="30"/>
        <v>27</v>
      </c>
      <c r="BE75" s="82">
        <f t="shared" si="30"/>
        <v>28.3</v>
      </c>
      <c r="BF75" s="82">
        <f t="shared" si="30"/>
        <v>70</v>
      </c>
      <c r="BG75" s="82">
        <f t="shared" si="30"/>
        <v>69.2</v>
      </c>
      <c r="BH75" s="82">
        <f t="shared" si="30"/>
        <v>57.7</v>
      </c>
      <c r="BI75" s="82">
        <f t="shared" si="30"/>
        <v>65.400000000000006</v>
      </c>
      <c r="BJ75" s="82">
        <f t="shared" si="30"/>
        <v>70.7</v>
      </c>
      <c r="BK75" s="82">
        <f t="shared" si="30"/>
        <v>70.8</v>
      </c>
      <c r="BL75" s="82">
        <f t="shared" si="30"/>
        <v>72.5</v>
      </c>
      <c r="BM75" s="82">
        <f t="shared" si="30"/>
        <v>73.8</v>
      </c>
      <c r="BN75" s="82">
        <f t="shared" si="30"/>
        <v>73.8</v>
      </c>
      <c r="BO75" s="82">
        <f t="shared" si="30"/>
        <v>66</v>
      </c>
      <c r="BP75" s="82">
        <f t="shared" si="30"/>
        <v>74.7</v>
      </c>
      <c r="BQ75" s="82">
        <f t="shared" si="30"/>
        <v>69.3</v>
      </c>
      <c r="BR75" s="82">
        <f t="shared" si="30"/>
        <v>23</v>
      </c>
      <c r="BS75" s="82">
        <f t="shared" si="30"/>
        <v>42.3</v>
      </c>
      <c r="BT75" s="82">
        <f t="shared" si="30"/>
        <v>45</v>
      </c>
      <c r="BU75" s="82">
        <f t="shared" si="30"/>
        <v>29</v>
      </c>
      <c r="BV75" s="82">
        <f t="shared" si="30"/>
        <v>33.9</v>
      </c>
      <c r="BW75" s="82">
        <f t="shared" si="30"/>
        <v>34.5</v>
      </c>
    </row>
    <row r="76" spans="1:75" ht="15.75" thickBot="1" x14ac:dyDescent="0.3">
      <c r="A76" s="87" t="s">
        <v>99</v>
      </c>
      <c r="B76" s="71">
        <f t="shared" ref="B76:AG76" si="31">SUM(B63:B75)</f>
        <v>295.33999999999997</v>
      </c>
      <c r="C76" s="71">
        <f t="shared" si="31"/>
        <v>295.94</v>
      </c>
      <c r="D76" s="71">
        <f t="shared" si="31"/>
        <v>257.44000000000005</v>
      </c>
      <c r="E76" s="71">
        <f t="shared" si="31"/>
        <v>231.04</v>
      </c>
      <c r="F76" s="71">
        <f>SUM(F63:F75)</f>
        <v>231.23999999999998</v>
      </c>
      <c r="G76" s="71">
        <f>SUM(G63:G75)</f>
        <v>239.34000000000003</v>
      </c>
      <c r="H76" s="71">
        <f>SUM(H63:H75)</f>
        <v>238.33999999999997</v>
      </c>
      <c r="I76" s="71">
        <f t="shared" si="31"/>
        <v>240.93999999999997</v>
      </c>
      <c r="J76" s="71">
        <f t="shared" si="31"/>
        <v>231.73</v>
      </c>
      <c r="K76" s="71">
        <f t="shared" si="31"/>
        <v>231.02999999999997</v>
      </c>
      <c r="L76" s="71">
        <f t="shared" si="31"/>
        <v>265.83999999999997</v>
      </c>
      <c r="M76" s="71">
        <f t="shared" si="31"/>
        <v>268.33999999999997</v>
      </c>
      <c r="N76" s="71">
        <f t="shared" si="31"/>
        <v>268.94000000000005</v>
      </c>
      <c r="O76" s="71">
        <f t="shared" si="31"/>
        <v>283.74000000000007</v>
      </c>
      <c r="P76" s="71">
        <f t="shared" si="31"/>
        <v>288.44000000000005</v>
      </c>
      <c r="Q76" s="71">
        <f t="shared" si="31"/>
        <v>303.33999999999997</v>
      </c>
      <c r="R76" s="71">
        <f t="shared" si="31"/>
        <v>318.73999999999995</v>
      </c>
      <c r="S76" s="71">
        <f t="shared" si="31"/>
        <v>334.6400000000001</v>
      </c>
      <c r="T76" s="71">
        <f>SUM(T63:T75)</f>
        <v>349.84000000000009</v>
      </c>
      <c r="U76" s="71">
        <f>SUM(U63:U75)</f>
        <v>316.54000000000008</v>
      </c>
      <c r="V76" s="71">
        <f t="shared" si="31"/>
        <v>246.14</v>
      </c>
      <c r="W76" s="71">
        <f t="shared" si="31"/>
        <v>251.04</v>
      </c>
      <c r="X76" s="71">
        <f t="shared" si="31"/>
        <v>254.74</v>
      </c>
      <c r="Y76" s="71">
        <f t="shared" si="31"/>
        <v>332.2000000000001</v>
      </c>
      <c r="Z76" s="71">
        <f t="shared" si="31"/>
        <v>334.2000000000001</v>
      </c>
      <c r="AA76" s="71">
        <f t="shared" si="31"/>
        <v>381.84000000000009</v>
      </c>
      <c r="AB76" s="71">
        <f t="shared" si="31"/>
        <v>364.74000000000007</v>
      </c>
      <c r="AC76" s="71">
        <f t="shared" si="31"/>
        <v>354.54000000000008</v>
      </c>
      <c r="AD76" s="71">
        <f t="shared" si="31"/>
        <v>354.84000000000009</v>
      </c>
      <c r="AE76" s="71">
        <f t="shared" si="31"/>
        <v>354.84000000000009</v>
      </c>
      <c r="AF76" s="71">
        <f t="shared" si="31"/>
        <v>354.84000000000009</v>
      </c>
      <c r="AG76" s="72">
        <f t="shared" si="31"/>
        <v>489.91</v>
      </c>
      <c r="AH76" s="48">
        <f t="shared" si="8"/>
        <v>381.84000000000009</v>
      </c>
      <c r="AI76" s="49">
        <f t="shared" si="9"/>
        <v>231.02999999999997</v>
      </c>
      <c r="AK76" s="51"/>
      <c r="AZ76" s="82">
        <f t="shared" si="30"/>
        <v>0</v>
      </c>
      <c r="BA76" s="82">
        <f t="shared" si="30"/>
        <v>0</v>
      </c>
      <c r="BB76" s="82">
        <f t="shared" si="30"/>
        <v>0</v>
      </c>
      <c r="BC76" s="82">
        <f t="shared" si="30"/>
        <v>0</v>
      </c>
      <c r="BD76" s="82">
        <f t="shared" si="30"/>
        <v>0</v>
      </c>
      <c r="BE76" s="82">
        <f t="shared" si="30"/>
        <v>0</v>
      </c>
      <c r="BF76" s="82">
        <f t="shared" si="30"/>
        <v>89.8</v>
      </c>
      <c r="BG76" s="82">
        <f t="shared" si="30"/>
        <v>91.6</v>
      </c>
      <c r="BH76" s="82">
        <f t="shared" si="30"/>
        <v>103.8</v>
      </c>
      <c r="BI76" s="82">
        <f t="shared" si="30"/>
        <v>111.2</v>
      </c>
      <c r="BJ76" s="82">
        <f t="shared" si="30"/>
        <v>103</v>
      </c>
      <c r="BK76" s="82">
        <f t="shared" si="30"/>
        <v>100.6</v>
      </c>
      <c r="BL76" s="82">
        <f t="shared" si="30"/>
        <v>107.8</v>
      </c>
      <c r="BM76" s="82">
        <f t="shared" si="30"/>
        <v>106.2</v>
      </c>
      <c r="BN76" s="82">
        <f t="shared" si="30"/>
        <v>106.2</v>
      </c>
      <c r="BO76" s="82">
        <f t="shared" si="30"/>
        <v>105</v>
      </c>
      <c r="BP76" s="82">
        <f t="shared" si="30"/>
        <v>89.3</v>
      </c>
      <c r="BQ76" s="82">
        <f t="shared" si="30"/>
        <v>91.3</v>
      </c>
      <c r="BR76" s="82">
        <f t="shared" si="30"/>
        <v>0</v>
      </c>
      <c r="BS76" s="82">
        <f t="shared" si="30"/>
        <v>0</v>
      </c>
      <c r="BT76" s="82">
        <f t="shared" si="30"/>
        <v>0</v>
      </c>
      <c r="BU76" s="82">
        <f t="shared" si="30"/>
        <v>0</v>
      </c>
      <c r="BV76" s="82">
        <f t="shared" si="30"/>
        <v>0</v>
      </c>
      <c r="BW76" s="82">
        <f t="shared" si="30"/>
        <v>0</v>
      </c>
    </row>
    <row r="77" spans="1:75" x14ac:dyDescent="0.25">
      <c r="A77" s="45" t="s">
        <v>100</v>
      </c>
      <c r="B77" s="46">
        <v>59.3</v>
      </c>
      <c r="C77" s="46">
        <v>59.3</v>
      </c>
      <c r="D77" s="46">
        <v>59.3</v>
      </c>
      <c r="E77" s="46">
        <v>59.3</v>
      </c>
      <c r="F77" s="46">
        <v>59.3</v>
      </c>
      <c r="G77" s="46">
        <v>59.3</v>
      </c>
      <c r="H77" s="46">
        <v>59.3</v>
      </c>
      <c r="I77" s="46">
        <v>60.1</v>
      </c>
      <c r="J77" s="46">
        <v>48.8</v>
      </c>
      <c r="K77" s="46">
        <v>27.3</v>
      </c>
      <c r="L77" s="46">
        <v>58.9</v>
      </c>
      <c r="M77" s="46">
        <v>59.3</v>
      </c>
      <c r="N77" s="46">
        <v>59.3</v>
      </c>
      <c r="O77" s="46">
        <v>59.3</v>
      </c>
      <c r="P77" s="46">
        <v>59.3</v>
      </c>
      <c r="Q77" s="46">
        <v>59.3</v>
      </c>
      <c r="R77" s="46">
        <v>59.3</v>
      </c>
      <c r="S77" s="46">
        <v>59.3</v>
      </c>
      <c r="T77" s="46">
        <v>59.3</v>
      </c>
      <c r="U77" s="46">
        <v>59.3</v>
      </c>
      <c r="V77" s="46">
        <v>48.8</v>
      </c>
      <c r="W77" s="46">
        <v>40</v>
      </c>
      <c r="X77" s="46">
        <v>40</v>
      </c>
      <c r="Y77" s="46">
        <v>55.9</v>
      </c>
      <c r="Z77" s="46">
        <v>56</v>
      </c>
      <c r="AA77" s="46">
        <v>56</v>
      </c>
      <c r="AB77" s="46">
        <v>56</v>
      </c>
      <c r="AC77" s="46">
        <v>56</v>
      </c>
      <c r="AD77" s="46">
        <v>56.7</v>
      </c>
      <c r="AE77" s="46">
        <v>56.7</v>
      </c>
      <c r="AF77" s="46">
        <v>56.5</v>
      </c>
      <c r="AG77" s="61">
        <v>60</v>
      </c>
      <c r="AH77" s="48">
        <f t="shared" si="8"/>
        <v>60.1</v>
      </c>
      <c r="AI77" s="49">
        <f t="shared" si="9"/>
        <v>27.3</v>
      </c>
      <c r="AK77" s="51"/>
      <c r="AZ77" s="82">
        <f t="shared" si="30"/>
        <v>166</v>
      </c>
      <c r="BA77" s="82">
        <f t="shared" si="30"/>
        <v>155.9</v>
      </c>
      <c r="BB77" s="82">
        <f t="shared" si="30"/>
        <v>170.8</v>
      </c>
      <c r="BC77" s="82">
        <f t="shared" si="30"/>
        <v>172</v>
      </c>
      <c r="BD77" s="82">
        <f t="shared" si="30"/>
        <v>159</v>
      </c>
      <c r="BE77" s="82">
        <f t="shared" si="30"/>
        <v>198</v>
      </c>
      <c r="BF77" s="82">
        <f t="shared" si="30"/>
        <v>423</v>
      </c>
      <c r="BG77" s="82">
        <f t="shared" si="30"/>
        <v>409.5</v>
      </c>
      <c r="BH77" s="82">
        <f t="shared" si="30"/>
        <v>408.3</v>
      </c>
      <c r="BI77" s="82">
        <f t="shared" si="30"/>
        <v>495</v>
      </c>
      <c r="BJ77" s="82">
        <f t="shared" si="30"/>
        <v>488</v>
      </c>
      <c r="BK77" s="82">
        <f t="shared" si="30"/>
        <v>479</v>
      </c>
      <c r="BL77" s="82">
        <f t="shared" si="30"/>
        <v>489</v>
      </c>
      <c r="BM77" s="82">
        <f t="shared" si="30"/>
        <v>490.2</v>
      </c>
      <c r="BN77" s="82">
        <f t="shared" si="30"/>
        <v>480</v>
      </c>
      <c r="BO77" s="82">
        <f t="shared" si="30"/>
        <v>460</v>
      </c>
      <c r="BP77" s="82">
        <f t="shared" si="30"/>
        <v>461</v>
      </c>
      <c r="BQ77" s="82">
        <f t="shared" si="30"/>
        <v>306</v>
      </c>
      <c r="BR77" s="82">
        <f t="shared" si="30"/>
        <v>94.4</v>
      </c>
      <c r="BS77" s="82">
        <f t="shared" si="30"/>
        <v>72.599999999999994</v>
      </c>
      <c r="BT77" s="82">
        <f t="shared" si="30"/>
        <v>100</v>
      </c>
      <c r="BU77" s="82">
        <f t="shared" si="30"/>
        <v>106</v>
      </c>
      <c r="BV77" s="82">
        <f t="shared" si="30"/>
        <v>106</v>
      </c>
      <c r="BW77" s="82">
        <f t="shared" si="30"/>
        <v>176</v>
      </c>
    </row>
    <row r="78" spans="1:75" x14ac:dyDescent="0.25">
      <c r="A78" s="65" t="s">
        <v>101</v>
      </c>
      <c r="B78" s="76">
        <v>28.7</v>
      </c>
      <c r="C78" s="76">
        <v>28.7</v>
      </c>
      <c r="D78" s="76">
        <v>28.1</v>
      </c>
      <c r="E78" s="76">
        <v>28.7</v>
      </c>
      <c r="F78" s="76">
        <v>28.7</v>
      </c>
      <c r="G78" s="76">
        <v>28.7</v>
      </c>
      <c r="H78" s="76">
        <v>28.7</v>
      </c>
      <c r="I78" s="76">
        <v>28.6</v>
      </c>
      <c r="J78" s="76">
        <v>28.5</v>
      </c>
      <c r="K78" s="76">
        <v>9.3000000000000007</v>
      </c>
      <c r="L78" s="76">
        <v>28</v>
      </c>
      <c r="M78" s="76">
        <v>28.8</v>
      </c>
      <c r="N78" s="76">
        <v>28.8</v>
      </c>
      <c r="O78" s="76">
        <v>28.8</v>
      </c>
      <c r="P78" s="76">
        <v>28.8</v>
      </c>
      <c r="Q78" s="76">
        <v>28.2</v>
      </c>
      <c r="R78" s="76">
        <v>28.2</v>
      </c>
      <c r="S78" s="76">
        <v>28.6</v>
      </c>
      <c r="T78" s="76">
        <v>28.6</v>
      </c>
      <c r="U78" s="76">
        <v>28.6</v>
      </c>
      <c r="V78" s="76">
        <v>22</v>
      </c>
      <c r="W78" s="76">
        <v>22</v>
      </c>
      <c r="X78" s="76">
        <v>21.9</v>
      </c>
      <c r="Y78" s="76">
        <v>25.7</v>
      </c>
      <c r="Z78" s="76">
        <v>26.3</v>
      </c>
      <c r="AA78" s="76">
        <v>27.3</v>
      </c>
      <c r="AB78" s="76">
        <v>25.4</v>
      </c>
      <c r="AC78" s="76">
        <v>25.4</v>
      </c>
      <c r="AD78" s="76">
        <v>27.3</v>
      </c>
      <c r="AE78" s="76">
        <v>27.3</v>
      </c>
      <c r="AF78" s="76">
        <v>27</v>
      </c>
      <c r="AG78" s="66">
        <v>32</v>
      </c>
      <c r="AH78" s="48">
        <f t="shared" si="8"/>
        <v>28.8</v>
      </c>
      <c r="AI78" s="49">
        <f t="shared" si="9"/>
        <v>9.3000000000000007</v>
      </c>
      <c r="AK78" s="51"/>
      <c r="AZ78" s="82">
        <f t="shared" si="30"/>
        <v>15</v>
      </c>
      <c r="BA78" s="82">
        <f t="shared" si="30"/>
        <v>14.7</v>
      </c>
      <c r="BB78" s="82">
        <f t="shared" si="30"/>
        <v>14.9</v>
      </c>
      <c r="BC78" s="82">
        <f t="shared" si="30"/>
        <v>16</v>
      </c>
      <c r="BD78" s="82">
        <f t="shared" si="30"/>
        <v>13.8</v>
      </c>
      <c r="BE78" s="82">
        <f t="shared" si="30"/>
        <v>12.8</v>
      </c>
      <c r="BF78" s="82">
        <f t="shared" si="30"/>
        <v>49.9</v>
      </c>
      <c r="BG78" s="82">
        <f t="shared" si="30"/>
        <v>53.8</v>
      </c>
      <c r="BH78" s="82">
        <f t="shared" si="30"/>
        <v>52.8</v>
      </c>
      <c r="BI78" s="82">
        <f t="shared" si="30"/>
        <v>51.5</v>
      </c>
      <c r="BJ78" s="82">
        <f t="shared" si="30"/>
        <v>51.1</v>
      </c>
      <c r="BK78" s="82">
        <f t="shared" si="30"/>
        <v>49</v>
      </c>
      <c r="BL78" s="82">
        <f t="shared" si="30"/>
        <v>48</v>
      </c>
      <c r="BM78" s="82">
        <f t="shared" si="30"/>
        <v>49.2</v>
      </c>
      <c r="BN78" s="82">
        <f t="shared" si="30"/>
        <v>49.2</v>
      </c>
      <c r="BO78" s="82">
        <f t="shared" si="30"/>
        <v>51</v>
      </c>
      <c r="BP78" s="82">
        <f t="shared" si="30"/>
        <v>52.1</v>
      </c>
      <c r="BQ78" s="82">
        <f t="shared" si="30"/>
        <v>36.4</v>
      </c>
      <c r="BR78" s="82">
        <f t="shared" si="30"/>
        <v>11.6</v>
      </c>
      <c r="BS78" s="82">
        <f t="shared" si="30"/>
        <v>14.6</v>
      </c>
      <c r="BT78" s="82">
        <f t="shared" si="30"/>
        <v>15</v>
      </c>
      <c r="BU78" s="82">
        <f t="shared" si="30"/>
        <v>15</v>
      </c>
      <c r="BV78" s="82">
        <f t="shared" si="30"/>
        <v>15</v>
      </c>
      <c r="BW78" s="82">
        <f t="shared" si="30"/>
        <v>15.2</v>
      </c>
    </row>
    <row r="79" spans="1:75" ht="15.75" thickBot="1" x14ac:dyDescent="0.3">
      <c r="A79" s="84" t="s">
        <v>102</v>
      </c>
      <c r="B79" s="78">
        <v>10.5</v>
      </c>
      <c r="C79" s="78">
        <v>10.5</v>
      </c>
      <c r="D79" s="78">
        <v>10.3</v>
      </c>
      <c r="E79" s="78">
        <v>10.5</v>
      </c>
      <c r="F79" s="78">
        <v>10.5</v>
      </c>
      <c r="G79" s="78">
        <v>10.5</v>
      </c>
      <c r="H79" s="78">
        <v>10.5</v>
      </c>
      <c r="I79" s="78">
        <v>10.4</v>
      </c>
      <c r="J79" s="78">
        <v>10.4</v>
      </c>
      <c r="K79" s="78">
        <v>3.4</v>
      </c>
      <c r="L79" s="78">
        <v>10.199999999999999</v>
      </c>
      <c r="M79" s="78">
        <v>10.5</v>
      </c>
      <c r="N79" s="78">
        <v>10.5</v>
      </c>
      <c r="O79" s="78">
        <v>10.5</v>
      </c>
      <c r="P79" s="78">
        <v>10.5</v>
      </c>
      <c r="Q79" s="78">
        <v>10.5</v>
      </c>
      <c r="R79" s="78">
        <v>10.5</v>
      </c>
      <c r="S79" s="78">
        <v>10.4</v>
      </c>
      <c r="T79" s="78">
        <v>10.4</v>
      </c>
      <c r="U79" s="78">
        <v>10.4</v>
      </c>
      <c r="V79" s="78">
        <v>8</v>
      </c>
      <c r="W79" s="78">
        <v>8</v>
      </c>
      <c r="X79" s="78">
        <v>8</v>
      </c>
      <c r="Y79" s="78">
        <v>9.4</v>
      </c>
      <c r="Z79" s="78">
        <v>9.6</v>
      </c>
      <c r="AA79" s="78">
        <v>10</v>
      </c>
      <c r="AB79" s="78">
        <v>9.3000000000000007</v>
      </c>
      <c r="AC79" s="78">
        <v>9.3000000000000007</v>
      </c>
      <c r="AD79" s="78">
        <v>10</v>
      </c>
      <c r="AE79" s="78">
        <v>10</v>
      </c>
      <c r="AF79" s="78">
        <v>9.9</v>
      </c>
      <c r="AG79" s="79">
        <v>14</v>
      </c>
      <c r="AH79" s="48">
        <f t="shared" si="8"/>
        <v>10.5</v>
      </c>
      <c r="AI79" s="49">
        <f t="shared" si="9"/>
        <v>3.4</v>
      </c>
      <c r="AK79" s="51"/>
      <c r="AZ79" s="82">
        <f t="shared" si="30"/>
        <v>0</v>
      </c>
      <c r="BA79" s="82">
        <f t="shared" si="30"/>
        <v>0</v>
      </c>
      <c r="BB79" s="82">
        <f t="shared" si="30"/>
        <v>0</v>
      </c>
      <c r="BC79" s="82">
        <f t="shared" si="30"/>
        <v>0</v>
      </c>
      <c r="BD79" s="82">
        <f t="shared" si="30"/>
        <v>0</v>
      </c>
      <c r="BE79" s="82">
        <f t="shared" si="30"/>
        <v>0</v>
      </c>
      <c r="BF79" s="82">
        <f t="shared" si="30"/>
        <v>123.9</v>
      </c>
      <c r="BG79" s="82">
        <f t="shared" si="30"/>
        <v>116.3</v>
      </c>
      <c r="BH79" s="82">
        <f t="shared" si="30"/>
        <v>115.5</v>
      </c>
      <c r="BI79" s="82">
        <f t="shared" si="30"/>
        <v>125</v>
      </c>
      <c r="BJ79" s="82">
        <f t="shared" si="30"/>
        <v>130</v>
      </c>
      <c r="BK79" s="82">
        <f t="shared" si="30"/>
        <v>137.9</v>
      </c>
      <c r="BL79" s="82">
        <f t="shared" si="30"/>
        <v>120</v>
      </c>
      <c r="BM79" s="82">
        <f t="shared" si="30"/>
        <v>131</v>
      </c>
      <c r="BN79" s="82">
        <f t="shared" si="30"/>
        <v>131</v>
      </c>
      <c r="BO79" s="82">
        <f t="shared" si="30"/>
        <v>130</v>
      </c>
      <c r="BP79" s="82">
        <f t="shared" si="30"/>
        <v>127.8</v>
      </c>
      <c r="BQ79" s="82">
        <f t="shared" si="30"/>
        <v>94.5</v>
      </c>
      <c r="BR79" s="82">
        <f t="shared" si="30"/>
        <v>0</v>
      </c>
      <c r="BS79" s="82">
        <f t="shared" si="30"/>
        <v>0</v>
      </c>
      <c r="BT79" s="82">
        <f t="shared" si="30"/>
        <v>0</v>
      </c>
      <c r="BU79" s="82">
        <f t="shared" si="30"/>
        <v>0</v>
      </c>
      <c r="BV79" s="82">
        <f t="shared" si="30"/>
        <v>0</v>
      </c>
      <c r="BW79" s="82">
        <f t="shared" si="30"/>
        <v>0</v>
      </c>
    </row>
    <row r="80" spans="1:75" ht="15.75" thickBot="1" x14ac:dyDescent="0.3">
      <c r="A80" s="87" t="s">
        <v>103</v>
      </c>
      <c r="B80" s="71">
        <f t="shared" ref="B80:AF80" si="32">B77+B78+B79</f>
        <v>98.5</v>
      </c>
      <c r="C80" s="71">
        <f t="shared" si="32"/>
        <v>98.5</v>
      </c>
      <c r="D80" s="71">
        <f t="shared" si="32"/>
        <v>97.7</v>
      </c>
      <c r="E80" s="71">
        <f t="shared" si="32"/>
        <v>98.5</v>
      </c>
      <c r="F80" s="71">
        <f>F77+F78+F79</f>
        <v>98.5</v>
      </c>
      <c r="G80" s="71">
        <f>G77+G78+G79</f>
        <v>98.5</v>
      </c>
      <c r="H80" s="71">
        <f>H77+H78+H79</f>
        <v>98.5</v>
      </c>
      <c r="I80" s="71">
        <f t="shared" si="32"/>
        <v>99.100000000000009</v>
      </c>
      <c r="J80" s="71">
        <f t="shared" si="32"/>
        <v>87.7</v>
      </c>
      <c r="K80" s="71">
        <f t="shared" si="32"/>
        <v>40</v>
      </c>
      <c r="L80" s="71">
        <f t="shared" si="32"/>
        <v>97.100000000000009</v>
      </c>
      <c r="M80" s="71">
        <f t="shared" si="32"/>
        <v>98.6</v>
      </c>
      <c r="N80" s="71">
        <f t="shared" si="32"/>
        <v>98.6</v>
      </c>
      <c r="O80" s="71">
        <f t="shared" si="32"/>
        <v>98.6</v>
      </c>
      <c r="P80" s="71">
        <f t="shared" si="32"/>
        <v>98.6</v>
      </c>
      <c r="Q80" s="71">
        <f t="shared" si="32"/>
        <v>98</v>
      </c>
      <c r="R80" s="71">
        <f t="shared" si="32"/>
        <v>98</v>
      </c>
      <c r="S80" s="71">
        <f t="shared" si="32"/>
        <v>98.300000000000011</v>
      </c>
      <c r="T80" s="71">
        <f>T77+T78+T79</f>
        <v>98.300000000000011</v>
      </c>
      <c r="U80" s="71">
        <f>U77+U78+U79</f>
        <v>98.300000000000011</v>
      </c>
      <c r="V80" s="71">
        <f t="shared" si="32"/>
        <v>78.8</v>
      </c>
      <c r="W80" s="71">
        <f t="shared" si="32"/>
        <v>70</v>
      </c>
      <c r="X80" s="71">
        <f t="shared" si="32"/>
        <v>69.900000000000006</v>
      </c>
      <c r="Y80" s="71">
        <f t="shared" si="32"/>
        <v>91</v>
      </c>
      <c r="Z80" s="71">
        <f t="shared" si="32"/>
        <v>91.899999999999991</v>
      </c>
      <c r="AA80" s="71">
        <f t="shared" si="32"/>
        <v>93.3</v>
      </c>
      <c r="AB80" s="71">
        <f t="shared" si="32"/>
        <v>90.7</v>
      </c>
      <c r="AC80" s="71">
        <f t="shared" si="32"/>
        <v>90.7</v>
      </c>
      <c r="AD80" s="71">
        <f t="shared" si="32"/>
        <v>94</v>
      </c>
      <c r="AE80" s="71">
        <f t="shared" si="32"/>
        <v>94</v>
      </c>
      <c r="AF80" s="71">
        <f t="shared" si="32"/>
        <v>93.4</v>
      </c>
      <c r="AG80" s="72">
        <f>SUM(AG77:AG79)</f>
        <v>106</v>
      </c>
      <c r="AH80" s="48">
        <f t="shared" si="8"/>
        <v>99.100000000000009</v>
      </c>
      <c r="AI80" s="49">
        <f t="shared" si="9"/>
        <v>40</v>
      </c>
      <c r="AK80" s="51"/>
      <c r="AZ80" s="82">
        <f t="shared" si="30"/>
        <v>48</v>
      </c>
      <c r="BA80" s="82">
        <f t="shared" si="30"/>
        <v>47.6</v>
      </c>
      <c r="BB80" s="82">
        <f t="shared" si="30"/>
        <v>44.6</v>
      </c>
      <c r="BC80" s="82">
        <f t="shared" si="30"/>
        <v>42</v>
      </c>
      <c r="BD80" s="82">
        <f t="shared" si="30"/>
        <v>39.9</v>
      </c>
      <c r="BE80" s="82">
        <f t="shared" si="30"/>
        <v>41.6</v>
      </c>
      <c r="BF80" s="82">
        <f t="shared" si="30"/>
        <v>49.8</v>
      </c>
      <c r="BG80" s="82">
        <f t="shared" si="30"/>
        <v>53.5</v>
      </c>
      <c r="BH80" s="82">
        <f t="shared" si="30"/>
        <v>57.7</v>
      </c>
      <c r="BI80" s="82">
        <f t="shared" si="30"/>
        <v>57</v>
      </c>
      <c r="BJ80" s="82">
        <f t="shared" si="30"/>
        <v>60</v>
      </c>
      <c r="BK80" s="82">
        <f t="shared" si="30"/>
        <v>55.9</v>
      </c>
      <c r="BL80" s="82">
        <f t="shared" si="30"/>
        <v>48</v>
      </c>
      <c r="BM80" s="82">
        <f t="shared" si="30"/>
        <v>54.1</v>
      </c>
      <c r="BN80" s="82">
        <f t="shared" si="30"/>
        <v>54.1</v>
      </c>
      <c r="BO80" s="82">
        <f t="shared" si="30"/>
        <v>50</v>
      </c>
      <c r="BP80" s="82">
        <f t="shared" si="30"/>
        <v>51.7</v>
      </c>
      <c r="BQ80" s="82">
        <f t="shared" si="30"/>
        <v>44.2</v>
      </c>
      <c r="BR80" s="82">
        <f t="shared" si="30"/>
        <v>45</v>
      </c>
      <c r="BS80" s="82">
        <f t="shared" si="30"/>
        <v>47.4</v>
      </c>
      <c r="BT80" s="82">
        <f t="shared" si="30"/>
        <v>47</v>
      </c>
      <c r="BU80" s="82">
        <f t="shared" si="30"/>
        <v>44</v>
      </c>
      <c r="BV80" s="82">
        <f t="shared" si="30"/>
        <v>44</v>
      </c>
      <c r="BW80" s="82">
        <f t="shared" si="30"/>
        <v>47.1</v>
      </c>
    </row>
    <row r="81" spans="1:64" x14ac:dyDescent="0.25">
      <c r="A81" s="45" t="s">
        <v>104</v>
      </c>
      <c r="B81" s="46">
        <v>34.5</v>
      </c>
      <c r="C81" s="46">
        <v>30.6</v>
      </c>
      <c r="D81" s="46">
        <v>38.700000000000003</v>
      </c>
      <c r="E81" s="46">
        <v>38.9</v>
      </c>
      <c r="F81" s="46">
        <v>39</v>
      </c>
      <c r="G81" s="46">
        <v>27</v>
      </c>
      <c r="H81" s="46">
        <v>27.7</v>
      </c>
      <c r="I81" s="46">
        <v>28.3</v>
      </c>
      <c r="J81" s="46">
        <v>63.3</v>
      </c>
      <c r="K81" s="46">
        <v>70</v>
      </c>
      <c r="L81" s="46">
        <v>57.7</v>
      </c>
      <c r="M81" s="46">
        <v>69.2</v>
      </c>
      <c r="N81" s="46">
        <v>57.7</v>
      </c>
      <c r="O81" s="46">
        <v>65.400000000000006</v>
      </c>
      <c r="P81" s="46">
        <v>70.7</v>
      </c>
      <c r="Q81" s="46">
        <v>70.8</v>
      </c>
      <c r="R81" s="46">
        <v>72.5</v>
      </c>
      <c r="S81" s="46">
        <v>73.8</v>
      </c>
      <c r="T81" s="46">
        <v>73.8</v>
      </c>
      <c r="U81" s="46">
        <v>66</v>
      </c>
      <c r="V81" s="46">
        <v>74.7</v>
      </c>
      <c r="W81" s="46">
        <v>72.8</v>
      </c>
      <c r="X81" s="46">
        <v>69.3</v>
      </c>
      <c r="Y81" s="46">
        <v>23.1</v>
      </c>
      <c r="Z81" s="46">
        <v>23</v>
      </c>
      <c r="AA81" s="46">
        <v>46.4</v>
      </c>
      <c r="AB81" s="46">
        <v>42.3</v>
      </c>
      <c r="AC81" s="46">
        <v>48.8</v>
      </c>
      <c r="AD81" s="46">
        <v>45</v>
      </c>
      <c r="AE81" s="46">
        <v>29</v>
      </c>
      <c r="AF81" s="46">
        <v>33.9</v>
      </c>
      <c r="AG81" s="61"/>
      <c r="AH81" s="48">
        <f t="shared" si="8"/>
        <v>74.7</v>
      </c>
      <c r="AI81" s="49">
        <f t="shared" si="9"/>
        <v>23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89.8</v>
      </c>
      <c r="L82" s="76">
        <v>75.3</v>
      </c>
      <c r="M82" s="76">
        <v>91.6</v>
      </c>
      <c r="N82" s="76">
        <v>103.8</v>
      </c>
      <c r="O82" s="76">
        <v>111.2</v>
      </c>
      <c r="P82" s="76">
        <v>103</v>
      </c>
      <c r="Q82" s="76">
        <v>100.6</v>
      </c>
      <c r="R82" s="76">
        <v>107.8</v>
      </c>
      <c r="S82" s="76">
        <v>106.2</v>
      </c>
      <c r="T82" s="76">
        <v>106.2</v>
      </c>
      <c r="U82" s="76">
        <v>105</v>
      </c>
      <c r="V82" s="76">
        <v>89.3</v>
      </c>
      <c r="W82" s="76">
        <v>92.8</v>
      </c>
      <c r="X82" s="76">
        <v>91.3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3">MAX(B82:AF82)</f>
        <v>111.2</v>
      </c>
      <c r="AI82" s="49">
        <f t="shared" ref="AI82:AI125" si="34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176</v>
      </c>
      <c r="C83" s="76">
        <v>166.3</v>
      </c>
      <c r="D83" s="76">
        <v>155.9</v>
      </c>
      <c r="E83" s="76">
        <v>170.8</v>
      </c>
      <c r="F83" s="76">
        <v>172</v>
      </c>
      <c r="G83" s="76">
        <v>159</v>
      </c>
      <c r="H83" s="76">
        <v>199.6</v>
      </c>
      <c r="I83" s="76">
        <v>198</v>
      </c>
      <c r="J83" s="76">
        <v>330</v>
      </c>
      <c r="K83" s="76">
        <v>423</v>
      </c>
      <c r="L83" s="76">
        <v>398</v>
      </c>
      <c r="M83" s="76">
        <v>409.5</v>
      </c>
      <c r="N83" s="76">
        <v>408.3</v>
      </c>
      <c r="O83" s="76">
        <v>495</v>
      </c>
      <c r="P83" s="76">
        <v>488</v>
      </c>
      <c r="Q83" s="76">
        <v>479</v>
      </c>
      <c r="R83" s="76">
        <v>489</v>
      </c>
      <c r="S83" s="76">
        <v>490.2</v>
      </c>
      <c r="T83" s="76">
        <v>480</v>
      </c>
      <c r="U83" s="76">
        <v>460</v>
      </c>
      <c r="V83" s="76">
        <v>461</v>
      </c>
      <c r="W83" s="76">
        <v>430</v>
      </c>
      <c r="X83" s="76">
        <v>306</v>
      </c>
      <c r="Y83" s="76">
        <v>88.6</v>
      </c>
      <c r="Z83" s="76">
        <v>94.4</v>
      </c>
      <c r="AA83" s="76">
        <v>91.3</v>
      </c>
      <c r="AB83" s="76">
        <v>72.599999999999994</v>
      </c>
      <c r="AC83" s="76">
        <v>102</v>
      </c>
      <c r="AD83" s="76">
        <v>100</v>
      </c>
      <c r="AE83" s="76">
        <v>106</v>
      </c>
      <c r="AF83" s="76">
        <v>106</v>
      </c>
      <c r="AG83" s="88"/>
      <c r="AH83" s="48">
        <f t="shared" si="33"/>
        <v>495</v>
      </c>
      <c r="AI83" s="49">
        <f t="shared" si="34"/>
        <v>72.599999999999994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15.2</v>
      </c>
      <c r="C84" s="76">
        <v>14.8</v>
      </c>
      <c r="D84" s="76">
        <v>14.7</v>
      </c>
      <c r="E84" s="89">
        <v>14.9</v>
      </c>
      <c r="F84" s="89">
        <v>16</v>
      </c>
      <c r="G84" s="89">
        <v>13.8</v>
      </c>
      <c r="H84" s="89">
        <v>13</v>
      </c>
      <c r="I84" s="89">
        <v>12.8</v>
      </c>
      <c r="J84" s="89">
        <v>37.299999999999997</v>
      </c>
      <c r="K84" s="89">
        <v>49.9</v>
      </c>
      <c r="L84" s="89">
        <v>52</v>
      </c>
      <c r="M84" s="89">
        <v>53.8</v>
      </c>
      <c r="N84" s="89">
        <v>52.8</v>
      </c>
      <c r="O84" s="89">
        <v>51.5</v>
      </c>
      <c r="P84" s="89">
        <v>51.1</v>
      </c>
      <c r="Q84" s="89">
        <v>49</v>
      </c>
      <c r="R84" s="89">
        <v>48</v>
      </c>
      <c r="S84" s="89">
        <v>49.2</v>
      </c>
      <c r="T84" s="89">
        <v>49.2</v>
      </c>
      <c r="U84" s="89">
        <v>51</v>
      </c>
      <c r="V84" s="89">
        <v>52.1</v>
      </c>
      <c r="W84" s="89">
        <v>44.7</v>
      </c>
      <c r="X84" s="89">
        <v>36.4</v>
      </c>
      <c r="Y84" s="89">
        <v>11.5</v>
      </c>
      <c r="Z84" s="89">
        <v>11.6</v>
      </c>
      <c r="AA84" s="89">
        <v>14</v>
      </c>
      <c r="AB84" s="89">
        <v>14.6</v>
      </c>
      <c r="AC84" s="89">
        <v>14.5</v>
      </c>
      <c r="AD84" s="89">
        <v>15</v>
      </c>
      <c r="AE84" s="89">
        <v>15</v>
      </c>
      <c r="AF84" s="89">
        <v>15</v>
      </c>
      <c r="AG84" s="88"/>
      <c r="AH84" s="48">
        <f t="shared" si="33"/>
        <v>53.8</v>
      </c>
      <c r="AI84" s="49">
        <f t="shared" si="34"/>
        <v>11.5</v>
      </c>
      <c r="AK84" s="51"/>
      <c r="AY84" s="82"/>
      <c r="BF84" s="81"/>
      <c r="BG84" s="82">
        <f t="array" ref="BG84:BL107">TRANSPOSE(AZ68:BW73)</f>
        <v>31</v>
      </c>
      <c r="BH84" s="82">
        <v>0</v>
      </c>
      <c r="BI84" s="82">
        <v>166</v>
      </c>
      <c r="BJ84" s="82">
        <v>15</v>
      </c>
      <c r="BK84" s="82">
        <v>0</v>
      </c>
      <c r="BL84" s="82">
        <v>48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/>
      <c r="J85" s="46">
        <v>124.3</v>
      </c>
      <c r="K85" s="46">
        <v>123.9</v>
      </c>
      <c r="L85" s="46">
        <v>140</v>
      </c>
      <c r="M85" s="46">
        <v>116.3</v>
      </c>
      <c r="N85" s="46">
        <v>115.5</v>
      </c>
      <c r="O85" s="46">
        <v>125</v>
      </c>
      <c r="P85" s="46">
        <v>130</v>
      </c>
      <c r="Q85" s="46">
        <v>137.9</v>
      </c>
      <c r="R85" s="46">
        <v>120</v>
      </c>
      <c r="S85" s="46">
        <v>131</v>
      </c>
      <c r="T85" s="46">
        <v>131</v>
      </c>
      <c r="U85" s="46">
        <v>130</v>
      </c>
      <c r="V85" s="46">
        <v>127.8</v>
      </c>
      <c r="W85" s="46">
        <v>97.6</v>
      </c>
      <c r="X85" s="46">
        <v>94.5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3"/>
        <v>140</v>
      </c>
      <c r="AI85" s="49">
        <f t="shared" si="34"/>
        <v>0</v>
      </c>
      <c r="AK85" s="51"/>
      <c r="AY85" s="82"/>
      <c r="BF85" s="81"/>
      <c r="BG85" s="82">
        <v>38.700000000000003</v>
      </c>
      <c r="BH85" s="82">
        <v>0</v>
      </c>
      <c r="BI85" s="82">
        <v>155.9</v>
      </c>
      <c r="BJ85" s="82">
        <v>14.7</v>
      </c>
      <c r="BK85" s="82">
        <v>0</v>
      </c>
      <c r="BL85" s="82">
        <v>47.6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3"/>
        <v>0</v>
      </c>
      <c r="AI86" s="49">
        <f t="shared" si="34"/>
        <v>0</v>
      </c>
      <c r="AK86" s="51"/>
      <c r="AY86" s="82"/>
      <c r="BF86" s="81"/>
      <c r="BG86" s="82">
        <v>38.9</v>
      </c>
      <c r="BH86" s="82">
        <v>0</v>
      </c>
      <c r="BI86" s="82">
        <v>170.8</v>
      </c>
      <c r="BJ86" s="82">
        <v>14.9</v>
      </c>
      <c r="BK86" s="82">
        <v>0</v>
      </c>
      <c r="BL86" s="82">
        <v>44.6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3"/>
        <v>0</v>
      </c>
      <c r="AI87" s="49">
        <f t="shared" si="34"/>
        <v>0</v>
      </c>
      <c r="AK87" s="51"/>
      <c r="AL87" s="91" t="s">
        <v>111</v>
      </c>
      <c r="AM87" s="91"/>
      <c r="AY87" s="82"/>
      <c r="BF87" s="82"/>
      <c r="BG87" s="82">
        <v>39</v>
      </c>
      <c r="BH87" s="82">
        <v>0</v>
      </c>
      <c r="BI87" s="82">
        <v>172</v>
      </c>
      <c r="BJ87" s="82">
        <v>16</v>
      </c>
      <c r="BK87" s="82">
        <v>0</v>
      </c>
      <c r="BL87" s="82">
        <v>42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3"/>
        <v>0</v>
      </c>
      <c r="AI88" s="49">
        <f t="shared" si="34"/>
        <v>0</v>
      </c>
      <c r="AK88" s="92"/>
      <c r="AL88" s="93"/>
      <c r="AM88" s="93"/>
      <c r="AN88" s="94"/>
      <c r="AY88" s="82"/>
      <c r="BF88" s="82"/>
      <c r="BG88" s="82">
        <v>27</v>
      </c>
      <c r="BH88" s="82">
        <v>0</v>
      </c>
      <c r="BI88" s="82">
        <v>159</v>
      </c>
      <c r="BJ88" s="82">
        <v>13.8</v>
      </c>
      <c r="BK88" s="82">
        <v>0</v>
      </c>
      <c r="BL88" s="82">
        <v>39.9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3"/>
        <v>0</v>
      </c>
      <c r="AI89" s="49">
        <f t="shared" si="34"/>
        <v>0</v>
      </c>
      <c r="AK89" s="95" t="s">
        <v>114</v>
      </c>
      <c r="AL89" s="76"/>
      <c r="AM89" s="89"/>
      <c r="AN89" s="96"/>
      <c r="AY89" s="82"/>
      <c r="BF89" s="82"/>
      <c r="BG89" s="82">
        <v>28.3</v>
      </c>
      <c r="BH89" s="82">
        <v>0</v>
      </c>
      <c r="BI89" s="82">
        <v>198</v>
      </c>
      <c r="BJ89" s="82">
        <v>12.8</v>
      </c>
      <c r="BK89" s="82">
        <v>0</v>
      </c>
      <c r="BL89" s="82">
        <v>41.6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3"/>
        <v>0</v>
      </c>
      <c r="AI90" s="49">
        <f t="shared" si="34"/>
        <v>0</v>
      </c>
      <c r="AK90" s="95" t="s">
        <v>116</v>
      </c>
      <c r="AL90" s="89"/>
      <c r="AM90" s="89"/>
      <c r="AN90" s="96"/>
      <c r="AY90" s="82"/>
      <c r="BF90" s="82"/>
      <c r="BG90" s="82">
        <v>70</v>
      </c>
      <c r="BH90" s="82">
        <v>89.8</v>
      </c>
      <c r="BI90" s="82">
        <v>423</v>
      </c>
      <c r="BJ90" s="82">
        <v>49.9</v>
      </c>
      <c r="BK90" s="82">
        <v>123.9</v>
      </c>
      <c r="BL90" s="82">
        <v>49.8</v>
      </c>
    </row>
    <row r="91" spans="1:64" ht="15.75" thickBot="1" x14ac:dyDescent="0.3">
      <c r="A91" s="97" t="s">
        <v>117</v>
      </c>
      <c r="B91" s="90">
        <v>47.1</v>
      </c>
      <c r="C91" s="90">
        <v>47.7</v>
      </c>
      <c r="D91" s="90">
        <v>47.6</v>
      </c>
      <c r="E91" s="90">
        <v>44.6</v>
      </c>
      <c r="F91" s="90">
        <v>42</v>
      </c>
      <c r="G91" s="90">
        <v>39.9</v>
      </c>
      <c r="H91" s="90">
        <v>42.4</v>
      </c>
      <c r="I91" s="90">
        <v>41.6</v>
      </c>
      <c r="J91" s="90">
        <v>46.6</v>
      </c>
      <c r="K91" s="90">
        <v>49.8</v>
      </c>
      <c r="L91" s="90">
        <v>51.5</v>
      </c>
      <c r="M91" s="90">
        <v>53.5</v>
      </c>
      <c r="N91" s="90">
        <v>57.7</v>
      </c>
      <c r="O91" s="90">
        <v>57</v>
      </c>
      <c r="P91" s="90">
        <v>60</v>
      </c>
      <c r="Q91" s="90">
        <v>55.9</v>
      </c>
      <c r="R91" s="90">
        <v>48</v>
      </c>
      <c r="S91" s="90">
        <v>54.1</v>
      </c>
      <c r="T91" s="90">
        <v>54.1</v>
      </c>
      <c r="U91" s="90">
        <v>50</v>
      </c>
      <c r="V91" s="90">
        <v>51.7</v>
      </c>
      <c r="W91" s="90">
        <v>44.4</v>
      </c>
      <c r="X91" s="90">
        <v>44.2</v>
      </c>
      <c r="Y91" s="90">
        <v>43.5</v>
      </c>
      <c r="Z91" s="90">
        <v>45</v>
      </c>
      <c r="AA91" s="90">
        <v>47.3</v>
      </c>
      <c r="AB91" s="90">
        <v>47.4</v>
      </c>
      <c r="AC91" s="90">
        <v>47</v>
      </c>
      <c r="AD91" s="90">
        <v>47</v>
      </c>
      <c r="AE91" s="90">
        <v>44</v>
      </c>
      <c r="AF91" s="90">
        <v>44</v>
      </c>
      <c r="AG91" s="98"/>
      <c r="AH91" s="48">
        <f t="shared" si="33"/>
        <v>60</v>
      </c>
      <c r="AI91" s="49">
        <f t="shared" si="34"/>
        <v>39.9</v>
      </c>
      <c r="AK91" s="99"/>
      <c r="AL91" s="46"/>
      <c r="AM91" s="46"/>
      <c r="AN91" s="100"/>
      <c r="AY91" s="82"/>
      <c r="BF91" s="82"/>
      <c r="BG91" s="82">
        <v>69.2</v>
      </c>
      <c r="BH91" s="82">
        <v>91.6</v>
      </c>
      <c r="BI91" s="82">
        <v>409.5</v>
      </c>
      <c r="BJ91" s="82">
        <v>53.8</v>
      </c>
      <c r="BK91" s="82">
        <v>116.3</v>
      </c>
      <c r="BL91" s="82">
        <v>53.5</v>
      </c>
    </row>
    <row r="92" spans="1:64" ht="15.75" thickBot="1" x14ac:dyDescent="0.3">
      <c r="A92" s="87" t="s">
        <v>118</v>
      </c>
      <c r="B92" s="71">
        <f t="shared" ref="B92:AF92" si="35">SUMIF(B81:B91,"&gt;0")</f>
        <v>272.8</v>
      </c>
      <c r="C92" s="71">
        <f t="shared" si="35"/>
        <v>259.40000000000003</v>
      </c>
      <c r="D92" s="71">
        <f t="shared" si="35"/>
        <v>256.90000000000003</v>
      </c>
      <c r="E92" s="71">
        <f t="shared" si="35"/>
        <v>269.20000000000005</v>
      </c>
      <c r="F92" s="71">
        <f>SUMIF(F81:F91,"&gt;0")</f>
        <v>269</v>
      </c>
      <c r="G92" s="71">
        <f>SUMIF(G81:G91,"&gt;0")</f>
        <v>239.70000000000002</v>
      </c>
      <c r="H92" s="71">
        <f>SUMIF(H81:H91,"&gt;0")</f>
        <v>282.7</v>
      </c>
      <c r="I92" s="71">
        <f t="shared" si="35"/>
        <v>280.70000000000005</v>
      </c>
      <c r="J92" s="71">
        <f t="shared" si="35"/>
        <v>601.5</v>
      </c>
      <c r="K92" s="71">
        <f t="shared" si="35"/>
        <v>806.39999999999986</v>
      </c>
      <c r="L92" s="71">
        <f t="shared" si="35"/>
        <v>774.5</v>
      </c>
      <c r="M92" s="71">
        <f t="shared" si="35"/>
        <v>793.89999999999986</v>
      </c>
      <c r="N92" s="71">
        <f t="shared" si="35"/>
        <v>795.8</v>
      </c>
      <c r="O92" s="71">
        <f t="shared" si="35"/>
        <v>905.1</v>
      </c>
      <c r="P92" s="71">
        <f t="shared" si="35"/>
        <v>902.80000000000007</v>
      </c>
      <c r="Q92" s="71">
        <f t="shared" si="35"/>
        <v>893.19999999999993</v>
      </c>
      <c r="R92" s="71">
        <f t="shared" si="35"/>
        <v>885.3</v>
      </c>
      <c r="S92" s="71">
        <f t="shared" si="35"/>
        <v>904.50000000000011</v>
      </c>
      <c r="T92" s="71">
        <f>SUMIF(T81:T91,"&gt;0")</f>
        <v>894.30000000000007</v>
      </c>
      <c r="U92" s="71">
        <f>SUMIF(U81:U91,"&gt;0")</f>
        <v>862</v>
      </c>
      <c r="V92" s="71">
        <f t="shared" si="35"/>
        <v>856.6</v>
      </c>
      <c r="W92" s="71">
        <f t="shared" si="35"/>
        <v>782.30000000000007</v>
      </c>
      <c r="X92" s="71">
        <f t="shared" si="35"/>
        <v>641.70000000000005</v>
      </c>
      <c r="Y92" s="71">
        <f t="shared" si="35"/>
        <v>166.7</v>
      </c>
      <c r="Z92" s="71">
        <f t="shared" si="35"/>
        <v>174</v>
      </c>
      <c r="AA92" s="71">
        <f t="shared" si="35"/>
        <v>199</v>
      </c>
      <c r="AB92" s="71">
        <f t="shared" si="35"/>
        <v>176.9</v>
      </c>
      <c r="AC92" s="71">
        <f t="shared" si="35"/>
        <v>212.3</v>
      </c>
      <c r="AD92" s="71">
        <f t="shared" si="35"/>
        <v>207</v>
      </c>
      <c r="AE92" s="71">
        <f t="shared" si="35"/>
        <v>194</v>
      </c>
      <c r="AF92" s="71">
        <f t="shared" si="35"/>
        <v>198.9</v>
      </c>
      <c r="AG92" s="101">
        <f>SUM(AG81:AG91)</f>
        <v>0</v>
      </c>
      <c r="AH92" s="48">
        <f t="shared" si="33"/>
        <v>905.1</v>
      </c>
      <c r="AI92" s="49">
        <f t="shared" si="34"/>
        <v>166.7</v>
      </c>
      <c r="AK92" s="99"/>
      <c r="AL92" s="90"/>
      <c r="AM92" s="102"/>
      <c r="AN92" s="202"/>
      <c r="AY92" s="82"/>
      <c r="BF92" s="82"/>
      <c r="BG92" s="82">
        <v>57.7</v>
      </c>
      <c r="BH92" s="82">
        <v>103.8</v>
      </c>
      <c r="BI92" s="82">
        <v>408.3</v>
      </c>
      <c r="BJ92" s="82">
        <v>52.8</v>
      </c>
      <c r="BK92" s="82">
        <v>115.5</v>
      </c>
      <c r="BL92" s="82">
        <v>57.7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3"/>
        <v>0</v>
      </c>
      <c r="AI93" s="49">
        <f t="shared" si="34"/>
        <v>0</v>
      </c>
      <c r="AK93" s="99"/>
      <c r="AL93" s="90"/>
      <c r="AM93" s="90"/>
      <c r="AN93" s="203"/>
      <c r="BF93" s="82"/>
      <c r="BG93" s="82">
        <v>65.400000000000006</v>
      </c>
      <c r="BH93" s="82">
        <v>111.2</v>
      </c>
      <c r="BI93" s="82">
        <v>495</v>
      </c>
      <c r="BJ93" s="82">
        <v>51.5</v>
      </c>
      <c r="BK93" s="82">
        <v>125</v>
      </c>
      <c r="BL93" s="82">
        <v>57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3"/>
        <v>0</v>
      </c>
      <c r="AI94" s="49">
        <f t="shared" si="34"/>
        <v>0</v>
      </c>
      <c r="AK94" s="104"/>
      <c r="AL94" s="105"/>
      <c r="AM94" s="105"/>
      <c r="AN94" s="106"/>
      <c r="BF94" s="82"/>
      <c r="BG94" s="82">
        <v>70.7</v>
      </c>
      <c r="BH94" s="82">
        <v>103</v>
      </c>
      <c r="BI94" s="82">
        <v>488</v>
      </c>
      <c r="BJ94" s="82">
        <v>51.1</v>
      </c>
      <c r="BK94" s="82">
        <v>130</v>
      </c>
      <c r="BL94" s="82">
        <v>60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3"/>
        <v>0</v>
      </c>
      <c r="AI95" s="49">
        <f t="shared" si="34"/>
        <v>0</v>
      </c>
      <c r="BF95" s="82"/>
      <c r="BG95" s="82">
        <v>70.8</v>
      </c>
      <c r="BH95" s="82">
        <v>100.6</v>
      </c>
      <c r="BI95" s="82">
        <v>479</v>
      </c>
      <c r="BJ95" s="82">
        <v>49</v>
      </c>
      <c r="BK95" s="82">
        <v>137.9</v>
      </c>
      <c r="BL95" s="82">
        <v>55.9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3"/>
        <v>0</v>
      </c>
      <c r="AI96" s="49">
        <f t="shared" si="34"/>
        <v>0</v>
      </c>
      <c r="BF96" s="82"/>
      <c r="BG96" s="82">
        <v>72.5</v>
      </c>
      <c r="BH96" s="82">
        <v>107.8</v>
      </c>
      <c r="BI96" s="82">
        <v>489</v>
      </c>
      <c r="BJ96" s="82">
        <v>48</v>
      </c>
      <c r="BK96" s="82">
        <v>120</v>
      </c>
      <c r="BL96" s="82">
        <v>48</v>
      </c>
    </row>
    <row r="97" spans="1:64" ht="15.75" thickBot="1" x14ac:dyDescent="0.3">
      <c r="A97" s="87" t="s">
        <v>123</v>
      </c>
      <c r="B97" s="108">
        <f t="shared" ref="B97:AG97" si="36">B58+B62+B80+B76+B92+B96</f>
        <v>1351.6399999999999</v>
      </c>
      <c r="C97" s="108">
        <f t="shared" si="36"/>
        <v>1339.94</v>
      </c>
      <c r="D97" s="108">
        <f t="shared" si="36"/>
        <v>1300.7400000000002</v>
      </c>
      <c r="E97" s="108">
        <f t="shared" si="36"/>
        <v>1286.94</v>
      </c>
      <c r="F97" s="108">
        <f>F58+F62+F80+F76+F92+F96</f>
        <v>1287.1400000000001</v>
      </c>
      <c r="G97" s="108">
        <f>G58+G62+G80+G76+G92+G96</f>
        <v>1260.8600000000001</v>
      </c>
      <c r="H97" s="108">
        <f>H58+H62+H80+H76+H92+H96</f>
        <v>1303.3400000000001</v>
      </c>
      <c r="I97" s="108">
        <f t="shared" si="36"/>
        <v>1355.2400000000002</v>
      </c>
      <c r="J97" s="108">
        <f t="shared" si="36"/>
        <v>1504.4300000000003</v>
      </c>
      <c r="K97" s="108">
        <f t="shared" si="36"/>
        <v>1655.73</v>
      </c>
      <c r="L97" s="108">
        <f t="shared" si="36"/>
        <v>1715.74</v>
      </c>
      <c r="M97" s="108">
        <f t="shared" si="36"/>
        <v>1737.9399999999998</v>
      </c>
      <c r="N97" s="108">
        <f t="shared" si="36"/>
        <v>1734.8400000000001</v>
      </c>
      <c r="O97" s="108">
        <f t="shared" si="36"/>
        <v>1859.7400000000002</v>
      </c>
      <c r="P97" s="108">
        <f t="shared" si="36"/>
        <v>1862.1400000000003</v>
      </c>
      <c r="Q97" s="108">
        <f t="shared" si="36"/>
        <v>1838.44</v>
      </c>
      <c r="R97" s="108">
        <f t="shared" si="36"/>
        <v>1845.9399999999998</v>
      </c>
      <c r="S97" s="108">
        <f t="shared" si="36"/>
        <v>1890.1400000000003</v>
      </c>
      <c r="T97" s="108">
        <f>T58+T62+T80+T76+T92+T96</f>
        <v>1895.1400000000003</v>
      </c>
      <c r="U97" s="108">
        <f>U58+U62+U80+U76+U92+U96</f>
        <v>1829.54</v>
      </c>
      <c r="V97" s="108">
        <f t="shared" si="36"/>
        <v>1742.6399999999999</v>
      </c>
      <c r="W97" s="108">
        <f t="shared" si="36"/>
        <v>1665.44</v>
      </c>
      <c r="X97" s="108">
        <f t="shared" si="36"/>
        <v>1559.04</v>
      </c>
      <c r="Y97" s="108">
        <f t="shared" si="36"/>
        <v>1532.2000000000003</v>
      </c>
      <c r="Z97" s="108">
        <f t="shared" si="36"/>
        <v>1582.2000000000003</v>
      </c>
      <c r="AA97" s="108">
        <f t="shared" si="36"/>
        <v>1673.0400000000002</v>
      </c>
      <c r="AB97" s="108">
        <f t="shared" si="36"/>
        <v>1664.64</v>
      </c>
      <c r="AC97" s="108">
        <f t="shared" si="36"/>
        <v>1662.84</v>
      </c>
      <c r="AD97" s="108">
        <f t="shared" si="36"/>
        <v>1611.7400000000002</v>
      </c>
      <c r="AE97" s="108">
        <f t="shared" si="36"/>
        <v>1399.74</v>
      </c>
      <c r="AF97" s="108">
        <f t="shared" si="36"/>
        <v>1351.5400000000002</v>
      </c>
      <c r="AG97" s="72">
        <f t="shared" si="36"/>
        <v>2231.81</v>
      </c>
      <c r="AH97" s="48">
        <f t="shared" si="33"/>
        <v>1895.1400000000003</v>
      </c>
      <c r="AI97" s="49">
        <f t="shared" si="34"/>
        <v>1260.8600000000001</v>
      </c>
      <c r="BF97" s="82"/>
      <c r="BG97" s="82">
        <v>73.8</v>
      </c>
      <c r="BH97" s="82">
        <v>106.2</v>
      </c>
      <c r="BI97" s="82">
        <v>490.2</v>
      </c>
      <c r="BJ97" s="82">
        <v>49.2</v>
      </c>
      <c r="BK97" s="82">
        <v>131</v>
      </c>
      <c r="BL97" s="82">
        <v>54.1</v>
      </c>
    </row>
    <row r="98" spans="1:64" ht="15.75" thickBot="1" x14ac:dyDescent="0.3">
      <c r="A98" s="109" t="s">
        <v>124</v>
      </c>
      <c r="B98" s="110">
        <v>250</v>
      </c>
      <c r="C98" s="110">
        <v>250</v>
      </c>
      <c r="D98" s="110">
        <v>250</v>
      </c>
      <c r="E98" s="110">
        <v>250</v>
      </c>
      <c r="F98" s="110">
        <v>250</v>
      </c>
      <c r="G98" s="110">
        <v>250</v>
      </c>
      <c r="H98" s="110">
        <v>200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>
        <v>50</v>
      </c>
      <c r="X98" s="110">
        <v>150</v>
      </c>
      <c r="Y98" s="110">
        <v>250</v>
      </c>
      <c r="Z98" s="110">
        <v>250</v>
      </c>
      <c r="AA98" s="110">
        <v>250</v>
      </c>
      <c r="AB98" s="110">
        <v>250</v>
      </c>
      <c r="AC98" s="110">
        <v>250</v>
      </c>
      <c r="AD98" s="110">
        <v>250</v>
      </c>
      <c r="AE98" s="110">
        <v>270</v>
      </c>
      <c r="AF98" s="110">
        <v>350</v>
      </c>
      <c r="AG98" s="101"/>
      <c r="AH98" s="48">
        <f t="shared" si="33"/>
        <v>350</v>
      </c>
      <c r="AI98" s="49">
        <f t="shared" si="34"/>
        <v>50</v>
      </c>
      <c r="BF98" s="82"/>
      <c r="BG98" s="82">
        <v>73.8</v>
      </c>
      <c r="BH98" s="82">
        <v>106.2</v>
      </c>
      <c r="BI98" s="82">
        <v>480</v>
      </c>
      <c r="BJ98" s="82">
        <v>49.2</v>
      </c>
      <c r="BK98" s="82">
        <v>131</v>
      </c>
      <c r="BL98" s="82">
        <v>54.1</v>
      </c>
    </row>
    <row r="99" spans="1:64" ht="15.75" thickBot="1" x14ac:dyDescent="0.3">
      <c r="A99" s="87" t="s">
        <v>125</v>
      </c>
      <c r="B99" s="108">
        <f t="shared" ref="B99:AF99" si="37">B97+B98</f>
        <v>1601.6399999999999</v>
      </c>
      <c r="C99" s="108">
        <f t="shared" si="37"/>
        <v>1589.94</v>
      </c>
      <c r="D99" s="108">
        <f t="shared" si="37"/>
        <v>1550.7400000000002</v>
      </c>
      <c r="E99" s="108">
        <f t="shared" si="37"/>
        <v>1536.94</v>
      </c>
      <c r="F99" s="108">
        <f>F97+F98</f>
        <v>1537.14</v>
      </c>
      <c r="G99" s="108">
        <f>G97+G98</f>
        <v>1510.8600000000001</v>
      </c>
      <c r="H99" s="108">
        <f>H97+H98</f>
        <v>1503.3400000000001</v>
      </c>
      <c r="I99" s="108">
        <f t="shared" si="37"/>
        <v>1355.2400000000002</v>
      </c>
      <c r="J99" s="108">
        <f t="shared" si="37"/>
        <v>1504.4300000000003</v>
      </c>
      <c r="K99" s="108">
        <f t="shared" si="37"/>
        <v>1655.73</v>
      </c>
      <c r="L99" s="108">
        <f t="shared" si="37"/>
        <v>1715.74</v>
      </c>
      <c r="M99" s="108">
        <f t="shared" si="37"/>
        <v>1737.9399999999998</v>
      </c>
      <c r="N99" s="108">
        <f t="shared" si="37"/>
        <v>1734.8400000000001</v>
      </c>
      <c r="O99" s="108">
        <f t="shared" si="37"/>
        <v>1859.7400000000002</v>
      </c>
      <c r="P99" s="108">
        <f t="shared" si="37"/>
        <v>1862.1400000000003</v>
      </c>
      <c r="Q99" s="108">
        <f t="shared" si="37"/>
        <v>1838.44</v>
      </c>
      <c r="R99" s="108">
        <f t="shared" si="37"/>
        <v>1845.9399999999998</v>
      </c>
      <c r="S99" s="108">
        <f t="shared" si="37"/>
        <v>1890.1400000000003</v>
      </c>
      <c r="T99" s="108">
        <f>T97+T98</f>
        <v>1895.1400000000003</v>
      </c>
      <c r="U99" s="108">
        <f>U97+U98</f>
        <v>1829.54</v>
      </c>
      <c r="V99" s="108">
        <f t="shared" si="37"/>
        <v>1742.6399999999999</v>
      </c>
      <c r="W99" s="108">
        <f t="shared" si="37"/>
        <v>1715.44</v>
      </c>
      <c r="X99" s="108">
        <f t="shared" si="37"/>
        <v>1709.04</v>
      </c>
      <c r="Y99" s="108">
        <f t="shared" si="37"/>
        <v>1782.2000000000003</v>
      </c>
      <c r="Z99" s="108">
        <f t="shared" si="37"/>
        <v>1832.2000000000003</v>
      </c>
      <c r="AA99" s="108">
        <f t="shared" si="37"/>
        <v>1923.0400000000002</v>
      </c>
      <c r="AB99" s="108">
        <f t="shared" si="37"/>
        <v>1914.64</v>
      </c>
      <c r="AC99" s="108">
        <f t="shared" si="37"/>
        <v>1912.84</v>
      </c>
      <c r="AD99" s="108">
        <f t="shared" si="37"/>
        <v>1861.7400000000002</v>
      </c>
      <c r="AE99" s="108">
        <f t="shared" si="37"/>
        <v>1669.74</v>
      </c>
      <c r="AF99" s="108">
        <f t="shared" si="37"/>
        <v>1701.5400000000002</v>
      </c>
      <c r="AG99" s="101">
        <f>AG96+AG92+AG80+AG76+AG58+AG98</f>
        <v>1693.71</v>
      </c>
      <c r="AH99" s="48">
        <f t="shared" si="33"/>
        <v>1923.0400000000002</v>
      </c>
      <c r="AI99" s="49">
        <f t="shared" si="34"/>
        <v>1355.2400000000002</v>
      </c>
      <c r="BF99" s="82"/>
      <c r="BG99" s="82">
        <v>66</v>
      </c>
      <c r="BH99" s="82">
        <v>105</v>
      </c>
      <c r="BI99" s="82">
        <v>460</v>
      </c>
      <c r="BJ99" s="82">
        <v>51</v>
      </c>
      <c r="BK99" s="82">
        <v>130</v>
      </c>
      <c r="BL99" s="82">
        <v>50</v>
      </c>
    </row>
    <row r="100" spans="1:64" ht="15.75" thickBot="1" x14ac:dyDescent="0.3">
      <c r="A100" s="87" t="s">
        <v>126</v>
      </c>
      <c r="B100" s="108">
        <f t="shared" ref="B100:AF100" si="38">B99-(B107)</f>
        <v>1601.6399999999999</v>
      </c>
      <c r="C100" s="108">
        <f t="shared" si="38"/>
        <v>1589.94</v>
      </c>
      <c r="D100" s="108">
        <f t="shared" si="38"/>
        <v>1550.7400000000002</v>
      </c>
      <c r="E100" s="108">
        <f t="shared" si="38"/>
        <v>1536.94</v>
      </c>
      <c r="F100" s="108">
        <f>F99-(F107)</f>
        <v>1536.14</v>
      </c>
      <c r="G100" s="108">
        <f>G99-(G107)</f>
        <v>1508.8600000000001</v>
      </c>
      <c r="H100" s="108">
        <f>H99-(H107)</f>
        <v>1500.3400000000001</v>
      </c>
      <c r="I100" s="108">
        <f t="shared" si="38"/>
        <v>1355.2400000000002</v>
      </c>
      <c r="J100" s="108">
        <f t="shared" si="38"/>
        <v>1504.4300000000003</v>
      </c>
      <c r="K100" s="108">
        <f t="shared" si="38"/>
        <v>1655.73</v>
      </c>
      <c r="L100" s="108">
        <f t="shared" si="38"/>
        <v>1715.74</v>
      </c>
      <c r="M100" s="108">
        <f t="shared" si="38"/>
        <v>1737.9399999999998</v>
      </c>
      <c r="N100" s="108">
        <f t="shared" si="38"/>
        <v>1734.8400000000001</v>
      </c>
      <c r="O100" s="108">
        <f t="shared" si="38"/>
        <v>1859.7400000000002</v>
      </c>
      <c r="P100" s="108">
        <f t="shared" si="38"/>
        <v>1862.1400000000003</v>
      </c>
      <c r="Q100" s="108">
        <f t="shared" si="38"/>
        <v>1838.44</v>
      </c>
      <c r="R100" s="108">
        <f t="shared" si="38"/>
        <v>1845.9399999999998</v>
      </c>
      <c r="S100" s="108">
        <f t="shared" si="38"/>
        <v>1890.1400000000003</v>
      </c>
      <c r="T100" s="108">
        <f>T99-(T107)</f>
        <v>1895.1400000000003</v>
      </c>
      <c r="U100" s="108">
        <f>U99-(U107)</f>
        <v>1829.54</v>
      </c>
      <c r="V100" s="108">
        <f t="shared" si="38"/>
        <v>1742.6399999999999</v>
      </c>
      <c r="W100" s="108">
        <f t="shared" si="38"/>
        <v>1715.44</v>
      </c>
      <c r="X100" s="108">
        <f t="shared" si="38"/>
        <v>1709.04</v>
      </c>
      <c r="Y100" s="108">
        <f t="shared" si="38"/>
        <v>1782.2000000000003</v>
      </c>
      <c r="Z100" s="108">
        <f t="shared" si="38"/>
        <v>1832.2000000000003</v>
      </c>
      <c r="AA100" s="108">
        <f t="shared" si="38"/>
        <v>1923.0400000000002</v>
      </c>
      <c r="AB100" s="108">
        <f t="shared" si="38"/>
        <v>1914.64</v>
      </c>
      <c r="AC100" s="108">
        <f t="shared" si="38"/>
        <v>1912.84</v>
      </c>
      <c r="AD100" s="108">
        <f t="shared" si="38"/>
        <v>1861.7400000000002</v>
      </c>
      <c r="AE100" s="108">
        <f t="shared" si="38"/>
        <v>1669.74</v>
      </c>
      <c r="AF100" s="108">
        <f t="shared" si="38"/>
        <v>1701.5400000000002</v>
      </c>
      <c r="AG100" s="101"/>
      <c r="AH100" s="48">
        <f t="shared" si="33"/>
        <v>1923.0400000000002</v>
      </c>
      <c r="AI100" s="49">
        <f t="shared" si="34"/>
        <v>1355.2400000000002</v>
      </c>
      <c r="BF100" s="82"/>
      <c r="BG100" s="82">
        <v>74.7</v>
      </c>
      <c r="BH100" s="82">
        <v>89.3</v>
      </c>
      <c r="BI100" s="82">
        <v>461</v>
      </c>
      <c r="BJ100" s="82">
        <v>52.1</v>
      </c>
      <c r="BK100" s="82">
        <v>127.8</v>
      </c>
      <c r="BL100" s="82">
        <v>51.7</v>
      </c>
    </row>
    <row r="101" spans="1:64" x14ac:dyDescent="0.25">
      <c r="A101" s="45" t="s">
        <v>107</v>
      </c>
      <c r="B101" s="89">
        <f t="shared" ref="B101:AF101" si="39">IF(B84&lt;0,B84*-1,0)</f>
        <v>0</v>
      </c>
      <c r="C101" s="89">
        <f t="shared" si="39"/>
        <v>0</v>
      </c>
      <c r="D101" s="89">
        <f t="shared" si="39"/>
        <v>0</v>
      </c>
      <c r="E101" s="89">
        <f t="shared" si="39"/>
        <v>0</v>
      </c>
      <c r="F101" s="89">
        <f>IF(F84&lt;0,F84*-1,0)</f>
        <v>0</v>
      </c>
      <c r="G101" s="89">
        <f>IF(G84&lt;0,G84*-1,0)</f>
        <v>0</v>
      </c>
      <c r="H101" s="89">
        <f>IF(H84&lt;0,H84*-1,0)</f>
        <v>0</v>
      </c>
      <c r="I101" s="89">
        <f t="shared" si="39"/>
        <v>0</v>
      </c>
      <c r="J101" s="89">
        <f t="shared" si="39"/>
        <v>0</v>
      </c>
      <c r="K101" s="89">
        <f t="shared" si="39"/>
        <v>0</v>
      </c>
      <c r="L101" s="89">
        <f t="shared" si="39"/>
        <v>0</v>
      </c>
      <c r="M101" s="89">
        <f t="shared" si="39"/>
        <v>0</v>
      </c>
      <c r="N101" s="89">
        <f t="shared" si="39"/>
        <v>0</v>
      </c>
      <c r="O101" s="89">
        <f t="shared" si="39"/>
        <v>0</v>
      </c>
      <c r="P101" s="89">
        <f t="shared" si="39"/>
        <v>0</v>
      </c>
      <c r="Q101" s="89">
        <f t="shared" si="39"/>
        <v>0</v>
      </c>
      <c r="R101" s="89">
        <f t="shared" si="39"/>
        <v>0</v>
      </c>
      <c r="S101" s="89">
        <f t="shared" si="39"/>
        <v>0</v>
      </c>
      <c r="T101" s="89">
        <f>IF(T84&lt;0,T84*-1,0)</f>
        <v>0</v>
      </c>
      <c r="U101" s="89">
        <f>IF(U84&lt;0,U84*-1,0)</f>
        <v>0</v>
      </c>
      <c r="V101" s="89">
        <f t="shared" si="39"/>
        <v>0</v>
      </c>
      <c r="W101" s="89">
        <f t="shared" si="39"/>
        <v>0</v>
      </c>
      <c r="X101" s="89">
        <f t="shared" si="39"/>
        <v>0</v>
      </c>
      <c r="Y101" s="89">
        <f t="shared" si="39"/>
        <v>0</v>
      </c>
      <c r="Z101" s="89">
        <f t="shared" si="39"/>
        <v>0</v>
      </c>
      <c r="AA101" s="89">
        <f t="shared" si="39"/>
        <v>0</v>
      </c>
      <c r="AB101" s="89">
        <f t="shared" si="39"/>
        <v>0</v>
      </c>
      <c r="AC101" s="89">
        <f t="shared" si="39"/>
        <v>0</v>
      </c>
      <c r="AD101" s="89">
        <f t="shared" si="39"/>
        <v>0</v>
      </c>
      <c r="AE101" s="89">
        <f t="shared" si="39"/>
        <v>0</v>
      </c>
      <c r="AF101" s="89">
        <f t="shared" si="39"/>
        <v>0</v>
      </c>
      <c r="AG101" s="61"/>
      <c r="AH101" s="48">
        <f t="shared" si="33"/>
        <v>0</v>
      </c>
      <c r="AI101" s="49">
        <f t="shared" si="34"/>
        <v>0</v>
      </c>
      <c r="BF101" s="81"/>
      <c r="BG101" s="82">
        <v>69.3</v>
      </c>
      <c r="BH101" s="82">
        <v>91.3</v>
      </c>
      <c r="BI101" s="82">
        <v>306</v>
      </c>
      <c r="BJ101" s="82">
        <v>36.4</v>
      </c>
      <c r="BK101" s="82">
        <v>94.5</v>
      </c>
      <c r="BL101" s="82">
        <v>44.2</v>
      </c>
    </row>
    <row r="102" spans="1:64" x14ac:dyDescent="0.25">
      <c r="A102" s="65" t="s">
        <v>105</v>
      </c>
      <c r="B102" s="89">
        <f t="shared" ref="B102:AF102" si="40">IF(B82&lt;0,B82*-1,0)</f>
        <v>0</v>
      </c>
      <c r="C102" s="89">
        <f t="shared" si="40"/>
        <v>0</v>
      </c>
      <c r="D102" s="89">
        <f t="shared" si="40"/>
        <v>0</v>
      </c>
      <c r="E102" s="89">
        <f t="shared" si="40"/>
        <v>0</v>
      </c>
      <c r="F102" s="89">
        <f>IF(F82&lt;0,F82*-1,0)</f>
        <v>0</v>
      </c>
      <c r="G102" s="89">
        <f>IF(G82&lt;0,G82*-1,0)</f>
        <v>0</v>
      </c>
      <c r="H102" s="89">
        <f>IF(H82&lt;0,H82*-1,0)</f>
        <v>0</v>
      </c>
      <c r="I102" s="89">
        <f t="shared" si="40"/>
        <v>0</v>
      </c>
      <c r="J102" s="89">
        <f t="shared" si="40"/>
        <v>0</v>
      </c>
      <c r="K102" s="89">
        <f t="shared" si="40"/>
        <v>0</v>
      </c>
      <c r="L102" s="89">
        <f t="shared" si="40"/>
        <v>0</v>
      </c>
      <c r="M102" s="89">
        <f t="shared" si="40"/>
        <v>0</v>
      </c>
      <c r="N102" s="89">
        <f t="shared" si="40"/>
        <v>0</v>
      </c>
      <c r="O102" s="89">
        <f t="shared" si="40"/>
        <v>0</v>
      </c>
      <c r="P102" s="89">
        <f t="shared" si="40"/>
        <v>0</v>
      </c>
      <c r="Q102" s="89">
        <f t="shared" si="40"/>
        <v>0</v>
      </c>
      <c r="R102" s="89">
        <f t="shared" si="40"/>
        <v>0</v>
      </c>
      <c r="S102" s="89">
        <f t="shared" si="40"/>
        <v>0</v>
      </c>
      <c r="T102" s="89">
        <f>IF(T82&lt;0,T82*-1,0)</f>
        <v>0</v>
      </c>
      <c r="U102" s="89">
        <f>IF(U82&lt;0,U82*-1,0)</f>
        <v>0</v>
      </c>
      <c r="V102" s="89">
        <f t="shared" si="40"/>
        <v>0</v>
      </c>
      <c r="W102" s="89">
        <f t="shared" si="40"/>
        <v>0</v>
      </c>
      <c r="X102" s="89">
        <f t="shared" si="40"/>
        <v>0</v>
      </c>
      <c r="Y102" s="89">
        <f t="shared" si="40"/>
        <v>0</v>
      </c>
      <c r="Z102" s="89">
        <f t="shared" si="40"/>
        <v>0</v>
      </c>
      <c r="AA102" s="89">
        <f t="shared" si="40"/>
        <v>0</v>
      </c>
      <c r="AB102" s="89">
        <f t="shared" si="40"/>
        <v>0</v>
      </c>
      <c r="AC102" s="89">
        <f t="shared" si="40"/>
        <v>0</v>
      </c>
      <c r="AD102" s="89">
        <f t="shared" si="40"/>
        <v>0</v>
      </c>
      <c r="AE102" s="89">
        <f t="shared" si="40"/>
        <v>0</v>
      </c>
      <c r="AF102" s="89">
        <f t="shared" si="40"/>
        <v>0</v>
      </c>
      <c r="AG102" s="66"/>
      <c r="AH102" s="48">
        <f t="shared" si="33"/>
        <v>0</v>
      </c>
      <c r="AI102" s="49">
        <f t="shared" si="34"/>
        <v>0</v>
      </c>
      <c r="BF102" s="81"/>
      <c r="BG102" s="82">
        <v>23</v>
      </c>
      <c r="BH102" s="82">
        <v>0</v>
      </c>
      <c r="BI102" s="82">
        <v>94.4</v>
      </c>
      <c r="BJ102" s="82">
        <v>11.6</v>
      </c>
      <c r="BK102" s="82">
        <v>0</v>
      </c>
      <c r="BL102" s="82">
        <v>45</v>
      </c>
    </row>
    <row r="103" spans="1:64" x14ac:dyDescent="0.25">
      <c r="A103" s="97" t="s">
        <v>127</v>
      </c>
      <c r="B103" s="89">
        <f t="shared" ref="B103:AF103" si="41">IF(B85&lt;0,B85*-1,0)</f>
        <v>0</v>
      </c>
      <c r="C103" s="89">
        <f t="shared" si="41"/>
        <v>0</v>
      </c>
      <c r="D103" s="89">
        <f t="shared" si="41"/>
        <v>0</v>
      </c>
      <c r="E103" s="89">
        <f t="shared" si="41"/>
        <v>0</v>
      </c>
      <c r="F103" s="89">
        <f>IF(F85&lt;0,F85*-1,0)</f>
        <v>0</v>
      </c>
      <c r="G103" s="89">
        <f>IF(G85&lt;0,G85*-1,0)</f>
        <v>0</v>
      </c>
      <c r="H103" s="89">
        <f>IF(H85&lt;0,H85*-1,0)</f>
        <v>0</v>
      </c>
      <c r="I103" s="89">
        <f t="shared" si="41"/>
        <v>0</v>
      </c>
      <c r="J103" s="89">
        <f t="shared" si="41"/>
        <v>0</v>
      </c>
      <c r="K103" s="89">
        <f t="shared" si="41"/>
        <v>0</v>
      </c>
      <c r="L103" s="89">
        <f t="shared" si="41"/>
        <v>0</v>
      </c>
      <c r="M103" s="89">
        <f t="shared" si="41"/>
        <v>0</v>
      </c>
      <c r="N103" s="89">
        <f t="shared" si="41"/>
        <v>0</v>
      </c>
      <c r="O103" s="89">
        <f t="shared" si="41"/>
        <v>0</v>
      </c>
      <c r="P103" s="89">
        <f t="shared" si="41"/>
        <v>0</v>
      </c>
      <c r="Q103" s="89">
        <f t="shared" si="41"/>
        <v>0</v>
      </c>
      <c r="R103" s="89">
        <f t="shared" si="41"/>
        <v>0</v>
      </c>
      <c r="S103" s="89">
        <f t="shared" si="41"/>
        <v>0</v>
      </c>
      <c r="T103" s="89">
        <f>IF(T85&lt;0,T85*-1,0)</f>
        <v>0</v>
      </c>
      <c r="U103" s="89">
        <f>IF(U85&lt;0,U85*-1,0)</f>
        <v>0</v>
      </c>
      <c r="V103" s="89">
        <f t="shared" si="41"/>
        <v>0</v>
      </c>
      <c r="W103" s="89">
        <f t="shared" si="41"/>
        <v>0</v>
      </c>
      <c r="X103" s="89">
        <f t="shared" si="41"/>
        <v>0</v>
      </c>
      <c r="Y103" s="89">
        <f t="shared" si="41"/>
        <v>0</v>
      </c>
      <c r="Z103" s="89">
        <f t="shared" si="41"/>
        <v>0</v>
      </c>
      <c r="AA103" s="89">
        <f t="shared" si="41"/>
        <v>0</v>
      </c>
      <c r="AB103" s="89">
        <f t="shared" si="41"/>
        <v>0</v>
      </c>
      <c r="AC103" s="89">
        <f t="shared" si="41"/>
        <v>0</v>
      </c>
      <c r="AD103" s="89">
        <f t="shared" si="41"/>
        <v>0</v>
      </c>
      <c r="AE103" s="89">
        <f t="shared" si="41"/>
        <v>0</v>
      </c>
      <c r="AF103" s="89">
        <f t="shared" si="41"/>
        <v>0</v>
      </c>
      <c r="AG103" s="111"/>
      <c r="AH103" s="48">
        <f t="shared" si="33"/>
        <v>0</v>
      </c>
      <c r="AI103" s="49">
        <f t="shared" si="34"/>
        <v>0</v>
      </c>
      <c r="BF103" s="81"/>
      <c r="BG103" s="82">
        <v>42.3</v>
      </c>
      <c r="BH103" s="82">
        <v>0</v>
      </c>
      <c r="BI103" s="82">
        <v>72.599999999999994</v>
      </c>
      <c r="BJ103" s="82">
        <v>14.6</v>
      </c>
      <c r="BK103" s="82">
        <v>0</v>
      </c>
      <c r="BL103" s="82">
        <v>47.4</v>
      </c>
    </row>
    <row r="104" spans="1:64" x14ac:dyDescent="0.25">
      <c r="A104" s="97" t="s">
        <v>128</v>
      </c>
      <c r="B104" s="89">
        <f t="shared" ref="B104:AF104" si="42">IF(B83&lt;0,B83*-1,0)</f>
        <v>0</v>
      </c>
      <c r="C104" s="89">
        <f t="shared" si="42"/>
        <v>0</v>
      </c>
      <c r="D104" s="89">
        <f t="shared" si="42"/>
        <v>0</v>
      </c>
      <c r="E104" s="89">
        <f t="shared" si="42"/>
        <v>0</v>
      </c>
      <c r="F104" s="89">
        <f>IF(F83&lt;0,F83*-1,0)</f>
        <v>0</v>
      </c>
      <c r="G104" s="89">
        <f>IF(G83&lt;0,G83*-1,0)</f>
        <v>0</v>
      </c>
      <c r="H104" s="89">
        <f>IF(H83&lt;0,H83*-1,0)</f>
        <v>0</v>
      </c>
      <c r="I104" s="89">
        <f t="shared" si="42"/>
        <v>0</v>
      </c>
      <c r="J104" s="89">
        <f t="shared" si="42"/>
        <v>0</v>
      </c>
      <c r="K104" s="89">
        <f t="shared" si="42"/>
        <v>0</v>
      </c>
      <c r="L104" s="89">
        <f t="shared" si="42"/>
        <v>0</v>
      </c>
      <c r="M104" s="89">
        <f t="shared" si="42"/>
        <v>0</v>
      </c>
      <c r="N104" s="89">
        <f t="shared" si="42"/>
        <v>0</v>
      </c>
      <c r="O104" s="89">
        <f t="shared" si="42"/>
        <v>0</v>
      </c>
      <c r="P104" s="89">
        <f t="shared" si="42"/>
        <v>0</v>
      </c>
      <c r="Q104" s="89">
        <f t="shared" si="42"/>
        <v>0</v>
      </c>
      <c r="R104" s="89">
        <f t="shared" si="42"/>
        <v>0</v>
      </c>
      <c r="S104" s="89">
        <f t="shared" si="42"/>
        <v>0</v>
      </c>
      <c r="T104" s="89">
        <f>IF(T83&lt;0,T83*-1,0)</f>
        <v>0</v>
      </c>
      <c r="U104" s="89">
        <f>IF(U83&lt;0,U83*-1,0)</f>
        <v>0</v>
      </c>
      <c r="V104" s="89">
        <f t="shared" si="42"/>
        <v>0</v>
      </c>
      <c r="W104" s="89">
        <f t="shared" si="42"/>
        <v>0</v>
      </c>
      <c r="X104" s="89">
        <f t="shared" si="42"/>
        <v>0</v>
      </c>
      <c r="Y104" s="89">
        <f t="shared" si="42"/>
        <v>0</v>
      </c>
      <c r="Z104" s="89">
        <f t="shared" si="42"/>
        <v>0</v>
      </c>
      <c r="AA104" s="89">
        <f t="shared" si="42"/>
        <v>0</v>
      </c>
      <c r="AB104" s="89">
        <f t="shared" si="42"/>
        <v>0</v>
      </c>
      <c r="AC104" s="89">
        <f t="shared" si="42"/>
        <v>0</v>
      </c>
      <c r="AD104" s="89">
        <f t="shared" si="42"/>
        <v>0</v>
      </c>
      <c r="AE104" s="89">
        <f t="shared" si="42"/>
        <v>0</v>
      </c>
      <c r="AF104" s="89">
        <f t="shared" si="42"/>
        <v>0</v>
      </c>
      <c r="AG104" s="111"/>
      <c r="AH104" s="48">
        <f t="shared" si="33"/>
        <v>0</v>
      </c>
      <c r="AI104" s="49">
        <f t="shared" si="34"/>
        <v>0</v>
      </c>
      <c r="BF104" s="81"/>
      <c r="BG104" s="82">
        <v>45</v>
      </c>
      <c r="BH104" s="82">
        <v>0</v>
      </c>
      <c r="BI104" s="82">
        <v>100</v>
      </c>
      <c r="BJ104" s="82">
        <v>15</v>
      </c>
      <c r="BK104" s="82">
        <v>0</v>
      </c>
      <c r="BL104" s="82">
        <v>47</v>
      </c>
    </row>
    <row r="105" spans="1:64" x14ac:dyDescent="0.25">
      <c r="A105" s="97" t="s">
        <v>104</v>
      </c>
      <c r="B105" s="89">
        <f t="shared" ref="B105:AF105" si="43">IF(B81&lt;0,B81*-1,0)</f>
        <v>0</v>
      </c>
      <c r="C105" s="89">
        <f t="shared" si="43"/>
        <v>0</v>
      </c>
      <c r="D105" s="89">
        <f t="shared" si="43"/>
        <v>0</v>
      </c>
      <c r="E105" s="89">
        <f t="shared" si="43"/>
        <v>0</v>
      </c>
      <c r="F105" s="89">
        <f>IF(F81&lt;0,F81*-1,0)</f>
        <v>0</v>
      </c>
      <c r="G105" s="89">
        <f>IF(G81&lt;0,G81*-1,0)</f>
        <v>0</v>
      </c>
      <c r="H105" s="89">
        <f>IF(H81&lt;0,H81*-1,0)</f>
        <v>0</v>
      </c>
      <c r="I105" s="89">
        <f t="shared" si="43"/>
        <v>0</v>
      </c>
      <c r="J105" s="89">
        <f t="shared" si="43"/>
        <v>0</v>
      </c>
      <c r="K105" s="89">
        <f t="shared" si="43"/>
        <v>0</v>
      </c>
      <c r="L105" s="89">
        <f t="shared" si="43"/>
        <v>0</v>
      </c>
      <c r="M105" s="89">
        <f t="shared" si="43"/>
        <v>0</v>
      </c>
      <c r="N105" s="89">
        <f t="shared" si="43"/>
        <v>0</v>
      </c>
      <c r="O105" s="89">
        <f t="shared" si="43"/>
        <v>0</v>
      </c>
      <c r="P105" s="89">
        <f t="shared" si="43"/>
        <v>0</v>
      </c>
      <c r="Q105" s="89">
        <f t="shared" si="43"/>
        <v>0</v>
      </c>
      <c r="R105" s="89">
        <f t="shared" si="43"/>
        <v>0</v>
      </c>
      <c r="S105" s="89">
        <f t="shared" si="43"/>
        <v>0</v>
      </c>
      <c r="T105" s="89">
        <f>IF(T81&lt;0,T81*-1,0)</f>
        <v>0</v>
      </c>
      <c r="U105" s="89">
        <f>IF(U81&lt;0,U81*-1,0)</f>
        <v>0</v>
      </c>
      <c r="V105" s="89">
        <f t="shared" si="43"/>
        <v>0</v>
      </c>
      <c r="W105" s="89">
        <f t="shared" si="43"/>
        <v>0</v>
      </c>
      <c r="X105" s="89">
        <f t="shared" si="43"/>
        <v>0</v>
      </c>
      <c r="Y105" s="89">
        <f t="shared" si="43"/>
        <v>0</v>
      </c>
      <c r="Z105" s="89">
        <f t="shared" si="43"/>
        <v>0</v>
      </c>
      <c r="AA105" s="89">
        <f t="shared" si="43"/>
        <v>0</v>
      </c>
      <c r="AB105" s="89">
        <f t="shared" si="43"/>
        <v>0</v>
      </c>
      <c r="AC105" s="89">
        <f t="shared" si="43"/>
        <v>0</v>
      </c>
      <c r="AD105" s="89">
        <f t="shared" si="43"/>
        <v>0</v>
      </c>
      <c r="AE105" s="89">
        <f t="shared" si="43"/>
        <v>0</v>
      </c>
      <c r="AF105" s="89">
        <f t="shared" si="43"/>
        <v>0</v>
      </c>
      <c r="AG105" s="111"/>
      <c r="AH105" s="48">
        <f t="shared" si="33"/>
        <v>0</v>
      </c>
      <c r="AI105" s="49">
        <f t="shared" si="34"/>
        <v>0</v>
      </c>
      <c r="BF105" s="81"/>
      <c r="BG105" s="82">
        <v>29</v>
      </c>
      <c r="BH105" s="82">
        <v>0</v>
      </c>
      <c r="BI105" s="82">
        <v>106</v>
      </c>
      <c r="BJ105" s="82">
        <v>15</v>
      </c>
      <c r="BK105" s="82">
        <v>0</v>
      </c>
      <c r="BL105" s="82">
        <v>44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1</v>
      </c>
      <c r="G106" s="107">
        <v>2</v>
      </c>
      <c r="H106" s="107">
        <v>3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1</v>
      </c>
      <c r="U106" s="107">
        <v>2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3"/>
        <v>3</v>
      </c>
      <c r="AI106" s="49">
        <f t="shared" si="34"/>
        <v>0</v>
      </c>
      <c r="BG106" s="82">
        <v>33.9</v>
      </c>
      <c r="BH106" s="82">
        <v>0</v>
      </c>
      <c r="BI106" s="82">
        <v>106</v>
      </c>
      <c r="BJ106" s="82">
        <v>15</v>
      </c>
      <c r="BK106" s="82">
        <v>0</v>
      </c>
      <c r="BL106" s="82">
        <v>44</v>
      </c>
    </row>
    <row r="107" spans="1:64" ht="15.75" thickBot="1" x14ac:dyDescent="0.3">
      <c r="A107" s="112" t="s">
        <v>130</v>
      </c>
      <c r="B107" s="71">
        <f t="shared" ref="B107:AF107" si="44">SUM(B101:B106)</f>
        <v>0</v>
      </c>
      <c r="C107" s="71">
        <f t="shared" si="44"/>
        <v>0</v>
      </c>
      <c r="D107" s="71">
        <f t="shared" si="44"/>
        <v>0</v>
      </c>
      <c r="E107" s="71">
        <f t="shared" si="44"/>
        <v>0</v>
      </c>
      <c r="F107" s="71">
        <f>SUM(F101:F106)</f>
        <v>1</v>
      </c>
      <c r="G107" s="71">
        <f>SUM(G101:G106)</f>
        <v>2</v>
      </c>
      <c r="H107" s="71">
        <f>SUM(H101:H106)</f>
        <v>3</v>
      </c>
      <c r="I107" s="71">
        <f t="shared" si="44"/>
        <v>0</v>
      </c>
      <c r="J107" s="71">
        <f t="shared" si="44"/>
        <v>0</v>
      </c>
      <c r="K107" s="71">
        <f t="shared" si="44"/>
        <v>0</v>
      </c>
      <c r="L107" s="71">
        <f t="shared" si="44"/>
        <v>0</v>
      </c>
      <c r="M107" s="71">
        <f t="shared" si="44"/>
        <v>0</v>
      </c>
      <c r="N107" s="71">
        <f t="shared" si="44"/>
        <v>0</v>
      </c>
      <c r="O107" s="71">
        <f t="shared" si="44"/>
        <v>0</v>
      </c>
      <c r="P107" s="71">
        <f t="shared" si="44"/>
        <v>0</v>
      </c>
      <c r="Q107" s="71">
        <f t="shared" si="44"/>
        <v>0</v>
      </c>
      <c r="R107" s="71">
        <f t="shared" si="44"/>
        <v>0</v>
      </c>
      <c r="S107" s="71">
        <f t="shared" si="44"/>
        <v>0</v>
      </c>
      <c r="T107" s="71">
        <v>0</v>
      </c>
      <c r="U107" s="71">
        <v>0</v>
      </c>
      <c r="V107" s="71">
        <f t="shared" si="44"/>
        <v>0</v>
      </c>
      <c r="W107" s="71">
        <f t="shared" si="44"/>
        <v>0</v>
      </c>
      <c r="X107" s="71">
        <f t="shared" si="44"/>
        <v>0</v>
      </c>
      <c r="Y107" s="71">
        <f t="shared" si="44"/>
        <v>0</v>
      </c>
      <c r="Z107" s="71">
        <f t="shared" si="44"/>
        <v>0</v>
      </c>
      <c r="AA107" s="71">
        <f t="shared" si="44"/>
        <v>0</v>
      </c>
      <c r="AB107" s="71">
        <f t="shared" si="44"/>
        <v>0</v>
      </c>
      <c r="AC107" s="71">
        <f t="shared" si="44"/>
        <v>0</v>
      </c>
      <c r="AD107" s="71">
        <f t="shared" si="44"/>
        <v>0</v>
      </c>
      <c r="AE107" s="71">
        <f t="shared" si="44"/>
        <v>0</v>
      </c>
      <c r="AF107" s="71">
        <f t="shared" si="44"/>
        <v>0</v>
      </c>
      <c r="AG107" s="101"/>
      <c r="AH107" s="48">
        <f t="shared" si="33"/>
        <v>3</v>
      </c>
      <c r="AI107" s="49">
        <f t="shared" si="34"/>
        <v>0</v>
      </c>
      <c r="AK107" s="51"/>
      <c r="BG107" s="82">
        <v>34.5</v>
      </c>
      <c r="BH107" s="82">
        <v>0</v>
      </c>
      <c r="BI107" s="82">
        <v>176</v>
      </c>
      <c r="BJ107" s="82">
        <v>15.2</v>
      </c>
      <c r="BK107" s="82">
        <v>0</v>
      </c>
      <c r="BL107" s="82">
        <v>47.1</v>
      </c>
    </row>
    <row r="108" spans="1:64" ht="15.75" thickBot="1" x14ac:dyDescent="0.3">
      <c r="A108" s="87" t="s">
        <v>131</v>
      </c>
      <c r="B108" s="71">
        <f t="shared" ref="B108:AF108" si="45">B92-B107</f>
        <v>272.8</v>
      </c>
      <c r="C108" s="71">
        <f t="shared" si="45"/>
        <v>259.40000000000003</v>
      </c>
      <c r="D108" s="71">
        <f t="shared" si="45"/>
        <v>256.90000000000003</v>
      </c>
      <c r="E108" s="71">
        <f t="shared" si="45"/>
        <v>269.20000000000005</v>
      </c>
      <c r="F108" s="71">
        <f>F92-F107</f>
        <v>268</v>
      </c>
      <c r="G108" s="71">
        <f>G92-G107</f>
        <v>237.70000000000002</v>
      </c>
      <c r="H108" s="71">
        <f>H92-H107</f>
        <v>279.7</v>
      </c>
      <c r="I108" s="71">
        <f t="shared" si="45"/>
        <v>280.70000000000005</v>
      </c>
      <c r="J108" s="71">
        <f t="shared" si="45"/>
        <v>601.5</v>
      </c>
      <c r="K108" s="71">
        <f t="shared" si="45"/>
        <v>806.39999999999986</v>
      </c>
      <c r="L108" s="71">
        <f t="shared" si="45"/>
        <v>774.5</v>
      </c>
      <c r="M108" s="71">
        <f t="shared" si="45"/>
        <v>793.89999999999986</v>
      </c>
      <c r="N108" s="71">
        <f t="shared" si="45"/>
        <v>795.8</v>
      </c>
      <c r="O108" s="71">
        <f t="shared" si="45"/>
        <v>905.1</v>
      </c>
      <c r="P108" s="71">
        <f t="shared" si="45"/>
        <v>902.80000000000007</v>
      </c>
      <c r="Q108" s="71">
        <f t="shared" si="45"/>
        <v>893.19999999999993</v>
      </c>
      <c r="R108" s="71">
        <f t="shared" si="45"/>
        <v>885.3</v>
      </c>
      <c r="S108" s="71">
        <f t="shared" si="45"/>
        <v>904.50000000000011</v>
      </c>
      <c r="T108" s="71">
        <f>T92-T107</f>
        <v>894.30000000000007</v>
      </c>
      <c r="U108" s="71">
        <f>U92-U107</f>
        <v>862</v>
      </c>
      <c r="V108" s="71">
        <f t="shared" si="45"/>
        <v>856.6</v>
      </c>
      <c r="W108" s="71">
        <f t="shared" si="45"/>
        <v>782.30000000000007</v>
      </c>
      <c r="X108" s="71">
        <f t="shared" si="45"/>
        <v>641.70000000000005</v>
      </c>
      <c r="Y108" s="71">
        <f t="shared" si="45"/>
        <v>166.7</v>
      </c>
      <c r="Z108" s="71">
        <f t="shared" si="45"/>
        <v>174</v>
      </c>
      <c r="AA108" s="71">
        <f t="shared" si="45"/>
        <v>199</v>
      </c>
      <c r="AB108" s="71">
        <f t="shared" si="45"/>
        <v>176.9</v>
      </c>
      <c r="AC108" s="71">
        <f t="shared" si="45"/>
        <v>212.3</v>
      </c>
      <c r="AD108" s="71">
        <f t="shared" si="45"/>
        <v>207</v>
      </c>
      <c r="AE108" s="71">
        <f t="shared" si="45"/>
        <v>194</v>
      </c>
      <c r="AF108" s="71">
        <f t="shared" si="45"/>
        <v>198.9</v>
      </c>
      <c r="AG108" s="101"/>
      <c r="AH108" s="48">
        <f t="shared" si="33"/>
        <v>905.1</v>
      </c>
      <c r="AI108" s="49">
        <f t="shared" si="34"/>
        <v>166.7</v>
      </c>
    </row>
    <row r="109" spans="1:64" x14ac:dyDescent="0.25">
      <c r="A109" s="113" t="s">
        <v>132</v>
      </c>
      <c r="B109" s="114">
        <v>50.06</v>
      </c>
      <c r="C109" s="114">
        <v>50.031999999999996</v>
      </c>
      <c r="D109" s="114">
        <v>50.046999999999997</v>
      </c>
      <c r="E109" s="114">
        <v>50.014000000000003</v>
      </c>
      <c r="F109" s="114">
        <v>50.003999999999998</v>
      </c>
      <c r="G109" s="114">
        <v>50.006999999999998</v>
      </c>
      <c r="H109" s="114">
        <v>50.036999999999999</v>
      </c>
      <c r="I109" s="114">
        <v>49.954000000000001</v>
      </c>
      <c r="J109" s="114">
        <v>49.957999999999998</v>
      </c>
      <c r="K109" s="114">
        <v>49.970999999999997</v>
      </c>
      <c r="L109" s="114">
        <v>49.933</v>
      </c>
      <c r="M109" s="114">
        <v>50.027000000000001</v>
      </c>
      <c r="N109" s="114">
        <v>50.015999999999998</v>
      </c>
      <c r="O109" s="114">
        <v>50.018000000000001</v>
      </c>
      <c r="P109" s="114">
        <v>50.037999999999997</v>
      </c>
      <c r="Q109" s="114">
        <v>50.015000000000001</v>
      </c>
      <c r="R109" s="114">
        <v>49.927</v>
      </c>
      <c r="S109" s="114">
        <v>50.040999999999997</v>
      </c>
      <c r="T109" s="114">
        <v>50.03</v>
      </c>
      <c r="U109" s="114">
        <v>50.04</v>
      </c>
      <c r="V109" s="114">
        <v>50.045000000000002</v>
      </c>
      <c r="W109" s="114">
        <v>49.962000000000003</v>
      </c>
      <c r="X109" s="114">
        <v>50.021999999999998</v>
      </c>
      <c r="Y109" s="114">
        <v>49.966999999999999</v>
      </c>
      <c r="Z109" s="114">
        <v>49.982999999999997</v>
      </c>
      <c r="AA109" s="114">
        <v>49.97</v>
      </c>
      <c r="AB109" s="114">
        <v>49.957999999999998</v>
      </c>
      <c r="AC109" s="114">
        <v>50.015999999999998</v>
      </c>
      <c r="AD109" s="114">
        <v>49.95</v>
      </c>
      <c r="AE109" s="114">
        <v>49.8</v>
      </c>
      <c r="AF109" s="114">
        <v>50.024999999999999</v>
      </c>
      <c r="AG109" s="115"/>
      <c r="AH109" s="48">
        <f t="shared" si="33"/>
        <v>50.06</v>
      </c>
      <c r="AI109" s="49">
        <f t="shared" si="34"/>
        <v>49.8</v>
      </c>
    </row>
    <row r="110" spans="1:64" x14ac:dyDescent="0.25">
      <c r="A110" s="116" t="s">
        <v>133</v>
      </c>
      <c r="B110" s="76">
        <v>130.19999999999999</v>
      </c>
      <c r="C110" s="76">
        <v>130.19999999999999</v>
      </c>
      <c r="D110" s="76">
        <v>130.19999999999999</v>
      </c>
      <c r="E110" s="76">
        <v>130.69999999999999</v>
      </c>
      <c r="F110" s="76">
        <v>130.63</v>
      </c>
      <c r="G110" s="76">
        <v>130.4</v>
      </c>
      <c r="H110" s="76">
        <v>129.9</v>
      </c>
      <c r="I110" s="76">
        <v>127.9</v>
      </c>
      <c r="J110" s="76">
        <v>128.5</v>
      </c>
      <c r="K110" s="76">
        <v>124.4</v>
      </c>
      <c r="L110" s="76">
        <v>126.5</v>
      </c>
      <c r="M110" s="76">
        <v>126.3</v>
      </c>
      <c r="N110" s="76">
        <v>124.6</v>
      </c>
      <c r="O110" s="76">
        <v>123.7</v>
      </c>
      <c r="P110" s="76">
        <v>125.3</v>
      </c>
      <c r="Q110" s="76">
        <v>126.5</v>
      </c>
      <c r="R110" s="76">
        <v>125.8</v>
      </c>
      <c r="S110" s="76">
        <v>125.5</v>
      </c>
      <c r="T110" s="76">
        <v>125.5</v>
      </c>
      <c r="U110" s="76">
        <v>125.5</v>
      </c>
      <c r="V110" s="76">
        <v>127.8</v>
      </c>
      <c r="W110" s="76">
        <v>130.1</v>
      </c>
      <c r="X110" s="76">
        <v>130.30000000000001</v>
      </c>
      <c r="Y110" s="76">
        <v>125.7</v>
      </c>
      <c r="Z110" s="76">
        <v>125.8</v>
      </c>
      <c r="AA110" s="76">
        <v>125.8</v>
      </c>
      <c r="AB110" s="76">
        <v>127.1</v>
      </c>
      <c r="AC110" s="76">
        <v>126.9</v>
      </c>
      <c r="AD110" s="76">
        <v>127.3</v>
      </c>
      <c r="AE110" s="76">
        <v>129.30000000000001</v>
      </c>
      <c r="AF110" s="76">
        <v>129.5</v>
      </c>
      <c r="AG110" s="117"/>
      <c r="AH110" s="48">
        <f t="shared" si="33"/>
        <v>130.69999999999999</v>
      </c>
      <c r="AI110" s="49">
        <f t="shared" si="34"/>
        <v>123.7</v>
      </c>
    </row>
    <row r="111" spans="1:64" x14ac:dyDescent="0.25">
      <c r="A111" s="116" t="s">
        <v>134</v>
      </c>
      <c r="B111" s="76">
        <v>133.30000000000001</v>
      </c>
      <c r="C111" s="76">
        <v>133.4</v>
      </c>
      <c r="D111" s="76">
        <v>133.6</v>
      </c>
      <c r="E111" s="76">
        <v>133.69999999999999</v>
      </c>
      <c r="F111" s="76">
        <v>133.19999999999999</v>
      </c>
      <c r="G111" s="76">
        <v>133</v>
      </c>
      <c r="H111" s="76">
        <v>132.1</v>
      </c>
      <c r="I111" s="76">
        <v>130.5</v>
      </c>
      <c r="J111" s="76">
        <v>129.9</v>
      </c>
      <c r="K111" s="76">
        <v>127.8</v>
      </c>
      <c r="L111" s="76">
        <v>128.4</v>
      </c>
      <c r="M111" s="76">
        <v>128.80000000000001</v>
      </c>
      <c r="N111" s="76">
        <v>127.5</v>
      </c>
      <c r="O111" s="76">
        <v>126.9</v>
      </c>
      <c r="P111" s="76">
        <v>127.8</v>
      </c>
      <c r="Q111" s="76">
        <v>128.5</v>
      </c>
      <c r="R111" s="76">
        <v>128.30000000000001</v>
      </c>
      <c r="S111" s="76">
        <v>127.7</v>
      </c>
      <c r="T111" s="76">
        <v>127.7</v>
      </c>
      <c r="U111" s="76">
        <v>127.7</v>
      </c>
      <c r="V111" s="76">
        <v>129.4</v>
      </c>
      <c r="W111" s="76">
        <v>131.19999999999999</v>
      </c>
      <c r="X111" s="76">
        <v>131.4</v>
      </c>
      <c r="Y111" s="76">
        <v>128.69999999999999</v>
      </c>
      <c r="Z111" s="76">
        <v>128.5</v>
      </c>
      <c r="AA111" s="76">
        <v>128.4</v>
      </c>
      <c r="AB111" s="76">
        <v>129.80000000000001</v>
      </c>
      <c r="AC111" s="76">
        <v>130</v>
      </c>
      <c r="AD111" s="76">
        <v>130.5</v>
      </c>
      <c r="AE111" s="76">
        <v>132.5</v>
      </c>
      <c r="AF111" s="76">
        <v>132.80000000000001</v>
      </c>
      <c r="AG111" s="117"/>
      <c r="AH111" s="48">
        <f t="shared" si="33"/>
        <v>133.69999999999999</v>
      </c>
      <c r="AI111" s="49">
        <f t="shared" si="34"/>
        <v>126.9</v>
      </c>
    </row>
    <row r="112" spans="1:64" x14ac:dyDescent="0.25">
      <c r="A112" s="116" t="s">
        <v>135</v>
      </c>
      <c r="B112" s="76">
        <v>130</v>
      </c>
      <c r="C112" s="76">
        <v>130.9</v>
      </c>
      <c r="D112" s="76">
        <v>131.6</v>
      </c>
      <c r="E112" s="76">
        <v>131.1</v>
      </c>
      <c r="F112" s="76">
        <v>131.5</v>
      </c>
      <c r="G112" s="76">
        <v>131.6</v>
      </c>
      <c r="H112" s="76">
        <v>132.6</v>
      </c>
      <c r="I112" s="76">
        <v>131</v>
      </c>
      <c r="J112" s="76">
        <v>132</v>
      </c>
      <c r="K112" s="76">
        <v>125.3</v>
      </c>
      <c r="L112" s="76">
        <v>129</v>
      </c>
      <c r="M112" s="76">
        <v>124.7</v>
      </c>
      <c r="N112" s="76">
        <v>124.5</v>
      </c>
      <c r="O112" s="76">
        <v>122</v>
      </c>
      <c r="P112" s="76">
        <v>123.4</v>
      </c>
      <c r="Q112" s="76">
        <v>122.1</v>
      </c>
      <c r="R112" s="76">
        <v>129.5</v>
      </c>
      <c r="S112" s="76">
        <v>128.9</v>
      </c>
      <c r="T112" s="76">
        <v>128.9</v>
      </c>
      <c r="U112" s="76">
        <v>128.9</v>
      </c>
      <c r="V112" s="76">
        <v>132.1</v>
      </c>
      <c r="W112" s="76">
        <v>127.1</v>
      </c>
      <c r="X112" s="76">
        <v>127.1</v>
      </c>
      <c r="Y112" s="76">
        <v>124.6</v>
      </c>
      <c r="Z112" s="76">
        <v>126.1</v>
      </c>
      <c r="AA112" s="76">
        <v>127.7</v>
      </c>
      <c r="AB112" s="76">
        <v>126.3</v>
      </c>
      <c r="AC112" s="76">
        <v>125.9</v>
      </c>
      <c r="AD112" s="76">
        <v>127.2</v>
      </c>
      <c r="AE112" s="76">
        <v>131.6</v>
      </c>
      <c r="AF112" s="76">
        <v>133.5</v>
      </c>
      <c r="AG112" s="117"/>
      <c r="AH112" s="48">
        <f t="shared" si="33"/>
        <v>133.5</v>
      </c>
      <c r="AI112" s="49">
        <f t="shared" si="34"/>
        <v>122</v>
      </c>
    </row>
    <row r="113" spans="1:35" x14ac:dyDescent="0.25">
      <c r="A113" s="118" t="s">
        <v>136</v>
      </c>
      <c r="B113" s="76">
        <v>130.9</v>
      </c>
      <c r="C113" s="76">
        <v>132.30000000000001</v>
      </c>
      <c r="D113" s="76">
        <v>133.30000000000001</v>
      </c>
      <c r="E113" s="76">
        <v>134.19999999999999</v>
      </c>
      <c r="F113" s="76">
        <v>131.5</v>
      </c>
      <c r="G113" s="76">
        <v>130.9</v>
      </c>
      <c r="H113" s="76">
        <v>132.69999999999999</v>
      </c>
      <c r="I113" s="76">
        <v>131.6</v>
      </c>
      <c r="J113" s="76">
        <v>131</v>
      </c>
      <c r="K113" s="76">
        <v>131.19999999999999</v>
      </c>
      <c r="L113" s="76">
        <v>128.80000000000001</v>
      </c>
      <c r="M113" s="76">
        <v>128.80000000000001</v>
      </c>
      <c r="N113" s="76">
        <v>131.30000000000001</v>
      </c>
      <c r="O113" s="76">
        <v>125</v>
      </c>
      <c r="P113" s="76">
        <v>125.4</v>
      </c>
      <c r="Q113" s="76">
        <v>128.1</v>
      </c>
      <c r="R113" s="76">
        <v>129.80000000000001</v>
      </c>
      <c r="S113" s="76">
        <v>130</v>
      </c>
      <c r="T113" s="76">
        <v>130</v>
      </c>
      <c r="U113" s="76">
        <v>130</v>
      </c>
      <c r="V113" s="76">
        <v>132.1</v>
      </c>
      <c r="W113" s="76">
        <v>131.30000000000001</v>
      </c>
      <c r="X113" s="76">
        <v>132</v>
      </c>
      <c r="Y113" s="76">
        <v>123.2</v>
      </c>
      <c r="Z113" s="76">
        <v>124.4</v>
      </c>
      <c r="AA113" s="76">
        <v>126.1</v>
      </c>
      <c r="AB113" s="76">
        <v>126.9</v>
      </c>
      <c r="AC113" s="76">
        <v>128</v>
      </c>
      <c r="AD113" s="76">
        <v>128.9</v>
      </c>
      <c r="AE113" s="76">
        <v>128.9</v>
      </c>
      <c r="AF113" s="76">
        <v>134.69999999999999</v>
      </c>
      <c r="AG113" s="117"/>
      <c r="AH113" s="48">
        <f t="shared" si="33"/>
        <v>134.69999999999999</v>
      </c>
      <c r="AI113" s="49">
        <f t="shared" si="34"/>
        <v>123.2</v>
      </c>
    </row>
    <row r="114" spans="1:35" x14ac:dyDescent="0.25">
      <c r="A114" s="118" t="s">
        <v>137</v>
      </c>
      <c r="B114" s="119">
        <v>136</v>
      </c>
      <c r="C114" s="119">
        <v>136.69999999999999</v>
      </c>
      <c r="D114" s="119">
        <v>133.80000000000001</v>
      </c>
      <c r="E114" s="119">
        <v>134.30000000000001</v>
      </c>
      <c r="F114" s="119">
        <v>134.1</v>
      </c>
      <c r="G114" s="119">
        <v>134</v>
      </c>
      <c r="H114" s="119">
        <v>133.1</v>
      </c>
      <c r="I114" s="119">
        <v>131</v>
      </c>
      <c r="J114" s="119">
        <v>134.1</v>
      </c>
      <c r="K114" s="119">
        <v>132</v>
      </c>
      <c r="L114" s="119">
        <v>131.5</v>
      </c>
      <c r="M114" s="119">
        <v>131.19999999999999</v>
      </c>
      <c r="N114" s="119">
        <v>130.19999999999999</v>
      </c>
      <c r="O114" s="119">
        <v>133.5</v>
      </c>
      <c r="P114" s="119">
        <v>133.80000000000001</v>
      </c>
      <c r="Q114" s="119">
        <v>134.5</v>
      </c>
      <c r="R114" s="119">
        <v>133.4</v>
      </c>
      <c r="S114" s="119">
        <v>133.80000000000001</v>
      </c>
      <c r="T114" s="119">
        <v>133.80000000000001</v>
      </c>
      <c r="U114" s="119">
        <v>133.80000000000001</v>
      </c>
      <c r="V114" s="119">
        <v>135.5</v>
      </c>
      <c r="W114" s="119">
        <v>134.69999999999999</v>
      </c>
      <c r="X114" s="119">
        <v>135.9</v>
      </c>
      <c r="Y114" s="119">
        <v>132.6</v>
      </c>
      <c r="Z114" s="119">
        <v>132.4</v>
      </c>
      <c r="AA114" s="119">
        <v>135</v>
      </c>
      <c r="AB114" s="119">
        <v>134.9</v>
      </c>
      <c r="AC114" s="119">
        <v>134.19999999999999</v>
      </c>
      <c r="AD114" s="119">
        <v>131.19999999999999</v>
      </c>
      <c r="AE114" s="119">
        <v>131.19999999999999</v>
      </c>
      <c r="AF114" s="119">
        <v>136.1</v>
      </c>
      <c r="AG114" s="120"/>
      <c r="AH114" s="48">
        <f t="shared" si="33"/>
        <v>136.69999999999999</v>
      </c>
      <c r="AI114" s="49">
        <f t="shared" si="34"/>
        <v>130.19999999999999</v>
      </c>
    </row>
    <row r="115" spans="1:35" x14ac:dyDescent="0.25">
      <c r="A115" s="116" t="s">
        <v>138</v>
      </c>
      <c r="B115" s="76">
        <v>133.9</v>
      </c>
      <c r="C115" s="76">
        <v>133.4</v>
      </c>
      <c r="D115" s="76">
        <v>134.19999999999999</v>
      </c>
      <c r="E115" s="76">
        <v>133.69999999999999</v>
      </c>
      <c r="F115" s="76">
        <v>133.19999999999999</v>
      </c>
      <c r="G115" s="76">
        <v>133.30000000000001</v>
      </c>
      <c r="H115" s="76">
        <v>134.4</v>
      </c>
      <c r="I115" s="76">
        <v>123.2</v>
      </c>
      <c r="J115" s="76">
        <v>126.9</v>
      </c>
      <c r="K115" s="76">
        <v>130.1</v>
      </c>
      <c r="L115" s="76">
        <v>129.80000000000001</v>
      </c>
      <c r="M115" s="76">
        <v>125</v>
      </c>
      <c r="N115" s="76">
        <v>126.4</v>
      </c>
      <c r="O115" s="76">
        <v>120</v>
      </c>
      <c r="P115" s="76">
        <v>120</v>
      </c>
      <c r="Q115" s="76">
        <v>124.8</v>
      </c>
      <c r="R115" s="76">
        <v>124.5</v>
      </c>
      <c r="S115" s="76">
        <v>121.6</v>
      </c>
      <c r="T115" s="76">
        <v>121.6</v>
      </c>
      <c r="U115" s="76">
        <v>121.6</v>
      </c>
      <c r="V115" s="76">
        <v>134</v>
      </c>
      <c r="W115" s="76">
        <v>134.1</v>
      </c>
      <c r="X115" s="76">
        <v>136.1</v>
      </c>
      <c r="Y115" s="76">
        <v>133.1</v>
      </c>
      <c r="Z115" s="76">
        <v>134.1</v>
      </c>
      <c r="AA115" s="76">
        <v>129</v>
      </c>
      <c r="AB115" s="76">
        <v>131.4</v>
      </c>
      <c r="AC115" s="76">
        <v>128.6</v>
      </c>
      <c r="AD115" s="76">
        <v>131.19999999999999</v>
      </c>
      <c r="AE115" s="76">
        <v>131.19999999999999</v>
      </c>
      <c r="AF115" s="76">
        <v>131</v>
      </c>
      <c r="AG115" s="117"/>
      <c r="AH115" s="48">
        <f t="shared" si="33"/>
        <v>136.1</v>
      </c>
      <c r="AI115" s="49">
        <f t="shared" si="34"/>
        <v>120</v>
      </c>
    </row>
    <row r="116" spans="1:35" ht="15.75" thickBot="1" x14ac:dyDescent="0.3">
      <c r="A116" s="116" t="s">
        <v>139</v>
      </c>
      <c r="B116" s="105">
        <v>66.8</v>
      </c>
      <c r="C116" s="105">
        <v>66.8</v>
      </c>
      <c r="D116" s="105">
        <v>66.900000000000006</v>
      </c>
      <c r="E116" s="105">
        <v>67</v>
      </c>
      <c r="F116" s="105">
        <v>67</v>
      </c>
      <c r="G116" s="105">
        <v>66.599999999999994</v>
      </c>
      <c r="H116" s="105">
        <v>66.400000000000006</v>
      </c>
      <c r="I116" s="105">
        <v>65.599999999999994</v>
      </c>
      <c r="J116" s="105">
        <v>65.2</v>
      </c>
      <c r="K116" s="105">
        <v>64.2</v>
      </c>
      <c r="L116" s="105">
        <v>64.2</v>
      </c>
      <c r="M116" s="105">
        <v>64.400000000000006</v>
      </c>
      <c r="N116" s="105">
        <v>64</v>
      </c>
      <c r="O116" s="105">
        <v>63.5</v>
      </c>
      <c r="P116" s="105">
        <v>64.3</v>
      </c>
      <c r="Q116" s="105">
        <v>64.400000000000006</v>
      </c>
      <c r="R116" s="105">
        <v>64.3</v>
      </c>
      <c r="S116" s="105">
        <v>64</v>
      </c>
      <c r="T116" s="105">
        <v>64</v>
      </c>
      <c r="U116" s="105">
        <v>64</v>
      </c>
      <c r="V116" s="105">
        <v>64.8</v>
      </c>
      <c r="W116" s="105">
        <v>65.5</v>
      </c>
      <c r="X116" s="105">
        <v>65.5</v>
      </c>
      <c r="Y116" s="105">
        <v>64.400000000000006</v>
      </c>
      <c r="Z116" s="105">
        <v>64.3</v>
      </c>
      <c r="AA116" s="105">
        <v>64.3</v>
      </c>
      <c r="AB116" s="105">
        <v>65.400000000000006</v>
      </c>
      <c r="AC116" s="105">
        <v>65.3</v>
      </c>
      <c r="AD116" s="105">
        <v>65.400000000000006</v>
      </c>
      <c r="AE116" s="105">
        <v>65.400000000000006</v>
      </c>
      <c r="AF116" s="105">
        <v>66.400000000000006</v>
      </c>
      <c r="AG116" s="121"/>
      <c r="AH116" s="48">
        <f t="shared" si="33"/>
        <v>67</v>
      </c>
      <c r="AI116" s="49">
        <f t="shared" si="34"/>
        <v>63.5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3"/>
        <v>0</v>
      </c>
      <c r="AI117" s="49">
        <f t="shared" si="34"/>
        <v>0</v>
      </c>
    </row>
    <row r="118" spans="1:35" ht="15.75" thickBot="1" x14ac:dyDescent="0.3">
      <c r="A118" s="123" t="s">
        <v>141</v>
      </c>
      <c r="B118" s="124">
        <f t="shared" ref="B118:O118" si="46">SUM(B22,B28,B31:B32,B66,B68:B69,B71,B73,B119:B123,B155,B161,B167,B176,B178,B190,B197,B200:B201,B208,B210,B212,B216:B218,B220:B222,B227,B233:B234,B236:B238,B246,B251)</f>
        <v>97.240000000000009</v>
      </c>
      <c r="C118" s="124">
        <f t="shared" si="46"/>
        <v>90.840000000000018</v>
      </c>
      <c r="D118" s="124">
        <f t="shared" si="46"/>
        <v>83.94</v>
      </c>
      <c r="E118" s="124">
        <f t="shared" si="46"/>
        <v>79.940000000000026</v>
      </c>
      <c r="F118" s="124">
        <f>SUM(F22,F28,F31:F32,F66,F68:F69,F71,F73,F119:F123,F155,F161,F167,F176,F178,F190,F197,F200:F201,F208,F210,F212,F216:F218,F220:F222,F227,F233:F234,F236:F238,F246,F251)</f>
        <v>98.740000000000009</v>
      </c>
      <c r="G118" s="124">
        <f>SUM(G22,G28,G31:G32,G66,G68:G69,G71,G73,G119:G123,G155,G161,G167,G176,G178,G190,G197,G200:G201,G208,G210,G212,G216:G218,G220:G222,G227,G233:G234,G236:G238,G246,G251)</f>
        <v>119.03999999999999</v>
      </c>
      <c r="H118" s="124">
        <f>SUM(H22,H28,H31:H32,H66,H68:H69,H71,H73,H119:H123,H155,H161,H167,H176,H178,H190,H197,H200:H201,H208,H210,H212,H216:H218,H220:H222,H227,H233:H234,H236:H238,H246,H251)</f>
        <v>148.63999999999999</v>
      </c>
      <c r="I118" s="124">
        <f t="shared" si="46"/>
        <v>171.24</v>
      </c>
      <c r="J118" s="124">
        <f t="shared" si="46"/>
        <v>234.24</v>
      </c>
      <c r="K118" s="124">
        <f t="shared" si="46"/>
        <v>275.33999999999997</v>
      </c>
      <c r="L118" s="124">
        <f t="shared" si="46"/>
        <v>268.64000000000004</v>
      </c>
      <c r="M118" s="124">
        <f t="shared" si="46"/>
        <v>302.94</v>
      </c>
      <c r="N118" s="124">
        <f t="shared" si="46"/>
        <v>295.84000000000003</v>
      </c>
      <c r="O118" s="124">
        <f t="shared" si="46"/>
        <v>325.54000000000002</v>
      </c>
      <c r="P118" s="124">
        <v>42</v>
      </c>
      <c r="Q118" s="124">
        <f t="shared" ref="Q118:X118" si="47">SUM(Q22,Q28,Q31:Q32,Q66,Q68:Q69,Q71,Q73,Q119:Q123,Q155,Q161,Q167,Q176,Q178,Q190,Q197,Q200:Q201,Q208,Q210,Q212,Q216:Q218,Q220:Q222,Q227,Q233:Q234,Q236:Q238,Q246,Q251)</f>
        <v>312.94</v>
      </c>
      <c r="R118" s="124">
        <f t="shared" si="47"/>
        <v>308.83999999999997</v>
      </c>
      <c r="S118" s="124">
        <f t="shared" si="47"/>
        <v>311.94</v>
      </c>
      <c r="T118" s="124">
        <f>SUM(T22,T28,T31:T32,T66,T68:T69,T71,T73,T119:T123,T155,T161,T167,T176,T178,T190,T197,T200:T201,T208,T210,T212,T216:T218,T220:T222,T227,T233:T234,T236:T238,T246,T251)</f>
        <v>311.94</v>
      </c>
      <c r="U118" s="124">
        <f>SUM(U22,U28,U31:U32,U66,U68:U69,U71,U73,U119:U123,U155,U161,U167,U176,U178,U190,U197,U200:U201,U208,U210,U212,U216:U218,U220:U222,U227,U233:U234,U236:U238,U246,U251)</f>
        <v>311.33999999999997</v>
      </c>
      <c r="V118" s="124">
        <f t="shared" si="47"/>
        <v>298.24</v>
      </c>
      <c r="W118" s="124">
        <f t="shared" si="47"/>
        <v>303.94</v>
      </c>
      <c r="X118" s="124">
        <f t="shared" si="47"/>
        <v>290.33999999999997</v>
      </c>
      <c r="Y118" s="124">
        <f>SUM(Y20,Y26,Y37:Y38,Y66,Y68:Y69,Y71,Y73,Y119:Y123,Y148,Y154,Y160,Y169,Y171,Y183,Y190,Y193:Y194,Y201,Y203,Y205,Y209:Y211,Y213:Y215,Y220,Y226:Y227,Y229:Y231,Y239,Y244)</f>
        <v>329.29999999999995</v>
      </c>
      <c r="Z118" s="124">
        <f>SUM(Z20,Z26,Z37:Z38,Z66,Z68:Z69,Z71,Z73,Z119:Z123,Z148,Z154,Z160,Z169,Z171,Z183,Z190,Z193:Z194,Z201,Z203,Z205,Z209:Z211,Z213:Z215,Z220,Z226:Z227,Z229:Z231,Z239,Z244)</f>
        <v>324.29999999999995</v>
      </c>
      <c r="AA118" s="124">
        <f t="shared" ref="AA118:AF118" si="48">SUM(AA22,AA28,AA31:AA32,AA66,AA68:AA69,AA71,AA73,AA119:AA123,AA155,AA161,AA167,AA176,AA178,AA190,AA197,AA200:AA201,AA208,AA210,AA212,AA216:AA218,AA220:AA222,AA227,AA233:AA234,AA236:AA238,AA246,AA251)</f>
        <v>322.94</v>
      </c>
      <c r="AB118" s="124">
        <f t="shared" si="48"/>
        <v>291.83999999999997</v>
      </c>
      <c r="AC118" s="124">
        <f t="shared" si="48"/>
        <v>258.64</v>
      </c>
      <c r="AD118" s="124">
        <f t="shared" si="48"/>
        <v>261.44</v>
      </c>
      <c r="AE118" s="124">
        <f t="shared" si="48"/>
        <v>261.44</v>
      </c>
      <c r="AF118" s="124">
        <f t="shared" si="48"/>
        <v>173.74</v>
      </c>
      <c r="AG118" s="125"/>
      <c r="AH118" s="48">
        <f t="shared" si="33"/>
        <v>329.29999999999995</v>
      </c>
      <c r="AI118" s="49">
        <f t="shared" si="34"/>
        <v>42</v>
      </c>
    </row>
    <row r="119" spans="1:35" x14ac:dyDescent="0.25">
      <c r="A119" s="126" t="s">
        <v>142</v>
      </c>
      <c r="B119" s="127">
        <v>16</v>
      </c>
      <c r="C119" s="127">
        <v>16.100000000000001</v>
      </c>
      <c r="D119" s="127">
        <v>9.8000000000000007</v>
      </c>
      <c r="E119" s="127">
        <v>4.2</v>
      </c>
      <c r="F119" s="127">
        <v>3.9</v>
      </c>
      <c r="G119" s="127">
        <v>3.7</v>
      </c>
      <c r="H119" s="127">
        <v>9.6</v>
      </c>
      <c r="I119" s="127">
        <v>0.8</v>
      </c>
      <c r="J119" s="127">
        <v>7.2</v>
      </c>
      <c r="K119" s="127">
        <v>0.6</v>
      </c>
      <c r="L119" s="127">
        <v>7.8</v>
      </c>
      <c r="M119" s="127">
        <v>6.7</v>
      </c>
      <c r="N119" s="127">
        <v>3.8</v>
      </c>
      <c r="O119" s="127">
        <v>2.4</v>
      </c>
      <c r="P119" s="127">
        <v>8.6999999999999993</v>
      </c>
      <c r="Q119" s="127">
        <v>9.3000000000000007</v>
      </c>
      <c r="R119" s="127">
        <v>7.2</v>
      </c>
      <c r="S119" s="127">
        <v>12.7</v>
      </c>
      <c r="T119" s="127">
        <v>12.7</v>
      </c>
      <c r="U119" s="127">
        <v>5</v>
      </c>
      <c r="V119" s="127">
        <v>2.4</v>
      </c>
      <c r="W119" s="127">
        <v>14.9</v>
      </c>
      <c r="X119" s="127">
        <v>10.7</v>
      </c>
      <c r="Y119" s="127">
        <v>21</v>
      </c>
      <c r="Z119" s="127">
        <v>23.4</v>
      </c>
      <c r="AA119" s="127">
        <v>32.1</v>
      </c>
      <c r="AB119" s="127">
        <v>28</v>
      </c>
      <c r="AC119" s="127">
        <v>29.6</v>
      </c>
      <c r="AD119" s="127">
        <v>29.8</v>
      </c>
      <c r="AE119" s="127">
        <v>29.8</v>
      </c>
      <c r="AF119" s="127">
        <v>45.6</v>
      </c>
      <c r="AG119" s="128">
        <v>75</v>
      </c>
      <c r="AH119" s="48">
        <f t="shared" si="33"/>
        <v>45.6</v>
      </c>
      <c r="AI119" s="49">
        <f t="shared" si="34"/>
        <v>0.6</v>
      </c>
    </row>
    <row r="120" spans="1:35" x14ac:dyDescent="0.25">
      <c r="A120" s="129" t="s">
        <v>143</v>
      </c>
      <c r="B120" s="130">
        <v>31.1</v>
      </c>
      <c r="C120" s="130">
        <v>32</v>
      </c>
      <c r="D120" s="130">
        <v>22</v>
      </c>
      <c r="E120" s="130">
        <v>13.8</v>
      </c>
      <c r="F120" s="130">
        <v>11.5</v>
      </c>
      <c r="G120" s="130">
        <v>10.9</v>
      </c>
      <c r="H120" s="130">
        <v>17.600000000000001</v>
      </c>
      <c r="I120" s="130">
        <v>5.2</v>
      </c>
      <c r="J120" s="130">
        <v>6.9</v>
      </c>
      <c r="K120" s="130">
        <v>-4</v>
      </c>
      <c r="L120" s="130">
        <v>5.9</v>
      </c>
      <c r="M120" s="130">
        <v>5</v>
      </c>
      <c r="N120" s="130">
        <v>1.9</v>
      </c>
      <c r="O120" s="130">
        <v>-1.5</v>
      </c>
      <c r="P120" s="130">
        <v>7.3</v>
      </c>
      <c r="Q120" s="130">
        <v>7.4</v>
      </c>
      <c r="R120" s="130">
        <v>6.9</v>
      </c>
      <c r="S120" s="130">
        <v>14.4</v>
      </c>
      <c r="T120" s="130">
        <v>14.4</v>
      </c>
      <c r="U120" s="130">
        <v>2</v>
      </c>
      <c r="V120" s="130">
        <v>0</v>
      </c>
      <c r="W120" s="130">
        <v>23.9</v>
      </c>
      <c r="X120" s="130">
        <v>14.9</v>
      </c>
      <c r="Y120" s="130">
        <v>30.2</v>
      </c>
      <c r="Z120" s="130">
        <v>31.5</v>
      </c>
      <c r="AA120" s="130">
        <v>44.5</v>
      </c>
      <c r="AB120" s="130">
        <v>40.1</v>
      </c>
      <c r="AC120" s="130">
        <v>42.9</v>
      </c>
      <c r="AD120" s="130">
        <v>45.1</v>
      </c>
      <c r="AE120" s="130">
        <v>45.1</v>
      </c>
      <c r="AF120" s="130">
        <v>66</v>
      </c>
      <c r="AG120" s="128">
        <v>240</v>
      </c>
      <c r="AH120" s="48">
        <f t="shared" si="33"/>
        <v>66</v>
      </c>
      <c r="AI120" s="49">
        <f t="shared" si="34"/>
        <v>-4</v>
      </c>
    </row>
    <row r="121" spans="1:35" x14ac:dyDescent="0.25">
      <c r="A121" s="129" t="s">
        <v>144</v>
      </c>
      <c r="B121" s="130">
        <v>-100</v>
      </c>
      <c r="C121" s="130">
        <v>-104</v>
      </c>
      <c r="D121" s="130">
        <v>-97.3</v>
      </c>
      <c r="E121" s="130">
        <v>-94.6</v>
      </c>
      <c r="F121" s="130">
        <v>-85</v>
      </c>
      <c r="G121" s="130">
        <v>-78</v>
      </c>
      <c r="H121" s="130">
        <v>-74.5</v>
      </c>
      <c r="I121" s="130">
        <v>-61.1</v>
      </c>
      <c r="J121" s="130">
        <v>-16.7</v>
      </c>
      <c r="K121" s="130">
        <v>4</v>
      </c>
      <c r="L121" s="130">
        <v>-14</v>
      </c>
      <c r="M121" s="130">
        <v>20</v>
      </c>
      <c r="N121" s="130">
        <v>15.5</v>
      </c>
      <c r="O121" s="130">
        <v>22</v>
      </c>
      <c r="P121" s="130">
        <v>17</v>
      </c>
      <c r="Q121" s="130">
        <f>12.6+5.2</f>
        <v>17.8</v>
      </c>
      <c r="R121" s="130">
        <v>12.3</v>
      </c>
      <c r="S121" s="130">
        <v>10.6</v>
      </c>
      <c r="T121" s="130">
        <v>10.6</v>
      </c>
      <c r="U121" s="130">
        <v>27</v>
      </c>
      <c r="V121" s="130">
        <v>25</v>
      </c>
      <c r="W121" s="130">
        <v>8.6</v>
      </c>
      <c r="X121" s="130">
        <v>15</v>
      </c>
      <c r="Y121" s="130">
        <v>-19</v>
      </c>
      <c r="Z121" s="130">
        <v>-48</v>
      </c>
      <c r="AA121" s="130">
        <v>-53</v>
      </c>
      <c r="AB121" s="130">
        <v>-51.2</v>
      </c>
      <c r="AC121" s="130">
        <v>-66.2</v>
      </c>
      <c r="AD121" s="130">
        <v>-36</v>
      </c>
      <c r="AE121" s="130">
        <v>-36</v>
      </c>
      <c r="AF121" s="130">
        <v>-70</v>
      </c>
      <c r="AG121" s="128">
        <v>240</v>
      </c>
      <c r="AH121" s="48">
        <f t="shared" si="33"/>
        <v>27</v>
      </c>
      <c r="AI121" s="49">
        <f t="shared" si="34"/>
        <v>-104</v>
      </c>
    </row>
    <row r="122" spans="1:35" ht="15.75" thickBot="1" x14ac:dyDescent="0.3">
      <c r="A122" s="129" t="s">
        <v>145</v>
      </c>
      <c r="B122" s="130">
        <v>23.3</v>
      </c>
      <c r="C122" s="130">
        <v>23.3</v>
      </c>
      <c r="D122" s="130">
        <v>23</v>
      </c>
      <c r="E122" s="130">
        <v>23</v>
      </c>
      <c r="F122" s="130">
        <v>24.2</v>
      </c>
      <c r="G122" s="130">
        <v>24.8</v>
      </c>
      <c r="H122" s="130">
        <v>23.8</v>
      </c>
      <c r="I122" s="130">
        <v>25.8</v>
      </c>
      <c r="J122" s="130">
        <v>19.100000000000001</v>
      </c>
      <c r="K122" s="130">
        <v>17.3</v>
      </c>
      <c r="L122" s="130">
        <v>33.6</v>
      </c>
      <c r="M122" s="130">
        <v>36.200000000000003</v>
      </c>
      <c r="N122" s="130">
        <v>31.1</v>
      </c>
      <c r="O122" s="130">
        <v>38.200000000000003</v>
      </c>
      <c r="P122" s="130">
        <v>39</v>
      </c>
      <c r="Q122" s="130">
        <v>37.6</v>
      </c>
      <c r="R122" s="130">
        <v>36.5</v>
      </c>
      <c r="S122" s="130">
        <v>34</v>
      </c>
      <c r="T122" s="130">
        <v>34</v>
      </c>
      <c r="U122" s="130">
        <v>34</v>
      </c>
      <c r="V122" s="130">
        <v>35</v>
      </c>
      <c r="W122" s="130">
        <v>44.6</v>
      </c>
      <c r="X122" s="130">
        <v>44.8</v>
      </c>
      <c r="Y122" s="130">
        <v>60</v>
      </c>
      <c r="Z122" s="130">
        <v>61.5</v>
      </c>
      <c r="AA122" s="130">
        <v>60.9</v>
      </c>
      <c r="AB122" s="130">
        <v>39</v>
      </c>
      <c r="AC122" s="130">
        <v>37</v>
      </c>
      <c r="AD122" s="130">
        <v>32.4</v>
      </c>
      <c r="AE122" s="130">
        <v>32.4</v>
      </c>
      <c r="AF122" s="130">
        <v>24</v>
      </c>
      <c r="AG122" s="128">
        <v>60</v>
      </c>
      <c r="AH122" s="48">
        <f t="shared" si="33"/>
        <v>61.5</v>
      </c>
      <c r="AI122" s="49">
        <f t="shared" si="34"/>
        <v>17.3</v>
      </c>
    </row>
    <row r="123" spans="1:35" x14ac:dyDescent="0.25">
      <c r="A123" s="126" t="s">
        <v>146</v>
      </c>
      <c r="B123" s="131">
        <v>10.3</v>
      </c>
      <c r="C123" s="131">
        <v>6.9</v>
      </c>
      <c r="D123" s="131">
        <v>8.6999999999999993</v>
      </c>
      <c r="E123" s="131">
        <v>15.9</v>
      </c>
      <c r="F123" s="131">
        <v>26.3</v>
      </c>
      <c r="G123" s="131">
        <v>40.299999999999997</v>
      </c>
      <c r="H123" s="131">
        <v>54.8</v>
      </c>
      <c r="I123" s="131">
        <v>82.9</v>
      </c>
      <c r="J123" s="131">
        <v>99</v>
      </c>
      <c r="K123" s="131">
        <v>138.9</v>
      </c>
      <c r="L123" s="131">
        <v>113</v>
      </c>
      <c r="M123" s="131">
        <v>110.2</v>
      </c>
      <c r="N123" s="131">
        <v>114.5</v>
      </c>
      <c r="O123" s="131">
        <v>132.4</v>
      </c>
      <c r="P123" s="131">
        <v>119</v>
      </c>
      <c r="Q123" s="131">
        <v>114.2</v>
      </c>
      <c r="R123" s="131">
        <v>118.6</v>
      </c>
      <c r="S123" s="131">
        <v>114.9</v>
      </c>
      <c r="T123" s="131">
        <v>114.9</v>
      </c>
      <c r="U123" s="131">
        <v>118</v>
      </c>
      <c r="V123" s="131">
        <v>120.4</v>
      </c>
      <c r="W123" s="131">
        <v>97.4</v>
      </c>
      <c r="X123" s="131">
        <v>90.4</v>
      </c>
      <c r="Y123" s="131">
        <v>110.3</v>
      </c>
      <c r="Z123" s="131">
        <v>129.1</v>
      </c>
      <c r="AA123" s="131">
        <v>124.2</v>
      </c>
      <c r="AB123" s="131">
        <v>118.8</v>
      </c>
      <c r="AC123" s="131">
        <v>98.2</v>
      </c>
      <c r="AD123" s="131">
        <v>73</v>
      </c>
      <c r="AE123" s="131">
        <v>73</v>
      </c>
      <c r="AF123" s="131">
        <v>-9</v>
      </c>
      <c r="AG123" s="132">
        <v>120</v>
      </c>
      <c r="AH123" s="48">
        <f t="shared" si="33"/>
        <v>138.9</v>
      </c>
      <c r="AI123" s="49">
        <f t="shared" si="34"/>
        <v>-9</v>
      </c>
    </row>
    <row r="124" spans="1:35" x14ac:dyDescent="0.25">
      <c r="A124" s="129" t="s">
        <v>147</v>
      </c>
      <c r="B124" s="131">
        <v>28.9</v>
      </c>
      <c r="C124" s="131">
        <v>26.8</v>
      </c>
      <c r="D124" s="131">
        <v>28.9</v>
      </c>
      <c r="E124" s="131">
        <v>32.200000000000003</v>
      </c>
      <c r="F124" s="131">
        <v>37.200000000000003</v>
      </c>
      <c r="G124" s="131">
        <v>44.1</v>
      </c>
      <c r="H124" s="131">
        <v>51.4</v>
      </c>
      <c r="I124" s="131">
        <v>65.7</v>
      </c>
      <c r="J124" s="131">
        <v>73.099999999999994</v>
      </c>
      <c r="K124" s="131">
        <v>91.7</v>
      </c>
      <c r="L124" s="131">
        <v>79.5</v>
      </c>
      <c r="M124" s="131">
        <v>78.400000000000006</v>
      </c>
      <c r="N124" s="131">
        <v>80</v>
      </c>
      <c r="O124" s="131">
        <v>89</v>
      </c>
      <c r="P124" s="131">
        <v>81</v>
      </c>
      <c r="Q124" s="131">
        <v>79.099999999999994</v>
      </c>
      <c r="R124" s="131">
        <v>82.1</v>
      </c>
      <c r="S124" s="131">
        <v>79.7</v>
      </c>
      <c r="T124" s="131">
        <v>79.7</v>
      </c>
      <c r="U124" s="131">
        <v>80</v>
      </c>
      <c r="V124" s="131">
        <v>81.8</v>
      </c>
      <c r="W124" s="131">
        <v>70.8</v>
      </c>
      <c r="X124" s="131">
        <v>67.400000000000006</v>
      </c>
      <c r="Y124" s="131">
        <v>77.5</v>
      </c>
      <c r="Z124" s="131">
        <v>85.9</v>
      </c>
      <c r="AA124" s="131">
        <v>83.7</v>
      </c>
      <c r="AB124" s="131">
        <v>81.2</v>
      </c>
      <c r="AC124" s="131">
        <v>71.400000000000006</v>
      </c>
      <c r="AD124" s="131">
        <v>59</v>
      </c>
      <c r="AE124" s="131">
        <v>59</v>
      </c>
      <c r="AF124" s="131">
        <v>17</v>
      </c>
      <c r="AG124" s="132"/>
      <c r="AH124" s="48">
        <f t="shared" si="33"/>
        <v>91.7</v>
      </c>
      <c r="AI124" s="49">
        <f t="shared" si="34"/>
        <v>17</v>
      </c>
    </row>
    <row r="125" spans="1:35" x14ac:dyDescent="0.25">
      <c r="A125" s="129" t="s">
        <v>148</v>
      </c>
      <c r="B125" s="131">
        <v>-12.9</v>
      </c>
      <c r="C125" s="131">
        <v>-11.7</v>
      </c>
      <c r="D125" s="131">
        <v>-5.7</v>
      </c>
      <c r="E125" s="131">
        <v>3.3</v>
      </c>
      <c r="F125" s="131">
        <v>2.5</v>
      </c>
      <c r="G125" s="131">
        <v>1.6</v>
      </c>
      <c r="H125" s="131">
        <v>-1.8</v>
      </c>
      <c r="I125" s="131">
        <v>-13.9</v>
      </c>
      <c r="J125" s="131">
        <v>4.2</v>
      </c>
      <c r="K125" s="131">
        <v>23.3</v>
      </c>
      <c r="L125" s="131">
        <v>-5.6</v>
      </c>
      <c r="M125" s="131">
        <v>-4.0999999999999996</v>
      </c>
      <c r="N125" s="131">
        <v>8.1</v>
      </c>
      <c r="O125" s="131">
        <v>19.399999999999999</v>
      </c>
      <c r="P125" s="131">
        <v>8</v>
      </c>
      <c r="Q125" s="131">
        <v>6.8</v>
      </c>
      <c r="R125" s="131">
        <v>11</v>
      </c>
      <c r="S125" s="131">
        <v>12.4</v>
      </c>
      <c r="T125" s="131">
        <v>12.4</v>
      </c>
      <c r="U125" s="131">
        <v>4</v>
      </c>
      <c r="V125" s="131">
        <v>9</v>
      </c>
      <c r="W125" s="131">
        <v>-14.3</v>
      </c>
      <c r="X125" s="131">
        <v>-17.100000000000001</v>
      </c>
      <c r="Y125" s="131">
        <v>-14.4</v>
      </c>
      <c r="Z125" s="131">
        <v>-21.6</v>
      </c>
      <c r="AA125" s="131">
        <v>-33.200000000000003</v>
      </c>
      <c r="AB125" s="131">
        <v>-23.8</v>
      </c>
      <c r="AC125" s="131">
        <v>-25.6</v>
      </c>
      <c r="AD125" s="131">
        <v>-23</v>
      </c>
      <c r="AE125" s="131">
        <v>-23</v>
      </c>
      <c r="AF125" s="131">
        <v>-58</v>
      </c>
      <c r="AG125" s="132"/>
      <c r="AH125" s="48">
        <f t="shared" si="33"/>
        <v>23.3</v>
      </c>
      <c r="AI125" s="49">
        <f t="shared" si="34"/>
        <v>-58</v>
      </c>
    </row>
    <row r="126" spans="1:35" ht="15.75" thickBot="1" x14ac:dyDescent="0.3">
      <c r="A126" s="129" t="s">
        <v>149</v>
      </c>
      <c r="B126" s="131">
        <v>28.6</v>
      </c>
      <c r="C126" s="131">
        <v>30.2</v>
      </c>
      <c r="D126" s="131">
        <v>28.8</v>
      </c>
      <c r="E126" s="131">
        <v>34.700000000000003</v>
      </c>
      <c r="F126" s="131">
        <v>45</v>
      </c>
      <c r="G126" s="131">
        <v>48</v>
      </c>
      <c r="H126" s="131">
        <v>55.9</v>
      </c>
      <c r="I126" s="131">
        <v>74.400000000000006</v>
      </c>
      <c r="J126" s="131">
        <v>76.900000000000006</v>
      </c>
      <c r="K126" s="131">
        <v>108</v>
      </c>
      <c r="L126" s="131">
        <v>87.9</v>
      </c>
      <c r="M126" s="131">
        <v>85</v>
      </c>
      <c r="N126" s="131">
        <v>92.2</v>
      </c>
      <c r="O126" s="131">
        <v>100</v>
      </c>
      <c r="P126" s="131">
        <v>91</v>
      </c>
      <c r="Q126" s="131">
        <v>85.1</v>
      </c>
      <c r="R126" s="131">
        <v>100</v>
      </c>
      <c r="S126" s="131">
        <v>96</v>
      </c>
      <c r="T126" s="131">
        <v>96</v>
      </c>
      <c r="U126" s="131">
        <v>85</v>
      </c>
      <c r="V126" s="131">
        <v>90.8</v>
      </c>
      <c r="W126" s="131">
        <v>70</v>
      </c>
      <c r="X126" s="131">
        <v>71</v>
      </c>
      <c r="Y126" s="131">
        <v>72.3</v>
      </c>
      <c r="Z126" s="131">
        <v>80.5</v>
      </c>
      <c r="AA126" s="131">
        <v>79.400000000000006</v>
      </c>
      <c r="AB126" s="131">
        <v>73</v>
      </c>
      <c r="AC126" s="131">
        <v>63.8</v>
      </c>
      <c r="AD126" s="131">
        <v>53</v>
      </c>
      <c r="AE126" s="131">
        <v>53</v>
      </c>
      <c r="AF126" s="131">
        <v>9</v>
      </c>
      <c r="AG126" s="128"/>
      <c r="AH126" s="48">
        <f>MAX(B126:AF126)</f>
        <v>108</v>
      </c>
      <c r="AI126" s="49">
        <f>MIN(B126:AF126)</f>
        <v>9</v>
      </c>
    </row>
    <row r="127" spans="1:35" x14ac:dyDescent="0.25">
      <c r="A127" s="126" t="s">
        <v>150</v>
      </c>
      <c r="B127" s="131">
        <v>-73.5</v>
      </c>
      <c r="C127" s="131">
        <v>-73.7</v>
      </c>
      <c r="D127" s="131">
        <v>-73.599999999999994</v>
      </c>
      <c r="E127" s="131">
        <v>-69.5</v>
      </c>
      <c r="F127" s="131">
        <v>-60.3</v>
      </c>
      <c r="G127" s="131">
        <v>-56.9</v>
      </c>
      <c r="H127" s="131">
        <v>-50.6</v>
      </c>
      <c r="I127" s="131">
        <v>-72.599999999999994</v>
      </c>
      <c r="J127" s="131">
        <v>22.3</v>
      </c>
      <c r="K127" s="131">
        <v>42.3</v>
      </c>
      <c r="L127" s="131">
        <v>30</v>
      </c>
      <c r="M127" s="131">
        <v>31</v>
      </c>
      <c r="N127" s="131">
        <v>32</v>
      </c>
      <c r="O127" s="131">
        <v>41</v>
      </c>
      <c r="P127" s="131">
        <v>34</v>
      </c>
      <c r="Q127" s="131">
        <v>32</v>
      </c>
      <c r="R127" s="131">
        <v>35</v>
      </c>
      <c r="S127" s="131">
        <v>31.1</v>
      </c>
      <c r="T127" s="131">
        <v>31.1</v>
      </c>
      <c r="U127" s="131">
        <v>32</v>
      </c>
      <c r="V127" s="131">
        <v>34.9</v>
      </c>
      <c r="W127" s="131">
        <v>7.3</v>
      </c>
      <c r="X127" s="131">
        <v>5.0999999999999996</v>
      </c>
      <c r="Y127" s="131">
        <v>-154</v>
      </c>
      <c r="Z127" s="131">
        <v>-170.9</v>
      </c>
      <c r="AA127" s="131">
        <v>-171</v>
      </c>
      <c r="AB127" s="131">
        <v>-172</v>
      </c>
      <c r="AC127" s="131">
        <v>-173.2</v>
      </c>
      <c r="AD127" s="131">
        <v>-159</v>
      </c>
      <c r="AE127" s="131">
        <v>-159</v>
      </c>
      <c r="AF127" s="131">
        <v>85</v>
      </c>
      <c r="AG127" s="128"/>
      <c r="AH127" s="48">
        <f>MAX(B127:AF127)</f>
        <v>85</v>
      </c>
      <c r="AI127" s="49">
        <f>MIN(B127:AF127)</f>
        <v>-173.2</v>
      </c>
    </row>
    <row r="128" spans="1:35" x14ac:dyDescent="0.25">
      <c r="A128" s="129" t="s">
        <v>151</v>
      </c>
      <c r="B128" s="119">
        <v>-42.8</v>
      </c>
      <c r="C128" s="119">
        <v>-38.299999999999997</v>
      </c>
      <c r="D128" s="119">
        <v>-36.700000000000003</v>
      </c>
      <c r="E128" s="119">
        <v>-32.1</v>
      </c>
      <c r="F128" s="119">
        <v>-25</v>
      </c>
      <c r="G128" s="119">
        <v>-18.7</v>
      </c>
      <c r="H128" s="119">
        <v>-20.7</v>
      </c>
      <c r="I128" s="119">
        <v>-20.7</v>
      </c>
      <c r="J128" s="119">
        <v>-27.5</v>
      </c>
      <c r="K128" s="119">
        <v>-34.200000000000003</v>
      </c>
      <c r="L128" s="119">
        <v>-42.1</v>
      </c>
      <c r="M128" s="119">
        <v>-57</v>
      </c>
      <c r="N128" s="119">
        <v>-28.2</v>
      </c>
      <c r="O128" s="119">
        <v>-39.4</v>
      </c>
      <c r="P128" s="119">
        <v>-44</v>
      </c>
      <c r="Q128" s="119">
        <v>-43.5</v>
      </c>
      <c r="R128" s="119">
        <v>-30</v>
      </c>
      <c r="S128" s="119">
        <v>-38.9</v>
      </c>
      <c r="T128" s="119">
        <v>-38.9</v>
      </c>
      <c r="U128" s="119">
        <v>-49</v>
      </c>
      <c r="V128" s="119">
        <v>-42</v>
      </c>
      <c r="W128" s="119">
        <v>-21.1</v>
      </c>
      <c r="X128" s="119">
        <v>-20.5</v>
      </c>
      <c r="Y128" s="119">
        <v>-40.5</v>
      </c>
      <c r="Z128" s="119">
        <v>-28.6</v>
      </c>
      <c r="AA128" s="119">
        <v>-35.9</v>
      </c>
      <c r="AB128" s="119">
        <v>-26.5</v>
      </c>
      <c r="AC128" s="119">
        <v>-36.6</v>
      </c>
      <c r="AD128" s="119">
        <v>-27</v>
      </c>
      <c r="AE128" s="119">
        <v>-27</v>
      </c>
      <c r="AF128" s="119">
        <v>-5.6</v>
      </c>
      <c r="AG128" s="128"/>
      <c r="AH128" s="48">
        <f>MAX(B128:AF128)</f>
        <v>-5.6</v>
      </c>
      <c r="AI128" s="49">
        <f>MIN(B128:AF128)</f>
        <v>-57</v>
      </c>
    </row>
    <row r="129" spans="1:37" x14ac:dyDescent="0.25">
      <c r="A129" s="129" t="s">
        <v>152</v>
      </c>
      <c r="B129" s="119">
        <v>89.7</v>
      </c>
      <c r="C129" s="119">
        <v>85</v>
      </c>
      <c r="D129" s="119">
        <v>82.1</v>
      </c>
      <c r="E129" s="119">
        <v>77.5</v>
      </c>
      <c r="F129" s="119">
        <v>80</v>
      </c>
      <c r="G129" s="119">
        <v>58.3</v>
      </c>
      <c r="H129" s="119">
        <v>59.1</v>
      </c>
      <c r="I129" s="119">
        <v>58.4</v>
      </c>
      <c r="J129" s="119">
        <v>47</v>
      </c>
      <c r="K129" s="119">
        <v>53</v>
      </c>
      <c r="L129" s="119">
        <v>57.9</v>
      </c>
      <c r="M129" s="119">
        <v>72.400000000000006</v>
      </c>
      <c r="N129" s="119">
        <v>60</v>
      </c>
      <c r="O129" s="119">
        <v>80.2</v>
      </c>
      <c r="P129" s="119">
        <v>90</v>
      </c>
      <c r="Q129" s="119">
        <v>89.8</v>
      </c>
      <c r="R129" s="119">
        <v>92</v>
      </c>
      <c r="S129" s="119">
        <v>89.6</v>
      </c>
      <c r="T129" s="119">
        <v>89.6</v>
      </c>
      <c r="U129" s="119">
        <v>79</v>
      </c>
      <c r="V129" s="119">
        <v>79.2</v>
      </c>
      <c r="W129" s="119">
        <v>48.7</v>
      </c>
      <c r="X129" s="119">
        <v>45.1</v>
      </c>
      <c r="Y129" s="119">
        <v>107.2</v>
      </c>
      <c r="Z129" s="119">
        <v>99.1</v>
      </c>
      <c r="AA129" s="119">
        <v>96.9</v>
      </c>
      <c r="AB129" s="119">
        <v>98.2</v>
      </c>
      <c r="AC129" s="119">
        <v>112.2</v>
      </c>
      <c r="AD129" s="119">
        <v>112</v>
      </c>
      <c r="AE129" s="119">
        <v>112</v>
      </c>
      <c r="AF129" s="119">
        <v>85</v>
      </c>
      <c r="AG129" s="128"/>
      <c r="AH129" s="48">
        <f>MAX(B129:AF129)</f>
        <v>112.2</v>
      </c>
      <c r="AI129" s="49">
        <f>MIN(B129:AF129)</f>
        <v>45.1</v>
      </c>
    </row>
    <row r="130" spans="1:37" ht="15.75" thickBot="1" x14ac:dyDescent="0.3">
      <c r="A130" s="129" t="s">
        <v>153</v>
      </c>
      <c r="B130" s="119">
        <v>103</v>
      </c>
      <c r="C130" s="119">
        <v>96.7</v>
      </c>
      <c r="D130" s="119">
        <v>95.4</v>
      </c>
      <c r="E130" s="119">
        <v>90.2</v>
      </c>
      <c r="F130" s="119">
        <v>86</v>
      </c>
      <c r="G130" s="119">
        <v>71.400000000000006</v>
      </c>
      <c r="H130" s="119">
        <v>69.7</v>
      </c>
      <c r="I130" s="119">
        <v>67.8</v>
      </c>
      <c r="J130" s="119">
        <v>53.8</v>
      </c>
      <c r="K130" s="119">
        <v>61.3</v>
      </c>
      <c r="L130" s="119">
        <v>73.2</v>
      </c>
      <c r="M130" s="119">
        <v>80.099999999999994</v>
      </c>
      <c r="N130" s="119">
        <v>66</v>
      </c>
      <c r="O130" s="119">
        <v>84.7</v>
      </c>
      <c r="P130" s="119">
        <v>90.2</v>
      </c>
      <c r="Q130" s="119">
        <v>86.9</v>
      </c>
      <c r="R130" s="119">
        <v>86</v>
      </c>
      <c r="S130" s="119">
        <v>92.7</v>
      </c>
      <c r="T130" s="119">
        <v>92.7</v>
      </c>
      <c r="U130" s="119">
        <v>83</v>
      </c>
      <c r="V130" s="119">
        <v>73.400000000000006</v>
      </c>
      <c r="W130" s="119">
        <v>55.3</v>
      </c>
      <c r="X130" s="119">
        <v>55.8</v>
      </c>
      <c r="Y130" s="119">
        <v>110.3</v>
      </c>
      <c r="Z130" s="119">
        <v>113.8</v>
      </c>
      <c r="AA130" s="119">
        <v>110.7</v>
      </c>
      <c r="AB130" s="119">
        <v>116.7</v>
      </c>
      <c r="AC130" s="119">
        <v>128.5</v>
      </c>
      <c r="AD130" s="119">
        <v>123</v>
      </c>
      <c r="AE130" s="119">
        <v>123</v>
      </c>
      <c r="AF130" s="119">
        <v>93</v>
      </c>
      <c r="AG130" s="128"/>
      <c r="AH130" s="48">
        <f>MAX(B130:AF130)</f>
        <v>128.5</v>
      </c>
      <c r="AI130" s="49">
        <f>MIN(B130:AF130)</f>
        <v>53.8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1982.6</v>
      </c>
      <c r="C132" s="137">
        <v>1982.63</v>
      </c>
      <c r="D132" s="137">
        <v>1982.6</v>
      </c>
      <c r="E132" s="137">
        <v>1982.6</v>
      </c>
      <c r="F132" s="137">
        <v>1982.68</v>
      </c>
      <c r="G132" s="137">
        <v>1982.7</v>
      </c>
      <c r="H132" s="137"/>
      <c r="I132" s="137">
        <v>1982.73</v>
      </c>
      <c r="J132" s="137"/>
      <c r="K132" s="137">
        <v>1982.9</v>
      </c>
      <c r="L132" s="137"/>
      <c r="M132" s="137">
        <v>1983.32</v>
      </c>
      <c r="N132" s="137">
        <v>1983.7</v>
      </c>
      <c r="O132" s="137">
        <v>1984.05</v>
      </c>
      <c r="P132" s="137">
        <v>1984.35</v>
      </c>
      <c r="Q132" s="137">
        <v>1984.65</v>
      </c>
      <c r="R132" s="137">
        <v>1984.9</v>
      </c>
      <c r="S132" s="137">
        <v>1985.2</v>
      </c>
      <c r="T132" s="137"/>
      <c r="U132" s="137"/>
      <c r="V132" s="137">
        <v>1985.98</v>
      </c>
      <c r="W132" s="137"/>
      <c r="X132" s="137">
        <v>1986.23</v>
      </c>
      <c r="Y132" s="137"/>
      <c r="Z132" s="137">
        <v>1985.74</v>
      </c>
      <c r="AA132" s="137"/>
      <c r="AB132" s="137">
        <v>1984.86</v>
      </c>
      <c r="AC132" s="137"/>
      <c r="AD132" s="137">
        <v>1983.95</v>
      </c>
      <c r="AE132" s="137">
        <v>1982.7</v>
      </c>
      <c r="AF132" s="138">
        <v>1982.61</v>
      </c>
      <c r="AG132" s="139"/>
      <c r="AH132" s="48"/>
      <c r="AI132" s="49"/>
    </row>
    <row r="133" spans="1:37" x14ac:dyDescent="0.25">
      <c r="A133" s="136" t="s">
        <v>156</v>
      </c>
      <c r="B133" s="140">
        <v>518.92999999999995</v>
      </c>
      <c r="C133" s="140">
        <v>518.85</v>
      </c>
      <c r="D133" s="140">
        <v>518.83000000000004</v>
      </c>
      <c r="E133" s="140">
        <v>519.02</v>
      </c>
      <c r="F133" s="140">
        <v>519.21</v>
      </c>
      <c r="G133" s="140">
        <v>519.42999999999995</v>
      </c>
      <c r="H133" s="140"/>
      <c r="I133" s="140">
        <v>519.58000000000004</v>
      </c>
      <c r="J133" s="140"/>
      <c r="K133" s="140">
        <v>519.73</v>
      </c>
      <c r="L133" s="140"/>
      <c r="M133" s="140">
        <v>519.96</v>
      </c>
      <c r="N133" s="140">
        <v>520.16</v>
      </c>
      <c r="O133" s="140">
        <v>520.37</v>
      </c>
      <c r="P133" s="140">
        <v>520.52</v>
      </c>
      <c r="Q133" s="140">
        <v>520.62</v>
      </c>
      <c r="R133" s="140">
        <v>520.64</v>
      </c>
      <c r="S133" s="140">
        <v>520.66</v>
      </c>
      <c r="T133" s="140"/>
      <c r="U133" s="140"/>
      <c r="V133" s="140">
        <v>520.4</v>
      </c>
      <c r="W133" s="140"/>
      <c r="X133" s="140">
        <v>520.5</v>
      </c>
      <c r="Y133" s="140" t="s">
        <v>162</v>
      </c>
      <c r="Z133" s="140">
        <v>520.35</v>
      </c>
      <c r="AA133" s="140"/>
      <c r="AB133" s="140">
        <v>520.01</v>
      </c>
      <c r="AC133" s="140"/>
      <c r="AD133" s="140">
        <v>519.75</v>
      </c>
      <c r="AE133" s="140">
        <v>519.44000000000005</v>
      </c>
      <c r="AF133" s="141"/>
      <c r="AG133" s="139"/>
      <c r="AH133" s="48"/>
      <c r="AI133" s="49"/>
    </row>
    <row r="134" spans="1:37" x14ac:dyDescent="0.25">
      <c r="A134" s="136" t="s">
        <v>157</v>
      </c>
      <c r="B134" s="140">
        <v>622.24</v>
      </c>
      <c r="C134" s="140">
        <v>621.95000000000005</v>
      </c>
      <c r="D134" s="140">
        <v>621.74</v>
      </c>
      <c r="E134" s="140">
        <v>621.87</v>
      </c>
      <c r="F134" s="140">
        <v>622.24</v>
      </c>
      <c r="G134" s="140">
        <v>622.72</v>
      </c>
      <c r="H134" s="140"/>
      <c r="I134" s="140">
        <v>622.84</v>
      </c>
      <c r="J134" s="140"/>
      <c r="K134" s="140">
        <v>623.29</v>
      </c>
      <c r="L134" s="140"/>
      <c r="M134" s="140">
        <v>623.62</v>
      </c>
      <c r="N134" s="140">
        <v>623.82000000000005</v>
      </c>
      <c r="O134" s="140">
        <v>624.09</v>
      </c>
      <c r="P134" s="140">
        <v>624.34</v>
      </c>
      <c r="Q134" s="140">
        <v>624.54</v>
      </c>
      <c r="R134" s="140">
        <v>624.59</v>
      </c>
      <c r="S134" s="140">
        <v>524.38</v>
      </c>
      <c r="T134" s="140"/>
      <c r="U134" s="140">
        <v>623.73</v>
      </c>
      <c r="V134" s="140">
        <v>623.71</v>
      </c>
      <c r="W134" s="140"/>
      <c r="X134" s="140">
        <v>623.82000000000005</v>
      </c>
      <c r="Y134" s="140"/>
      <c r="Z134" s="140">
        <v>623.87</v>
      </c>
      <c r="AA134" s="140"/>
      <c r="AB134" s="140">
        <v>623.59</v>
      </c>
      <c r="AC134" s="140"/>
      <c r="AD134" s="140">
        <v>623.34</v>
      </c>
      <c r="AE134" s="140"/>
      <c r="AF134" s="141">
        <v>623.01</v>
      </c>
      <c r="AG134" s="139"/>
      <c r="AH134" s="48"/>
      <c r="AI134" s="49"/>
    </row>
    <row r="135" spans="1:37" x14ac:dyDescent="0.25">
      <c r="A135" s="136" t="s">
        <v>158</v>
      </c>
      <c r="B135" s="140">
        <v>334.59</v>
      </c>
      <c r="C135" s="140">
        <v>335</v>
      </c>
      <c r="D135" s="140">
        <v>335.33</v>
      </c>
      <c r="E135" s="140">
        <v>335.6</v>
      </c>
      <c r="F135" s="140">
        <v>335.85</v>
      </c>
      <c r="G135" s="140">
        <v>336.1</v>
      </c>
      <c r="H135" s="140"/>
      <c r="I135" s="140">
        <v>336.26</v>
      </c>
      <c r="J135" s="140"/>
      <c r="K135" s="140">
        <v>336.43</v>
      </c>
      <c r="L135" s="140"/>
      <c r="M135" s="140">
        <v>336.5</v>
      </c>
      <c r="N135" s="140">
        <v>336.43</v>
      </c>
      <c r="O135" s="140">
        <v>336.37</v>
      </c>
      <c r="P135" s="140">
        <v>336.26</v>
      </c>
      <c r="Q135" s="140">
        <v>336.14</v>
      </c>
      <c r="R135" s="140">
        <v>335.99</v>
      </c>
      <c r="S135" s="140">
        <v>335.87</v>
      </c>
      <c r="T135" s="140"/>
      <c r="U135" s="140"/>
      <c r="V135" s="140">
        <v>335.53</v>
      </c>
      <c r="W135" s="140"/>
      <c r="X135" s="140">
        <v>335.53</v>
      </c>
      <c r="Y135" s="140"/>
      <c r="Z135" s="140">
        <v>335.57</v>
      </c>
      <c r="AA135" s="140"/>
      <c r="AB135" s="140">
        <v>335.5</v>
      </c>
      <c r="AC135" s="140"/>
      <c r="AD135" s="140">
        <v>335.38</v>
      </c>
      <c r="AE135" s="140">
        <v>335.17</v>
      </c>
      <c r="AF135" s="141">
        <v>334.89</v>
      </c>
      <c r="AG135" s="139"/>
      <c r="AH135" s="48"/>
      <c r="AI135" s="49"/>
    </row>
    <row r="136" spans="1:37" x14ac:dyDescent="0.25">
      <c r="A136" s="136" t="s">
        <v>159</v>
      </c>
      <c r="B136" s="140">
        <v>884.1</v>
      </c>
      <c r="C136" s="140">
        <v>884.3</v>
      </c>
      <c r="D136" s="140">
        <v>884.7</v>
      </c>
      <c r="E136" s="140">
        <v>885.7</v>
      </c>
      <c r="F136" s="140">
        <v>886.5</v>
      </c>
      <c r="G136" s="140">
        <v>887.1</v>
      </c>
      <c r="H136" s="140"/>
      <c r="I136" s="140">
        <v>887.2</v>
      </c>
      <c r="J136" s="140"/>
      <c r="K136" s="140">
        <v>887.4</v>
      </c>
      <c r="L136" s="140"/>
      <c r="M136" s="140">
        <v>887.4</v>
      </c>
      <c r="N136" s="140">
        <v>887.4</v>
      </c>
      <c r="O136" s="140">
        <v>887.4</v>
      </c>
      <c r="P136" s="140">
        <v>887.2</v>
      </c>
      <c r="Q136" s="140">
        <v>886.2</v>
      </c>
      <c r="R136" s="140">
        <v>885.5</v>
      </c>
      <c r="S136" s="140">
        <v>884.1</v>
      </c>
      <c r="T136" s="140"/>
      <c r="U136" s="140"/>
      <c r="V136" s="140">
        <v>884.4</v>
      </c>
      <c r="W136" s="140"/>
      <c r="X136" s="140">
        <v>884.7</v>
      </c>
      <c r="Y136" s="140"/>
      <c r="Z136" s="140">
        <v>884.1</v>
      </c>
      <c r="AA136" s="140"/>
      <c r="AB136" s="140">
        <v>882.9</v>
      </c>
      <c r="AC136" s="140"/>
      <c r="AD136" s="140">
        <v>882.1</v>
      </c>
      <c r="AE136" s="140">
        <v>881.8</v>
      </c>
      <c r="AF136" s="141">
        <v>882.2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1496.64</v>
      </c>
      <c r="C137" s="142"/>
      <c r="D137" s="142"/>
      <c r="E137" s="142"/>
      <c r="F137" s="142"/>
      <c r="G137" s="142">
        <v>1496.42</v>
      </c>
      <c r="H137" s="142"/>
      <c r="I137" s="142"/>
      <c r="J137" s="142"/>
      <c r="K137" s="142"/>
      <c r="L137" s="142"/>
      <c r="M137" s="142"/>
      <c r="N137" s="142"/>
      <c r="O137" s="142"/>
      <c r="P137" s="142"/>
      <c r="Q137" s="142">
        <v>1496.12</v>
      </c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>
        <v>1495.77</v>
      </c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9">SUM(B139:B243)</f>
        <v>0</v>
      </c>
      <c r="C244" s="161">
        <f t="shared" si="49"/>
        <v>0</v>
      </c>
      <c r="D244" s="161">
        <f t="shared" si="49"/>
        <v>0</v>
      </c>
      <c r="E244" s="161">
        <f t="shared" si="49"/>
        <v>0</v>
      </c>
      <c r="F244" s="161">
        <f t="shared" si="49"/>
        <v>0</v>
      </c>
      <c r="G244" s="161">
        <f t="shared" si="49"/>
        <v>0</v>
      </c>
      <c r="H244" s="161">
        <f t="shared" si="49"/>
        <v>0</v>
      </c>
      <c r="I244" s="161">
        <f t="shared" si="49"/>
        <v>0</v>
      </c>
      <c r="J244" s="161">
        <f t="shared" si="49"/>
        <v>0</v>
      </c>
      <c r="K244" s="161">
        <f t="shared" si="49"/>
        <v>0</v>
      </c>
      <c r="L244" s="161">
        <f t="shared" si="49"/>
        <v>0</v>
      </c>
      <c r="M244" s="161">
        <f t="shared" si="49"/>
        <v>0</v>
      </c>
      <c r="N244" s="161">
        <f t="shared" si="49"/>
        <v>0</v>
      </c>
      <c r="O244" s="161">
        <f t="shared" si="49"/>
        <v>0</v>
      </c>
      <c r="P244" s="161">
        <f t="shared" si="49"/>
        <v>0</v>
      </c>
      <c r="Q244" s="161">
        <f t="shared" si="49"/>
        <v>0</v>
      </c>
      <c r="R244" s="161">
        <f t="shared" si="49"/>
        <v>0</v>
      </c>
      <c r="S244" s="161">
        <f t="shared" si="49"/>
        <v>0</v>
      </c>
      <c r="T244" s="161">
        <f t="shared" si="49"/>
        <v>0</v>
      </c>
      <c r="U244" s="161">
        <f t="shared" si="49"/>
        <v>0</v>
      </c>
      <c r="V244" s="161">
        <f t="shared" si="49"/>
        <v>0</v>
      </c>
      <c r="W244" s="161">
        <f t="shared" si="49"/>
        <v>0</v>
      </c>
      <c r="X244" s="161">
        <f t="shared" si="49"/>
        <v>0</v>
      </c>
      <c r="Y244" s="161">
        <f t="shared" si="49"/>
        <v>0</v>
      </c>
      <c r="Z244" s="161">
        <f t="shared" si="49"/>
        <v>0</v>
      </c>
      <c r="AA244" s="161">
        <f t="shared" si="49"/>
        <v>0</v>
      </c>
      <c r="AB244" s="161">
        <f t="shared" si="49"/>
        <v>0</v>
      </c>
      <c r="AC244" s="161">
        <f t="shared" si="49"/>
        <v>0</v>
      </c>
      <c r="AD244" s="161">
        <f t="shared" si="49"/>
        <v>0</v>
      </c>
      <c r="AE244" s="161">
        <f t="shared" si="49"/>
        <v>0</v>
      </c>
      <c r="AF244" s="162">
        <f t="shared" si="49"/>
        <v>0</v>
      </c>
      <c r="AG244" s="163">
        <f t="shared" si="4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50">AF246</f>
        <v>0.3</v>
      </c>
      <c r="C246" s="166">
        <v>0.3</v>
      </c>
      <c r="D246" s="166">
        <f t="shared" ref="D246:S251" si="51">C246</f>
        <v>0.3</v>
      </c>
      <c r="E246" s="166">
        <f t="shared" si="51"/>
        <v>0.3</v>
      </c>
      <c r="F246" s="166">
        <f t="shared" si="51"/>
        <v>0.3</v>
      </c>
      <c r="G246" s="166">
        <f t="shared" si="51"/>
        <v>0.3</v>
      </c>
      <c r="H246" s="166">
        <f t="shared" si="51"/>
        <v>0.3</v>
      </c>
      <c r="I246" s="166">
        <f t="shared" si="51"/>
        <v>0.3</v>
      </c>
      <c r="J246" s="166">
        <f t="shared" si="51"/>
        <v>0.3</v>
      </c>
      <c r="K246" s="166">
        <f t="shared" si="51"/>
        <v>0.3</v>
      </c>
      <c r="L246" s="166">
        <f t="shared" si="51"/>
        <v>0.3</v>
      </c>
      <c r="M246" s="166">
        <f t="shared" si="51"/>
        <v>0.3</v>
      </c>
      <c r="N246" s="166">
        <f t="shared" si="51"/>
        <v>0.3</v>
      </c>
      <c r="O246" s="166">
        <f t="shared" si="51"/>
        <v>0.3</v>
      </c>
      <c r="P246" s="166">
        <f t="shared" si="51"/>
        <v>0.3</v>
      </c>
      <c r="Q246" s="166">
        <f t="shared" si="51"/>
        <v>0.3</v>
      </c>
      <c r="R246" s="166">
        <f t="shared" si="51"/>
        <v>0.3</v>
      </c>
      <c r="S246" s="166">
        <f t="shared" si="51"/>
        <v>0.3</v>
      </c>
      <c r="T246" s="166">
        <f t="shared" ref="T246:AF251" si="52">S246</f>
        <v>0.3</v>
      </c>
      <c r="U246" s="166">
        <f t="shared" si="52"/>
        <v>0.3</v>
      </c>
      <c r="V246" s="166">
        <f t="shared" si="52"/>
        <v>0.3</v>
      </c>
      <c r="W246" s="166">
        <f t="shared" si="52"/>
        <v>0.3</v>
      </c>
      <c r="X246" s="166">
        <f t="shared" si="52"/>
        <v>0.3</v>
      </c>
      <c r="Y246" s="166">
        <f t="shared" si="52"/>
        <v>0.3</v>
      </c>
      <c r="Z246" s="166">
        <f t="shared" si="52"/>
        <v>0.3</v>
      </c>
      <c r="AA246" s="166">
        <f t="shared" si="52"/>
        <v>0.3</v>
      </c>
      <c r="AB246" s="166">
        <f t="shared" si="52"/>
        <v>0.3</v>
      </c>
      <c r="AC246" s="166">
        <f t="shared" si="52"/>
        <v>0.3</v>
      </c>
      <c r="AD246" s="166">
        <f t="shared" si="52"/>
        <v>0.3</v>
      </c>
      <c r="AE246" s="166">
        <f t="shared" si="52"/>
        <v>0.3</v>
      </c>
      <c r="AF246" s="166">
        <f t="shared" si="52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50"/>
        <v>0.4</v>
      </c>
      <c r="C247" s="152">
        <v>0.4</v>
      </c>
      <c r="D247" s="152">
        <f t="shared" si="51"/>
        <v>0.4</v>
      </c>
      <c r="E247" s="152">
        <f t="shared" si="51"/>
        <v>0.4</v>
      </c>
      <c r="F247" s="152">
        <f t="shared" si="51"/>
        <v>0.4</v>
      </c>
      <c r="G247" s="152">
        <f t="shared" si="51"/>
        <v>0.4</v>
      </c>
      <c r="H247" s="152">
        <f t="shared" si="51"/>
        <v>0.4</v>
      </c>
      <c r="I247" s="152">
        <f t="shared" si="51"/>
        <v>0.4</v>
      </c>
      <c r="J247" s="152">
        <f t="shared" si="51"/>
        <v>0.4</v>
      </c>
      <c r="K247" s="152">
        <f t="shared" si="51"/>
        <v>0.4</v>
      </c>
      <c r="L247" s="152">
        <f t="shared" si="51"/>
        <v>0.4</v>
      </c>
      <c r="M247" s="152">
        <f t="shared" si="51"/>
        <v>0.4</v>
      </c>
      <c r="N247" s="152">
        <f t="shared" si="51"/>
        <v>0.4</v>
      </c>
      <c r="O247" s="152">
        <f t="shared" si="51"/>
        <v>0.4</v>
      </c>
      <c r="P247" s="152">
        <f t="shared" si="51"/>
        <v>0.4</v>
      </c>
      <c r="Q247" s="152">
        <f t="shared" si="51"/>
        <v>0.4</v>
      </c>
      <c r="R247" s="152">
        <f t="shared" si="51"/>
        <v>0.4</v>
      </c>
      <c r="S247" s="152">
        <f t="shared" si="51"/>
        <v>0.4</v>
      </c>
      <c r="T247" s="152">
        <f t="shared" si="52"/>
        <v>0.4</v>
      </c>
      <c r="U247" s="152">
        <f t="shared" si="52"/>
        <v>0.4</v>
      </c>
      <c r="V247" s="152">
        <f t="shared" si="52"/>
        <v>0.4</v>
      </c>
      <c r="W247" s="152">
        <f t="shared" si="52"/>
        <v>0.4</v>
      </c>
      <c r="X247" s="152">
        <f t="shared" si="52"/>
        <v>0.4</v>
      </c>
      <c r="Y247" s="152">
        <f t="shared" si="52"/>
        <v>0.4</v>
      </c>
      <c r="Z247" s="152">
        <f t="shared" si="52"/>
        <v>0.4</v>
      </c>
      <c r="AA247" s="152">
        <f t="shared" si="52"/>
        <v>0.4</v>
      </c>
      <c r="AB247" s="152">
        <f t="shared" si="52"/>
        <v>0.4</v>
      </c>
      <c r="AC247" s="152">
        <f t="shared" si="52"/>
        <v>0.4</v>
      </c>
      <c r="AD247" s="152">
        <f t="shared" si="52"/>
        <v>0.4</v>
      </c>
      <c r="AE247" s="152">
        <f t="shared" si="52"/>
        <v>0.4</v>
      </c>
      <c r="AF247" s="152">
        <f t="shared" si="52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50"/>
        <v>1.5</v>
      </c>
      <c r="C248" s="152">
        <v>1.5</v>
      </c>
      <c r="D248" s="152">
        <f t="shared" si="51"/>
        <v>1.5</v>
      </c>
      <c r="E248" s="152">
        <f t="shared" si="51"/>
        <v>1.5</v>
      </c>
      <c r="F248" s="152">
        <f t="shared" si="51"/>
        <v>1.5</v>
      </c>
      <c r="G248" s="152">
        <f t="shared" si="51"/>
        <v>1.5</v>
      </c>
      <c r="H248" s="152">
        <f t="shared" si="51"/>
        <v>1.5</v>
      </c>
      <c r="I248" s="152">
        <f t="shared" si="51"/>
        <v>1.5</v>
      </c>
      <c r="J248" s="152">
        <f t="shared" si="51"/>
        <v>1.5</v>
      </c>
      <c r="K248" s="152">
        <f t="shared" si="51"/>
        <v>1.5</v>
      </c>
      <c r="L248" s="152">
        <f t="shared" si="51"/>
        <v>1.5</v>
      </c>
      <c r="M248" s="152">
        <f t="shared" si="51"/>
        <v>1.5</v>
      </c>
      <c r="N248" s="152">
        <f t="shared" si="51"/>
        <v>1.5</v>
      </c>
      <c r="O248" s="152">
        <f t="shared" si="51"/>
        <v>1.5</v>
      </c>
      <c r="P248" s="152">
        <f t="shared" si="51"/>
        <v>1.5</v>
      </c>
      <c r="Q248" s="152">
        <f t="shared" si="51"/>
        <v>1.5</v>
      </c>
      <c r="R248" s="152">
        <f t="shared" si="51"/>
        <v>1.5</v>
      </c>
      <c r="S248" s="152">
        <f t="shared" si="51"/>
        <v>1.5</v>
      </c>
      <c r="T248" s="152">
        <f t="shared" si="52"/>
        <v>1.5</v>
      </c>
      <c r="U248" s="152">
        <f t="shared" si="52"/>
        <v>1.5</v>
      </c>
      <c r="V248" s="152">
        <f t="shared" si="52"/>
        <v>1.5</v>
      </c>
      <c r="W248" s="152">
        <f t="shared" si="52"/>
        <v>1.5</v>
      </c>
      <c r="X248" s="152">
        <f t="shared" si="52"/>
        <v>1.5</v>
      </c>
      <c r="Y248" s="152">
        <f t="shared" si="52"/>
        <v>1.5</v>
      </c>
      <c r="Z248" s="152">
        <f t="shared" si="52"/>
        <v>1.5</v>
      </c>
      <c r="AA248" s="152">
        <f t="shared" si="52"/>
        <v>1.5</v>
      </c>
      <c r="AB248" s="152">
        <f t="shared" si="52"/>
        <v>1.5</v>
      </c>
      <c r="AC248" s="152">
        <f t="shared" si="52"/>
        <v>1.5</v>
      </c>
      <c r="AD248" s="152">
        <f t="shared" si="52"/>
        <v>1.5</v>
      </c>
      <c r="AE248" s="152">
        <f t="shared" si="52"/>
        <v>1.5</v>
      </c>
      <c r="AF248" s="152">
        <f t="shared" si="52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50"/>
        <v>0.3</v>
      </c>
      <c r="C249" s="152">
        <v>0.3</v>
      </c>
      <c r="D249" s="152">
        <f t="shared" si="51"/>
        <v>0.3</v>
      </c>
      <c r="E249" s="152">
        <f t="shared" si="51"/>
        <v>0.3</v>
      </c>
      <c r="F249" s="152">
        <f t="shared" si="51"/>
        <v>0.3</v>
      </c>
      <c r="G249" s="152">
        <f t="shared" si="51"/>
        <v>0.3</v>
      </c>
      <c r="H249" s="152">
        <f t="shared" si="51"/>
        <v>0.3</v>
      </c>
      <c r="I249" s="152">
        <f t="shared" si="51"/>
        <v>0.3</v>
      </c>
      <c r="J249" s="152">
        <f t="shared" si="51"/>
        <v>0.3</v>
      </c>
      <c r="K249" s="152">
        <f t="shared" si="51"/>
        <v>0.3</v>
      </c>
      <c r="L249" s="152">
        <f t="shared" si="51"/>
        <v>0.3</v>
      </c>
      <c r="M249" s="152">
        <f t="shared" si="51"/>
        <v>0.3</v>
      </c>
      <c r="N249" s="152">
        <f t="shared" si="51"/>
        <v>0.3</v>
      </c>
      <c r="O249" s="152">
        <f t="shared" si="51"/>
        <v>0.3</v>
      </c>
      <c r="P249" s="152">
        <f t="shared" si="51"/>
        <v>0.3</v>
      </c>
      <c r="Q249" s="152">
        <f t="shared" si="51"/>
        <v>0.3</v>
      </c>
      <c r="R249" s="152">
        <f t="shared" si="51"/>
        <v>0.3</v>
      </c>
      <c r="S249" s="152">
        <f t="shared" si="51"/>
        <v>0.3</v>
      </c>
      <c r="T249" s="152">
        <f t="shared" si="52"/>
        <v>0.3</v>
      </c>
      <c r="U249" s="152">
        <f t="shared" si="52"/>
        <v>0.3</v>
      </c>
      <c r="V249" s="152">
        <f t="shared" si="52"/>
        <v>0.3</v>
      </c>
      <c r="W249" s="152">
        <f t="shared" si="52"/>
        <v>0.3</v>
      </c>
      <c r="X249" s="152">
        <f t="shared" si="52"/>
        <v>0.3</v>
      </c>
      <c r="Y249" s="152">
        <f t="shared" si="52"/>
        <v>0.3</v>
      </c>
      <c r="Z249" s="152">
        <f t="shared" si="52"/>
        <v>0.3</v>
      </c>
      <c r="AA249" s="152">
        <f t="shared" si="52"/>
        <v>0.3</v>
      </c>
      <c r="AB249" s="152">
        <f t="shared" si="52"/>
        <v>0.3</v>
      </c>
      <c r="AC249" s="152">
        <f t="shared" si="52"/>
        <v>0.3</v>
      </c>
      <c r="AD249" s="152">
        <f t="shared" si="52"/>
        <v>0.3</v>
      </c>
      <c r="AE249" s="152">
        <f t="shared" si="52"/>
        <v>0.3</v>
      </c>
      <c r="AF249" s="152">
        <f t="shared" si="52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50"/>
        <v>0.4</v>
      </c>
      <c r="C250" s="152">
        <v>0.4</v>
      </c>
      <c r="D250" s="152">
        <f t="shared" si="51"/>
        <v>0.4</v>
      </c>
      <c r="E250" s="152">
        <f t="shared" si="51"/>
        <v>0.4</v>
      </c>
      <c r="F250" s="152">
        <f t="shared" si="51"/>
        <v>0.4</v>
      </c>
      <c r="G250" s="152">
        <f t="shared" si="51"/>
        <v>0.4</v>
      </c>
      <c r="H250" s="152">
        <f t="shared" si="51"/>
        <v>0.4</v>
      </c>
      <c r="I250" s="152">
        <f t="shared" si="51"/>
        <v>0.4</v>
      </c>
      <c r="J250" s="152">
        <f t="shared" si="51"/>
        <v>0.4</v>
      </c>
      <c r="K250" s="152">
        <f t="shared" si="51"/>
        <v>0.4</v>
      </c>
      <c r="L250" s="152">
        <f t="shared" si="51"/>
        <v>0.4</v>
      </c>
      <c r="M250" s="152">
        <f t="shared" si="51"/>
        <v>0.4</v>
      </c>
      <c r="N250" s="152">
        <f t="shared" si="51"/>
        <v>0.4</v>
      </c>
      <c r="O250" s="152">
        <f t="shared" si="51"/>
        <v>0.4</v>
      </c>
      <c r="P250" s="152">
        <f t="shared" si="51"/>
        <v>0.4</v>
      </c>
      <c r="Q250" s="152">
        <f t="shared" si="51"/>
        <v>0.4</v>
      </c>
      <c r="R250" s="152">
        <f t="shared" si="51"/>
        <v>0.4</v>
      </c>
      <c r="S250" s="152">
        <f t="shared" si="51"/>
        <v>0.4</v>
      </c>
      <c r="T250" s="152">
        <f t="shared" si="52"/>
        <v>0.4</v>
      </c>
      <c r="U250" s="152">
        <f t="shared" si="52"/>
        <v>0.4</v>
      </c>
      <c r="V250" s="152">
        <f t="shared" si="52"/>
        <v>0.4</v>
      </c>
      <c r="W250" s="152">
        <f t="shared" si="52"/>
        <v>0.4</v>
      </c>
      <c r="X250" s="152">
        <f t="shared" si="52"/>
        <v>0.4</v>
      </c>
      <c r="Y250" s="152">
        <f t="shared" si="52"/>
        <v>0.4</v>
      </c>
      <c r="Z250" s="152">
        <f t="shared" si="52"/>
        <v>0.4</v>
      </c>
      <c r="AA250" s="152">
        <f t="shared" si="52"/>
        <v>0.4</v>
      </c>
      <c r="AB250" s="152">
        <f t="shared" si="52"/>
        <v>0.4</v>
      </c>
      <c r="AC250" s="152">
        <f t="shared" si="52"/>
        <v>0.4</v>
      </c>
      <c r="AD250" s="152">
        <f t="shared" si="52"/>
        <v>0.4</v>
      </c>
      <c r="AE250" s="152">
        <f t="shared" si="52"/>
        <v>0.4</v>
      </c>
      <c r="AF250" s="152">
        <f t="shared" si="52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50"/>
        <v>0.64</v>
      </c>
      <c r="C251" s="157">
        <v>0.64</v>
      </c>
      <c r="D251" s="157">
        <f t="shared" si="51"/>
        <v>0.64</v>
      </c>
      <c r="E251" s="157">
        <f t="shared" si="51"/>
        <v>0.64</v>
      </c>
      <c r="F251" s="157">
        <f t="shared" si="51"/>
        <v>0.64</v>
      </c>
      <c r="G251" s="157">
        <f t="shared" si="51"/>
        <v>0.64</v>
      </c>
      <c r="H251" s="157">
        <f t="shared" si="51"/>
        <v>0.64</v>
      </c>
      <c r="I251" s="157">
        <f t="shared" si="51"/>
        <v>0.64</v>
      </c>
      <c r="J251" s="157">
        <f t="shared" si="51"/>
        <v>0.64</v>
      </c>
      <c r="K251" s="157">
        <f t="shared" si="51"/>
        <v>0.64</v>
      </c>
      <c r="L251" s="157">
        <f t="shared" si="51"/>
        <v>0.64</v>
      </c>
      <c r="M251" s="157">
        <f t="shared" si="51"/>
        <v>0.64</v>
      </c>
      <c r="N251" s="157">
        <f t="shared" si="51"/>
        <v>0.64</v>
      </c>
      <c r="O251" s="157">
        <f t="shared" si="51"/>
        <v>0.64</v>
      </c>
      <c r="P251" s="157">
        <f t="shared" si="51"/>
        <v>0.64</v>
      </c>
      <c r="Q251" s="157">
        <f t="shared" si="51"/>
        <v>0.64</v>
      </c>
      <c r="R251" s="157">
        <f t="shared" si="51"/>
        <v>0.64</v>
      </c>
      <c r="S251" s="157">
        <f t="shared" si="51"/>
        <v>0.64</v>
      </c>
      <c r="T251" s="157">
        <f t="shared" si="52"/>
        <v>0.64</v>
      </c>
      <c r="U251" s="157">
        <f t="shared" si="52"/>
        <v>0.64</v>
      </c>
      <c r="V251" s="157">
        <f t="shared" si="52"/>
        <v>0.64</v>
      </c>
      <c r="W251" s="157">
        <f t="shared" si="52"/>
        <v>0.64</v>
      </c>
      <c r="X251" s="157">
        <f t="shared" si="52"/>
        <v>0.64</v>
      </c>
      <c r="Y251" s="157">
        <f t="shared" si="52"/>
        <v>0.64</v>
      </c>
      <c r="Z251" s="157">
        <f t="shared" si="52"/>
        <v>0.64</v>
      </c>
      <c r="AA251" s="157">
        <f t="shared" si="52"/>
        <v>0.64</v>
      </c>
      <c r="AB251" s="157">
        <f t="shared" si="52"/>
        <v>0.64</v>
      </c>
      <c r="AC251" s="157">
        <f t="shared" si="52"/>
        <v>0.64</v>
      </c>
      <c r="AD251" s="157">
        <f t="shared" si="52"/>
        <v>0.64</v>
      </c>
      <c r="AE251" s="157">
        <f t="shared" si="52"/>
        <v>0.64</v>
      </c>
      <c r="AF251" s="157">
        <f t="shared" si="52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3">SUM(B246:B251)</f>
        <v>3.54</v>
      </c>
      <c r="C252" s="161">
        <f t="shared" si="53"/>
        <v>3.54</v>
      </c>
      <c r="D252" s="161">
        <f t="shared" si="53"/>
        <v>3.54</v>
      </c>
      <c r="E252" s="161">
        <f t="shared" si="53"/>
        <v>3.54</v>
      </c>
      <c r="F252" s="161">
        <f t="shared" si="53"/>
        <v>3.54</v>
      </c>
      <c r="G252" s="161">
        <f t="shared" si="53"/>
        <v>3.54</v>
      </c>
      <c r="H252" s="161">
        <f t="shared" si="53"/>
        <v>3.54</v>
      </c>
      <c r="I252" s="161">
        <f t="shared" si="53"/>
        <v>3.54</v>
      </c>
      <c r="J252" s="161">
        <f t="shared" si="53"/>
        <v>3.54</v>
      </c>
      <c r="K252" s="161">
        <f t="shared" si="53"/>
        <v>3.54</v>
      </c>
      <c r="L252" s="161">
        <f t="shared" si="53"/>
        <v>3.54</v>
      </c>
      <c r="M252" s="161">
        <f t="shared" si="53"/>
        <v>3.54</v>
      </c>
      <c r="N252" s="161">
        <f t="shared" si="53"/>
        <v>3.54</v>
      </c>
      <c r="O252" s="161">
        <f t="shared" si="53"/>
        <v>3.54</v>
      </c>
      <c r="P252" s="161">
        <f t="shared" si="53"/>
        <v>3.54</v>
      </c>
      <c r="Q252" s="161">
        <f t="shared" si="53"/>
        <v>3.54</v>
      </c>
      <c r="R252" s="161">
        <f t="shared" si="53"/>
        <v>3.54</v>
      </c>
      <c r="S252" s="161">
        <f t="shared" si="53"/>
        <v>3.54</v>
      </c>
      <c r="T252" s="161">
        <f t="shared" si="53"/>
        <v>3.54</v>
      </c>
      <c r="U252" s="161">
        <f t="shared" si="53"/>
        <v>3.54</v>
      </c>
      <c r="V252" s="161">
        <f t="shared" si="53"/>
        <v>3.54</v>
      </c>
      <c r="W252" s="161">
        <f t="shared" si="53"/>
        <v>3.54</v>
      </c>
      <c r="X252" s="161">
        <f t="shared" si="53"/>
        <v>3.54</v>
      </c>
      <c r="Y252" s="161">
        <f t="shared" si="53"/>
        <v>3.54</v>
      </c>
      <c r="Z252" s="161">
        <f t="shared" si="53"/>
        <v>3.54</v>
      </c>
      <c r="AA252" s="161">
        <f t="shared" si="53"/>
        <v>3.54</v>
      </c>
      <c r="AB252" s="161">
        <f t="shared" si="53"/>
        <v>3.54</v>
      </c>
      <c r="AC252" s="161">
        <f t="shared" si="53"/>
        <v>3.54</v>
      </c>
      <c r="AD252" s="161">
        <f t="shared" si="53"/>
        <v>3.54</v>
      </c>
      <c r="AE252" s="161">
        <f t="shared" si="53"/>
        <v>3.54</v>
      </c>
      <c r="AF252" s="161">
        <f t="shared" si="53"/>
        <v>3.54</v>
      </c>
      <c r="AG252" s="171">
        <f t="shared" si="5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1737.9399999999998</v>
      </c>
      <c r="C256" s="174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2080/10/4)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226" priority="89">
      <formula>$AH11=0</formula>
    </cfRule>
  </conditionalFormatting>
  <conditionalFormatting sqref="A132:A253">
    <cfRule type="expression" dxfId="4225" priority="90">
      <formula>$AH132=0</formula>
    </cfRule>
  </conditionalFormatting>
  <conditionalFormatting sqref="B8">
    <cfRule type="expression" dxfId="4224" priority="144">
      <formula>AND(C$9&gt;=14/24,C$9&lt;20/24)</formula>
    </cfRule>
    <cfRule type="expression" dxfId="4223" priority="145">
      <formula>AND(C$9&gt;=8/24,C$9&lt;14/24)</formula>
    </cfRule>
    <cfRule type="expression" dxfId="4222" priority="146">
      <formula>C$9&lt;8/24</formula>
    </cfRule>
    <cfRule type="expression" dxfId="4221" priority="147">
      <formula>C$9&gt;=20/24</formula>
    </cfRule>
  </conditionalFormatting>
  <conditionalFormatting sqref="B53:X57 Y53:AF55">
    <cfRule type="expression" dxfId="4220" priority="53">
      <formula>B$9&lt;8/24</formula>
    </cfRule>
  </conditionalFormatting>
  <conditionalFormatting sqref="B9:AF52 B59:D68 C66:C74 B69:AF74 B77:AF99 B101:AF117 B119:AF137 B244:AF244 B246:B252">
    <cfRule type="expression" dxfId="4219" priority="41">
      <formula>B$9&gt;=20/24</formula>
    </cfRule>
    <cfRule type="expression" dxfId="4218" priority="42">
      <formula>AND(B$9&gt;=14/24,B$9&lt;20/24)</formula>
    </cfRule>
    <cfRule type="expression" dxfId="4217" priority="43">
      <formula>AND(B$9&gt;=8/24,B$9&lt;14/24)</formula>
    </cfRule>
    <cfRule type="expression" dxfId="4216" priority="44">
      <formula>B$9&lt;8/24</formula>
    </cfRule>
  </conditionalFormatting>
  <conditionalFormatting sqref="D246:AF252">
    <cfRule type="expression" dxfId="4215" priority="129">
      <formula>D$9&gt;=20/24</formula>
    </cfRule>
    <cfRule type="expression" dxfId="4214" priority="130">
      <formula>AND(D$9&gt;=14/24,D$9&lt;20/24)</formula>
    </cfRule>
    <cfRule type="expression" dxfId="4213" priority="131">
      <formula>AND(D$9&gt;=8/24,D$9&lt;14/24)</formula>
    </cfRule>
    <cfRule type="expression" dxfId="4212" priority="132">
      <formula>D$9&lt;8/24</formula>
    </cfRule>
  </conditionalFormatting>
  <conditionalFormatting sqref="E63:I67 J64:J67 K65:K67">
    <cfRule type="expression" dxfId="4211" priority="54">
      <formula>E$9&gt;=20/24</formula>
    </cfRule>
    <cfRule type="expression" dxfId="4210" priority="55">
      <formula>AND(E$9&gt;=14/24,E$9&lt;20/24)</formula>
    </cfRule>
    <cfRule type="expression" dxfId="4209" priority="56">
      <formula>AND(E$9&gt;=8/24,E$9&lt;14/24)</formula>
    </cfRule>
    <cfRule type="expression" dxfId="4208" priority="57">
      <formula>E$9&lt;8/24</formula>
    </cfRule>
  </conditionalFormatting>
  <conditionalFormatting sqref="E11:J11">
    <cfRule type="expression" dxfId="4207" priority="58">
      <formula>E11&gt;$AG11</formula>
    </cfRule>
    <cfRule type="expression" dxfId="4206" priority="59">
      <formula>E$9&gt;=20/24</formula>
    </cfRule>
    <cfRule type="expression" dxfId="4205" priority="60">
      <formula>AND(E$9&gt;=14/24,E$9&lt;20/24)</formula>
    </cfRule>
    <cfRule type="expression" dxfId="4204" priority="61">
      <formula>AND(E$9&gt;=8/24,E$9&lt;14/24)</formula>
    </cfRule>
    <cfRule type="expression" dxfId="4203" priority="62">
      <formula>E$9&lt;8/24</formula>
    </cfRule>
  </conditionalFormatting>
  <conditionalFormatting sqref="E68:K68">
    <cfRule type="expression" dxfId="4202" priority="49">
      <formula>E$9&gt;=20/24</formula>
    </cfRule>
    <cfRule type="expression" dxfId="4201" priority="50">
      <formula>AND(E$9&gt;=14/24,E$9&lt;20/24)</formula>
    </cfRule>
    <cfRule type="expression" dxfId="4200" priority="51">
      <formula>AND(E$9&gt;=8/24,E$9&lt;14/24)</formula>
    </cfRule>
    <cfRule type="expression" dxfId="4199" priority="52">
      <formula>E$9&lt;8/24</formula>
    </cfRule>
  </conditionalFormatting>
  <conditionalFormatting sqref="E56:X56">
    <cfRule type="expression" dxfId="4198" priority="45">
      <formula>E56&gt;$AG56</formula>
    </cfRule>
  </conditionalFormatting>
  <conditionalFormatting sqref="E56:X57">
    <cfRule type="expression" dxfId="4197" priority="46">
      <formula>E$9&gt;=20/24</formula>
    </cfRule>
    <cfRule type="expression" dxfId="4196" priority="47">
      <formula>AND(E$9&gt;=14/24,E$9&lt;20/24)</formula>
    </cfRule>
    <cfRule type="expression" dxfId="4195" priority="48">
      <formula>AND(E$9&gt;=8/24,E$9&lt;14/24)</formula>
    </cfRule>
  </conditionalFormatting>
  <conditionalFormatting sqref="E11:AF55 B11:D61 T57:X57 E57:S61 T58:AF61 T62:AG62 B62:S80 T63:AF80 O74:AA74 AG80">
    <cfRule type="expression" dxfId="4194" priority="40">
      <formula>B11&gt;$AG11</formula>
    </cfRule>
  </conditionalFormatting>
  <conditionalFormatting sqref="E53:AF55 B53:D57">
    <cfRule type="expression" dxfId="4193" priority="37">
      <formula>B$9&gt;=20/24</formula>
    </cfRule>
    <cfRule type="expression" dxfId="4192" priority="38">
      <formula>AND(B$9&gt;=14/24,B$9&lt;20/24)</formula>
    </cfRule>
    <cfRule type="expression" dxfId="4191" priority="39">
      <formula>AND(B$9&gt;=8/24,B$9&lt;14/24)</formula>
    </cfRule>
  </conditionalFormatting>
  <conditionalFormatting sqref="E59:AF62">
    <cfRule type="expression" dxfId="4190" priority="67">
      <formula>E$9&gt;=20/24</formula>
    </cfRule>
    <cfRule type="expression" dxfId="4189" priority="68">
      <formula>AND(E$9&gt;=14/24,E$9&lt;20/24)</formula>
    </cfRule>
    <cfRule type="expression" dxfId="4188" priority="69">
      <formula>AND(E$9&gt;=8/24,E$9&lt;14/24)</formula>
    </cfRule>
    <cfRule type="expression" dxfId="4187" priority="70">
      <formula>E$9&lt;8/24</formula>
    </cfRule>
  </conditionalFormatting>
  <conditionalFormatting sqref="I63:P65">
    <cfRule type="expression" dxfId="4186" priority="81">
      <formula>I$9&gt;=20/24</formula>
    </cfRule>
    <cfRule type="expression" dxfId="4185" priority="82">
      <formula>AND(I$9&gt;=14/24,I$9&lt;20/24)</formula>
    </cfRule>
    <cfRule type="expression" dxfId="4184" priority="83">
      <formula>AND(I$9&gt;=8/24,I$9&lt;14/24)</formula>
    </cfRule>
    <cfRule type="expression" dxfId="4183" priority="84">
      <formula>I$9&lt;8/24</formula>
    </cfRule>
  </conditionalFormatting>
  <conditionalFormatting sqref="L68:V68">
    <cfRule type="expression" dxfId="4182" priority="77">
      <formula>L$9&gt;=20/24</formula>
    </cfRule>
    <cfRule type="expression" dxfId="4181" priority="78">
      <formula>AND(L$9&gt;=14/24,L$9&lt;20/24)</formula>
    </cfRule>
    <cfRule type="expression" dxfId="4180" priority="79">
      <formula>AND(L$9&gt;=8/24,L$9&lt;14/24)</formula>
    </cfRule>
    <cfRule type="expression" dxfId="4179" priority="80">
      <formula>L$9&lt;8/24</formula>
    </cfRule>
  </conditionalFormatting>
  <conditionalFormatting sqref="M8 S8 AB8">
    <cfRule type="expression" dxfId="4178" priority="136">
      <formula>AND(N$9&gt;=14/24,N$9&lt;20/24)</formula>
    </cfRule>
    <cfRule type="expression" dxfId="4177" priority="137">
      <formula>AND(N$9&gt;=8/24,N$9&lt;14/24)</formula>
    </cfRule>
    <cfRule type="expression" dxfId="4176" priority="138">
      <formula>N$9&lt;8/24</formula>
    </cfRule>
  </conditionalFormatting>
  <conditionalFormatting sqref="M63:V67">
    <cfRule type="expression" dxfId="4175" priority="85">
      <formula>M$9&gt;=20/24</formula>
    </cfRule>
    <cfRule type="expression" dxfId="4174" priority="86">
      <formula>AND(M$9&gt;=14/24,M$9&lt;20/24)</formula>
    </cfRule>
    <cfRule type="expression" dxfId="4173" priority="87">
      <formula>AND(M$9&gt;=8/24,M$9&lt;14/24)</formula>
    </cfRule>
    <cfRule type="expression" dxfId="4172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171" priority="135">
      <formula>N$9&gt;=20/24</formula>
    </cfRule>
  </conditionalFormatting>
  <conditionalFormatting sqref="S8">
    <cfRule type="expression" dxfId="4170" priority="122">
      <formula>U$9&gt;=20/24</formula>
    </cfRule>
    <cfRule type="expression" dxfId="4169" priority="123">
      <formula>AND(U$9&gt;=14/24,U$9&lt;20/24)</formula>
    </cfRule>
    <cfRule type="expression" dxfId="4168" priority="124">
      <formula>AND(U$9&gt;=8/24,U$9&lt;14/24)</formula>
    </cfRule>
    <cfRule type="expression" dxfId="4167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4166" priority="71">
      <formula>V$9&gt;=20/24</formula>
    </cfRule>
    <cfRule type="expression" dxfId="4165" priority="72">
      <formula>AND(V$9&gt;=14/24,V$9&lt;20/24)</formula>
    </cfRule>
    <cfRule type="expression" dxfId="4164" priority="73">
      <formula>AND(V$9&gt;=8/24,V$9&lt;14/24)</formula>
    </cfRule>
    <cfRule type="expression" dxfId="4163" priority="74">
      <formula>V$9&lt;8/24</formula>
    </cfRule>
  </conditionalFormatting>
  <conditionalFormatting sqref="Y56:AF57">
    <cfRule type="expression" dxfId="4162" priority="63">
      <formula>Y56&gt;$AG56</formula>
    </cfRule>
    <cfRule type="expression" dxfId="4161" priority="64">
      <formula>Y$9&gt;=20/24</formula>
    </cfRule>
    <cfRule type="expression" dxfId="4160" priority="65">
      <formula>AND(Y$9&gt;=14/24,Y$9&lt;20/24)</formula>
    </cfRule>
    <cfRule type="expression" dxfId="4159" priority="66">
      <formula>AND(Y$9&gt;=8/24,Y$9&lt;14/24)</formula>
    </cfRule>
    <cfRule type="expression" dxfId="4158" priority="75">
      <formula>Y$9&lt;8/24</formula>
    </cfRule>
  </conditionalFormatting>
  <conditionalFormatting sqref="AB8">
    <cfRule type="expression" dxfId="4157" priority="118">
      <formula>AD$9&gt;=20/24</formula>
    </cfRule>
    <cfRule type="expression" dxfId="4156" priority="119">
      <formula>AND(AD$9&gt;=14/24,AD$9&lt;20/24)</formula>
    </cfRule>
    <cfRule type="expression" dxfId="4155" priority="120">
      <formula>AND(AD$9&gt;=8/24,AD$9&lt;14/24)</formula>
    </cfRule>
    <cfRule type="expression" dxfId="4154" priority="121">
      <formula>AD$9&lt;8/24</formula>
    </cfRule>
  </conditionalFormatting>
  <conditionalFormatting sqref="AG58">
    <cfRule type="expression" dxfId="4153" priority="113">
      <formula>AG58&gt;$AG58</formula>
    </cfRule>
  </conditionalFormatting>
  <conditionalFormatting sqref="AG62">
    <cfRule type="expression" dxfId="4152" priority="96">
      <formula>AG$9&gt;=20/24</formula>
    </cfRule>
    <cfRule type="expression" dxfId="4151" priority="97">
      <formula>AND(AG$9&gt;=14/24,AG$9&lt;20/24)</formula>
    </cfRule>
    <cfRule type="expression" dxfId="4150" priority="98">
      <formula>AND(AG$9&gt;=8/24,AG$9&lt;14/24)</formula>
    </cfRule>
    <cfRule type="expression" dxfId="4149" priority="99">
      <formula>AG$9&lt;8/24</formula>
    </cfRule>
  </conditionalFormatting>
  <conditionalFormatting sqref="AG75:AG76">
    <cfRule type="expression" dxfId="4148" priority="91">
      <formula>AG75&gt;$AG75</formula>
    </cfRule>
  </conditionalFormatting>
  <conditionalFormatting sqref="AG80">
    <cfRule type="expression" dxfId="4147" priority="92">
      <formula>AG$9&gt;=20/24</formula>
    </cfRule>
    <cfRule type="expression" dxfId="4146" priority="93">
      <formula>AND(AG$9&gt;=14/24,AG$9&lt;20/24)</formula>
    </cfRule>
    <cfRule type="expression" dxfId="4145" priority="94">
      <formula>AND(AG$9&gt;=8/24,AG$9&lt;14/24)</formula>
    </cfRule>
    <cfRule type="expression" dxfId="4144" priority="95">
      <formula>AG$9&lt;8/24</formula>
    </cfRule>
  </conditionalFormatting>
  <conditionalFormatting sqref="AG97">
    <cfRule type="expression" dxfId="4143" priority="114">
      <formula>AG$9&gt;=20/24</formula>
    </cfRule>
    <cfRule type="expression" dxfId="4142" priority="115">
      <formula>AND(AG$9&gt;=14/24,AG$9&lt;20/24)</formula>
    </cfRule>
    <cfRule type="expression" dxfId="4141" priority="116">
      <formula>AND(AG$9&gt;=8/24,AG$9&lt;14/24)</formula>
    </cfRule>
    <cfRule type="expression" dxfId="4140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139" priority="139">
      <formula>AJ$9&gt;=20/24</formula>
    </cfRule>
    <cfRule type="expression" dxfId="4138" priority="140">
      <formula>AND(AJ$9&gt;=14/24,AJ$9&lt;20/24)</formula>
    </cfRule>
    <cfRule type="expression" dxfId="4137" priority="141">
      <formula>AND(AJ$9&gt;=8/24,AJ$9&lt;14/24)</formula>
    </cfRule>
    <cfRule type="expression" dxfId="4136" priority="142">
      <formula>AJ$9&lt;8/24</formula>
    </cfRule>
  </conditionalFormatting>
  <conditionalFormatting sqref="AL88:AN88 AL94:AN94">
    <cfRule type="expression" dxfId="4135" priority="106">
      <formula>AL$9&gt;=20/24</formula>
    </cfRule>
    <cfRule type="expression" dxfId="4134" priority="107">
      <formula>AND(AL$9&gt;=14/24,AL$9&lt;20/24)</formula>
    </cfRule>
    <cfRule type="expression" dxfId="4133" priority="108">
      <formula>AND(AL$9&gt;=8/24,AL$9&lt;14/24)</formula>
    </cfRule>
    <cfRule type="expression" dxfId="4132" priority="109">
      <formula>AL$9&lt;8/24</formula>
    </cfRule>
  </conditionalFormatting>
  <conditionalFormatting sqref="AM15:AM21 AN16:AR21">
    <cfRule type="expression" dxfId="4131" priority="13">
      <formula>AX$9&gt;=20/24</formula>
    </cfRule>
    <cfRule type="expression" dxfId="4130" priority="14">
      <formula>AND(AX$9&gt;=14/24,AX$9&lt;20/24)</formula>
    </cfRule>
    <cfRule type="expression" dxfId="4129" priority="15">
      <formula>AND(AX$9&gt;=8/24,AX$9&lt;14/24)</formula>
    </cfRule>
    <cfRule type="expression" dxfId="4128" priority="16">
      <formula>AX$9&lt;8/24</formula>
    </cfRule>
  </conditionalFormatting>
  <conditionalFormatting sqref="AN89:AN92">
    <cfRule type="expression" dxfId="4127" priority="102">
      <formula>AN$9&gt;=20/24</formula>
    </cfRule>
    <cfRule type="expression" dxfId="4126" priority="103">
      <formula>AND(AN$9&gt;=14/24,AN$9&lt;20/24)</formula>
    </cfRule>
    <cfRule type="expression" dxfId="4125" priority="104">
      <formula>AND(AN$9&gt;=8/24,AN$9&lt;14/24)</formula>
    </cfRule>
    <cfRule type="expression" dxfId="4124" priority="105">
      <formula>AN$9&lt;8/24</formula>
    </cfRule>
  </conditionalFormatting>
  <conditionalFormatting sqref="AN15:AR15">
    <cfRule type="expression" dxfId="4123" priority="1">
      <formula>U$9&gt;=20/24</formula>
    </cfRule>
    <cfRule type="expression" dxfId="4122" priority="2">
      <formula>AND(U$9&gt;=14/24,U$9&lt;20/24)</formula>
    </cfRule>
    <cfRule type="expression" dxfId="4121" priority="3">
      <formula>AND(U$9&gt;=8/24,U$9&lt;14/24)</formula>
    </cfRule>
    <cfRule type="expression" dxfId="4120" priority="4">
      <formula>U$9&lt;8/24</formula>
    </cfRule>
  </conditionalFormatting>
  <conditionalFormatting sqref="AS15">
    <cfRule type="expression" dxfId="4119" priority="9">
      <formula>AA$9&gt;=20/24</formula>
    </cfRule>
    <cfRule type="expression" dxfId="4118" priority="10">
      <formula>AND(AA$9&gt;=14/24,AA$9&lt;20/24)</formula>
    </cfRule>
    <cfRule type="expression" dxfId="4117" priority="11">
      <formula>AND(AA$9&gt;=8/24,AA$9&lt;14/24)</formula>
    </cfRule>
    <cfRule type="expression" dxfId="4116" priority="12">
      <formula>AA$9&lt;8/24</formula>
    </cfRule>
  </conditionalFormatting>
  <conditionalFormatting sqref="AS16:AS21">
    <cfRule type="expression" dxfId="4115" priority="17">
      <formula>BE$9&gt;=20/24</formula>
    </cfRule>
    <cfRule type="expression" dxfId="4114" priority="18">
      <formula>AND(BE$9&gt;=14/24,BE$9&lt;20/24)</formula>
    </cfRule>
    <cfRule type="expression" dxfId="4113" priority="19">
      <formula>AND(BE$9&gt;=8/24,BE$9&lt;14/24)</formula>
    </cfRule>
    <cfRule type="expression" dxfId="4112" priority="20">
      <formula>BE$9&lt;8/24</formula>
    </cfRule>
  </conditionalFormatting>
  <conditionalFormatting sqref="AT15 AX15:BJ15">
    <cfRule type="expression" dxfId="4111" priority="21">
      <formula>AC$9&gt;=20/24</formula>
    </cfRule>
    <cfRule type="expression" dxfId="4110" priority="22">
      <formula>AND(AC$9&gt;=14/24,AC$9&lt;20/24)</formula>
    </cfRule>
    <cfRule type="expression" dxfId="4109" priority="23">
      <formula>AND(AC$9&gt;=8/24,AC$9&lt;14/24)</formula>
    </cfRule>
    <cfRule type="expression" dxfId="4108" priority="24">
      <formula>AC$9&lt;8/24</formula>
    </cfRule>
  </conditionalFormatting>
  <conditionalFormatting sqref="AT16:AT21">
    <cfRule type="expression" dxfId="4107" priority="25">
      <formula>BG$9&gt;=20/24</formula>
    </cfRule>
    <cfRule type="expression" dxfId="4106" priority="26">
      <formula>AND(BG$9&gt;=14/24,BG$9&lt;20/24)</formula>
    </cfRule>
    <cfRule type="expression" dxfId="4105" priority="27">
      <formula>AND(BG$9&gt;=8/24,BG$9&lt;14/24)</formula>
    </cfRule>
    <cfRule type="expression" dxfId="4104" priority="28">
      <formula>BG$9&lt;8/24</formula>
    </cfRule>
  </conditionalFormatting>
  <conditionalFormatting sqref="AU15:AV15">
    <cfRule type="expression" dxfId="4103" priority="29">
      <formula>AE$9&gt;=20/24</formula>
    </cfRule>
    <cfRule type="expression" dxfId="4102" priority="30">
      <formula>AND(AE$9&gt;=14/24,AE$9&lt;20/24)</formula>
    </cfRule>
    <cfRule type="expression" dxfId="4101" priority="31">
      <formula>AND(AE$9&gt;=8/24,AE$9&lt;14/24)</formula>
    </cfRule>
    <cfRule type="expression" dxfId="4100" priority="32">
      <formula>AE$9&lt;8/24</formula>
    </cfRule>
  </conditionalFormatting>
  <conditionalFormatting sqref="AU16:BJ21">
    <cfRule type="expression" dxfId="4099" priority="33">
      <formula>BI$9&gt;=20/24</formula>
    </cfRule>
    <cfRule type="expression" dxfId="4098" priority="34">
      <formula>AND(BI$9&gt;=14/24,BI$9&lt;20/24)</formula>
    </cfRule>
    <cfRule type="expression" dxfId="4097" priority="35">
      <formula>AND(BI$9&gt;=8/24,BI$9&lt;14/24)</formula>
    </cfRule>
    <cfRule type="expression" dxfId="4096" priority="36">
      <formula>BI$9&lt;8/24</formula>
    </cfRule>
  </conditionalFormatting>
  <conditionalFormatting sqref="AW15">
    <cfRule type="expression" dxfId="4095" priority="5">
      <formula>B$9&gt;=20/24</formula>
    </cfRule>
    <cfRule type="expression" dxfId="4094" priority="6">
      <formula>AND(B$9&gt;=14/24,B$9&lt;20/24)</formula>
    </cfRule>
    <cfRule type="expression" dxfId="4093" priority="7">
      <formula>AND(B$9&gt;=8/24,B$9&lt;14/24)</formula>
    </cfRule>
    <cfRule type="expression" dxfId="409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1AE7-FE61-4084-9FD9-5C0D8D6462EA}">
  <sheetPr codeName="Sheet5"/>
  <dimension ref="A1:CJ294"/>
  <sheetViews>
    <sheetView zoomScale="106" workbookViewId="0">
      <pane xSplit="1" ySplit="10" topLeftCell="B11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2080/10/5</v>
      </c>
      <c r="C4" s="187"/>
      <c r="D4" s="187"/>
      <c r="E4" s="188" t="str">
        <f ca="1">"2080/"&amp;"10/"&amp;INT(MID(CELL("filename",G6),FIND("]",CELL("filename",G6))+1,200))</f>
        <v>2080/10/5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257.2</v>
      </c>
      <c r="C5" s="30">
        <f t="shared" si="0"/>
        <v>270.89999999999998</v>
      </c>
      <c r="D5" s="30">
        <f t="shared" si="0"/>
        <v>261.60000000000002</v>
      </c>
      <c r="E5" s="30">
        <f t="shared" si="0"/>
        <v>271.13</v>
      </c>
      <c r="F5" s="30">
        <f t="shared" si="0"/>
        <v>252.3</v>
      </c>
      <c r="G5" s="30">
        <f t="shared" si="0"/>
        <v>253.40000000000003</v>
      </c>
      <c r="H5" s="30">
        <f t="shared" si="0"/>
        <v>151</v>
      </c>
      <c r="I5" s="30">
        <f t="shared" si="0"/>
        <v>528.79999999999995</v>
      </c>
      <c r="J5" s="30">
        <f t="shared" si="0"/>
        <v>556</v>
      </c>
      <c r="K5" s="30">
        <f t="shared" si="0"/>
        <v>557.6</v>
      </c>
      <c r="L5" s="30">
        <f t="shared" si="0"/>
        <v>710.50000000000011</v>
      </c>
      <c r="M5" s="30">
        <f t="shared" si="0"/>
        <v>756.4</v>
      </c>
      <c r="N5" s="30">
        <f t="shared" si="0"/>
        <v>707.7</v>
      </c>
      <c r="O5" s="30">
        <f t="shared" si="0"/>
        <v>729.99999999999989</v>
      </c>
      <c r="P5" s="30">
        <f t="shared" si="0"/>
        <v>782.99999999999989</v>
      </c>
      <c r="Q5" s="30">
        <f t="shared" si="0"/>
        <v>797.3</v>
      </c>
      <c r="R5" s="30">
        <f t="shared" si="0"/>
        <v>771.40000000000009</v>
      </c>
      <c r="S5" s="30">
        <f t="shared" si="0"/>
        <v>805.40000000000009</v>
      </c>
      <c r="T5" s="30">
        <f t="shared" si="0"/>
        <v>796.5</v>
      </c>
      <c r="U5" s="30">
        <f t="shared" si="0"/>
        <v>722</v>
      </c>
      <c r="V5" s="30">
        <f t="shared" si="0"/>
        <v>676.4</v>
      </c>
      <c r="W5" s="30">
        <f t="shared" si="0"/>
        <v>453.99999999999994</v>
      </c>
      <c r="X5" s="30">
        <f t="shared" si="0"/>
        <v>85.5</v>
      </c>
      <c r="Y5" s="30">
        <f t="shared" si="0"/>
        <v>123.3</v>
      </c>
      <c r="Z5" s="30">
        <f t="shared" si="0"/>
        <v>132.9</v>
      </c>
      <c r="AA5" s="30">
        <f t="shared" si="0"/>
        <v>84.4</v>
      </c>
      <c r="AB5" s="30">
        <f t="shared" si="0"/>
        <v>109</v>
      </c>
      <c r="AC5" s="30">
        <f t="shared" si="0"/>
        <v>88.6</v>
      </c>
      <c r="AD5" s="30">
        <f t="shared" si="0"/>
        <v>62.3</v>
      </c>
      <c r="AE5" s="30">
        <f t="shared" si="0"/>
        <v>57.4</v>
      </c>
      <c r="AF5" s="30">
        <f>B92</f>
        <v>264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1654MW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Load=1163</v>
      </c>
      <c r="B7" s="35">
        <f t="shared" ref="B7:AF7" si="1">B100</f>
        <v>1639.8400000000001</v>
      </c>
      <c r="C7" s="35">
        <f t="shared" si="1"/>
        <v>1634.0400000000002</v>
      </c>
      <c r="D7" s="35">
        <f t="shared" si="1"/>
        <v>1625.1400000000003</v>
      </c>
      <c r="E7" s="35">
        <f t="shared" si="1"/>
        <v>1289.94</v>
      </c>
      <c r="F7" s="35">
        <f t="shared" si="1"/>
        <v>1302.27</v>
      </c>
      <c r="G7" s="35">
        <f t="shared" si="1"/>
        <v>1282.1400000000001</v>
      </c>
      <c r="H7" s="35">
        <f t="shared" si="1"/>
        <v>1278.5400000000002</v>
      </c>
      <c r="I7" s="35">
        <f t="shared" si="1"/>
        <v>1163.24</v>
      </c>
      <c r="J7" s="35">
        <f t="shared" si="1"/>
        <v>1494.03</v>
      </c>
      <c r="K7" s="35">
        <f t="shared" si="1"/>
        <v>1514.03</v>
      </c>
      <c r="L7" s="35">
        <f t="shared" si="1"/>
        <v>1474.0300000000002</v>
      </c>
      <c r="M7" s="35">
        <f t="shared" si="1"/>
        <v>1603.1690000000003</v>
      </c>
      <c r="N7" s="35">
        <f t="shared" si="1"/>
        <v>1653.8690000000001</v>
      </c>
      <c r="O7" s="35">
        <f t="shared" si="1"/>
        <v>1562.9690000000001</v>
      </c>
      <c r="P7" s="35">
        <f t="shared" si="1"/>
        <v>1559.37</v>
      </c>
      <c r="Q7" s="35">
        <f t="shared" si="1"/>
        <v>1586.77</v>
      </c>
      <c r="R7" s="35">
        <f t="shared" si="1"/>
        <v>1618.0700000000002</v>
      </c>
      <c r="S7" s="35">
        <f t="shared" si="1"/>
        <v>1597.3700000000003</v>
      </c>
      <c r="T7" s="35">
        <f t="shared" si="1"/>
        <v>1626.77</v>
      </c>
      <c r="U7" s="35">
        <f t="shared" si="1"/>
        <v>1618.27</v>
      </c>
      <c r="V7" s="35">
        <f t="shared" si="1"/>
        <v>1571.17</v>
      </c>
      <c r="W7" s="35">
        <f t="shared" si="1"/>
        <v>1537.67</v>
      </c>
      <c r="X7" s="35">
        <f t="shared" si="1"/>
        <v>1489.2700000000002</v>
      </c>
      <c r="Y7" s="35">
        <f t="shared" si="1"/>
        <v>1505.9299999999998</v>
      </c>
      <c r="Z7" s="35">
        <f t="shared" si="1"/>
        <v>1594.53</v>
      </c>
      <c r="AA7" s="35">
        <f t="shared" si="1"/>
        <v>1771.27</v>
      </c>
      <c r="AB7" s="35">
        <f t="shared" si="1"/>
        <v>1712.97</v>
      </c>
      <c r="AC7" s="35">
        <f t="shared" si="1"/>
        <v>1713.77</v>
      </c>
      <c r="AD7" s="35">
        <f t="shared" si="1"/>
        <v>1726.4699999999998</v>
      </c>
      <c r="AE7" s="35">
        <f t="shared" si="1"/>
        <v>1605.07</v>
      </c>
      <c r="AF7" s="35">
        <f t="shared" si="1"/>
        <v>1551.27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1726.47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1726.47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44.8</v>
      </c>
      <c r="C11" s="46">
        <v>44.8</v>
      </c>
      <c r="D11" s="46">
        <v>44.8</v>
      </c>
      <c r="E11" s="46">
        <v>22.9</v>
      </c>
      <c r="F11" s="46">
        <v>22.9</v>
      </c>
      <c r="G11" s="46">
        <v>24.2</v>
      </c>
      <c r="H11" s="46">
        <v>21.9</v>
      </c>
      <c r="I11" s="46">
        <v>19.399999999999999</v>
      </c>
      <c r="J11" s="46">
        <v>17.5</v>
      </c>
      <c r="K11" s="46">
        <v>21.7</v>
      </c>
      <c r="L11" s="46">
        <v>18.8</v>
      </c>
      <c r="M11" s="46">
        <v>17.2</v>
      </c>
      <c r="N11" s="46">
        <v>26.8</v>
      </c>
      <c r="O11" s="46">
        <v>26.8</v>
      </c>
      <c r="P11" s="46">
        <v>26.8</v>
      </c>
      <c r="Q11" s="46">
        <v>26.8</v>
      </c>
      <c r="R11" s="46">
        <v>25.2</v>
      </c>
      <c r="S11" s="46">
        <v>23</v>
      </c>
      <c r="T11" s="46">
        <v>22.5</v>
      </c>
      <c r="U11" s="46">
        <v>22.5</v>
      </c>
      <c r="V11" s="46">
        <v>24.2</v>
      </c>
      <c r="W11" s="46">
        <v>24.2</v>
      </c>
      <c r="X11" s="46">
        <v>24.2</v>
      </c>
      <c r="Y11" s="46">
        <v>24.2</v>
      </c>
      <c r="Z11" s="46">
        <v>24.2</v>
      </c>
      <c r="AA11" s="46">
        <v>24.2</v>
      </c>
      <c r="AB11" s="46">
        <v>24.2</v>
      </c>
      <c r="AC11" s="46">
        <v>24.2</v>
      </c>
      <c r="AD11" s="46">
        <v>24.2</v>
      </c>
      <c r="AE11" s="46">
        <v>24.2</v>
      </c>
      <c r="AF11" s="46">
        <v>24.2</v>
      </c>
      <c r="AG11" s="47">
        <v>86</v>
      </c>
      <c r="AH11" s="48">
        <f t="shared" ref="AH11:AH16" si="2">MAX(B11:AF11)</f>
        <v>44.8</v>
      </c>
      <c r="AI11" s="49">
        <f t="shared" ref="AI11:AI16" si="3">MIN(B11:AF11)</f>
        <v>17.2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8.6</v>
      </c>
      <c r="C12" s="46">
        <v>8.6</v>
      </c>
      <c r="D12" s="46">
        <v>8.6</v>
      </c>
      <c r="E12" s="46">
        <v>8.6</v>
      </c>
      <c r="F12" s="46">
        <v>8.6</v>
      </c>
      <c r="G12" s="46">
        <v>8.6</v>
      </c>
      <c r="H12" s="46">
        <v>8.6</v>
      </c>
      <c r="I12" s="46">
        <v>8.6</v>
      </c>
      <c r="J12" s="46">
        <v>8.6</v>
      </c>
      <c r="K12" s="46">
        <v>8.6</v>
      </c>
      <c r="L12" s="46">
        <v>8.6</v>
      </c>
      <c r="M12" s="46">
        <v>8.6300000000000008</v>
      </c>
      <c r="N12" s="46">
        <v>8.6300000000000008</v>
      </c>
      <c r="O12" s="46">
        <v>8.6300000000000008</v>
      </c>
      <c r="P12" s="46">
        <v>8.6300000000000008</v>
      </c>
      <c r="Q12" s="46">
        <v>8.6300000000000008</v>
      </c>
      <c r="R12" s="46">
        <v>8.6300000000000008</v>
      </c>
      <c r="S12" s="46">
        <v>8.6300000000000008</v>
      </c>
      <c r="T12" s="46">
        <v>8.6300000000000008</v>
      </c>
      <c r="U12" s="46">
        <v>8.6300000000000008</v>
      </c>
      <c r="V12" s="46">
        <v>8.6300000000000008</v>
      </c>
      <c r="W12" s="46">
        <v>8.6300000000000008</v>
      </c>
      <c r="X12" s="46">
        <v>8.6300000000000008</v>
      </c>
      <c r="Y12" s="46">
        <v>8.6300000000000008</v>
      </c>
      <c r="Z12" s="46">
        <v>8.6300000000000008</v>
      </c>
      <c r="AA12" s="46">
        <v>8.6300000000000008</v>
      </c>
      <c r="AB12" s="46">
        <v>8.6300000000000008</v>
      </c>
      <c r="AC12" s="46">
        <v>8.6300000000000008</v>
      </c>
      <c r="AD12" s="46">
        <v>8.6300000000000008</v>
      </c>
      <c r="AE12" s="46">
        <v>8.6300000000000008</v>
      </c>
      <c r="AF12" s="46">
        <v>8.6300000000000008</v>
      </c>
      <c r="AG12" s="50">
        <v>54</v>
      </c>
      <c r="AH12" s="48">
        <f t="shared" si="2"/>
        <v>8.6300000000000008</v>
      </c>
      <c r="AI12" s="49">
        <f t="shared" si="3"/>
        <v>8.6</v>
      </c>
      <c r="AK12" s="51"/>
      <c r="AL12" s="52" t="str">
        <f ca="1">MID(CELL("filename",C7),FIND("]",CELL("filename",C7))+1,600)</f>
        <v>05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24</v>
      </c>
      <c r="C13" s="46">
        <v>24</v>
      </c>
      <c r="D13" s="46">
        <v>24</v>
      </c>
      <c r="E13" s="46">
        <v>20.9</v>
      </c>
      <c r="F13" s="46">
        <v>20.9</v>
      </c>
      <c r="G13" s="46">
        <v>20.9</v>
      </c>
      <c r="H13" s="46">
        <v>19.5</v>
      </c>
      <c r="I13" s="46">
        <v>19.5</v>
      </c>
      <c r="J13" s="46">
        <v>18</v>
      </c>
      <c r="K13" s="46">
        <v>18</v>
      </c>
      <c r="L13" s="46">
        <v>18.600000000000001</v>
      </c>
      <c r="M13" s="46">
        <v>18.600000000000001</v>
      </c>
      <c r="N13" s="46">
        <v>18</v>
      </c>
      <c r="O13" s="46">
        <v>18</v>
      </c>
      <c r="P13" s="46">
        <v>18</v>
      </c>
      <c r="Q13" s="46">
        <v>18</v>
      </c>
      <c r="R13" s="46">
        <v>18</v>
      </c>
      <c r="S13" s="46">
        <v>18</v>
      </c>
      <c r="T13" s="46">
        <v>18</v>
      </c>
      <c r="U13" s="46">
        <v>18</v>
      </c>
      <c r="V13" s="46">
        <v>18</v>
      </c>
      <c r="W13" s="46">
        <v>18</v>
      </c>
      <c r="X13" s="46">
        <v>18</v>
      </c>
      <c r="Y13" s="46">
        <v>18</v>
      </c>
      <c r="Z13" s="46">
        <v>18</v>
      </c>
      <c r="AA13" s="46">
        <v>18</v>
      </c>
      <c r="AB13" s="46">
        <v>18</v>
      </c>
      <c r="AC13" s="46">
        <v>18</v>
      </c>
      <c r="AD13" s="46">
        <v>18</v>
      </c>
      <c r="AE13" s="46">
        <v>18</v>
      </c>
      <c r="AF13" s="46">
        <v>18</v>
      </c>
      <c r="AG13" s="50">
        <v>54</v>
      </c>
      <c r="AH13" s="48">
        <f t="shared" si="2"/>
        <v>24</v>
      </c>
      <c r="AI13" s="49">
        <f t="shared" si="3"/>
        <v>18</v>
      </c>
      <c r="AK13" s="51"/>
      <c r="AL13" s="52" t="str">
        <f ca="1">"Daily Load Curve(Excluding of Export) of Nepal ("&amp;A4&amp;" "&amp;B4&amp;")"</f>
        <v>Daily Load Curve(Excluding of Export) of Nepal (Nepali Date: 2080/10/5)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</v>
      </c>
      <c r="C15" s="46">
        <v>50</v>
      </c>
      <c r="D15" s="46">
        <v>50.4</v>
      </c>
      <c r="E15" s="46">
        <v>50.4</v>
      </c>
      <c r="F15" s="46">
        <v>50.4</v>
      </c>
      <c r="G15" s="46">
        <v>50.4</v>
      </c>
      <c r="H15" s="46">
        <v>50.4</v>
      </c>
      <c r="I15" s="46">
        <v>50.4</v>
      </c>
      <c r="J15" s="46">
        <v>50.3</v>
      </c>
      <c r="K15" s="46">
        <v>50.3</v>
      </c>
      <c r="L15" s="46">
        <v>50.4</v>
      </c>
      <c r="M15" s="46">
        <v>50.3</v>
      </c>
      <c r="N15" s="46">
        <v>50.6</v>
      </c>
      <c r="O15" s="46">
        <v>50.6</v>
      </c>
      <c r="P15" s="46">
        <v>50.6</v>
      </c>
      <c r="Q15" s="46">
        <v>50.6</v>
      </c>
      <c r="R15" s="46">
        <v>50.6</v>
      </c>
      <c r="S15" s="46">
        <v>50.6</v>
      </c>
      <c r="T15" s="46">
        <v>50.6</v>
      </c>
      <c r="U15" s="46">
        <v>50.6</v>
      </c>
      <c r="V15" s="46">
        <v>50.6</v>
      </c>
      <c r="W15" s="46">
        <v>50.6</v>
      </c>
      <c r="X15" s="46">
        <v>50.6</v>
      </c>
      <c r="Y15" s="46">
        <v>50.6</v>
      </c>
      <c r="Z15" s="46">
        <v>50.6</v>
      </c>
      <c r="AA15" s="46">
        <v>50.6</v>
      </c>
      <c r="AB15" s="46">
        <v>50.6</v>
      </c>
      <c r="AC15" s="46">
        <v>50.6</v>
      </c>
      <c r="AD15" s="46">
        <v>50.6</v>
      </c>
      <c r="AE15" s="46">
        <v>50.6</v>
      </c>
      <c r="AF15" s="46">
        <v>50.6</v>
      </c>
      <c r="AG15" s="50">
        <v>50</v>
      </c>
      <c r="AH15" s="48">
        <f t="shared" si="2"/>
        <v>50.6</v>
      </c>
      <c r="AI15" s="49">
        <f t="shared" si="3"/>
        <v>50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561.79999999999995</v>
      </c>
      <c r="AN16" s="59">
        <f t="shared" si="4"/>
        <v>561.79999999999995</v>
      </c>
      <c r="AO16" s="59">
        <f t="shared" si="4"/>
        <v>562.20000000000005</v>
      </c>
      <c r="AP16" s="59">
        <f t="shared" si="4"/>
        <v>549.10000000000014</v>
      </c>
      <c r="AQ16" s="59">
        <f t="shared" si="4"/>
        <v>549.10000000000014</v>
      </c>
      <c r="AR16" s="59">
        <f t="shared" si="4"/>
        <v>550.40000000000009</v>
      </c>
      <c r="AS16" s="59">
        <f>I58</f>
        <v>533.79999999999995</v>
      </c>
      <c r="AT16" s="59">
        <f>K58</f>
        <v>537.99</v>
      </c>
      <c r="AU16" s="59">
        <f t="shared" ref="AU16:BD16" si="5">M58</f>
        <v>534.13000000000011</v>
      </c>
      <c r="AV16" s="59">
        <f t="shared" si="5"/>
        <v>538.93000000000006</v>
      </c>
      <c r="AW16" s="59">
        <f t="shared" si="5"/>
        <v>538.93000000000006</v>
      </c>
      <c r="AX16" s="59">
        <f t="shared" si="5"/>
        <v>538.93000000000006</v>
      </c>
      <c r="AY16" s="59">
        <f t="shared" si="5"/>
        <v>538.93000000000006</v>
      </c>
      <c r="AZ16" s="59">
        <f t="shared" si="5"/>
        <v>537.33000000000004</v>
      </c>
      <c r="BA16" s="59">
        <f t="shared" si="5"/>
        <v>537.13000000000011</v>
      </c>
      <c r="BB16" s="59">
        <f t="shared" si="5"/>
        <v>536.03000000000009</v>
      </c>
      <c r="BC16" s="59">
        <f t="shared" si="5"/>
        <v>536.03000000000009</v>
      </c>
      <c r="BD16" s="59">
        <f t="shared" si="5"/>
        <v>504.93000000000006</v>
      </c>
      <c r="BE16" s="60">
        <f>X58</f>
        <v>550.33000000000004</v>
      </c>
      <c r="BF16" s="60">
        <f>Z58</f>
        <v>550.73</v>
      </c>
      <c r="BG16" s="60">
        <f>AB58</f>
        <v>550.73</v>
      </c>
      <c r="BH16" s="60">
        <f>AD58</f>
        <v>550.73</v>
      </c>
      <c r="BI16" s="60">
        <f>AE58</f>
        <v>550.73</v>
      </c>
      <c r="BJ16" s="60">
        <f>AF58</f>
        <v>550.73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</v>
      </c>
      <c r="U17" s="46">
        <v>16</v>
      </c>
      <c r="V17" s="46">
        <v>16</v>
      </c>
      <c r="W17" s="46">
        <v>16</v>
      </c>
      <c r="X17" s="46">
        <v>16</v>
      </c>
      <c r="Y17" s="46">
        <v>16</v>
      </c>
      <c r="Z17" s="46">
        <v>16</v>
      </c>
      <c r="AA17" s="46">
        <v>16</v>
      </c>
      <c r="AB17" s="46">
        <v>16</v>
      </c>
      <c r="AC17" s="46">
        <v>16</v>
      </c>
      <c r="AD17" s="46">
        <v>16</v>
      </c>
      <c r="AE17" s="46">
        <v>16</v>
      </c>
      <c r="AF17" s="46">
        <v>16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142.6</v>
      </c>
      <c r="AN17" s="59">
        <f t="shared" si="6"/>
        <v>142.6</v>
      </c>
      <c r="AO17" s="59">
        <f t="shared" si="6"/>
        <v>142.6</v>
      </c>
      <c r="AP17" s="59">
        <f t="shared" si="6"/>
        <v>141.6</v>
      </c>
      <c r="AQ17" s="59">
        <f t="shared" si="6"/>
        <v>141.6</v>
      </c>
      <c r="AR17" s="59">
        <f t="shared" si="6"/>
        <v>143.80000000000001</v>
      </c>
      <c r="AS17" s="59">
        <f>I62</f>
        <v>143.4</v>
      </c>
      <c r="AT17" s="59">
        <f>K62</f>
        <v>94.5</v>
      </c>
      <c r="AU17" s="59">
        <f t="shared" ref="AU17:BD17" si="7">M62</f>
        <v>41</v>
      </c>
      <c r="AV17" s="59">
        <f t="shared" si="7"/>
        <v>41</v>
      </c>
      <c r="AW17" s="59">
        <f t="shared" si="7"/>
        <v>41</v>
      </c>
      <c r="AX17" s="59">
        <f t="shared" si="7"/>
        <v>43.2</v>
      </c>
      <c r="AY17" s="59">
        <f t="shared" si="7"/>
        <v>43.2</v>
      </c>
      <c r="AZ17" s="59">
        <f t="shared" si="7"/>
        <v>43.2</v>
      </c>
      <c r="BA17" s="59">
        <f t="shared" si="7"/>
        <v>42.7</v>
      </c>
      <c r="BB17" s="59">
        <f t="shared" si="7"/>
        <v>42.3</v>
      </c>
      <c r="BC17" s="59">
        <f t="shared" si="7"/>
        <v>42.3</v>
      </c>
      <c r="BD17" s="59">
        <f t="shared" si="7"/>
        <v>53.8</v>
      </c>
      <c r="BE17" s="60">
        <f>X62</f>
        <v>195.3</v>
      </c>
      <c r="BF17" s="60">
        <f>Z62</f>
        <v>404.1</v>
      </c>
      <c r="BG17" s="60">
        <f>AB62</f>
        <v>414.9</v>
      </c>
      <c r="BH17" s="60">
        <f>AD62</f>
        <v>391.2</v>
      </c>
      <c r="BI17" s="60">
        <f>AE62</f>
        <v>302.5</v>
      </c>
      <c r="BJ17" s="60">
        <f>AF62</f>
        <v>262.39999999999998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24</v>
      </c>
      <c r="C18" s="46">
        <v>24</v>
      </c>
      <c r="D18" s="46">
        <v>24</v>
      </c>
      <c r="E18" s="46">
        <v>20</v>
      </c>
      <c r="F18" s="46">
        <v>20</v>
      </c>
      <c r="G18" s="46">
        <v>20</v>
      </c>
      <c r="H18" s="46">
        <v>20</v>
      </c>
      <c r="I18" s="46">
        <v>17</v>
      </c>
      <c r="J18" s="46">
        <v>17</v>
      </c>
      <c r="K18" s="46">
        <v>17</v>
      </c>
      <c r="L18" s="46">
        <v>17</v>
      </c>
      <c r="M18" s="46">
        <v>17</v>
      </c>
      <c r="N18" s="46">
        <v>15</v>
      </c>
      <c r="O18" s="46">
        <v>15</v>
      </c>
      <c r="P18" s="46">
        <v>15</v>
      </c>
      <c r="Q18" s="46">
        <v>15</v>
      </c>
      <c r="R18" s="46">
        <v>15</v>
      </c>
      <c r="S18" s="46">
        <v>15</v>
      </c>
      <c r="T18" s="46">
        <v>14.4</v>
      </c>
      <c r="U18" s="46">
        <v>14.4</v>
      </c>
      <c r="V18" s="46">
        <v>0</v>
      </c>
      <c r="W18" s="46">
        <v>0</v>
      </c>
      <c r="X18" s="46">
        <v>24.4</v>
      </c>
      <c r="Y18" s="46">
        <v>24.4</v>
      </c>
      <c r="Z18" s="46">
        <v>24.4</v>
      </c>
      <c r="AA18" s="46">
        <v>24.4</v>
      </c>
      <c r="AB18" s="46">
        <v>24.4</v>
      </c>
      <c r="AC18" s="46">
        <v>24.4</v>
      </c>
      <c r="AD18" s="46">
        <v>24.4</v>
      </c>
      <c r="AE18" s="46">
        <v>24.4</v>
      </c>
      <c r="AF18" s="46">
        <v>24.4</v>
      </c>
      <c r="AG18" s="50">
        <v>42</v>
      </c>
      <c r="AH18" s="48">
        <f t="shared" ref="AH18:AH81" si="8">MAX(B18:AF18)</f>
        <v>24.4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323.44000000000005</v>
      </c>
      <c r="AN18" s="59">
        <f t="shared" si="10"/>
        <v>324.44000000000005</v>
      </c>
      <c r="AO18" s="59">
        <f t="shared" si="10"/>
        <v>301.44000000000005</v>
      </c>
      <c r="AP18" s="59">
        <f t="shared" si="10"/>
        <v>239.64</v>
      </c>
      <c r="AQ18" s="59">
        <f t="shared" si="10"/>
        <v>242.44</v>
      </c>
      <c r="AR18" s="59">
        <f t="shared" si="10"/>
        <v>237.64</v>
      </c>
      <c r="AS18" s="59">
        <f>I76</f>
        <v>238.74</v>
      </c>
      <c r="AT18" s="59">
        <f>K76</f>
        <v>285.54000000000002</v>
      </c>
      <c r="AU18" s="59">
        <f t="shared" ref="AU18:BD18" si="11">M76</f>
        <v>266.23900000000003</v>
      </c>
      <c r="AV18" s="59">
        <f t="shared" si="11"/>
        <v>266.23900000000003</v>
      </c>
      <c r="AW18" s="59">
        <f t="shared" si="11"/>
        <v>275.33900000000006</v>
      </c>
      <c r="AX18" s="59">
        <f t="shared" si="11"/>
        <v>247.24</v>
      </c>
      <c r="AY18" s="59">
        <f t="shared" si="11"/>
        <v>221.64000000000001</v>
      </c>
      <c r="AZ18" s="59">
        <f t="shared" si="11"/>
        <v>240.24</v>
      </c>
      <c r="BA18" s="59">
        <f t="shared" si="11"/>
        <v>246.14</v>
      </c>
      <c r="BB18" s="59">
        <f t="shared" si="11"/>
        <v>243.04</v>
      </c>
      <c r="BC18" s="59">
        <f t="shared" si="11"/>
        <v>243.44</v>
      </c>
      <c r="BD18" s="59">
        <f t="shared" si="11"/>
        <v>290.44000000000005</v>
      </c>
      <c r="BE18" s="60">
        <f>X76</f>
        <v>289.64000000000004</v>
      </c>
      <c r="BF18" s="60">
        <f>Z76</f>
        <v>344.09999999999997</v>
      </c>
      <c r="BG18" s="60">
        <f>AB76</f>
        <v>404.14</v>
      </c>
      <c r="BH18" s="60">
        <f>AD76</f>
        <v>404.14</v>
      </c>
      <c r="BI18" s="60">
        <f>AE76</f>
        <v>397.74</v>
      </c>
      <c r="BJ18" s="60">
        <f>AF76</f>
        <v>388.94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21.2</v>
      </c>
      <c r="C19" s="46">
        <v>21.2</v>
      </c>
      <c r="D19" s="46">
        <v>21.2</v>
      </c>
      <c r="E19" s="46">
        <v>30</v>
      </c>
      <c r="F19" s="46">
        <v>30</v>
      </c>
      <c r="G19" s="46">
        <v>30</v>
      </c>
      <c r="H19" s="46">
        <v>30</v>
      </c>
      <c r="I19" s="46">
        <v>25.5</v>
      </c>
      <c r="J19" s="46">
        <v>25.99</v>
      </c>
      <c r="K19" s="46">
        <v>25.99</v>
      </c>
      <c r="L19" s="46">
        <v>25.99</v>
      </c>
      <c r="M19" s="46">
        <v>26</v>
      </c>
      <c r="N19" s="46">
        <v>22.9</v>
      </c>
      <c r="O19" s="46">
        <v>22.9</v>
      </c>
      <c r="P19" s="46">
        <v>22.9</v>
      </c>
      <c r="Q19" s="46">
        <v>22.9</v>
      </c>
      <c r="R19" s="46">
        <v>22.9</v>
      </c>
      <c r="S19" s="46">
        <v>22.9</v>
      </c>
      <c r="T19" s="46">
        <v>22.9</v>
      </c>
      <c r="U19" s="46">
        <v>22.9</v>
      </c>
      <c r="V19" s="46">
        <v>21.1</v>
      </c>
      <c r="W19" s="46">
        <v>21.1</v>
      </c>
      <c r="X19" s="46">
        <v>21.1</v>
      </c>
      <c r="Y19" s="46">
        <v>21.1</v>
      </c>
      <c r="Z19" s="46">
        <v>21.1</v>
      </c>
      <c r="AA19" s="46">
        <v>21.1</v>
      </c>
      <c r="AB19" s="46">
        <v>21.1</v>
      </c>
      <c r="AC19" s="46">
        <v>21.1</v>
      </c>
      <c r="AD19" s="46">
        <v>21.1</v>
      </c>
      <c r="AE19" s="46">
        <v>21.1</v>
      </c>
      <c r="AF19" s="46">
        <v>21.1</v>
      </c>
      <c r="AG19" s="50">
        <v>38.46</v>
      </c>
      <c r="AH19" s="48">
        <f t="shared" si="8"/>
        <v>30</v>
      </c>
      <c r="AI19" s="49">
        <f t="shared" si="9"/>
        <v>21.1</v>
      </c>
      <c r="AK19" s="51"/>
      <c r="AL19" s="54" t="s">
        <v>31</v>
      </c>
      <c r="AM19" s="59">
        <f t="shared" ref="AM19:AR19" si="12">B92</f>
        <v>264</v>
      </c>
      <c r="AN19" s="59">
        <f t="shared" si="12"/>
        <v>257.2</v>
      </c>
      <c r="AO19" s="59">
        <f t="shared" si="12"/>
        <v>270.89999999999998</v>
      </c>
      <c r="AP19" s="59">
        <f t="shared" si="12"/>
        <v>261.60000000000002</v>
      </c>
      <c r="AQ19" s="59">
        <f t="shared" si="12"/>
        <v>271.13</v>
      </c>
      <c r="AR19" s="59">
        <f t="shared" si="12"/>
        <v>252.3</v>
      </c>
      <c r="AS19" s="59">
        <f>I92</f>
        <v>151</v>
      </c>
      <c r="AT19" s="59">
        <f>K92</f>
        <v>556</v>
      </c>
      <c r="AU19" s="59">
        <f t="shared" ref="AU19:BD19" si="13">M92</f>
        <v>710.50000000000011</v>
      </c>
      <c r="AV19" s="59">
        <f t="shared" si="13"/>
        <v>756.4</v>
      </c>
      <c r="AW19" s="59">
        <f t="shared" si="13"/>
        <v>707.7</v>
      </c>
      <c r="AX19" s="59">
        <f t="shared" si="13"/>
        <v>729.99999999999989</v>
      </c>
      <c r="AY19" s="59">
        <f t="shared" si="13"/>
        <v>782.99999999999989</v>
      </c>
      <c r="AZ19" s="59">
        <f t="shared" si="13"/>
        <v>797.3</v>
      </c>
      <c r="BA19" s="59">
        <f t="shared" si="13"/>
        <v>771.40000000000009</v>
      </c>
      <c r="BB19" s="59">
        <f t="shared" si="13"/>
        <v>805.40000000000009</v>
      </c>
      <c r="BC19" s="59">
        <f t="shared" si="13"/>
        <v>796.5</v>
      </c>
      <c r="BD19" s="59">
        <f t="shared" si="13"/>
        <v>722</v>
      </c>
      <c r="BE19" s="60">
        <f>X92</f>
        <v>453.99999999999994</v>
      </c>
      <c r="BF19" s="60">
        <f>Z92</f>
        <v>123.3</v>
      </c>
      <c r="BG19" s="60">
        <f>AB92</f>
        <v>84.4</v>
      </c>
      <c r="BH19" s="60">
        <f>AD92</f>
        <v>88.6</v>
      </c>
      <c r="BI19" s="60">
        <f>AE92</f>
        <v>62.3</v>
      </c>
      <c r="BJ19" s="60">
        <f>AF92</f>
        <v>57.4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15</v>
      </c>
      <c r="C20" s="46">
        <v>15</v>
      </c>
      <c r="D20" s="46">
        <v>15</v>
      </c>
      <c r="E20" s="46">
        <v>22.5</v>
      </c>
      <c r="F20" s="46">
        <v>22.5</v>
      </c>
      <c r="G20" s="46">
        <v>22.5</v>
      </c>
      <c r="H20" s="46">
        <v>22.5</v>
      </c>
      <c r="I20" s="46">
        <v>20</v>
      </c>
      <c r="J20" s="46">
        <v>20</v>
      </c>
      <c r="K20" s="46">
        <v>20</v>
      </c>
      <c r="L20" s="46">
        <v>20</v>
      </c>
      <c r="M20" s="46">
        <v>20</v>
      </c>
      <c r="N20" s="46">
        <v>20</v>
      </c>
      <c r="O20" s="46">
        <v>20</v>
      </c>
      <c r="P20" s="46">
        <v>20</v>
      </c>
      <c r="Q20" s="46">
        <v>20</v>
      </c>
      <c r="R20" s="46">
        <v>20</v>
      </c>
      <c r="S20" s="46">
        <v>20</v>
      </c>
      <c r="T20" s="46">
        <v>20</v>
      </c>
      <c r="U20" s="46">
        <v>20</v>
      </c>
      <c r="V20" s="46">
        <v>20</v>
      </c>
      <c r="W20" s="46">
        <v>20</v>
      </c>
      <c r="X20" s="46">
        <v>20</v>
      </c>
      <c r="Y20" s="46">
        <v>20</v>
      </c>
      <c r="Z20" s="46">
        <v>20</v>
      </c>
      <c r="AA20" s="46">
        <v>20</v>
      </c>
      <c r="AB20" s="46">
        <v>20</v>
      </c>
      <c r="AC20" s="46">
        <v>20</v>
      </c>
      <c r="AD20" s="46">
        <v>20</v>
      </c>
      <c r="AE20" s="46">
        <v>20</v>
      </c>
      <c r="AF20" s="46">
        <v>20</v>
      </c>
      <c r="AG20" s="50">
        <v>38.46</v>
      </c>
      <c r="AH20" s="48">
        <f t="shared" si="8"/>
        <v>22.5</v>
      </c>
      <c r="AI20" s="49">
        <f t="shared" si="9"/>
        <v>15</v>
      </c>
      <c r="AK20" s="51"/>
      <c r="AL20" s="54" t="s">
        <v>33</v>
      </c>
      <c r="AM20" s="59">
        <f t="shared" ref="AM20:AR20" si="14">B80</f>
        <v>98</v>
      </c>
      <c r="AN20" s="59">
        <f t="shared" si="14"/>
        <v>98</v>
      </c>
      <c r="AO20" s="59">
        <f t="shared" si="14"/>
        <v>98</v>
      </c>
      <c r="AP20" s="59">
        <f t="shared" si="14"/>
        <v>98</v>
      </c>
      <c r="AQ20" s="59">
        <f t="shared" si="14"/>
        <v>98</v>
      </c>
      <c r="AR20" s="59">
        <f t="shared" si="14"/>
        <v>98</v>
      </c>
      <c r="AS20" s="59">
        <f>I80</f>
        <v>96.300000000000011</v>
      </c>
      <c r="AT20" s="59">
        <f>K80</f>
        <v>40</v>
      </c>
      <c r="AU20" s="59">
        <f t="shared" ref="AU20:BD20" si="15">M80</f>
        <v>51.300000000000004</v>
      </c>
      <c r="AV20" s="59">
        <f t="shared" si="15"/>
        <v>51.300000000000004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22.300000000000004</v>
      </c>
      <c r="BG20" s="60">
        <f>AB80</f>
        <v>48.8</v>
      </c>
      <c r="BH20" s="60">
        <f>AD80</f>
        <v>81.8</v>
      </c>
      <c r="BI20" s="60">
        <f>AE80</f>
        <v>81.8</v>
      </c>
      <c r="BJ20" s="60">
        <f>AF80</f>
        <v>81.8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250</v>
      </c>
      <c r="AO21" s="59">
        <f t="shared" si="16"/>
        <v>250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150</v>
      </c>
      <c r="BG21" s="60">
        <f>AB98</f>
        <v>210</v>
      </c>
      <c r="BH21" s="60">
        <f>AD98</f>
        <v>210</v>
      </c>
      <c r="BI21" s="60">
        <f>AE98</f>
        <v>210</v>
      </c>
      <c r="BJ21" s="60">
        <f>AF98</f>
        <v>210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11.2</v>
      </c>
      <c r="C22" s="46">
        <v>11.2</v>
      </c>
      <c r="D22" s="46">
        <v>11.2</v>
      </c>
      <c r="E22" s="46">
        <v>10.3</v>
      </c>
      <c r="F22" s="46">
        <v>10.3</v>
      </c>
      <c r="G22" s="46">
        <v>10.3</v>
      </c>
      <c r="H22" s="46">
        <v>10.3</v>
      </c>
      <c r="I22" s="46">
        <v>10.3</v>
      </c>
      <c r="J22" s="46">
        <v>10.3</v>
      </c>
      <c r="K22" s="46">
        <v>10.3</v>
      </c>
      <c r="L22" s="46">
        <v>10.3</v>
      </c>
      <c r="M22" s="46">
        <v>10.3</v>
      </c>
      <c r="N22" s="46">
        <v>9.3000000000000007</v>
      </c>
      <c r="O22" s="46">
        <v>9.3000000000000007</v>
      </c>
      <c r="P22" s="46">
        <v>9.3000000000000007</v>
      </c>
      <c r="Q22" s="46">
        <v>9.3000000000000007</v>
      </c>
      <c r="R22" s="46">
        <v>9.3000000000000007</v>
      </c>
      <c r="S22" s="46">
        <v>9.3000000000000007</v>
      </c>
      <c r="T22" s="46">
        <v>9.3000000000000007</v>
      </c>
      <c r="U22" s="46">
        <v>9.3000000000000007</v>
      </c>
      <c r="V22" s="46">
        <v>9.3000000000000007</v>
      </c>
      <c r="W22" s="46">
        <v>9.3000000000000007</v>
      </c>
      <c r="X22" s="46">
        <v>9.3000000000000007</v>
      </c>
      <c r="Y22" s="46">
        <v>9.3000000000000007</v>
      </c>
      <c r="Z22" s="46">
        <v>9.3000000000000007</v>
      </c>
      <c r="AA22" s="46">
        <v>9.3000000000000007</v>
      </c>
      <c r="AB22" s="46">
        <v>9.3000000000000007</v>
      </c>
      <c r="AC22" s="46">
        <v>9.3000000000000007</v>
      </c>
      <c r="AD22" s="46">
        <v>9.3000000000000007</v>
      </c>
      <c r="AE22" s="46">
        <v>9.3000000000000007</v>
      </c>
      <c r="AF22" s="46">
        <v>9.3000000000000007</v>
      </c>
      <c r="AG22" s="61">
        <v>30</v>
      </c>
      <c r="AH22" s="48">
        <f t="shared" si="8"/>
        <v>11.2</v>
      </c>
      <c r="AI22" s="49">
        <f t="shared" si="9"/>
        <v>9.3000000000000007</v>
      </c>
      <c r="AK22" s="51"/>
      <c r="AL22" s="62" t="s">
        <v>37</v>
      </c>
      <c r="AM22" s="63">
        <f t="shared" ref="AM22:BJ22" si="18">SUM(AM16:AM21)</f>
        <v>1639.8400000000001</v>
      </c>
      <c r="AN22" s="63">
        <f t="shared" si="18"/>
        <v>1634.0400000000002</v>
      </c>
      <c r="AO22" s="63">
        <f t="shared" si="18"/>
        <v>1625.14</v>
      </c>
      <c r="AP22" s="63">
        <f t="shared" si="18"/>
        <v>1289.94</v>
      </c>
      <c r="AQ22" s="63">
        <f t="shared" si="18"/>
        <v>1302.27</v>
      </c>
      <c r="AR22" s="63">
        <f t="shared" si="18"/>
        <v>1282.1400000000001</v>
      </c>
      <c r="AS22" s="63">
        <f t="shared" si="18"/>
        <v>1163.24</v>
      </c>
      <c r="AT22" s="63">
        <f t="shared" si="18"/>
        <v>1514.03</v>
      </c>
      <c r="AU22" s="63">
        <f t="shared" si="18"/>
        <v>1603.1690000000001</v>
      </c>
      <c r="AV22" s="63">
        <f t="shared" si="18"/>
        <v>1653.8689999999999</v>
      </c>
      <c r="AW22" s="63">
        <f t="shared" si="18"/>
        <v>1562.9690000000001</v>
      </c>
      <c r="AX22" s="63">
        <f t="shared" si="18"/>
        <v>1559.37</v>
      </c>
      <c r="AY22" s="63">
        <f t="shared" si="18"/>
        <v>1586.77</v>
      </c>
      <c r="AZ22" s="63">
        <f t="shared" si="18"/>
        <v>1618.0700000000002</v>
      </c>
      <c r="BA22" s="63">
        <f t="shared" si="18"/>
        <v>1597.3700000000003</v>
      </c>
      <c r="BB22" s="63">
        <f t="shared" si="18"/>
        <v>1626.77</v>
      </c>
      <c r="BC22" s="63">
        <f t="shared" si="18"/>
        <v>1618.27</v>
      </c>
      <c r="BD22" s="63">
        <f t="shared" si="18"/>
        <v>1571.17</v>
      </c>
      <c r="BE22" s="63">
        <f t="shared" si="18"/>
        <v>1489.2700000000002</v>
      </c>
      <c r="BF22" s="63">
        <f t="shared" si="18"/>
        <v>1594.53</v>
      </c>
      <c r="BG22" s="63">
        <f t="shared" si="18"/>
        <v>1712.97</v>
      </c>
      <c r="BH22" s="63">
        <f t="shared" si="18"/>
        <v>1726.47</v>
      </c>
      <c r="BI22" s="63">
        <f t="shared" si="18"/>
        <v>1605.07</v>
      </c>
      <c r="BJ22" s="63">
        <f t="shared" si="18"/>
        <v>1551.27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8.6</v>
      </c>
      <c r="C23" s="46">
        <v>8.6</v>
      </c>
      <c r="D23" s="46">
        <v>8.6</v>
      </c>
      <c r="E23" s="46">
        <v>8.6</v>
      </c>
      <c r="F23" s="46">
        <v>8.6</v>
      </c>
      <c r="G23" s="46">
        <v>8.6</v>
      </c>
      <c r="H23" s="46">
        <v>8.6</v>
      </c>
      <c r="I23" s="46">
        <v>8.6</v>
      </c>
      <c r="J23" s="46">
        <v>8.6</v>
      </c>
      <c r="K23" s="46">
        <v>8.6</v>
      </c>
      <c r="L23" s="46">
        <v>8.6</v>
      </c>
      <c r="M23" s="46">
        <v>8.6</v>
      </c>
      <c r="N23" s="46">
        <v>8.6</v>
      </c>
      <c r="O23" s="46">
        <v>8.6</v>
      </c>
      <c r="P23" s="46">
        <v>8.6</v>
      </c>
      <c r="Q23" s="46">
        <v>8.6</v>
      </c>
      <c r="R23" s="46">
        <v>8.6</v>
      </c>
      <c r="S23" s="46">
        <v>8.6</v>
      </c>
      <c r="T23" s="46">
        <v>8.6</v>
      </c>
      <c r="U23" s="46">
        <v>8.6</v>
      </c>
      <c r="V23" s="46">
        <v>8.6</v>
      </c>
      <c r="W23" s="46">
        <v>8.6</v>
      </c>
      <c r="X23" s="46">
        <v>8.6</v>
      </c>
      <c r="Y23" s="46">
        <v>8.6</v>
      </c>
      <c r="Z23" s="46">
        <v>8.6</v>
      </c>
      <c r="AA23" s="46">
        <v>8.6</v>
      </c>
      <c r="AB23" s="46">
        <v>8.6</v>
      </c>
      <c r="AC23" s="46">
        <v>8.6</v>
      </c>
      <c r="AD23" s="46">
        <v>8.6</v>
      </c>
      <c r="AE23" s="46">
        <v>8.6</v>
      </c>
      <c r="AF23" s="46">
        <v>8.6</v>
      </c>
      <c r="AG23" s="50">
        <v>24.2</v>
      </c>
      <c r="AH23" s="48">
        <f t="shared" si="8"/>
        <v>8.6</v>
      </c>
      <c r="AI23" s="49">
        <f t="shared" si="9"/>
        <v>8.6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</v>
      </c>
      <c r="C24" s="46">
        <v>6</v>
      </c>
      <c r="D24" s="46">
        <v>6</v>
      </c>
      <c r="E24" s="46">
        <v>6.5</v>
      </c>
      <c r="F24" s="46">
        <v>6.5</v>
      </c>
      <c r="G24" s="46">
        <v>6.5</v>
      </c>
      <c r="H24" s="46">
        <v>6.5</v>
      </c>
      <c r="I24" s="46">
        <v>6.5</v>
      </c>
      <c r="J24" s="46">
        <v>6.5</v>
      </c>
      <c r="K24" s="46">
        <v>6.5</v>
      </c>
      <c r="L24" s="46">
        <v>6.5</v>
      </c>
      <c r="M24" s="46">
        <v>6.5</v>
      </c>
      <c r="N24" s="46">
        <v>6.4</v>
      </c>
      <c r="O24" s="46">
        <v>6.4</v>
      </c>
      <c r="P24" s="46">
        <v>6.4</v>
      </c>
      <c r="Q24" s="46">
        <v>6.4</v>
      </c>
      <c r="R24" s="46">
        <v>6.4</v>
      </c>
      <c r="S24" s="46">
        <v>6.4</v>
      </c>
      <c r="T24" s="46">
        <v>6.4</v>
      </c>
      <c r="U24" s="46">
        <v>6.4</v>
      </c>
      <c r="V24" s="46">
        <v>6.4</v>
      </c>
      <c r="W24" s="46">
        <v>6.4</v>
      </c>
      <c r="X24" s="46">
        <v>6.4</v>
      </c>
      <c r="Y24" s="46">
        <v>6.4</v>
      </c>
      <c r="Z24" s="46">
        <v>6.4</v>
      </c>
      <c r="AA24" s="46">
        <v>6.4</v>
      </c>
      <c r="AB24" s="46">
        <v>6.4</v>
      </c>
      <c r="AC24" s="46">
        <v>6.4</v>
      </c>
      <c r="AD24" s="46">
        <v>6.4</v>
      </c>
      <c r="AE24" s="46">
        <v>6.4</v>
      </c>
      <c r="AF24" s="46">
        <v>6.4</v>
      </c>
      <c r="AG24" s="50">
        <v>28</v>
      </c>
      <c r="AH24" s="48">
        <f t="shared" si="8"/>
        <v>6.5</v>
      </c>
      <c r="AI24" s="49">
        <f t="shared" si="9"/>
        <v>6</v>
      </c>
      <c r="AK24" s="51"/>
      <c r="AL24" s="62" t="s">
        <v>41</v>
      </c>
      <c r="AM24" s="63">
        <f t="shared" ref="AM24:BJ24" si="21">AM22+AM23</f>
        <v>1639.8400000000001</v>
      </c>
      <c r="AN24" s="63">
        <f t="shared" si="21"/>
        <v>1634.0400000000002</v>
      </c>
      <c r="AO24" s="63">
        <f t="shared" si="21"/>
        <v>1625.14</v>
      </c>
      <c r="AP24" s="63">
        <f t="shared" si="21"/>
        <v>1289.94</v>
      </c>
      <c r="AQ24" s="63">
        <f t="shared" si="21"/>
        <v>1302.27</v>
      </c>
      <c r="AR24" s="63">
        <f t="shared" si="21"/>
        <v>1282.1400000000001</v>
      </c>
      <c r="AS24" s="63">
        <f t="shared" si="21"/>
        <v>1163.24</v>
      </c>
      <c r="AT24" s="63">
        <f t="shared" si="21"/>
        <v>1514.03</v>
      </c>
      <c r="AU24" s="63">
        <f t="shared" si="21"/>
        <v>1603.1690000000001</v>
      </c>
      <c r="AV24" s="63">
        <f t="shared" si="21"/>
        <v>1653.8689999999999</v>
      </c>
      <c r="AW24" s="63">
        <f t="shared" si="21"/>
        <v>1562.9690000000001</v>
      </c>
      <c r="AX24" s="63">
        <f t="shared" si="21"/>
        <v>1559.37</v>
      </c>
      <c r="AY24" s="63">
        <f t="shared" si="21"/>
        <v>1586.77</v>
      </c>
      <c r="AZ24" s="63">
        <f t="shared" si="21"/>
        <v>1618.0700000000002</v>
      </c>
      <c r="BA24" s="63">
        <f t="shared" si="21"/>
        <v>1597.3700000000003</v>
      </c>
      <c r="BB24" s="63">
        <f t="shared" si="21"/>
        <v>1626.77</v>
      </c>
      <c r="BC24" s="63">
        <f t="shared" si="21"/>
        <v>1618.27</v>
      </c>
      <c r="BD24" s="63">
        <f t="shared" si="21"/>
        <v>1571.17</v>
      </c>
      <c r="BE24" s="63">
        <f t="shared" si="21"/>
        <v>1489.2700000000002</v>
      </c>
      <c r="BF24" s="63">
        <f t="shared" si="21"/>
        <v>1594.53</v>
      </c>
      <c r="BG24" s="63">
        <f t="shared" si="21"/>
        <v>1712.97</v>
      </c>
      <c r="BH24" s="63">
        <f t="shared" si="21"/>
        <v>1726.47</v>
      </c>
      <c r="BI24" s="63">
        <f t="shared" si="21"/>
        <v>1605.07</v>
      </c>
      <c r="BJ24" s="63">
        <f t="shared" si="21"/>
        <v>1551.27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</v>
      </c>
      <c r="C25" s="46">
        <v>9</v>
      </c>
      <c r="D25" s="46">
        <v>9</v>
      </c>
      <c r="E25" s="46">
        <v>9</v>
      </c>
      <c r="F25" s="46">
        <v>9</v>
      </c>
      <c r="G25" s="46">
        <v>9</v>
      </c>
      <c r="H25" s="46">
        <v>9</v>
      </c>
      <c r="I25" s="46">
        <v>9</v>
      </c>
      <c r="J25" s="46">
        <v>9</v>
      </c>
      <c r="K25" s="46">
        <v>9</v>
      </c>
      <c r="L25" s="46">
        <v>9</v>
      </c>
      <c r="M25" s="46">
        <v>9</v>
      </c>
      <c r="N25" s="46">
        <v>8.1999999999999993</v>
      </c>
      <c r="O25" s="46">
        <v>8.1999999999999993</v>
      </c>
      <c r="P25" s="46">
        <v>8.1999999999999993</v>
      </c>
      <c r="Q25" s="46">
        <v>8.1999999999999993</v>
      </c>
      <c r="R25" s="46">
        <v>8.1999999999999993</v>
      </c>
      <c r="S25" s="46">
        <v>8.1999999999999993</v>
      </c>
      <c r="T25" s="46">
        <v>8.1999999999999993</v>
      </c>
      <c r="U25" s="46">
        <v>8.1999999999999993</v>
      </c>
      <c r="V25" s="46">
        <v>8.1999999999999993</v>
      </c>
      <c r="W25" s="46">
        <v>8.1999999999999993</v>
      </c>
      <c r="X25" s="46">
        <v>8.1999999999999993</v>
      </c>
      <c r="Y25" s="46">
        <v>8.1999999999999993</v>
      </c>
      <c r="Z25" s="46">
        <v>8.1999999999999993</v>
      </c>
      <c r="AA25" s="46">
        <v>8.1999999999999993</v>
      </c>
      <c r="AB25" s="46">
        <v>8.1999999999999993</v>
      </c>
      <c r="AC25" s="46">
        <v>8.1999999999999993</v>
      </c>
      <c r="AD25" s="46">
        <v>8.1999999999999993</v>
      </c>
      <c r="AE25" s="46">
        <v>8.1999999999999993</v>
      </c>
      <c r="AF25" s="46">
        <v>8.1999999999999993</v>
      </c>
      <c r="AG25" s="61">
        <v>30</v>
      </c>
      <c r="AH25" s="48">
        <f t="shared" si="8"/>
        <v>9</v>
      </c>
      <c r="AI25" s="49">
        <f t="shared" si="9"/>
        <v>8.1999999999999993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10.6</v>
      </c>
      <c r="J26" s="46">
        <v>11.3</v>
      </c>
      <c r="K26" s="46">
        <v>11.3</v>
      </c>
      <c r="L26" s="46">
        <v>11.3</v>
      </c>
      <c r="M26" s="46">
        <v>11.3</v>
      </c>
      <c r="N26" s="46">
        <v>12.2</v>
      </c>
      <c r="O26" s="46">
        <v>12.2</v>
      </c>
      <c r="P26" s="46">
        <v>12.2</v>
      </c>
      <c r="Q26" s="46">
        <v>12.2</v>
      </c>
      <c r="R26" s="46">
        <v>12.2</v>
      </c>
      <c r="S26" s="46">
        <v>12.2</v>
      </c>
      <c r="T26" s="46">
        <v>12.2</v>
      </c>
      <c r="U26" s="46">
        <v>12.2</v>
      </c>
      <c r="V26" s="46">
        <v>12.2</v>
      </c>
      <c r="W26" s="46">
        <v>12.2</v>
      </c>
      <c r="X26" s="46">
        <v>12.2</v>
      </c>
      <c r="Y26" s="46">
        <v>12.2</v>
      </c>
      <c r="Z26" s="46">
        <v>12.2</v>
      </c>
      <c r="AA26" s="46">
        <v>12.2</v>
      </c>
      <c r="AB26" s="46">
        <v>12.2</v>
      </c>
      <c r="AC26" s="46">
        <v>12.2</v>
      </c>
      <c r="AD26" s="46">
        <v>12.2</v>
      </c>
      <c r="AE26" s="46">
        <v>12.2</v>
      </c>
      <c r="AF26" s="46">
        <v>12.2</v>
      </c>
      <c r="AG26" s="50">
        <v>25</v>
      </c>
      <c r="AH26" s="48">
        <f t="shared" si="8"/>
        <v>13</v>
      </c>
      <c r="AI26" s="49">
        <f t="shared" si="9"/>
        <v>10.6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9.1999999999999993</v>
      </c>
      <c r="C29" s="46">
        <v>9.1999999999999993</v>
      </c>
      <c r="D29" s="46">
        <v>9.1999999999999993</v>
      </c>
      <c r="E29" s="46">
        <v>9.1999999999999993</v>
      </c>
      <c r="F29" s="46">
        <v>9.1999999999999993</v>
      </c>
      <c r="G29" s="46">
        <v>9.1999999999999993</v>
      </c>
      <c r="H29" s="46">
        <v>9.1999999999999993</v>
      </c>
      <c r="I29" s="46">
        <v>11.2</v>
      </c>
      <c r="J29" s="46">
        <v>11.5</v>
      </c>
      <c r="K29" s="46">
        <v>11.5</v>
      </c>
      <c r="L29" s="46">
        <v>11.5</v>
      </c>
      <c r="M29" s="46">
        <v>11.5</v>
      </c>
      <c r="N29" s="46">
        <v>10.9</v>
      </c>
      <c r="O29" s="46">
        <v>10.9</v>
      </c>
      <c r="P29" s="46">
        <v>10.9</v>
      </c>
      <c r="Q29" s="46">
        <v>10.9</v>
      </c>
      <c r="R29" s="46">
        <v>10.9</v>
      </c>
      <c r="S29" s="46">
        <v>10.9</v>
      </c>
      <c r="T29" s="46">
        <v>10.9</v>
      </c>
      <c r="U29" s="46">
        <v>10.9</v>
      </c>
      <c r="V29" s="46">
        <v>10.9</v>
      </c>
      <c r="W29" s="46">
        <v>10.9</v>
      </c>
      <c r="X29" s="46">
        <v>10.9</v>
      </c>
      <c r="Y29" s="46">
        <v>10.9</v>
      </c>
      <c r="Z29" s="46">
        <v>10.9</v>
      </c>
      <c r="AA29" s="46">
        <v>10.9</v>
      </c>
      <c r="AB29" s="46">
        <v>10.9</v>
      </c>
      <c r="AC29" s="46">
        <v>10.9</v>
      </c>
      <c r="AD29" s="46">
        <v>10.9</v>
      </c>
      <c r="AE29" s="46">
        <v>10.9</v>
      </c>
      <c r="AF29" s="46">
        <v>10.9</v>
      </c>
      <c r="AG29" s="50">
        <v>25</v>
      </c>
      <c r="AH29" s="48">
        <f t="shared" si="8"/>
        <v>11.5</v>
      </c>
      <c r="AI29" s="49">
        <f t="shared" si="9"/>
        <v>9.1999999999999993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1.4</v>
      </c>
      <c r="K30" s="46">
        <v>1.4</v>
      </c>
      <c r="L30" s="46">
        <v>1.4</v>
      </c>
      <c r="M30" s="46">
        <v>1.4</v>
      </c>
      <c r="N30" s="46">
        <v>5.0999999999999996</v>
      </c>
      <c r="O30" s="46">
        <v>5.0999999999999996</v>
      </c>
      <c r="P30" s="46">
        <v>5.0999999999999996</v>
      </c>
      <c r="Q30" s="46">
        <v>5.0999999999999996</v>
      </c>
      <c r="R30" s="46">
        <v>5.0999999999999996</v>
      </c>
      <c r="S30" s="46">
        <v>5.0999999999999996</v>
      </c>
      <c r="T30" s="46">
        <v>5.0999999999999996</v>
      </c>
      <c r="U30" s="46">
        <v>5.0999999999999996</v>
      </c>
      <c r="V30" s="46">
        <v>5.0999999999999996</v>
      </c>
      <c r="W30" s="46">
        <v>5.0999999999999996</v>
      </c>
      <c r="X30" s="46">
        <v>5.0999999999999996</v>
      </c>
      <c r="Y30" s="46">
        <v>5.0999999999999996</v>
      </c>
      <c r="Z30" s="46">
        <v>5.0999999999999996</v>
      </c>
      <c r="AA30" s="46">
        <v>5.0999999999999996</v>
      </c>
      <c r="AB30" s="46">
        <v>5.0999999999999996</v>
      </c>
      <c r="AC30" s="46">
        <v>5.0999999999999996</v>
      </c>
      <c r="AD30" s="46">
        <v>5.0999999999999996</v>
      </c>
      <c r="AE30" s="46">
        <v>5.0999999999999996</v>
      </c>
      <c r="AF30" s="46">
        <v>5.0999999999999996</v>
      </c>
      <c r="AG30" s="50">
        <v>23.5</v>
      </c>
      <c r="AH30" s="48">
        <f t="shared" si="8"/>
        <v>5.0999999999999996</v>
      </c>
      <c r="AI30" s="49">
        <f t="shared" si="9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6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6</v>
      </c>
      <c r="T33" s="46">
        <v>6</v>
      </c>
      <c r="U33" s="46">
        <v>6</v>
      </c>
      <c r="V33" s="46">
        <v>6</v>
      </c>
      <c r="W33" s="46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0">
        <v>22</v>
      </c>
      <c r="AH33" s="48">
        <f t="shared" si="8"/>
        <v>6</v>
      </c>
      <c r="AI33" s="49">
        <f t="shared" si="9"/>
        <v>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7</v>
      </c>
      <c r="C34" s="46">
        <v>7</v>
      </c>
      <c r="D34" s="46">
        <v>7</v>
      </c>
      <c r="E34" s="46">
        <v>7</v>
      </c>
      <c r="F34" s="46">
        <v>7</v>
      </c>
      <c r="G34" s="46">
        <v>7</v>
      </c>
      <c r="H34" s="46">
        <v>7</v>
      </c>
      <c r="I34" s="46">
        <v>7</v>
      </c>
      <c r="J34" s="46">
        <v>7.6</v>
      </c>
      <c r="K34" s="46">
        <v>7.6</v>
      </c>
      <c r="L34" s="46">
        <v>7.6</v>
      </c>
      <c r="M34" s="46">
        <v>7.6</v>
      </c>
      <c r="N34" s="46">
        <v>6.1</v>
      </c>
      <c r="O34" s="46">
        <v>6.1</v>
      </c>
      <c r="P34" s="46">
        <v>6.1</v>
      </c>
      <c r="Q34" s="46">
        <v>6.1</v>
      </c>
      <c r="R34" s="46">
        <v>6.1</v>
      </c>
      <c r="S34" s="46">
        <v>6.1</v>
      </c>
      <c r="T34" s="46">
        <v>6.1</v>
      </c>
      <c r="U34" s="46">
        <v>6.1</v>
      </c>
      <c r="V34" s="46">
        <v>6.1</v>
      </c>
      <c r="W34" s="46">
        <v>6.1</v>
      </c>
      <c r="X34" s="46">
        <v>6.1</v>
      </c>
      <c r="Y34" s="46">
        <v>6.1</v>
      </c>
      <c r="Z34" s="46">
        <v>6.1</v>
      </c>
      <c r="AA34" s="46">
        <v>6.1</v>
      </c>
      <c r="AB34" s="46">
        <v>6.1</v>
      </c>
      <c r="AC34" s="46">
        <v>6.1</v>
      </c>
      <c r="AD34" s="46">
        <v>6.1</v>
      </c>
      <c r="AE34" s="46">
        <v>6.1</v>
      </c>
      <c r="AF34" s="46">
        <v>6.1</v>
      </c>
      <c r="AG34" s="50">
        <v>22</v>
      </c>
      <c r="AH34" s="48">
        <f t="shared" si="8"/>
        <v>7.6</v>
      </c>
      <c r="AI34" s="49">
        <f t="shared" si="9"/>
        <v>6.1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8.9</v>
      </c>
      <c r="C35" s="46">
        <v>8.9</v>
      </c>
      <c r="D35" s="46">
        <v>8.9</v>
      </c>
      <c r="E35" s="46">
        <v>8.9</v>
      </c>
      <c r="F35" s="46">
        <v>8.9</v>
      </c>
      <c r="G35" s="46">
        <v>8.9</v>
      </c>
      <c r="H35" s="46">
        <v>8.9</v>
      </c>
      <c r="I35" s="46">
        <v>8.9</v>
      </c>
      <c r="J35" s="46">
        <v>8.9</v>
      </c>
      <c r="K35" s="46">
        <v>8.9</v>
      </c>
      <c r="L35" s="46">
        <v>8.9</v>
      </c>
      <c r="M35" s="46">
        <v>8.9</v>
      </c>
      <c r="N35" s="46">
        <v>8.9</v>
      </c>
      <c r="O35" s="46">
        <v>8.9</v>
      </c>
      <c r="P35" s="46">
        <v>8.9</v>
      </c>
      <c r="Q35" s="46">
        <v>8.9</v>
      </c>
      <c r="R35" s="46">
        <v>8.9</v>
      </c>
      <c r="S35" s="46">
        <v>8.9</v>
      </c>
      <c r="T35" s="46">
        <v>8.9</v>
      </c>
      <c r="U35" s="46">
        <v>8.9</v>
      </c>
      <c r="V35" s="46">
        <v>8.9</v>
      </c>
      <c r="W35" s="46">
        <v>8.9</v>
      </c>
      <c r="X35" s="46">
        <v>8.9</v>
      </c>
      <c r="Y35" s="46">
        <v>8.9</v>
      </c>
      <c r="Z35" s="46">
        <v>8.9</v>
      </c>
      <c r="AA35" s="46">
        <v>8.9</v>
      </c>
      <c r="AB35" s="46">
        <v>8.9</v>
      </c>
      <c r="AC35" s="46">
        <v>8.9</v>
      </c>
      <c r="AD35" s="46">
        <v>8.9</v>
      </c>
      <c r="AE35" s="46">
        <v>8.9</v>
      </c>
      <c r="AF35" s="46">
        <v>8.9</v>
      </c>
      <c r="AG35" s="50">
        <v>20</v>
      </c>
      <c r="AH35" s="48">
        <f t="shared" si="8"/>
        <v>8.9</v>
      </c>
      <c r="AI35" s="49">
        <f t="shared" si="9"/>
        <v>8.9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7.6</v>
      </c>
      <c r="C37" s="46">
        <v>7.6</v>
      </c>
      <c r="D37" s="46">
        <v>7.6</v>
      </c>
      <c r="E37" s="46">
        <v>7.6</v>
      </c>
      <c r="F37" s="46">
        <v>7.6</v>
      </c>
      <c r="G37" s="46">
        <v>7.6</v>
      </c>
      <c r="H37" s="46">
        <v>7.6</v>
      </c>
      <c r="I37" s="46">
        <v>7.6</v>
      </c>
      <c r="J37" s="46">
        <v>7.6</v>
      </c>
      <c r="K37" s="46">
        <v>7.6</v>
      </c>
      <c r="L37" s="46">
        <v>7.6</v>
      </c>
      <c r="M37" s="46">
        <v>7.6</v>
      </c>
      <c r="N37" s="46">
        <v>7.6</v>
      </c>
      <c r="O37" s="46">
        <v>7.6</v>
      </c>
      <c r="P37" s="46">
        <v>7.6</v>
      </c>
      <c r="Q37" s="46">
        <v>7.6</v>
      </c>
      <c r="R37" s="46">
        <v>7.6</v>
      </c>
      <c r="S37" s="46">
        <v>7.6</v>
      </c>
      <c r="T37" s="46">
        <v>7.6</v>
      </c>
      <c r="U37" s="46">
        <v>7.6</v>
      </c>
      <c r="V37" s="46">
        <v>0</v>
      </c>
      <c r="W37" s="46">
        <v>0</v>
      </c>
      <c r="X37" s="46">
        <v>11</v>
      </c>
      <c r="Y37" s="46">
        <v>11.4</v>
      </c>
      <c r="Z37" s="46">
        <v>11.4</v>
      </c>
      <c r="AA37" s="46">
        <v>11.4</v>
      </c>
      <c r="AB37" s="46">
        <v>11.4</v>
      </c>
      <c r="AC37" s="46">
        <v>11.4</v>
      </c>
      <c r="AD37" s="46">
        <v>11.4</v>
      </c>
      <c r="AE37" s="46">
        <v>11.4</v>
      </c>
      <c r="AF37" s="46">
        <v>11.4</v>
      </c>
      <c r="AG37" s="50">
        <v>18</v>
      </c>
      <c r="AH37" s="48">
        <f t="shared" si="8"/>
        <v>11.4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0</v>
      </c>
      <c r="W41" s="46">
        <v>0</v>
      </c>
      <c r="X41" s="46">
        <v>5</v>
      </c>
      <c r="Y41" s="46">
        <v>5</v>
      </c>
      <c r="Z41" s="46">
        <v>5</v>
      </c>
      <c r="AA41" s="46">
        <v>5</v>
      </c>
      <c r="AB41" s="46">
        <v>5</v>
      </c>
      <c r="AC41" s="46">
        <v>5</v>
      </c>
      <c r="AD41" s="46">
        <v>5</v>
      </c>
      <c r="AE41" s="46">
        <v>5</v>
      </c>
      <c r="AF41" s="46">
        <v>5</v>
      </c>
      <c r="AG41" s="50">
        <v>14.9</v>
      </c>
      <c r="AH41" s="48">
        <f t="shared" si="8"/>
        <v>5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0</v>
      </c>
      <c r="W42" s="46">
        <v>0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12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</v>
      </c>
      <c r="C50" s="46">
        <v>1.8</v>
      </c>
      <c r="D50" s="46">
        <v>1.8</v>
      </c>
      <c r="E50" s="46">
        <v>1.8</v>
      </c>
      <c r="F50" s="46">
        <v>1.8</v>
      </c>
      <c r="G50" s="46">
        <v>1.8</v>
      </c>
      <c r="H50" s="46">
        <v>1.8</v>
      </c>
      <c r="I50" s="46">
        <v>1.8</v>
      </c>
      <c r="J50" s="46">
        <v>1.8</v>
      </c>
      <c r="K50" s="46">
        <v>1.8</v>
      </c>
      <c r="L50" s="46">
        <v>1.8</v>
      </c>
      <c r="M50" s="46">
        <v>1.8</v>
      </c>
      <c r="N50" s="46">
        <v>1.8</v>
      </c>
      <c r="O50" s="46">
        <v>1.8</v>
      </c>
      <c r="P50" s="46">
        <v>1.8</v>
      </c>
      <c r="Q50" s="46">
        <v>1.8</v>
      </c>
      <c r="R50" s="46">
        <v>1.8</v>
      </c>
      <c r="S50" s="46">
        <v>1.8</v>
      </c>
      <c r="T50" s="46">
        <v>1.8</v>
      </c>
      <c r="U50" s="46">
        <v>1.8</v>
      </c>
      <c r="V50" s="46">
        <v>1.8</v>
      </c>
      <c r="W50" s="46">
        <v>1.8</v>
      </c>
      <c r="X50" s="46">
        <v>1.8</v>
      </c>
      <c r="Y50" s="46">
        <v>1.8</v>
      </c>
      <c r="Z50" s="46">
        <v>1.8</v>
      </c>
      <c r="AA50" s="46">
        <v>1.8</v>
      </c>
      <c r="AB50" s="46">
        <v>1.8</v>
      </c>
      <c r="AC50" s="46">
        <v>1.8</v>
      </c>
      <c r="AD50" s="46">
        <v>1.8</v>
      </c>
      <c r="AE50" s="46">
        <v>1.8</v>
      </c>
      <c r="AF50" s="46">
        <v>1.8</v>
      </c>
      <c r="AG50" s="66">
        <v>11</v>
      </c>
      <c r="AH50" s="48">
        <f t="shared" si="8"/>
        <v>1.8</v>
      </c>
      <c r="AI50" s="49">
        <f t="shared" si="9"/>
        <v>1.8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60</v>
      </c>
      <c r="C57" s="68">
        <v>60</v>
      </c>
      <c r="D57" s="68">
        <v>60</v>
      </c>
      <c r="E57" s="68">
        <v>60</v>
      </c>
      <c r="F57" s="68">
        <v>62</v>
      </c>
      <c r="G57" s="68">
        <v>59.1</v>
      </c>
      <c r="H57" s="68">
        <v>58.2</v>
      </c>
      <c r="I57" s="68">
        <v>58</v>
      </c>
      <c r="J57" s="68">
        <v>54.1</v>
      </c>
      <c r="K57" s="68">
        <v>54.1</v>
      </c>
      <c r="L57" s="68">
        <v>49.9</v>
      </c>
      <c r="M57" s="68">
        <v>49.3</v>
      </c>
      <c r="N57" s="68">
        <v>48.1</v>
      </c>
      <c r="O57" s="68">
        <v>48</v>
      </c>
      <c r="P57" s="68">
        <f>16.9+32</f>
        <v>48.9</v>
      </c>
      <c r="Q57" s="53">
        <f>15.7+26.8</f>
        <v>42.5</v>
      </c>
      <c r="R57" s="53">
        <f t="shared" ref="R57:AB57" si="22">15.7+28.9</f>
        <v>44.599999999999994</v>
      </c>
      <c r="S57" s="53">
        <f t="shared" si="22"/>
        <v>44.599999999999994</v>
      </c>
      <c r="T57" s="53">
        <f t="shared" si="22"/>
        <v>44.599999999999994</v>
      </c>
      <c r="U57" s="53">
        <f t="shared" si="22"/>
        <v>44.599999999999994</v>
      </c>
      <c r="V57" s="53">
        <f t="shared" si="22"/>
        <v>44.599999999999994</v>
      </c>
      <c r="W57" s="53">
        <f t="shared" si="22"/>
        <v>44.599999999999994</v>
      </c>
      <c r="X57" s="53">
        <f t="shared" si="22"/>
        <v>44.599999999999994</v>
      </c>
      <c r="Y57" s="53">
        <f t="shared" si="22"/>
        <v>44.599999999999994</v>
      </c>
      <c r="Z57" s="53">
        <f t="shared" si="22"/>
        <v>44.599999999999994</v>
      </c>
      <c r="AA57" s="53">
        <f t="shared" si="22"/>
        <v>44.599999999999994</v>
      </c>
      <c r="AB57" s="53">
        <f t="shared" si="22"/>
        <v>44.599999999999994</v>
      </c>
      <c r="AC57" s="53">
        <v>50.5</v>
      </c>
      <c r="AD57" s="53">
        <v>47.9</v>
      </c>
      <c r="AE57" s="53">
        <v>59</v>
      </c>
      <c r="AF57" s="53">
        <v>59</v>
      </c>
      <c r="AG57" s="66">
        <v>240</v>
      </c>
      <c r="AH57" s="48">
        <f t="shared" si="8"/>
        <v>62</v>
      </c>
      <c r="AI57" s="49">
        <f t="shared" si="9"/>
        <v>42.5</v>
      </c>
      <c r="AK57" s="51"/>
    </row>
    <row r="58" spans="1:88" ht="15.75" thickBot="1" x14ac:dyDescent="0.3">
      <c r="A58" s="70" t="s">
        <v>75</v>
      </c>
      <c r="B58" s="71">
        <f t="shared" ref="B58:M58" si="23">SUM(B11:B56)</f>
        <v>561.79999999999995</v>
      </c>
      <c r="C58" s="71">
        <f t="shared" si="23"/>
        <v>561.79999999999995</v>
      </c>
      <c r="D58" s="71">
        <f t="shared" si="23"/>
        <v>562.20000000000005</v>
      </c>
      <c r="E58" s="71">
        <f t="shared" si="23"/>
        <v>549.10000000000014</v>
      </c>
      <c r="F58" s="71">
        <f t="shared" si="23"/>
        <v>549.10000000000014</v>
      </c>
      <c r="G58" s="71">
        <f t="shared" si="23"/>
        <v>550.40000000000009</v>
      </c>
      <c r="H58" s="71">
        <f t="shared" si="23"/>
        <v>546.70000000000005</v>
      </c>
      <c r="I58" s="71">
        <f t="shared" si="23"/>
        <v>533.79999999999995</v>
      </c>
      <c r="J58" s="71">
        <f t="shared" si="23"/>
        <v>533.79000000000008</v>
      </c>
      <c r="K58" s="71">
        <f t="shared" si="23"/>
        <v>537.99</v>
      </c>
      <c r="L58" s="71">
        <f t="shared" si="23"/>
        <v>535.79000000000008</v>
      </c>
      <c r="M58" s="71">
        <f t="shared" si="23"/>
        <v>534.13000000000011</v>
      </c>
      <c r="N58" s="71">
        <f>SUM(N11:N56)</f>
        <v>538.93000000000006</v>
      </c>
      <c r="O58" s="71">
        <f>SUM(O11:O56)</f>
        <v>538.93000000000006</v>
      </c>
      <c r="P58" s="71">
        <f>SUM(P11:P56)</f>
        <v>538.93000000000006</v>
      </c>
      <c r="Q58" s="71">
        <f t="shared" ref="Q58:AF58" si="24">SUM(Q11:Q56)</f>
        <v>538.93000000000006</v>
      </c>
      <c r="R58" s="71">
        <f t="shared" si="24"/>
        <v>537.33000000000004</v>
      </c>
      <c r="S58" s="71">
        <f t="shared" si="24"/>
        <v>537.13000000000011</v>
      </c>
      <c r="T58" s="71">
        <f t="shared" si="24"/>
        <v>536.03000000000009</v>
      </c>
      <c r="U58" s="71">
        <f t="shared" si="24"/>
        <v>536.03000000000009</v>
      </c>
      <c r="V58" s="71">
        <f t="shared" si="24"/>
        <v>504.93000000000006</v>
      </c>
      <c r="W58" s="71">
        <f t="shared" si="24"/>
        <v>504.93000000000006</v>
      </c>
      <c r="X58" s="71">
        <f t="shared" si="24"/>
        <v>550.33000000000004</v>
      </c>
      <c r="Y58" s="71">
        <f t="shared" si="24"/>
        <v>550.73</v>
      </c>
      <c r="Z58" s="71">
        <f t="shared" si="24"/>
        <v>550.73</v>
      </c>
      <c r="AA58" s="71">
        <f t="shared" si="24"/>
        <v>550.73</v>
      </c>
      <c r="AB58" s="71">
        <f t="shared" si="24"/>
        <v>550.73</v>
      </c>
      <c r="AC58" s="71">
        <f t="shared" si="24"/>
        <v>550.73</v>
      </c>
      <c r="AD58" s="71">
        <f t="shared" si="24"/>
        <v>550.73</v>
      </c>
      <c r="AE58" s="71">
        <f t="shared" si="24"/>
        <v>550.73</v>
      </c>
      <c r="AF58" s="71">
        <f t="shared" si="24"/>
        <v>550.73</v>
      </c>
      <c r="AG58" s="72">
        <f>SUM(AG14:AG56)</f>
        <v>1042.4000000000001</v>
      </c>
      <c r="AH58" s="48">
        <f t="shared" si="8"/>
        <v>562.20000000000005</v>
      </c>
      <c r="AI58" s="49">
        <f t="shared" si="9"/>
        <v>504.93000000000006</v>
      </c>
      <c r="AK58" s="51"/>
    </row>
    <row r="59" spans="1:88" x14ac:dyDescent="0.25">
      <c r="A59" s="73" t="s">
        <v>76</v>
      </c>
      <c r="B59" s="46">
        <v>100</v>
      </c>
      <c r="C59" s="46">
        <v>100</v>
      </c>
      <c r="D59" s="46">
        <v>100</v>
      </c>
      <c r="E59" s="46">
        <v>100</v>
      </c>
      <c r="F59" s="46">
        <v>100</v>
      </c>
      <c r="G59" s="46">
        <v>100.4</v>
      </c>
      <c r="H59" s="46">
        <v>100.4</v>
      </c>
      <c r="I59" s="46">
        <v>100.4</v>
      </c>
      <c r="J59" s="46">
        <v>100.4</v>
      </c>
      <c r="K59" s="46">
        <v>52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15</v>
      </c>
      <c r="W59" s="46">
        <v>15</v>
      </c>
      <c r="X59" s="46">
        <v>152.80000000000001</v>
      </c>
      <c r="Y59" s="46">
        <v>305.89999999999998</v>
      </c>
      <c r="Z59" s="46">
        <v>361.8</v>
      </c>
      <c r="AA59" s="46">
        <v>457.9</v>
      </c>
      <c r="AB59" s="46">
        <v>373.7</v>
      </c>
      <c r="AC59" s="46">
        <v>349.9</v>
      </c>
      <c r="AD59" s="46">
        <v>350</v>
      </c>
      <c r="AE59" s="46">
        <v>261.3</v>
      </c>
      <c r="AF59" s="46">
        <v>221.2</v>
      </c>
      <c r="AG59" s="61">
        <v>456</v>
      </c>
      <c r="AH59" s="48">
        <f t="shared" si="8"/>
        <v>457.9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20</v>
      </c>
      <c r="C60" s="76">
        <v>20</v>
      </c>
      <c r="D60" s="76">
        <v>20</v>
      </c>
      <c r="E60" s="76">
        <v>20</v>
      </c>
      <c r="F60" s="76">
        <v>20</v>
      </c>
      <c r="G60" s="76">
        <v>21.8</v>
      </c>
      <c r="H60" s="76">
        <v>21.5</v>
      </c>
      <c r="I60" s="76">
        <v>21.5</v>
      </c>
      <c r="J60" s="76">
        <v>21</v>
      </c>
      <c r="K60" s="76">
        <v>21</v>
      </c>
      <c r="L60" s="76">
        <v>21.4</v>
      </c>
      <c r="M60" s="76">
        <v>19.5</v>
      </c>
      <c r="N60" s="76">
        <v>19.5</v>
      </c>
      <c r="O60" s="76">
        <v>19.5</v>
      </c>
      <c r="P60" s="76">
        <v>21.7</v>
      </c>
      <c r="Q60" s="76">
        <v>21.7</v>
      </c>
      <c r="R60" s="76">
        <v>21.7</v>
      </c>
      <c r="S60" s="76">
        <v>21.2</v>
      </c>
      <c r="T60" s="76">
        <v>20.8</v>
      </c>
      <c r="U60" s="76">
        <v>20.8</v>
      </c>
      <c r="V60" s="76">
        <v>20.3</v>
      </c>
      <c r="W60" s="76">
        <v>20.2</v>
      </c>
      <c r="X60" s="76">
        <v>20.7</v>
      </c>
      <c r="Y60" s="76">
        <v>20.9</v>
      </c>
      <c r="Z60" s="76">
        <v>20.5</v>
      </c>
      <c r="AA60" s="76">
        <v>19.399999999999999</v>
      </c>
      <c r="AB60" s="76">
        <v>19.399999999999999</v>
      </c>
      <c r="AC60" s="76">
        <v>19.399999999999999</v>
      </c>
      <c r="AD60" s="76">
        <v>19.399999999999999</v>
      </c>
      <c r="AE60" s="76">
        <v>19.399999999999999</v>
      </c>
      <c r="AF60" s="76">
        <v>19.399999999999999</v>
      </c>
      <c r="AG60" s="66">
        <v>60</v>
      </c>
      <c r="AH60" s="48">
        <f t="shared" si="8"/>
        <v>21.8</v>
      </c>
      <c r="AI60" s="49">
        <f t="shared" si="9"/>
        <v>19.399999999999999</v>
      </c>
      <c r="AK60" s="51"/>
    </row>
    <row r="61" spans="1:88" ht="15.75" thickBot="1" x14ac:dyDescent="0.3">
      <c r="A61" s="77" t="s">
        <v>78</v>
      </c>
      <c r="B61" s="78">
        <v>22.6</v>
      </c>
      <c r="C61" s="78">
        <v>22.6</v>
      </c>
      <c r="D61" s="78">
        <v>22.6</v>
      </c>
      <c r="E61" s="78">
        <v>21.6</v>
      </c>
      <c r="F61" s="78">
        <v>21.6</v>
      </c>
      <c r="G61" s="78">
        <v>21.6</v>
      </c>
      <c r="H61" s="78">
        <v>21.5</v>
      </c>
      <c r="I61" s="78">
        <v>21.5</v>
      </c>
      <c r="J61" s="78">
        <v>21.5</v>
      </c>
      <c r="K61" s="78">
        <v>21.5</v>
      </c>
      <c r="L61" s="78">
        <v>21.5</v>
      </c>
      <c r="M61" s="78">
        <v>21.5</v>
      </c>
      <c r="N61" s="78">
        <v>21.5</v>
      </c>
      <c r="O61" s="78">
        <v>21.5</v>
      </c>
      <c r="P61" s="78">
        <v>21.5</v>
      </c>
      <c r="Q61" s="78">
        <v>21.5</v>
      </c>
      <c r="R61" s="78">
        <v>21.5</v>
      </c>
      <c r="S61" s="78">
        <v>21.5</v>
      </c>
      <c r="T61" s="78">
        <v>21.5</v>
      </c>
      <c r="U61" s="78">
        <v>21.5</v>
      </c>
      <c r="V61" s="78">
        <v>18.5</v>
      </c>
      <c r="W61" s="78">
        <v>21.3</v>
      </c>
      <c r="X61" s="78">
        <v>21.8</v>
      </c>
      <c r="Y61" s="78">
        <v>21.9</v>
      </c>
      <c r="Z61" s="78">
        <v>21.8</v>
      </c>
      <c r="AA61" s="78">
        <v>21.8</v>
      </c>
      <c r="AB61" s="78">
        <v>21.8</v>
      </c>
      <c r="AC61" s="78">
        <v>21.8</v>
      </c>
      <c r="AD61" s="78">
        <v>21.8</v>
      </c>
      <c r="AE61" s="78">
        <v>21.8</v>
      </c>
      <c r="AF61" s="78">
        <v>21.8</v>
      </c>
      <c r="AG61" s="79">
        <v>22.1</v>
      </c>
      <c r="AH61" s="48">
        <f t="shared" si="8"/>
        <v>22.6</v>
      </c>
      <c r="AI61" s="49">
        <f t="shared" si="9"/>
        <v>18.5</v>
      </c>
      <c r="AK61" s="51"/>
    </row>
    <row r="62" spans="1:88" ht="15.75" thickBot="1" x14ac:dyDescent="0.3">
      <c r="A62" s="80" t="s">
        <v>79</v>
      </c>
      <c r="B62" s="71">
        <f t="shared" ref="B62:AG62" si="25">SUM(B59:B61)</f>
        <v>142.6</v>
      </c>
      <c r="C62" s="71">
        <f t="shared" si="25"/>
        <v>142.6</v>
      </c>
      <c r="D62" s="71">
        <f t="shared" si="25"/>
        <v>142.6</v>
      </c>
      <c r="E62" s="71">
        <f>SUM(E59:E61)</f>
        <v>141.6</v>
      </c>
      <c r="F62" s="71">
        <f t="shared" si="25"/>
        <v>141.6</v>
      </c>
      <c r="G62" s="71">
        <f t="shared" si="25"/>
        <v>143.80000000000001</v>
      </c>
      <c r="H62" s="71">
        <f t="shared" si="25"/>
        <v>143.4</v>
      </c>
      <c r="I62" s="71">
        <f t="shared" si="25"/>
        <v>143.4</v>
      </c>
      <c r="J62" s="71">
        <f t="shared" si="25"/>
        <v>142.9</v>
      </c>
      <c r="K62" s="71">
        <f>SUM(K59:K61)</f>
        <v>94.5</v>
      </c>
      <c r="L62" s="71">
        <f t="shared" si="25"/>
        <v>42.9</v>
      </c>
      <c r="M62" s="71">
        <f t="shared" si="25"/>
        <v>41</v>
      </c>
      <c r="N62" s="71">
        <f>SUM(N59:N61)</f>
        <v>41</v>
      </c>
      <c r="O62" s="71">
        <f>SUM(O59:O61)</f>
        <v>41</v>
      </c>
      <c r="P62" s="71">
        <f>SUM(P59:P61)</f>
        <v>43.2</v>
      </c>
      <c r="Q62" s="71">
        <f t="shared" si="25"/>
        <v>43.2</v>
      </c>
      <c r="R62" s="71">
        <f>SUM(R59:R61)</f>
        <v>43.2</v>
      </c>
      <c r="S62" s="71">
        <f t="shared" si="25"/>
        <v>42.7</v>
      </c>
      <c r="T62" s="71">
        <f t="shared" si="25"/>
        <v>42.3</v>
      </c>
      <c r="U62" s="71">
        <f>SUM(U59:U61)</f>
        <v>42.3</v>
      </c>
      <c r="V62" s="71">
        <f t="shared" si="25"/>
        <v>53.8</v>
      </c>
      <c r="W62" s="71">
        <f t="shared" si="25"/>
        <v>56.5</v>
      </c>
      <c r="X62" s="71">
        <f t="shared" si="25"/>
        <v>195.3</v>
      </c>
      <c r="Y62" s="71">
        <f t="shared" si="25"/>
        <v>348.69999999999993</v>
      </c>
      <c r="Z62" s="71">
        <f t="shared" si="25"/>
        <v>404.1</v>
      </c>
      <c r="AA62" s="71">
        <f t="shared" si="25"/>
        <v>499.09999999999997</v>
      </c>
      <c r="AB62" s="71">
        <f>SUM(AB59:AB61)</f>
        <v>414.9</v>
      </c>
      <c r="AC62" s="71">
        <f>SUM(AC59:AC61)</f>
        <v>391.09999999999997</v>
      </c>
      <c r="AD62" s="71">
        <f>SUM(AD59:AD61)</f>
        <v>391.2</v>
      </c>
      <c r="AE62" s="71">
        <f>SUM(AE59:AE61)</f>
        <v>302.5</v>
      </c>
      <c r="AF62" s="71">
        <f>SUM(AF59:AF61)</f>
        <v>262.39999999999998</v>
      </c>
      <c r="AG62" s="72">
        <f t="shared" si="25"/>
        <v>538.1</v>
      </c>
      <c r="AH62" s="48">
        <f t="shared" si="8"/>
        <v>499.09999999999997</v>
      </c>
      <c r="AI62" s="49">
        <f t="shared" si="9"/>
        <v>41</v>
      </c>
      <c r="AK62" s="51"/>
    </row>
    <row r="63" spans="1:88" x14ac:dyDescent="0.25">
      <c r="A63" s="45" t="s">
        <v>80</v>
      </c>
      <c r="B63" s="46">
        <v>85</v>
      </c>
      <c r="C63" s="46">
        <v>86</v>
      </c>
      <c r="D63" s="46">
        <v>76</v>
      </c>
      <c r="E63" s="46">
        <v>60</v>
      </c>
      <c r="F63" s="46">
        <v>60</v>
      </c>
      <c r="G63" s="46">
        <v>60</v>
      </c>
      <c r="H63" s="46">
        <v>61.4</v>
      </c>
      <c r="I63" s="46">
        <v>61.4</v>
      </c>
      <c r="J63" s="46">
        <v>61</v>
      </c>
      <c r="K63" s="46">
        <v>81.900000000000006</v>
      </c>
      <c r="L63" s="46">
        <v>60</v>
      </c>
      <c r="M63" s="46">
        <v>30.9</v>
      </c>
      <c r="N63" s="46">
        <v>30.9</v>
      </c>
      <c r="O63" s="46">
        <v>40</v>
      </c>
      <c r="P63" s="46">
        <v>40</v>
      </c>
      <c r="Q63" s="46">
        <v>48.8</v>
      </c>
      <c r="R63" s="46">
        <v>48.1</v>
      </c>
      <c r="S63" s="46">
        <v>48.2</v>
      </c>
      <c r="T63" s="46">
        <v>48.3</v>
      </c>
      <c r="U63" s="46">
        <v>40</v>
      </c>
      <c r="V63" s="46">
        <v>81.2</v>
      </c>
      <c r="W63" s="46">
        <v>82.5</v>
      </c>
      <c r="X63" s="46">
        <v>61.3</v>
      </c>
      <c r="Y63" s="46">
        <v>111.3</v>
      </c>
      <c r="Z63" s="46">
        <v>121.2</v>
      </c>
      <c r="AA63" s="46">
        <v>143</v>
      </c>
      <c r="AB63" s="46">
        <v>144.9</v>
      </c>
      <c r="AC63" s="46">
        <v>144.9</v>
      </c>
      <c r="AD63" s="46">
        <v>144.9</v>
      </c>
      <c r="AE63" s="46">
        <v>144.9</v>
      </c>
      <c r="AF63" s="46">
        <v>143.9</v>
      </c>
      <c r="AG63" s="61">
        <v>144</v>
      </c>
      <c r="AH63" s="48">
        <f t="shared" si="8"/>
        <v>144.9</v>
      </c>
      <c r="AI63" s="49">
        <f t="shared" si="9"/>
        <v>30.9</v>
      </c>
      <c r="AK63" s="51"/>
    </row>
    <row r="64" spans="1:88" x14ac:dyDescent="0.25">
      <c r="A64" s="65" t="s">
        <v>81</v>
      </c>
      <c r="B64" s="76">
        <v>65</v>
      </c>
      <c r="C64" s="76">
        <v>65</v>
      </c>
      <c r="D64" s="76">
        <v>60</v>
      </c>
      <c r="E64" s="76">
        <v>23.5</v>
      </c>
      <c r="F64" s="76">
        <v>23.5</v>
      </c>
      <c r="G64" s="76">
        <v>22.2</v>
      </c>
      <c r="H64" s="76">
        <v>22.6</v>
      </c>
      <c r="I64" s="76">
        <v>22.6</v>
      </c>
      <c r="J64" s="76">
        <v>35</v>
      </c>
      <c r="K64" s="76">
        <v>35</v>
      </c>
      <c r="L64" s="76">
        <v>60</v>
      </c>
      <c r="M64" s="76">
        <v>69</v>
      </c>
      <c r="N64" s="76">
        <v>69</v>
      </c>
      <c r="O64" s="76">
        <v>69</v>
      </c>
      <c r="P64" s="76">
        <v>45.1</v>
      </c>
      <c r="Q64" s="76">
        <v>26.6</v>
      </c>
      <c r="R64" s="76">
        <v>51</v>
      </c>
      <c r="S64" s="76">
        <v>59.3</v>
      </c>
      <c r="T64" s="76">
        <v>61.8</v>
      </c>
      <c r="U64" s="76">
        <v>61.5</v>
      </c>
      <c r="V64" s="76">
        <v>69.599999999999994</v>
      </c>
      <c r="W64" s="46">
        <v>69.7</v>
      </c>
      <c r="X64" s="46">
        <v>69.7</v>
      </c>
      <c r="Y64" s="46">
        <v>69.900000000000006</v>
      </c>
      <c r="Z64" s="46">
        <v>60.3</v>
      </c>
      <c r="AA64" s="46">
        <v>67.7</v>
      </c>
      <c r="AB64" s="46">
        <v>67.7</v>
      </c>
      <c r="AC64" s="46">
        <v>67.7</v>
      </c>
      <c r="AD64" s="46">
        <v>67.7</v>
      </c>
      <c r="AE64" s="46">
        <v>67.7</v>
      </c>
      <c r="AF64" s="46">
        <v>59.4</v>
      </c>
      <c r="AG64" s="66">
        <v>70</v>
      </c>
      <c r="AH64" s="48">
        <f t="shared" si="8"/>
        <v>69.900000000000006</v>
      </c>
      <c r="AI64" s="49">
        <f t="shared" si="9"/>
        <v>22.2</v>
      </c>
      <c r="AK64" s="51"/>
    </row>
    <row r="65" spans="1:75" x14ac:dyDescent="0.25">
      <c r="A65" s="65" t="s">
        <v>82</v>
      </c>
      <c r="B65" s="76">
        <v>62</v>
      </c>
      <c r="C65" s="76">
        <v>62</v>
      </c>
      <c r="D65" s="76">
        <v>54</v>
      </c>
      <c r="E65" s="76">
        <v>38.200000000000003</v>
      </c>
      <c r="F65" s="76">
        <v>41</v>
      </c>
      <c r="G65" s="76">
        <v>41</v>
      </c>
      <c r="H65" s="76">
        <v>41</v>
      </c>
      <c r="I65" s="76">
        <v>41</v>
      </c>
      <c r="J65" s="76">
        <v>31.3</v>
      </c>
      <c r="K65" s="76">
        <v>46.6</v>
      </c>
      <c r="L65" s="76">
        <v>45.7</v>
      </c>
      <c r="M65" s="76">
        <v>45.6</v>
      </c>
      <c r="N65" s="76">
        <v>45.6</v>
      </c>
      <c r="O65" s="76">
        <v>45.6</v>
      </c>
      <c r="P65" s="76">
        <v>32</v>
      </c>
      <c r="Q65" s="76">
        <v>15.6</v>
      </c>
      <c r="R65" s="76">
        <v>0</v>
      </c>
      <c r="S65" s="76">
        <v>0</v>
      </c>
      <c r="T65" s="76">
        <v>0</v>
      </c>
      <c r="U65" s="76">
        <v>17</v>
      </c>
      <c r="V65" s="76">
        <v>43.1</v>
      </c>
      <c r="W65" s="46">
        <v>41.8</v>
      </c>
      <c r="X65" s="46">
        <v>41.9</v>
      </c>
      <c r="Y65" s="46">
        <v>52.1</v>
      </c>
      <c r="Z65" s="46">
        <v>51.8</v>
      </c>
      <c r="AA65" s="46">
        <v>69.5</v>
      </c>
      <c r="AB65" s="46">
        <v>69.5</v>
      </c>
      <c r="AC65" s="46">
        <v>69.5</v>
      </c>
      <c r="AD65" s="46">
        <v>69.5</v>
      </c>
      <c r="AE65" s="46">
        <v>63.1</v>
      </c>
      <c r="AF65" s="46">
        <v>63.6</v>
      </c>
      <c r="AG65" s="66">
        <v>69</v>
      </c>
      <c r="AH65" s="48">
        <f t="shared" si="8"/>
        <v>69.5</v>
      </c>
      <c r="AI65" s="49">
        <f t="shared" si="9"/>
        <v>0</v>
      </c>
      <c r="AK65" s="51"/>
    </row>
    <row r="66" spans="1:75" x14ac:dyDescent="0.25">
      <c r="A66" s="65" t="s">
        <v>83</v>
      </c>
      <c r="B66" s="76">
        <v>60.2</v>
      </c>
      <c r="C66" s="76">
        <v>60.2</v>
      </c>
      <c r="D66" s="76">
        <v>60.2</v>
      </c>
      <c r="E66" s="76">
        <v>60.4</v>
      </c>
      <c r="F66" s="76">
        <v>60.4</v>
      </c>
      <c r="G66" s="76">
        <v>60.4</v>
      </c>
      <c r="H66" s="76">
        <v>60.4</v>
      </c>
      <c r="I66" s="76">
        <v>60.4</v>
      </c>
      <c r="J66" s="76">
        <v>60.4</v>
      </c>
      <c r="K66" s="76">
        <v>60.4</v>
      </c>
      <c r="L66" s="68">
        <v>60.4</v>
      </c>
      <c r="M66" s="76">
        <v>60.4</v>
      </c>
      <c r="N66" s="76">
        <v>60.4</v>
      </c>
      <c r="O66" s="76">
        <v>60.4</v>
      </c>
      <c r="P66" s="76">
        <v>60.2</v>
      </c>
      <c r="Q66" s="76">
        <v>60.4</v>
      </c>
      <c r="R66" s="76">
        <v>60.4</v>
      </c>
      <c r="S66" s="76">
        <v>60.2</v>
      </c>
      <c r="T66" s="76">
        <v>60.4</v>
      </c>
      <c r="U66" s="76">
        <v>60.4</v>
      </c>
      <c r="V66" s="76">
        <v>60.2</v>
      </c>
      <c r="W66" s="46">
        <v>60.2</v>
      </c>
      <c r="X66" s="46">
        <v>60.2</v>
      </c>
      <c r="Y66" s="46">
        <v>60.2</v>
      </c>
      <c r="Z66" s="46">
        <v>60.2</v>
      </c>
      <c r="AA66" s="46">
        <v>62</v>
      </c>
      <c r="AB66" s="46">
        <v>62</v>
      </c>
      <c r="AC66" s="46">
        <v>62</v>
      </c>
      <c r="AD66" s="46">
        <v>62</v>
      </c>
      <c r="AE66" s="46">
        <v>62</v>
      </c>
      <c r="AF66" s="46">
        <v>62</v>
      </c>
      <c r="AG66" s="66">
        <v>60</v>
      </c>
      <c r="AH66" s="48">
        <f t="shared" si="8"/>
        <v>62</v>
      </c>
      <c r="AI66" s="49">
        <f t="shared" si="9"/>
        <v>60.2</v>
      </c>
      <c r="AK66" s="51"/>
    </row>
    <row r="67" spans="1:75" x14ac:dyDescent="0.25">
      <c r="A67" s="65" t="s">
        <v>84</v>
      </c>
      <c r="B67" s="46">
        <v>10</v>
      </c>
      <c r="C67" s="46">
        <v>10</v>
      </c>
      <c r="D67" s="46">
        <v>10</v>
      </c>
      <c r="E67" s="76">
        <v>10</v>
      </c>
      <c r="F67" s="76">
        <v>10</v>
      </c>
      <c r="G67" s="76">
        <v>10.5</v>
      </c>
      <c r="H67" s="76">
        <v>10.3</v>
      </c>
      <c r="I67" s="76">
        <v>10.3</v>
      </c>
      <c r="J67" s="76">
        <v>10.199999999999999</v>
      </c>
      <c r="K67" s="76">
        <v>14.9</v>
      </c>
      <c r="L67" s="68">
        <v>10.8</v>
      </c>
      <c r="M67" s="76">
        <v>10.999000000000001</v>
      </c>
      <c r="N67" s="76">
        <v>10.999000000000001</v>
      </c>
      <c r="O67" s="76">
        <v>10.999000000000001</v>
      </c>
      <c r="P67" s="76">
        <v>10.6</v>
      </c>
      <c r="Q67" s="76">
        <v>10.9</v>
      </c>
      <c r="R67" s="76">
        <v>23.1</v>
      </c>
      <c r="S67" s="76">
        <v>23</v>
      </c>
      <c r="T67" s="76">
        <v>22.5</v>
      </c>
      <c r="U67" s="76">
        <v>14.5</v>
      </c>
      <c r="V67" s="76">
        <v>0</v>
      </c>
      <c r="W67" s="46">
        <v>10.3</v>
      </c>
      <c r="X67" s="46">
        <v>14.8</v>
      </c>
      <c r="Y67" s="46">
        <v>14.8</v>
      </c>
      <c r="Z67" s="46">
        <v>14.2</v>
      </c>
      <c r="AA67" s="46">
        <v>14.9</v>
      </c>
      <c r="AB67" s="46">
        <v>14.7</v>
      </c>
      <c r="AC67" s="46">
        <v>14.7</v>
      </c>
      <c r="AD67" s="46">
        <v>14.7</v>
      </c>
      <c r="AE67" s="46">
        <v>14.7</v>
      </c>
      <c r="AF67" s="46">
        <v>14.7</v>
      </c>
      <c r="AG67" s="66">
        <v>30</v>
      </c>
      <c r="AH67" s="48">
        <f t="shared" si="8"/>
        <v>23.1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76">
        <v>4.7</v>
      </c>
      <c r="M68" s="76">
        <v>4.5999999999999996</v>
      </c>
      <c r="N68" s="76">
        <v>4.5999999999999996</v>
      </c>
      <c r="O68" s="76">
        <v>4.5999999999999996</v>
      </c>
      <c r="P68" s="76">
        <v>15.1</v>
      </c>
      <c r="Q68" s="76">
        <v>15.2</v>
      </c>
      <c r="R68" s="76">
        <v>14.5</v>
      </c>
      <c r="S68" s="76">
        <v>12.5</v>
      </c>
      <c r="T68" s="76">
        <v>8.8000000000000007</v>
      </c>
      <c r="U68" s="76">
        <v>8.8000000000000007</v>
      </c>
      <c r="V68" s="76">
        <v>2.5</v>
      </c>
      <c r="W68" s="46">
        <v>0.6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15.2</v>
      </c>
      <c r="AI68" s="49">
        <f t="shared" si="9"/>
        <v>0</v>
      </c>
      <c r="AK68" s="51"/>
      <c r="AY68" s="1" t="s">
        <v>86</v>
      </c>
      <c r="AZ68" s="82">
        <f>ROUND(C81,0)</f>
        <v>59</v>
      </c>
      <c r="BA68" s="81">
        <f t="shared" ref="BA68:BD72" si="26">D81</f>
        <v>59.5</v>
      </c>
      <c r="BB68" s="81">
        <f t="shared" si="26"/>
        <v>60</v>
      </c>
      <c r="BC68" s="81">
        <f t="shared" si="26"/>
        <v>59.38</v>
      </c>
      <c r="BD68" s="81">
        <f t="shared" si="26"/>
        <v>56.4</v>
      </c>
      <c r="BE68" s="82">
        <f>I81</f>
        <v>50.4</v>
      </c>
      <c r="BF68" s="82">
        <f>K81</f>
        <v>63.2</v>
      </c>
      <c r="BG68" s="82">
        <f t="shared" ref="BG68:BP72" si="27">M81</f>
        <v>64.2</v>
      </c>
      <c r="BH68" s="82">
        <f t="shared" si="27"/>
        <v>64.2</v>
      </c>
      <c r="BI68" s="82">
        <f t="shared" si="27"/>
        <v>64.2</v>
      </c>
      <c r="BJ68" s="82">
        <f t="shared" si="27"/>
        <v>59</v>
      </c>
      <c r="BK68" s="82">
        <f t="shared" si="27"/>
        <v>67.7</v>
      </c>
      <c r="BL68" s="82">
        <f t="shared" si="27"/>
        <v>64</v>
      </c>
      <c r="BM68" s="82">
        <f t="shared" si="27"/>
        <v>70.099999999999994</v>
      </c>
      <c r="BN68" s="82">
        <f t="shared" si="27"/>
        <v>64</v>
      </c>
      <c r="BO68" s="82">
        <f t="shared" si="27"/>
        <v>70</v>
      </c>
      <c r="BP68" s="82">
        <f t="shared" si="27"/>
        <v>69</v>
      </c>
      <c r="BQ68" s="82">
        <f>X81</f>
        <v>63</v>
      </c>
      <c r="BR68" s="82">
        <f>Z81</f>
        <v>31.4</v>
      </c>
      <c r="BS68" s="81">
        <f>AB81</f>
        <v>33.1</v>
      </c>
      <c r="BT68" s="81">
        <f t="shared" ref="BT68:BV72" si="28">AD81</f>
        <v>0</v>
      </c>
      <c r="BU68" s="81">
        <f t="shared" si="28"/>
        <v>23.7</v>
      </c>
      <c r="BV68" s="81">
        <f t="shared" si="28"/>
        <v>18</v>
      </c>
      <c r="BW68" s="81">
        <f>B81</f>
        <v>59</v>
      </c>
    </row>
    <row r="69" spans="1:75" x14ac:dyDescent="0.25">
      <c r="A69" s="65" t="s">
        <v>87</v>
      </c>
      <c r="B69" s="76">
        <v>14.5</v>
      </c>
      <c r="C69" s="76">
        <v>14.5</v>
      </c>
      <c r="D69" s="76">
        <v>14.5</v>
      </c>
      <c r="E69" s="76">
        <v>14.3</v>
      </c>
      <c r="F69" s="76">
        <v>14.3</v>
      </c>
      <c r="G69" s="76">
        <v>14.3</v>
      </c>
      <c r="H69" s="76">
        <v>14.3</v>
      </c>
      <c r="I69" s="76">
        <v>14.3</v>
      </c>
      <c r="J69" s="76">
        <v>14.3</v>
      </c>
      <c r="K69" s="76">
        <v>14.3</v>
      </c>
      <c r="L69" s="76">
        <v>14.3</v>
      </c>
      <c r="M69" s="76">
        <v>14.3</v>
      </c>
      <c r="N69" s="76">
        <v>14.3</v>
      </c>
      <c r="O69" s="76">
        <v>14.3</v>
      </c>
      <c r="P69" s="76">
        <v>14.4</v>
      </c>
      <c r="Q69" s="76">
        <v>14.3</v>
      </c>
      <c r="R69" s="76">
        <v>13.8</v>
      </c>
      <c r="S69" s="76">
        <v>13.8</v>
      </c>
      <c r="T69" s="76">
        <v>13.7</v>
      </c>
      <c r="U69" s="76">
        <v>13.7</v>
      </c>
      <c r="V69" s="76">
        <v>13.7</v>
      </c>
      <c r="W69" s="76">
        <v>13.6</v>
      </c>
      <c r="X69" s="76">
        <v>13.5</v>
      </c>
      <c r="Y69" s="76">
        <v>13.5</v>
      </c>
      <c r="Z69" s="76">
        <v>13.5</v>
      </c>
      <c r="AA69" s="76">
        <v>13.5</v>
      </c>
      <c r="AB69" s="76">
        <v>13.5</v>
      </c>
      <c r="AC69" s="76">
        <v>13.5</v>
      </c>
      <c r="AD69" s="76">
        <v>13.5</v>
      </c>
      <c r="AE69" s="76">
        <v>13.5</v>
      </c>
      <c r="AF69" s="76">
        <v>13.5</v>
      </c>
      <c r="AG69" s="66">
        <v>24</v>
      </c>
      <c r="AH69" s="48">
        <f t="shared" si="8"/>
        <v>14.5</v>
      </c>
      <c r="AI69" s="49">
        <f t="shared" si="9"/>
        <v>13.5</v>
      </c>
      <c r="AK69" s="51"/>
      <c r="AY69" s="1" t="s">
        <v>88</v>
      </c>
      <c r="AZ69" s="82">
        <f>ROUND(C82,0)</f>
        <v>0</v>
      </c>
      <c r="BA69" s="81">
        <f t="shared" si="26"/>
        <v>0</v>
      </c>
      <c r="BB69" s="81">
        <f t="shared" si="26"/>
        <v>0</v>
      </c>
      <c r="BC69" s="81">
        <f t="shared" si="26"/>
        <v>0</v>
      </c>
      <c r="BD69" s="81">
        <f t="shared" si="26"/>
        <v>0</v>
      </c>
      <c r="BE69" s="82">
        <f>I82</f>
        <v>0</v>
      </c>
      <c r="BF69" s="82">
        <f>K82</f>
        <v>0</v>
      </c>
      <c r="BG69" s="82">
        <f t="shared" si="27"/>
        <v>0</v>
      </c>
      <c r="BH69" s="82">
        <f t="shared" si="27"/>
        <v>68</v>
      </c>
      <c r="BI69" s="82">
        <f t="shared" si="27"/>
        <v>0</v>
      </c>
      <c r="BJ69" s="82">
        <f t="shared" si="27"/>
        <v>63.9</v>
      </c>
      <c r="BK69" s="82">
        <f t="shared" si="27"/>
        <v>46.2</v>
      </c>
      <c r="BL69" s="82">
        <f t="shared" si="27"/>
        <v>45.8</v>
      </c>
      <c r="BM69" s="82">
        <f t="shared" si="27"/>
        <v>58.2</v>
      </c>
      <c r="BN69" s="82">
        <f t="shared" si="27"/>
        <v>76.7</v>
      </c>
      <c r="BO69" s="82">
        <f t="shared" si="27"/>
        <v>82</v>
      </c>
      <c r="BP69" s="82">
        <f t="shared" si="27"/>
        <v>80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8"/>
        <v>0</v>
      </c>
      <c r="BU69" s="81">
        <f t="shared" si="28"/>
        <v>0</v>
      </c>
      <c r="BV69" s="81">
        <f t="shared" si="28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134</v>
      </c>
      <c r="BA70" s="81">
        <f t="shared" si="26"/>
        <v>148</v>
      </c>
      <c r="BB70" s="81">
        <f t="shared" si="26"/>
        <v>138.1</v>
      </c>
      <c r="BC70" s="81">
        <f t="shared" si="26"/>
        <v>150.75</v>
      </c>
      <c r="BD70" s="81">
        <f t="shared" si="26"/>
        <v>136.6</v>
      </c>
      <c r="BE70" s="82">
        <f>I83</f>
        <v>43.8</v>
      </c>
      <c r="BF70" s="82">
        <f>K83</f>
        <v>282</v>
      </c>
      <c r="BG70" s="82">
        <f t="shared" si="27"/>
        <v>415</v>
      </c>
      <c r="BH70" s="82">
        <f t="shared" si="27"/>
        <v>391</v>
      </c>
      <c r="BI70" s="82">
        <f t="shared" si="27"/>
        <v>410</v>
      </c>
      <c r="BJ70" s="82">
        <f t="shared" si="27"/>
        <v>380</v>
      </c>
      <c r="BK70" s="82">
        <f t="shared" si="27"/>
        <v>437.4</v>
      </c>
      <c r="BL70" s="82">
        <f t="shared" si="27"/>
        <v>450</v>
      </c>
      <c r="BM70" s="82">
        <f t="shared" si="27"/>
        <v>451.9</v>
      </c>
      <c r="BN70" s="82">
        <f t="shared" si="27"/>
        <v>440.3</v>
      </c>
      <c r="BO70" s="82">
        <f t="shared" si="27"/>
        <v>417</v>
      </c>
      <c r="BP70" s="82">
        <f t="shared" si="27"/>
        <v>350</v>
      </c>
      <c r="BQ70" s="82">
        <f>X83</f>
        <v>200</v>
      </c>
      <c r="BR70" s="82">
        <f>Z83</f>
        <v>60.2</v>
      </c>
      <c r="BS70" s="81">
        <f>AB83</f>
        <v>16.399999999999999</v>
      </c>
      <c r="BT70" s="81">
        <f t="shared" si="28"/>
        <v>52.6</v>
      </c>
      <c r="BU70" s="81">
        <f t="shared" si="28"/>
        <v>0</v>
      </c>
      <c r="BV70" s="81">
        <f t="shared" si="28"/>
        <v>0</v>
      </c>
      <c r="BW70" s="81">
        <f>B83</f>
        <v>142</v>
      </c>
    </row>
    <row r="71" spans="1:75" s="83" customFormat="1" x14ac:dyDescent="0.25">
      <c r="A71" s="65" t="s">
        <v>91</v>
      </c>
      <c r="B71" s="76">
        <v>11.2</v>
      </c>
      <c r="C71" s="76">
        <v>11.2</v>
      </c>
      <c r="D71" s="76">
        <v>11.2</v>
      </c>
      <c r="E71" s="76">
        <v>12.2</v>
      </c>
      <c r="F71" s="76">
        <v>12.2</v>
      </c>
      <c r="G71" s="76">
        <v>12.2</v>
      </c>
      <c r="H71" s="76">
        <v>11.7</v>
      </c>
      <c r="I71" s="76">
        <v>11.7</v>
      </c>
      <c r="J71" s="76">
        <v>11</v>
      </c>
      <c r="K71" s="76">
        <v>11</v>
      </c>
      <c r="L71" s="76">
        <v>10.3</v>
      </c>
      <c r="M71" s="76">
        <v>10.3</v>
      </c>
      <c r="N71" s="76">
        <v>10.3</v>
      </c>
      <c r="O71" s="76">
        <v>10.3</v>
      </c>
      <c r="P71" s="76">
        <v>10.9</v>
      </c>
      <c r="Q71" s="76">
        <v>10.9</v>
      </c>
      <c r="R71" s="76">
        <v>10.5</v>
      </c>
      <c r="S71" s="76">
        <v>10.4</v>
      </c>
      <c r="T71" s="76">
        <v>10.1</v>
      </c>
      <c r="U71" s="76">
        <v>10.1</v>
      </c>
      <c r="V71" s="76">
        <v>10.1</v>
      </c>
      <c r="W71" s="76">
        <v>11.1</v>
      </c>
      <c r="X71" s="76">
        <v>10.9</v>
      </c>
      <c r="Y71" s="76">
        <v>10.9</v>
      </c>
      <c r="Z71" s="76">
        <v>10.9</v>
      </c>
      <c r="AA71" s="76">
        <v>10.9</v>
      </c>
      <c r="AB71" s="76">
        <v>10.9</v>
      </c>
      <c r="AC71" s="76">
        <v>10.9</v>
      </c>
      <c r="AD71" s="76">
        <v>10.9</v>
      </c>
      <c r="AE71" s="76">
        <v>10.9</v>
      </c>
      <c r="AF71" s="76">
        <v>10.9</v>
      </c>
      <c r="AG71" s="66">
        <v>14.1</v>
      </c>
      <c r="AH71" s="48">
        <f t="shared" si="8"/>
        <v>12.2</v>
      </c>
      <c r="AI71" s="49">
        <f t="shared" si="9"/>
        <v>10.1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15</v>
      </c>
      <c r="BA71" s="81">
        <f t="shared" si="26"/>
        <v>15</v>
      </c>
      <c r="BB71" s="81">
        <f t="shared" si="26"/>
        <v>14.9</v>
      </c>
      <c r="BC71" s="81">
        <f t="shared" si="26"/>
        <v>14</v>
      </c>
      <c r="BD71" s="81">
        <f t="shared" si="26"/>
        <v>14.1</v>
      </c>
      <c r="BE71" s="82">
        <f>I84</f>
        <v>13.8</v>
      </c>
      <c r="BF71" s="82">
        <f>K84</f>
        <v>47.5</v>
      </c>
      <c r="BG71" s="82">
        <f t="shared" si="27"/>
        <v>49.9</v>
      </c>
      <c r="BH71" s="82">
        <f t="shared" si="27"/>
        <v>47.8</v>
      </c>
      <c r="BI71" s="82">
        <f t="shared" si="27"/>
        <v>43.5</v>
      </c>
      <c r="BJ71" s="82">
        <f t="shared" si="27"/>
        <v>48.8</v>
      </c>
      <c r="BK71" s="82">
        <f t="shared" si="27"/>
        <v>45.3</v>
      </c>
      <c r="BL71" s="82">
        <f t="shared" si="27"/>
        <v>47.1</v>
      </c>
      <c r="BM71" s="82">
        <f t="shared" si="27"/>
        <v>43.7</v>
      </c>
      <c r="BN71" s="82">
        <f t="shared" si="27"/>
        <v>45.2</v>
      </c>
      <c r="BO71" s="82">
        <f t="shared" si="27"/>
        <v>49</v>
      </c>
      <c r="BP71" s="82">
        <f t="shared" si="27"/>
        <v>46</v>
      </c>
      <c r="BQ71" s="82">
        <f>X84</f>
        <v>49.7</v>
      </c>
      <c r="BR71" s="82">
        <f>Z84</f>
        <v>0</v>
      </c>
      <c r="BS71" s="81">
        <f>AB84</f>
        <v>0</v>
      </c>
      <c r="BT71" s="81">
        <f t="shared" si="28"/>
        <v>0</v>
      </c>
      <c r="BU71" s="81">
        <f t="shared" si="28"/>
        <v>0</v>
      </c>
      <c r="BV71" s="81">
        <f t="shared" si="28"/>
        <v>0</v>
      </c>
      <c r="BW71" s="81">
        <f>B84</f>
        <v>15</v>
      </c>
    </row>
    <row r="72" spans="1:75" x14ac:dyDescent="0.25">
      <c r="A72" s="84" t="s">
        <v>93</v>
      </c>
      <c r="B72" s="76">
        <v>7.3</v>
      </c>
      <c r="C72" s="76">
        <v>7.3</v>
      </c>
      <c r="D72" s="76">
        <v>7.3</v>
      </c>
      <c r="E72" s="76">
        <v>11</v>
      </c>
      <c r="F72" s="76">
        <v>11</v>
      </c>
      <c r="G72" s="76">
        <v>7</v>
      </c>
      <c r="H72" s="76">
        <v>7</v>
      </c>
      <c r="I72" s="76">
        <v>7</v>
      </c>
      <c r="J72" s="76">
        <v>7</v>
      </c>
      <c r="K72" s="76">
        <v>11.4</v>
      </c>
      <c r="L72" s="76">
        <v>10.1</v>
      </c>
      <c r="M72" s="76">
        <v>10.1</v>
      </c>
      <c r="N72" s="76">
        <v>10.1</v>
      </c>
      <c r="O72" s="76">
        <v>10.1</v>
      </c>
      <c r="P72" s="76">
        <v>8.9</v>
      </c>
      <c r="Q72" s="76">
        <v>8.9</v>
      </c>
      <c r="R72" s="76">
        <v>8.8000000000000007</v>
      </c>
      <c r="S72" s="76">
        <v>8.6999999999999993</v>
      </c>
      <c r="T72" s="76">
        <v>7.4</v>
      </c>
      <c r="U72" s="76">
        <v>7.4</v>
      </c>
      <c r="V72" s="76">
        <v>0</v>
      </c>
      <c r="W72" s="76">
        <v>0</v>
      </c>
      <c r="X72" s="76">
        <v>7.3</v>
      </c>
      <c r="Y72" s="76">
        <v>7.3</v>
      </c>
      <c r="Z72" s="76">
        <v>0</v>
      </c>
      <c r="AA72" s="76">
        <v>10.9</v>
      </c>
      <c r="AB72" s="76">
        <v>10.9</v>
      </c>
      <c r="AC72" s="76">
        <v>10.9</v>
      </c>
      <c r="AD72" s="76">
        <v>10.9</v>
      </c>
      <c r="AE72" s="76">
        <v>10.9</v>
      </c>
      <c r="AF72" s="76">
        <v>10.9</v>
      </c>
      <c r="AG72" s="66">
        <v>14</v>
      </c>
      <c r="AH72" s="48">
        <f t="shared" si="8"/>
        <v>11.4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26"/>
        <v>0</v>
      </c>
      <c r="BB72" s="81">
        <f t="shared" si="26"/>
        <v>0</v>
      </c>
      <c r="BC72" s="81">
        <f t="shared" si="26"/>
        <v>0</v>
      </c>
      <c r="BD72" s="81">
        <f t="shared" si="26"/>
        <v>0</v>
      </c>
      <c r="BE72" s="82">
        <f>I85</f>
        <v>0</v>
      </c>
      <c r="BF72" s="82">
        <f>K85</f>
        <v>117.1</v>
      </c>
      <c r="BG72" s="82">
        <f t="shared" si="27"/>
        <v>129.80000000000001</v>
      </c>
      <c r="BH72" s="82">
        <f t="shared" si="27"/>
        <v>135</v>
      </c>
      <c r="BI72" s="82">
        <f t="shared" si="27"/>
        <v>140</v>
      </c>
      <c r="BJ72" s="82">
        <f t="shared" si="27"/>
        <v>130</v>
      </c>
      <c r="BK72" s="82">
        <f t="shared" si="27"/>
        <v>134</v>
      </c>
      <c r="BL72" s="82">
        <f t="shared" si="27"/>
        <v>138</v>
      </c>
      <c r="BM72" s="82">
        <f t="shared" si="27"/>
        <v>102.3</v>
      </c>
      <c r="BN72" s="82">
        <f t="shared" si="27"/>
        <v>126.2</v>
      </c>
      <c r="BO72" s="82">
        <f t="shared" si="27"/>
        <v>125.5</v>
      </c>
      <c r="BP72" s="82">
        <f t="shared" si="27"/>
        <v>130.80000000000001</v>
      </c>
      <c r="BQ72" s="82">
        <f>X85</f>
        <v>100.6</v>
      </c>
      <c r="BR72" s="82">
        <f>Z85</f>
        <v>0</v>
      </c>
      <c r="BS72" s="81">
        <f>AB85</f>
        <v>0</v>
      </c>
      <c r="BT72" s="81">
        <f t="shared" si="28"/>
        <v>0</v>
      </c>
      <c r="BU72" s="81">
        <f t="shared" si="28"/>
        <v>0</v>
      </c>
      <c r="BV72" s="81">
        <f t="shared" si="28"/>
        <v>0</v>
      </c>
      <c r="BW72" s="81">
        <f>B85</f>
        <v>0</v>
      </c>
    </row>
    <row r="73" spans="1:75" x14ac:dyDescent="0.25">
      <c r="A73" s="65" t="s">
        <v>95</v>
      </c>
      <c r="B73" s="76">
        <v>3.1</v>
      </c>
      <c r="C73" s="76">
        <v>3.1</v>
      </c>
      <c r="D73" s="76">
        <v>3.1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3.1</v>
      </c>
      <c r="AK73" s="51"/>
      <c r="AY73" s="1" t="s">
        <v>96</v>
      </c>
      <c r="AZ73" s="82">
        <f>ROUND(C91,0)</f>
        <v>49</v>
      </c>
      <c r="BA73" s="82">
        <f>D91</f>
        <v>48.4</v>
      </c>
      <c r="BB73" s="82">
        <f>E91</f>
        <v>48.6</v>
      </c>
      <c r="BC73" s="82">
        <f>F91</f>
        <v>47</v>
      </c>
      <c r="BD73" s="82">
        <f>G91</f>
        <v>45.2</v>
      </c>
      <c r="BE73" s="82">
        <f>I91</f>
        <v>43</v>
      </c>
      <c r="BF73" s="82">
        <f>K91</f>
        <v>46.2</v>
      </c>
      <c r="BG73" s="82">
        <f t="shared" ref="BG73:BP73" si="29">M91</f>
        <v>51.6</v>
      </c>
      <c r="BH73" s="82">
        <f t="shared" si="29"/>
        <v>50.4</v>
      </c>
      <c r="BI73" s="82">
        <f t="shared" si="29"/>
        <v>50</v>
      </c>
      <c r="BJ73" s="82">
        <f t="shared" si="29"/>
        <v>48.3</v>
      </c>
      <c r="BK73" s="82">
        <f t="shared" si="29"/>
        <v>52.4</v>
      </c>
      <c r="BL73" s="82">
        <f t="shared" si="29"/>
        <v>52.4</v>
      </c>
      <c r="BM73" s="82">
        <f t="shared" si="29"/>
        <v>45.2</v>
      </c>
      <c r="BN73" s="82">
        <f t="shared" si="29"/>
        <v>53</v>
      </c>
      <c r="BO73" s="82">
        <f t="shared" si="29"/>
        <v>53</v>
      </c>
      <c r="BP73" s="82">
        <f t="shared" si="29"/>
        <v>46.2</v>
      </c>
      <c r="BQ73" s="82">
        <f>X91</f>
        <v>40.700000000000003</v>
      </c>
      <c r="BR73" s="82">
        <f>Z91</f>
        <v>31.7</v>
      </c>
      <c r="BS73" s="82">
        <f>AB91</f>
        <v>34.9</v>
      </c>
      <c r="BT73" s="82">
        <f>AD91</f>
        <v>36</v>
      </c>
      <c r="BU73" s="82">
        <f>AE91</f>
        <v>38.6</v>
      </c>
      <c r="BV73" s="82">
        <f>AF91</f>
        <v>39.4</v>
      </c>
      <c r="BW73" s="82">
        <f>B91</f>
        <v>48</v>
      </c>
    </row>
    <row r="74" spans="1:75" x14ac:dyDescent="0.25">
      <c r="A74" s="65" t="s">
        <v>97</v>
      </c>
      <c r="B74" s="76">
        <v>1.6</v>
      </c>
      <c r="C74" s="76">
        <v>1.6</v>
      </c>
      <c r="D74" s="76">
        <v>1.6</v>
      </c>
      <c r="E74" s="76">
        <v>2</v>
      </c>
      <c r="F74" s="76">
        <v>2</v>
      </c>
      <c r="G74" s="76">
        <v>2</v>
      </c>
      <c r="H74" s="76">
        <v>2</v>
      </c>
      <c r="I74" s="76">
        <v>2</v>
      </c>
      <c r="J74" s="76">
        <v>2</v>
      </c>
      <c r="K74" s="76">
        <v>2</v>
      </c>
      <c r="L74" s="76">
        <v>2</v>
      </c>
      <c r="M74" s="76">
        <v>2</v>
      </c>
      <c r="N74" s="76">
        <v>2</v>
      </c>
      <c r="O74" s="76">
        <v>2</v>
      </c>
      <c r="P74" s="76">
        <v>2</v>
      </c>
      <c r="Q74" s="76">
        <v>2</v>
      </c>
      <c r="R74" s="76">
        <v>2</v>
      </c>
      <c r="S74" s="76">
        <v>2</v>
      </c>
      <c r="T74" s="76">
        <v>2</v>
      </c>
      <c r="U74" s="76">
        <v>2</v>
      </c>
      <c r="V74" s="76">
        <v>2</v>
      </c>
      <c r="W74" s="76">
        <v>2</v>
      </c>
      <c r="X74" s="76">
        <v>2</v>
      </c>
      <c r="Y74" s="76">
        <v>2</v>
      </c>
      <c r="Z74" s="76">
        <v>2</v>
      </c>
      <c r="AA74" s="76">
        <v>2</v>
      </c>
      <c r="AB74" s="76">
        <v>2</v>
      </c>
      <c r="AC74" s="76">
        <v>2</v>
      </c>
      <c r="AD74" s="76">
        <v>2</v>
      </c>
      <c r="AE74" s="76">
        <v>2</v>
      </c>
      <c r="AF74" s="76">
        <v>2</v>
      </c>
      <c r="AG74" s="66">
        <v>6.2</v>
      </c>
      <c r="AH74" s="48">
        <f t="shared" si="8"/>
        <v>2</v>
      </c>
      <c r="AI74" s="49">
        <f t="shared" si="9"/>
        <v>1.6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0">VALUE(AZ68)</f>
        <v>59</v>
      </c>
      <c r="BA75" s="82">
        <f t="shared" si="30"/>
        <v>59.5</v>
      </c>
      <c r="BB75" s="82">
        <f t="shared" si="30"/>
        <v>60</v>
      </c>
      <c r="BC75" s="82">
        <f t="shared" si="30"/>
        <v>59.38</v>
      </c>
      <c r="BD75" s="82">
        <f t="shared" si="30"/>
        <v>56.4</v>
      </c>
      <c r="BE75" s="82">
        <f t="shared" si="30"/>
        <v>50.4</v>
      </c>
      <c r="BF75" s="82">
        <f t="shared" si="30"/>
        <v>63.2</v>
      </c>
      <c r="BG75" s="82">
        <f t="shared" si="30"/>
        <v>64.2</v>
      </c>
      <c r="BH75" s="82">
        <f t="shared" si="30"/>
        <v>64.2</v>
      </c>
      <c r="BI75" s="82">
        <f t="shared" si="30"/>
        <v>64.2</v>
      </c>
      <c r="BJ75" s="82">
        <f t="shared" si="30"/>
        <v>59</v>
      </c>
      <c r="BK75" s="82">
        <f t="shared" si="30"/>
        <v>67.7</v>
      </c>
      <c r="BL75" s="82">
        <f t="shared" si="30"/>
        <v>64</v>
      </c>
      <c r="BM75" s="82">
        <f t="shared" si="30"/>
        <v>70.099999999999994</v>
      </c>
      <c r="BN75" s="82">
        <f t="shared" si="30"/>
        <v>64</v>
      </c>
      <c r="BO75" s="82">
        <f t="shared" si="30"/>
        <v>70</v>
      </c>
      <c r="BP75" s="82">
        <f t="shared" si="30"/>
        <v>69</v>
      </c>
      <c r="BQ75" s="82">
        <f t="shared" si="30"/>
        <v>63</v>
      </c>
      <c r="BR75" s="82">
        <f t="shared" si="30"/>
        <v>31.4</v>
      </c>
      <c r="BS75" s="82">
        <f t="shared" si="30"/>
        <v>33.1</v>
      </c>
      <c r="BT75" s="82">
        <f t="shared" si="30"/>
        <v>0</v>
      </c>
      <c r="BU75" s="82">
        <f t="shared" si="30"/>
        <v>23.7</v>
      </c>
      <c r="BV75" s="82">
        <f t="shared" si="30"/>
        <v>18</v>
      </c>
      <c r="BW75" s="82">
        <f t="shared" si="30"/>
        <v>59</v>
      </c>
    </row>
    <row r="76" spans="1:75" ht="15.75" thickBot="1" x14ac:dyDescent="0.3">
      <c r="A76" s="87" t="s">
        <v>99</v>
      </c>
      <c r="B76" s="71">
        <f t="shared" ref="B76:AG76" si="31">SUM(B63:B75)</f>
        <v>323.44000000000005</v>
      </c>
      <c r="C76" s="71">
        <f t="shared" si="31"/>
        <v>324.44000000000005</v>
      </c>
      <c r="D76" s="71">
        <f t="shared" si="31"/>
        <v>301.44000000000005</v>
      </c>
      <c r="E76" s="71">
        <f t="shared" si="31"/>
        <v>239.64</v>
      </c>
      <c r="F76" s="71">
        <f t="shared" si="31"/>
        <v>242.44</v>
      </c>
      <c r="G76" s="71">
        <f t="shared" si="31"/>
        <v>237.64</v>
      </c>
      <c r="H76" s="71">
        <f t="shared" si="31"/>
        <v>238.74</v>
      </c>
      <c r="I76" s="71">
        <f t="shared" si="31"/>
        <v>238.74</v>
      </c>
      <c r="J76" s="71">
        <f t="shared" si="31"/>
        <v>240.23999999999998</v>
      </c>
      <c r="K76" s="71">
        <f>SUM(K63:K75)</f>
        <v>285.54000000000002</v>
      </c>
      <c r="L76" s="71">
        <f t="shared" si="31"/>
        <v>286.34000000000003</v>
      </c>
      <c r="M76" s="71">
        <f t="shared" si="31"/>
        <v>266.23900000000003</v>
      </c>
      <c r="N76" s="71">
        <f>SUM(N63:N75)</f>
        <v>266.23900000000003</v>
      </c>
      <c r="O76" s="71">
        <f>SUM(O63:O75)</f>
        <v>275.33900000000006</v>
      </c>
      <c r="P76" s="71">
        <f>SUM(P63:P75)</f>
        <v>247.24</v>
      </c>
      <c r="Q76" s="71">
        <f t="shared" si="31"/>
        <v>221.64000000000001</v>
      </c>
      <c r="R76" s="71">
        <f>SUM(R63:R75)</f>
        <v>240.24</v>
      </c>
      <c r="S76" s="71">
        <f t="shared" si="31"/>
        <v>246.14</v>
      </c>
      <c r="T76" s="71">
        <f t="shared" si="31"/>
        <v>243.04</v>
      </c>
      <c r="U76" s="71">
        <f>SUM(U63:U75)</f>
        <v>243.44</v>
      </c>
      <c r="V76" s="71">
        <f t="shared" si="31"/>
        <v>290.44000000000005</v>
      </c>
      <c r="W76" s="71">
        <f t="shared" si="31"/>
        <v>299.84000000000009</v>
      </c>
      <c r="X76" s="71">
        <f t="shared" si="31"/>
        <v>289.64000000000004</v>
      </c>
      <c r="Y76" s="71">
        <f t="shared" si="31"/>
        <v>350</v>
      </c>
      <c r="Z76" s="71">
        <f t="shared" si="31"/>
        <v>344.09999999999997</v>
      </c>
      <c r="AA76" s="71">
        <f t="shared" si="31"/>
        <v>402.43999999999994</v>
      </c>
      <c r="AB76" s="71">
        <f>SUM(AB63:AB75)</f>
        <v>404.14</v>
      </c>
      <c r="AC76" s="71">
        <f>SUM(AC63:AC75)</f>
        <v>404.14</v>
      </c>
      <c r="AD76" s="71">
        <f>SUM(AD63:AD75)</f>
        <v>404.14</v>
      </c>
      <c r="AE76" s="71">
        <f>SUM(AE63:AE75)</f>
        <v>397.74</v>
      </c>
      <c r="AF76" s="71">
        <f>SUM(AF63:AF75)</f>
        <v>388.94</v>
      </c>
      <c r="AG76" s="72">
        <f t="shared" si="31"/>
        <v>489.91</v>
      </c>
      <c r="AH76" s="48">
        <f t="shared" si="8"/>
        <v>404.14</v>
      </c>
      <c r="AI76" s="49">
        <f t="shared" si="9"/>
        <v>221.64000000000001</v>
      </c>
      <c r="AK76" s="51"/>
      <c r="AZ76" s="82">
        <f t="shared" si="30"/>
        <v>0</v>
      </c>
      <c r="BA76" s="82">
        <f t="shared" si="30"/>
        <v>0</v>
      </c>
      <c r="BB76" s="82">
        <f t="shared" si="30"/>
        <v>0</v>
      </c>
      <c r="BC76" s="82">
        <f t="shared" si="30"/>
        <v>0</v>
      </c>
      <c r="BD76" s="82">
        <f t="shared" si="30"/>
        <v>0</v>
      </c>
      <c r="BE76" s="82">
        <f t="shared" si="30"/>
        <v>0</v>
      </c>
      <c r="BF76" s="82">
        <f t="shared" si="30"/>
        <v>0</v>
      </c>
      <c r="BG76" s="82">
        <f t="shared" si="30"/>
        <v>0</v>
      </c>
      <c r="BH76" s="82">
        <f t="shared" si="30"/>
        <v>68</v>
      </c>
      <c r="BI76" s="82">
        <f t="shared" si="30"/>
        <v>0</v>
      </c>
      <c r="BJ76" s="82">
        <f t="shared" si="30"/>
        <v>63.9</v>
      </c>
      <c r="BK76" s="82">
        <f t="shared" si="30"/>
        <v>46.2</v>
      </c>
      <c r="BL76" s="82">
        <f t="shared" si="30"/>
        <v>45.8</v>
      </c>
      <c r="BM76" s="82">
        <f t="shared" si="30"/>
        <v>58.2</v>
      </c>
      <c r="BN76" s="82">
        <f t="shared" si="30"/>
        <v>76.7</v>
      </c>
      <c r="BO76" s="82">
        <f t="shared" si="30"/>
        <v>82</v>
      </c>
      <c r="BP76" s="82">
        <f t="shared" si="30"/>
        <v>80</v>
      </c>
      <c r="BQ76" s="82">
        <f t="shared" si="30"/>
        <v>0</v>
      </c>
      <c r="BR76" s="82">
        <f t="shared" si="30"/>
        <v>0</v>
      </c>
      <c r="BS76" s="82">
        <f t="shared" si="30"/>
        <v>0</v>
      </c>
      <c r="BT76" s="82">
        <f t="shared" si="30"/>
        <v>0</v>
      </c>
      <c r="BU76" s="82">
        <f t="shared" si="30"/>
        <v>0</v>
      </c>
      <c r="BV76" s="82">
        <f t="shared" si="30"/>
        <v>0</v>
      </c>
      <c r="BW76" s="82">
        <f t="shared" si="30"/>
        <v>0</v>
      </c>
    </row>
    <row r="77" spans="1:75" x14ac:dyDescent="0.25">
      <c r="A77" s="45" t="s">
        <v>100</v>
      </c>
      <c r="B77" s="46">
        <v>59</v>
      </c>
      <c r="C77" s="46">
        <v>59</v>
      </c>
      <c r="D77" s="46">
        <v>59</v>
      </c>
      <c r="E77" s="46">
        <v>59</v>
      </c>
      <c r="F77" s="46">
        <v>59</v>
      </c>
      <c r="G77" s="46">
        <v>59</v>
      </c>
      <c r="H77" s="46">
        <v>59.3</v>
      </c>
      <c r="I77" s="46">
        <v>59.3</v>
      </c>
      <c r="J77" s="46">
        <v>29.5</v>
      </c>
      <c r="K77" s="46">
        <v>30.3</v>
      </c>
      <c r="L77" s="46">
        <v>30.1</v>
      </c>
      <c r="M77" s="46">
        <v>30</v>
      </c>
      <c r="N77" s="46">
        <v>30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46">
        <v>0</v>
      </c>
      <c r="Y77" s="46">
        <v>14.3</v>
      </c>
      <c r="Z77" s="46">
        <v>14.3</v>
      </c>
      <c r="AA77" s="46">
        <v>29.8</v>
      </c>
      <c r="AB77" s="46">
        <v>29.8</v>
      </c>
      <c r="AC77" s="46">
        <v>29.8</v>
      </c>
      <c r="AD77" s="46">
        <v>49.9</v>
      </c>
      <c r="AE77" s="46">
        <v>49.9</v>
      </c>
      <c r="AF77" s="46">
        <v>49.9</v>
      </c>
      <c r="AG77" s="61">
        <v>60</v>
      </c>
      <c r="AH77" s="48">
        <f t="shared" si="8"/>
        <v>59.3</v>
      </c>
      <c r="AI77" s="49">
        <f t="shared" si="9"/>
        <v>0</v>
      </c>
      <c r="AK77" s="51"/>
      <c r="AZ77" s="82">
        <f t="shared" si="30"/>
        <v>134</v>
      </c>
      <c r="BA77" s="82">
        <f t="shared" si="30"/>
        <v>148</v>
      </c>
      <c r="BB77" s="82">
        <f t="shared" si="30"/>
        <v>138.1</v>
      </c>
      <c r="BC77" s="82">
        <f t="shared" si="30"/>
        <v>150.75</v>
      </c>
      <c r="BD77" s="82">
        <f t="shared" si="30"/>
        <v>136.6</v>
      </c>
      <c r="BE77" s="82">
        <f t="shared" si="30"/>
        <v>43.8</v>
      </c>
      <c r="BF77" s="82">
        <f t="shared" si="30"/>
        <v>282</v>
      </c>
      <c r="BG77" s="82">
        <f t="shared" si="30"/>
        <v>415</v>
      </c>
      <c r="BH77" s="82">
        <f t="shared" si="30"/>
        <v>391</v>
      </c>
      <c r="BI77" s="82">
        <f t="shared" si="30"/>
        <v>410</v>
      </c>
      <c r="BJ77" s="82">
        <f t="shared" si="30"/>
        <v>380</v>
      </c>
      <c r="BK77" s="82">
        <f t="shared" si="30"/>
        <v>437.4</v>
      </c>
      <c r="BL77" s="82">
        <f t="shared" si="30"/>
        <v>450</v>
      </c>
      <c r="BM77" s="82">
        <f t="shared" si="30"/>
        <v>451.9</v>
      </c>
      <c r="BN77" s="82">
        <f t="shared" si="30"/>
        <v>440.3</v>
      </c>
      <c r="BO77" s="82">
        <f t="shared" si="30"/>
        <v>417</v>
      </c>
      <c r="BP77" s="82">
        <f t="shared" si="30"/>
        <v>350</v>
      </c>
      <c r="BQ77" s="82">
        <f t="shared" si="30"/>
        <v>200</v>
      </c>
      <c r="BR77" s="82">
        <f t="shared" si="30"/>
        <v>60.2</v>
      </c>
      <c r="BS77" s="82">
        <f t="shared" si="30"/>
        <v>16.399999999999999</v>
      </c>
      <c r="BT77" s="82">
        <f t="shared" si="30"/>
        <v>52.6</v>
      </c>
      <c r="BU77" s="82">
        <f t="shared" si="30"/>
        <v>0</v>
      </c>
      <c r="BV77" s="82">
        <f t="shared" si="30"/>
        <v>0</v>
      </c>
      <c r="BW77" s="82">
        <f t="shared" si="30"/>
        <v>142</v>
      </c>
    </row>
    <row r="78" spans="1:75" x14ac:dyDescent="0.25">
      <c r="A78" s="65" t="s">
        <v>101</v>
      </c>
      <c r="B78" s="76">
        <v>29</v>
      </c>
      <c r="C78" s="76">
        <v>29</v>
      </c>
      <c r="D78" s="76">
        <v>29</v>
      </c>
      <c r="E78" s="76">
        <v>29</v>
      </c>
      <c r="F78" s="76">
        <v>29</v>
      </c>
      <c r="G78" s="76">
        <v>29</v>
      </c>
      <c r="H78" s="76">
        <v>27.1</v>
      </c>
      <c r="I78" s="76">
        <v>27.1</v>
      </c>
      <c r="J78" s="76">
        <v>13.8</v>
      </c>
      <c r="K78" s="76">
        <v>7.1</v>
      </c>
      <c r="L78" s="76">
        <v>15.6</v>
      </c>
      <c r="M78" s="76">
        <v>15.6</v>
      </c>
      <c r="N78" s="76">
        <v>15.6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4.9000000000000004</v>
      </c>
      <c r="Z78" s="76">
        <v>5.9</v>
      </c>
      <c r="AA78" s="76">
        <v>4.5999999999999996</v>
      </c>
      <c r="AB78" s="76">
        <v>14</v>
      </c>
      <c r="AC78" s="76">
        <v>14</v>
      </c>
      <c r="AD78" s="76">
        <v>23.4</v>
      </c>
      <c r="AE78" s="76">
        <v>23.4</v>
      </c>
      <c r="AF78" s="76">
        <v>23.4</v>
      </c>
      <c r="AG78" s="66">
        <v>32</v>
      </c>
      <c r="AH78" s="48">
        <f t="shared" si="8"/>
        <v>29</v>
      </c>
      <c r="AI78" s="49">
        <f t="shared" si="9"/>
        <v>0</v>
      </c>
      <c r="AK78" s="51"/>
      <c r="AZ78" s="82">
        <f t="shared" si="30"/>
        <v>15</v>
      </c>
      <c r="BA78" s="82">
        <f t="shared" si="30"/>
        <v>15</v>
      </c>
      <c r="BB78" s="82">
        <f t="shared" si="30"/>
        <v>14.9</v>
      </c>
      <c r="BC78" s="82">
        <f t="shared" si="30"/>
        <v>14</v>
      </c>
      <c r="BD78" s="82">
        <f t="shared" si="30"/>
        <v>14.1</v>
      </c>
      <c r="BE78" s="82">
        <f t="shared" si="30"/>
        <v>13.8</v>
      </c>
      <c r="BF78" s="82">
        <f t="shared" si="30"/>
        <v>47.5</v>
      </c>
      <c r="BG78" s="82">
        <f t="shared" si="30"/>
        <v>49.9</v>
      </c>
      <c r="BH78" s="82">
        <f t="shared" si="30"/>
        <v>47.8</v>
      </c>
      <c r="BI78" s="82">
        <f t="shared" si="30"/>
        <v>43.5</v>
      </c>
      <c r="BJ78" s="82">
        <f t="shared" si="30"/>
        <v>48.8</v>
      </c>
      <c r="BK78" s="82">
        <f t="shared" si="30"/>
        <v>45.3</v>
      </c>
      <c r="BL78" s="82">
        <f t="shared" si="30"/>
        <v>47.1</v>
      </c>
      <c r="BM78" s="82">
        <f t="shared" si="30"/>
        <v>43.7</v>
      </c>
      <c r="BN78" s="82">
        <f t="shared" si="30"/>
        <v>45.2</v>
      </c>
      <c r="BO78" s="82">
        <f t="shared" si="30"/>
        <v>49</v>
      </c>
      <c r="BP78" s="82">
        <f t="shared" si="30"/>
        <v>46</v>
      </c>
      <c r="BQ78" s="82">
        <f t="shared" si="30"/>
        <v>49.7</v>
      </c>
      <c r="BR78" s="82">
        <f t="shared" si="30"/>
        <v>0</v>
      </c>
      <c r="BS78" s="82">
        <f t="shared" si="30"/>
        <v>0</v>
      </c>
      <c r="BT78" s="82">
        <f t="shared" si="30"/>
        <v>0</v>
      </c>
      <c r="BU78" s="82">
        <f t="shared" si="30"/>
        <v>0</v>
      </c>
      <c r="BV78" s="82">
        <f t="shared" si="30"/>
        <v>0</v>
      </c>
      <c r="BW78" s="82">
        <f t="shared" si="30"/>
        <v>15</v>
      </c>
    </row>
    <row r="79" spans="1:75" ht="15.75" thickBot="1" x14ac:dyDescent="0.3">
      <c r="A79" s="84" t="s">
        <v>102</v>
      </c>
      <c r="B79" s="78">
        <v>10</v>
      </c>
      <c r="C79" s="78">
        <v>10</v>
      </c>
      <c r="D79" s="78">
        <v>10</v>
      </c>
      <c r="E79" s="78">
        <v>10</v>
      </c>
      <c r="F79" s="78">
        <v>10</v>
      </c>
      <c r="G79" s="78">
        <v>10</v>
      </c>
      <c r="H79" s="78">
        <v>9.9</v>
      </c>
      <c r="I79" s="78">
        <v>9.9</v>
      </c>
      <c r="J79" s="78">
        <v>5</v>
      </c>
      <c r="K79" s="78">
        <v>2.6</v>
      </c>
      <c r="L79" s="78">
        <v>5.7</v>
      </c>
      <c r="M79" s="78">
        <v>5.7</v>
      </c>
      <c r="N79" s="78">
        <v>5.7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1.8</v>
      </c>
      <c r="Z79" s="78">
        <v>2.1</v>
      </c>
      <c r="AA79" s="78">
        <v>1.7</v>
      </c>
      <c r="AB79" s="78">
        <v>5</v>
      </c>
      <c r="AC79" s="78">
        <v>5</v>
      </c>
      <c r="AD79" s="78">
        <v>8.5</v>
      </c>
      <c r="AE79" s="78">
        <v>8.5</v>
      </c>
      <c r="AF79" s="78">
        <v>8.5</v>
      </c>
      <c r="AG79" s="79">
        <v>14</v>
      </c>
      <c r="AH79" s="48">
        <f t="shared" si="8"/>
        <v>10</v>
      </c>
      <c r="AI79" s="49">
        <f t="shared" si="9"/>
        <v>0</v>
      </c>
      <c r="AK79" s="51"/>
      <c r="AZ79" s="82">
        <f t="shared" si="30"/>
        <v>0</v>
      </c>
      <c r="BA79" s="82">
        <f t="shared" si="30"/>
        <v>0</v>
      </c>
      <c r="BB79" s="82">
        <f t="shared" si="30"/>
        <v>0</v>
      </c>
      <c r="BC79" s="82">
        <f t="shared" si="30"/>
        <v>0</v>
      </c>
      <c r="BD79" s="82">
        <f t="shared" si="30"/>
        <v>0</v>
      </c>
      <c r="BE79" s="82">
        <f t="shared" si="30"/>
        <v>0</v>
      </c>
      <c r="BF79" s="82">
        <f t="shared" si="30"/>
        <v>117.1</v>
      </c>
      <c r="BG79" s="82">
        <f t="shared" si="30"/>
        <v>129.80000000000001</v>
      </c>
      <c r="BH79" s="82">
        <f t="shared" si="30"/>
        <v>135</v>
      </c>
      <c r="BI79" s="82">
        <f t="shared" si="30"/>
        <v>140</v>
      </c>
      <c r="BJ79" s="82">
        <f t="shared" si="30"/>
        <v>130</v>
      </c>
      <c r="BK79" s="82">
        <f t="shared" si="30"/>
        <v>134</v>
      </c>
      <c r="BL79" s="82">
        <f t="shared" si="30"/>
        <v>138</v>
      </c>
      <c r="BM79" s="82">
        <f t="shared" si="30"/>
        <v>102.3</v>
      </c>
      <c r="BN79" s="82">
        <f t="shared" si="30"/>
        <v>126.2</v>
      </c>
      <c r="BO79" s="82">
        <f t="shared" si="30"/>
        <v>125.5</v>
      </c>
      <c r="BP79" s="82">
        <f t="shared" si="30"/>
        <v>130.80000000000001</v>
      </c>
      <c r="BQ79" s="82">
        <f t="shared" si="30"/>
        <v>100.6</v>
      </c>
      <c r="BR79" s="82">
        <f t="shared" si="30"/>
        <v>0</v>
      </c>
      <c r="BS79" s="82">
        <f t="shared" si="30"/>
        <v>0</v>
      </c>
      <c r="BT79" s="82">
        <f t="shared" si="30"/>
        <v>0</v>
      </c>
      <c r="BU79" s="82">
        <f t="shared" si="30"/>
        <v>0</v>
      </c>
      <c r="BV79" s="82">
        <f t="shared" si="30"/>
        <v>0</v>
      </c>
      <c r="BW79" s="82">
        <f t="shared" si="30"/>
        <v>0</v>
      </c>
    </row>
    <row r="80" spans="1:75" ht="15.75" thickBot="1" x14ac:dyDescent="0.3">
      <c r="A80" s="87" t="s">
        <v>103</v>
      </c>
      <c r="B80" s="71">
        <f t="shared" ref="B80:AA80" si="32">B77+B78+B79</f>
        <v>98</v>
      </c>
      <c r="C80" s="71">
        <f t="shared" si="32"/>
        <v>98</v>
      </c>
      <c r="D80" s="71">
        <f t="shared" si="32"/>
        <v>98</v>
      </c>
      <c r="E80" s="71">
        <f t="shared" si="32"/>
        <v>98</v>
      </c>
      <c r="F80" s="71">
        <f t="shared" si="32"/>
        <v>98</v>
      </c>
      <c r="G80" s="71">
        <f t="shared" si="32"/>
        <v>98</v>
      </c>
      <c r="H80" s="71">
        <f t="shared" si="32"/>
        <v>96.300000000000011</v>
      </c>
      <c r="I80" s="71">
        <f t="shared" si="32"/>
        <v>96.300000000000011</v>
      </c>
      <c r="J80" s="71">
        <f t="shared" si="32"/>
        <v>48.3</v>
      </c>
      <c r="K80" s="71">
        <f t="shared" si="32"/>
        <v>40</v>
      </c>
      <c r="L80" s="71">
        <f t="shared" si="32"/>
        <v>51.400000000000006</v>
      </c>
      <c r="M80" s="71">
        <f t="shared" si="32"/>
        <v>51.300000000000004</v>
      </c>
      <c r="N80" s="71">
        <f>N77+N78+N79</f>
        <v>51.300000000000004</v>
      </c>
      <c r="O80" s="71">
        <f>O77+O78+O79</f>
        <v>0</v>
      </c>
      <c r="P80" s="71">
        <f>P77+P78+P79</f>
        <v>0</v>
      </c>
      <c r="Q80" s="71">
        <f t="shared" si="32"/>
        <v>0</v>
      </c>
      <c r="R80" s="71">
        <f>R77+R78+R79</f>
        <v>0</v>
      </c>
      <c r="S80" s="71">
        <f t="shared" si="32"/>
        <v>0</v>
      </c>
      <c r="T80" s="71">
        <f t="shared" si="32"/>
        <v>0</v>
      </c>
      <c r="U80" s="71">
        <f>U77+U78+U79</f>
        <v>0</v>
      </c>
      <c r="V80" s="71">
        <f t="shared" si="32"/>
        <v>0</v>
      </c>
      <c r="W80" s="71">
        <f t="shared" si="32"/>
        <v>0</v>
      </c>
      <c r="X80" s="71">
        <f t="shared" si="32"/>
        <v>0</v>
      </c>
      <c r="Y80" s="71">
        <f t="shared" si="32"/>
        <v>21.000000000000004</v>
      </c>
      <c r="Z80" s="71">
        <f t="shared" si="32"/>
        <v>22.300000000000004</v>
      </c>
      <c r="AA80" s="71">
        <f t="shared" si="32"/>
        <v>36.1</v>
      </c>
      <c r="AB80" s="71">
        <f>AB77+AB78+AB79</f>
        <v>48.8</v>
      </c>
      <c r="AC80" s="71">
        <f>AC77+AC78+AC79</f>
        <v>48.8</v>
      </c>
      <c r="AD80" s="71">
        <f>AD77+AD78+AD79</f>
        <v>81.8</v>
      </c>
      <c r="AE80" s="71">
        <f>AE77+AE78+AE79</f>
        <v>81.8</v>
      </c>
      <c r="AF80" s="71">
        <f>AF77+AF78+AF79</f>
        <v>81.8</v>
      </c>
      <c r="AG80" s="72">
        <f>SUM(AG77:AG79)</f>
        <v>106</v>
      </c>
      <c r="AH80" s="48">
        <f t="shared" si="8"/>
        <v>98</v>
      </c>
      <c r="AI80" s="49">
        <f t="shared" si="9"/>
        <v>0</v>
      </c>
      <c r="AK80" s="51"/>
      <c r="AZ80" s="82">
        <f t="shared" si="30"/>
        <v>49</v>
      </c>
      <c r="BA80" s="82">
        <f t="shared" si="30"/>
        <v>48.4</v>
      </c>
      <c r="BB80" s="82">
        <f t="shared" si="30"/>
        <v>48.6</v>
      </c>
      <c r="BC80" s="82">
        <f t="shared" si="30"/>
        <v>47</v>
      </c>
      <c r="BD80" s="82">
        <f t="shared" si="30"/>
        <v>45.2</v>
      </c>
      <c r="BE80" s="82">
        <f t="shared" si="30"/>
        <v>43</v>
      </c>
      <c r="BF80" s="82">
        <f t="shared" si="30"/>
        <v>46.2</v>
      </c>
      <c r="BG80" s="82">
        <f t="shared" si="30"/>
        <v>51.6</v>
      </c>
      <c r="BH80" s="82">
        <f t="shared" si="30"/>
        <v>50.4</v>
      </c>
      <c r="BI80" s="82">
        <f t="shared" si="30"/>
        <v>50</v>
      </c>
      <c r="BJ80" s="82">
        <f t="shared" si="30"/>
        <v>48.3</v>
      </c>
      <c r="BK80" s="82">
        <f t="shared" si="30"/>
        <v>52.4</v>
      </c>
      <c r="BL80" s="82">
        <f t="shared" si="30"/>
        <v>52.4</v>
      </c>
      <c r="BM80" s="82">
        <f t="shared" si="30"/>
        <v>45.2</v>
      </c>
      <c r="BN80" s="82">
        <f t="shared" si="30"/>
        <v>53</v>
      </c>
      <c r="BO80" s="82">
        <f t="shared" si="30"/>
        <v>53</v>
      </c>
      <c r="BP80" s="82">
        <f t="shared" si="30"/>
        <v>46.2</v>
      </c>
      <c r="BQ80" s="82">
        <f t="shared" si="30"/>
        <v>40.700000000000003</v>
      </c>
      <c r="BR80" s="82">
        <f t="shared" si="30"/>
        <v>31.7</v>
      </c>
      <c r="BS80" s="82">
        <f t="shared" si="30"/>
        <v>34.9</v>
      </c>
      <c r="BT80" s="82">
        <f t="shared" si="30"/>
        <v>36</v>
      </c>
      <c r="BU80" s="82">
        <f t="shared" si="30"/>
        <v>38.6</v>
      </c>
      <c r="BV80" s="82">
        <f t="shared" si="30"/>
        <v>39.4</v>
      </c>
      <c r="BW80" s="82">
        <f t="shared" si="30"/>
        <v>48</v>
      </c>
    </row>
    <row r="81" spans="1:64" x14ac:dyDescent="0.25">
      <c r="A81" s="45" t="s">
        <v>104</v>
      </c>
      <c r="B81" s="46">
        <v>59</v>
      </c>
      <c r="C81" s="46">
        <v>58.9</v>
      </c>
      <c r="D81" s="46">
        <v>59.5</v>
      </c>
      <c r="E81" s="46">
        <v>60</v>
      </c>
      <c r="F81" s="46">
        <v>59.38</v>
      </c>
      <c r="G81" s="46">
        <v>56.4</v>
      </c>
      <c r="H81" s="46">
        <v>52.9</v>
      </c>
      <c r="I81" s="46">
        <v>50.4</v>
      </c>
      <c r="J81" s="46">
        <v>51</v>
      </c>
      <c r="K81" s="46">
        <v>63.2</v>
      </c>
      <c r="L81" s="46">
        <v>65.3</v>
      </c>
      <c r="M81" s="46">
        <v>64.2</v>
      </c>
      <c r="N81" s="46">
        <v>64.2</v>
      </c>
      <c r="O81" s="46">
        <v>64.2</v>
      </c>
      <c r="P81" s="46">
        <v>59</v>
      </c>
      <c r="Q81" s="46">
        <v>67.7</v>
      </c>
      <c r="R81" s="46">
        <v>64</v>
      </c>
      <c r="S81" s="46">
        <v>70.099999999999994</v>
      </c>
      <c r="T81" s="46">
        <v>64</v>
      </c>
      <c r="U81" s="46">
        <v>70</v>
      </c>
      <c r="V81" s="46">
        <v>69</v>
      </c>
      <c r="W81" s="46">
        <v>67.400000000000006</v>
      </c>
      <c r="X81" s="46">
        <v>63</v>
      </c>
      <c r="Y81" s="46">
        <v>22.6</v>
      </c>
      <c r="Z81" s="46">
        <v>31.4</v>
      </c>
      <c r="AA81" s="46">
        <v>37.299999999999997</v>
      </c>
      <c r="AB81" s="46">
        <v>33.1</v>
      </c>
      <c r="AC81" s="46">
        <v>27.2</v>
      </c>
      <c r="AD81" s="46">
        <v>0</v>
      </c>
      <c r="AE81" s="46">
        <v>23.7</v>
      </c>
      <c r="AF81" s="46">
        <v>18</v>
      </c>
      <c r="AG81" s="61"/>
      <c r="AH81" s="48">
        <f t="shared" si="8"/>
        <v>70.099999999999994</v>
      </c>
      <c r="AI81" s="49">
        <f t="shared" si="9"/>
        <v>0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>
        <v>0</v>
      </c>
      <c r="K82" s="76">
        <v>0</v>
      </c>
      <c r="L82" s="76">
        <v>0</v>
      </c>
      <c r="M82" s="76">
        <v>0</v>
      </c>
      <c r="N82" s="76">
        <v>68</v>
      </c>
      <c r="O82" s="76">
        <v>0</v>
      </c>
      <c r="P82" s="76">
        <v>63.9</v>
      </c>
      <c r="Q82" s="76">
        <v>46.2</v>
      </c>
      <c r="R82" s="76">
        <v>45.8</v>
      </c>
      <c r="S82" s="76">
        <v>58.2</v>
      </c>
      <c r="T82" s="76">
        <v>76.7</v>
      </c>
      <c r="U82" s="76">
        <v>82</v>
      </c>
      <c r="V82" s="76">
        <v>80</v>
      </c>
      <c r="W82" s="76">
        <v>78.099999999999994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3">MAX(B82:AF82)</f>
        <v>82</v>
      </c>
      <c r="AI82" s="49">
        <f t="shared" ref="AI82:AI125" si="34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142</v>
      </c>
      <c r="C83" s="76">
        <v>134</v>
      </c>
      <c r="D83" s="76">
        <v>148</v>
      </c>
      <c r="E83" s="76">
        <v>138.1</v>
      </c>
      <c r="F83" s="76">
        <v>150.75</v>
      </c>
      <c r="G83" s="76">
        <v>136.6</v>
      </c>
      <c r="H83" s="76">
        <v>144.30000000000001</v>
      </c>
      <c r="I83" s="76">
        <v>43.8</v>
      </c>
      <c r="J83" s="76">
        <v>286</v>
      </c>
      <c r="K83" s="76">
        <v>282</v>
      </c>
      <c r="L83" s="76">
        <v>281</v>
      </c>
      <c r="M83" s="76">
        <v>415</v>
      </c>
      <c r="N83" s="76">
        <v>391</v>
      </c>
      <c r="O83" s="76">
        <v>410</v>
      </c>
      <c r="P83" s="76">
        <v>380</v>
      </c>
      <c r="Q83" s="76">
        <v>437.4</v>
      </c>
      <c r="R83" s="76">
        <v>450</v>
      </c>
      <c r="S83" s="76">
        <v>451.9</v>
      </c>
      <c r="T83" s="76">
        <v>440.3</v>
      </c>
      <c r="U83" s="76">
        <v>417</v>
      </c>
      <c r="V83" s="76">
        <v>350</v>
      </c>
      <c r="W83" s="76">
        <v>314.3</v>
      </c>
      <c r="X83" s="76">
        <v>200</v>
      </c>
      <c r="Y83" s="76">
        <v>32.9</v>
      </c>
      <c r="Z83" s="76">
        <v>60.2</v>
      </c>
      <c r="AA83" s="76">
        <v>65.3</v>
      </c>
      <c r="AB83" s="76">
        <v>16.399999999999999</v>
      </c>
      <c r="AC83" s="76">
        <v>46.3</v>
      </c>
      <c r="AD83" s="76">
        <v>52.6</v>
      </c>
      <c r="AE83" s="76">
        <v>0</v>
      </c>
      <c r="AF83" s="76">
        <v>0</v>
      </c>
      <c r="AG83" s="88"/>
      <c r="AH83" s="48">
        <f t="shared" si="33"/>
        <v>451.9</v>
      </c>
      <c r="AI83" s="49">
        <f t="shared" si="34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15</v>
      </c>
      <c r="C84" s="76">
        <v>15</v>
      </c>
      <c r="D84" s="76">
        <v>15</v>
      </c>
      <c r="E84" s="89">
        <v>14.9</v>
      </c>
      <c r="F84" s="89">
        <v>14</v>
      </c>
      <c r="G84" s="89">
        <v>14.1</v>
      </c>
      <c r="H84" s="89">
        <v>14.4</v>
      </c>
      <c r="I84" s="89">
        <v>13.8</v>
      </c>
      <c r="J84" s="89">
        <v>36.799999999999997</v>
      </c>
      <c r="K84" s="89">
        <v>47.5</v>
      </c>
      <c r="L84" s="89">
        <v>49.9</v>
      </c>
      <c r="M84" s="89">
        <v>49.9</v>
      </c>
      <c r="N84" s="89">
        <v>47.8</v>
      </c>
      <c r="O84" s="89">
        <v>43.5</v>
      </c>
      <c r="P84" s="89">
        <v>48.8</v>
      </c>
      <c r="Q84" s="89">
        <v>45.3</v>
      </c>
      <c r="R84" s="89">
        <v>47.1</v>
      </c>
      <c r="S84" s="89">
        <v>43.7</v>
      </c>
      <c r="T84" s="89">
        <v>45.2</v>
      </c>
      <c r="U84" s="89">
        <v>49</v>
      </c>
      <c r="V84" s="89">
        <v>46</v>
      </c>
      <c r="W84" s="89">
        <v>50.4</v>
      </c>
      <c r="X84" s="89">
        <v>49.7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8"/>
      <c r="AH84" s="48">
        <f t="shared" si="33"/>
        <v>50.4</v>
      </c>
      <c r="AI84" s="49">
        <f t="shared" si="34"/>
        <v>0</v>
      </c>
      <c r="AK84" s="51"/>
      <c r="AY84" s="82"/>
      <c r="BF84" s="81"/>
      <c r="BG84" s="82">
        <f t="array" ref="BG84:BL107">TRANSPOSE(AZ68:BW73)</f>
        <v>59</v>
      </c>
      <c r="BH84" s="82">
        <v>0</v>
      </c>
      <c r="BI84" s="82">
        <v>134</v>
      </c>
      <c r="BJ84" s="82">
        <v>15</v>
      </c>
      <c r="BK84" s="82">
        <v>0</v>
      </c>
      <c r="BL84" s="82">
        <v>49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109</v>
      </c>
      <c r="K85" s="46">
        <v>117.1</v>
      </c>
      <c r="L85" s="46">
        <v>110.3</v>
      </c>
      <c r="M85" s="46">
        <v>129.80000000000001</v>
      </c>
      <c r="N85" s="46">
        <v>135</v>
      </c>
      <c r="O85" s="46">
        <v>140</v>
      </c>
      <c r="P85" s="46">
        <v>130</v>
      </c>
      <c r="Q85" s="46">
        <v>134</v>
      </c>
      <c r="R85" s="46">
        <v>138</v>
      </c>
      <c r="S85" s="46">
        <v>102.3</v>
      </c>
      <c r="T85" s="46">
        <v>126.2</v>
      </c>
      <c r="U85" s="46">
        <v>125.5</v>
      </c>
      <c r="V85" s="46">
        <v>130.80000000000001</v>
      </c>
      <c r="W85" s="46">
        <v>125.9</v>
      </c>
      <c r="X85" s="46">
        <v>100.6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3"/>
        <v>140</v>
      </c>
      <c r="AI85" s="49">
        <f t="shared" si="34"/>
        <v>0</v>
      </c>
      <c r="AK85" s="51"/>
      <c r="AY85" s="82"/>
      <c r="BF85" s="81"/>
      <c r="BG85" s="82">
        <v>59.5</v>
      </c>
      <c r="BH85" s="82">
        <v>0</v>
      </c>
      <c r="BI85" s="82">
        <v>148</v>
      </c>
      <c r="BJ85" s="82">
        <v>15</v>
      </c>
      <c r="BK85" s="82">
        <v>0</v>
      </c>
      <c r="BL85" s="82">
        <v>48.4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3"/>
        <v>0</v>
      </c>
      <c r="AI86" s="49">
        <f t="shared" si="34"/>
        <v>0</v>
      </c>
      <c r="AK86" s="51"/>
      <c r="AY86" s="82"/>
      <c r="BF86" s="81"/>
      <c r="BG86" s="82">
        <v>60</v>
      </c>
      <c r="BH86" s="82">
        <v>0</v>
      </c>
      <c r="BI86" s="82">
        <v>138.1</v>
      </c>
      <c r="BJ86" s="82">
        <v>14.9</v>
      </c>
      <c r="BK86" s="82">
        <v>0</v>
      </c>
      <c r="BL86" s="82">
        <v>48.6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3"/>
        <v>0</v>
      </c>
      <c r="AI87" s="49">
        <f t="shared" si="34"/>
        <v>0</v>
      </c>
      <c r="AK87" s="51"/>
      <c r="AL87" s="91" t="s">
        <v>111</v>
      </c>
      <c r="AM87" s="91"/>
      <c r="AY87" s="82"/>
      <c r="BF87" s="82"/>
      <c r="BG87" s="82">
        <v>59.38</v>
      </c>
      <c r="BH87" s="82">
        <v>0</v>
      </c>
      <c r="BI87" s="82">
        <v>150.75</v>
      </c>
      <c r="BJ87" s="82">
        <v>14</v>
      </c>
      <c r="BK87" s="82">
        <v>0</v>
      </c>
      <c r="BL87" s="82">
        <v>47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3"/>
        <v>0</v>
      </c>
      <c r="AI88" s="49">
        <f t="shared" si="34"/>
        <v>0</v>
      </c>
      <c r="AK88" s="92"/>
      <c r="AL88" s="93"/>
      <c r="AM88" s="93"/>
      <c r="AN88" s="94"/>
      <c r="AY88" s="82"/>
      <c r="BF88" s="82"/>
      <c r="BG88" s="82">
        <v>56.4</v>
      </c>
      <c r="BH88" s="82">
        <v>0</v>
      </c>
      <c r="BI88" s="82">
        <v>136.6</v>
      </c>
      <c r="BJ88" s="82">
        <v>14.1</v>
      </c>
      <c r="BK88" s="82">
        <v>0</v>
      </c>
      <c r="BL88" s="82">
        <v>45.2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3"/>
        <v>0</v>
      </c>
      <c r="AI89" s="49">
        <f t="shared" si="34"/>
        <v>0</v>
      </c>
      <c r="AK89" s="95" t="s">
        <v>114</v>
      </c>
      <c r="AL89" s="76"/>
      <c r="AM89" s="89"/>
      <c r="AN89" s="96"/>
      <c r="AY89" s="82"/>
      <c r="BF89" s="82"/>
      <c r="BG89" s="82">
        <v>50.4</v>
      </c>
      <c r="BH89" s="82">
        <v>0</v>
      </c>
      <c r="BI89" s="82">
        <v>43.8</v>
      </c>
      <c r="BJ89" s="82">
        <v>13.8</v>
      </c>
      <c r="BK89" s="82">
        <v>0</v>
      </c>
      <c r="BL89" s="82">
        <v>43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3"/>
        <v>0</v>
      </c>
      <c r="AI90" s="49">
        <f t="shared" si="34"/>
        <v>0</v>
      </c>
      <c r="AK90" s="95" t="s">
        <v>116</v>
      </c>
      <c r="AL90" s="89"/>
      <c r="AM90" s="89"/>
      <c r="AN90" s="96"/>
      <c r="AY90" s="82"/>
      <c r="BF90" s="82"/>
      <c r="BG90" s="82">
        <v>63.2</v>
      </c>
      <c r="BH90" s="82">
        <v>0</v>
      </c>
      <c r="BI90" s="82">
        <v>282</v>
      </c>
      <c r="BJ90" s="82">
        <v>47.5</v>
      </c>
      <c r="BK90" s="82">
        <v>117.1</v>
      </c>
      <c r="BL90" s="82">
        <v>46.2</v>
      </c>
    </row>
    <row r="91" spans="1:64" ht="15.75" thickBot="1" x14ac:dyDescent="0.3">
      <c r="A91" s="97" t="s">
        <v>117</v>
      </c>
      <c r="B91" s="90">
        <v>48</v>
      </c>
      <c r="C91" s="90">
        <v>49.3</v>
      </c>
      <c r="D91" s="90">
        <v>48.4</v>
      </c>
      <c r="E91" s="90">
        <v>48.6</v>
      </c>
      <c r="F91" s="90">
        <v>47</v>
      </c>
      <c r="G91" s="90">
        <v>45.2</v>
      </c>
      <c r="H91" s="90">
        <v>41.8</v>
      </c>
      <c r="I91" s="90">
        <v>43</v>
      </c>
      <c r="J91" s="90">
        <v>46</v>
      </c>
      <c r="K91" s="90">
        <v>46.2</v>
      </c>
      <c r="L91" s="90">
        <v>51.1</v>
      </c>
      <c r="M91" s="90">
        <v>51.6</v>
      </c>
      <c r="N91" s="90">
        <v>50.4</v>
      </c>
      <c r="O91" s="90">
        <v>50</v>
      </c>
      <c r="P91" s="90">
        <v>48.3</v>
      </c>
      <c r="Q91" s="90">
        <v>52.4</v>
      </c>
      <c r="R91" s="90">
        <v>52.4</v>
      </c>
      <c r="S91" s="90">
        <v>45.2</v>
      </c>
      <c r="T91" s="90">
        <v>53</v>
      </c>
      <c r="U91" s="90">
        <v>53</v>
      </c>
      <c r="V91" s="90">
        <v>46.2</v>
      </c>
      <c r="W91" s="90">
        <v>40.299999999999997</v>
      </c>
      <c r="X91" s="90">
        <v>40.700000000000003</v>
      </c>
      <c r="Y91" s="90">
        <v>30</v>
      </c>
      <c r="Z91" s="90">
        <v>31.7</v>
      </c>
      <c r="AA91" s="90">
        <v>30.3</v>
      </c>
      <c r="AB91" s="90">
        <v>34.9</v>
      </c>
      <c r="AC91" s="90">
        <v>35.5</v>
      </c>
      <c r="AD91" s="90">
        <v>36</v>
      </c>
      <c r="AE91" s="90">
        <v>38.6</v>
      </c>
      <c r="AF91" s="90">
        <v>39.4</v>
      </c>
      <c r="AG91" s="98"/>
      <c r="AH91" s="48">
        <f t="shared" si="33"/>
        <v>53</v>
      </c>
      <c r="AI91" s="49">
        <f t="shared" si="34"/>
        <v>30</v>
      </c>
      <c r="AK91" s="99"/>
      <c r="AL91" s="46"/>
      <c r="AM91" s="46"/>
      <c r="AN91" s="100"/>
      <c r="AY91" s="82"/>
      <c r="BF91" s="82"/>
      <c r="BG91" s="82">
        <v>64.2</v>
      </c>
      <c r="BH91" s="82">
        <v>0</v>
      </c>
      <c r="BI91" s="82">
        <v>415</v>
      </c>
      <c r="BJ91" s="82">
        <v>49.9</v>
      </c>
      <c r="BK91" s="82">
        <v>129.80000000000001</v>
      </c>
      <c r="BL91" s="82">
        <v>51.6</v>
      </c>
    </row>
    <row r="92" spans="1:64" ht="15.75" thickBot="1" x14ac:dyDescent="0.3">
      <c r="A92" s="87" t="s">
        <v>118</v>
      </c>
      <c r="B92" s="71">
        <f t="shared" ref="B92:AA92" si="35">SUMIF(B81:B91,"&gt;0")</f>
        <v>264</v>
      </c>
      <c r="C92" s="71">
        <f t="shared" si="35"/>
        <v>257.2</v>
      </c>
      <c r="D92" s="71">
        <f t="shared" si="35"/>
        <v>270.89999999999998</v>
      </c>
      <c r="E92" s="71">
        <f t="shared" si="35"/>
        <v>261.60000000000002</v>
      </c>
      <c r="F92" s="71">
        <f t="shared" si="35"/>
        <v>271.13</v>
      </c>
      <c r="G92" s="71">
        <f t="shared" si="35"/>
        <v>252.3</v>
      </c>
      <c r="H92" s="71">
        <f t="shared" si="35"/>
        <v>253.40000000000003</v>
      </c>
      <c r="I92" s="71">
        <f t="shared" si="35"/>
        <v>151</v>
      </c>
      <c r="J92" s="71">
        <f t="shared" si="35"/>
        <v>528.79999999999995</v>
      </c>
      <c r="K92" s="71">
        <f t="shared" si="35"/>
        <v>556</v>
      </c>
      <c r="L92" s="71">
        <f t="shared" si="35"/>
        <v>557.6</v>
      </c>
      <c r="M92" s="71">
        <f t="shared" si="35"/>
        <v>710.50000000000011</v>
      </c>
      <c r="N92" s="71">
        <f t="shared" si="35"/>
        <v>756.4</v>
      </c>
      <c r="O92" s="71">
        <f t="shared" si="35"/>
        <v>707.7</v>
      </c>
      <c r="P92" s="71">
        <f t="shared" si="35"/>
        <v>729.99999999999989</v>
      </c>
      <c r="Q92" s="71">
        <f t="shared" si="35"/>
        <v>782.99999999999989</v>
      </c>
      <c r="R92" s="71">
        <f t="shared" si="35"/>
        <v>797.3</v>
      </c>
      <c r="S92" s="71">
        <f t="shared" si="35"/>
        <v>771.40000000000009</v>
      </c>
      <c r="T92" s="71">
        <f t="shared" si="35"/>
        <v>805.40000000000009</v>
      </c>
      <c r="U92" s="71">
        <f>SUMIF(U81:U91,"&gt;0")</f>
        <v>796.5</v>
      </c>
      <c r="V92" s="71">
        <f t="shared" si="35"/>
        <v>722</v>
      </c>
      <c r="W92" s="71">
        <f t="shared" si="35"/>
        <v>676.4</v>
      </c>
      <c r="X92" s="71">
        <f t="shared" si="35"/>
        <v>453.99999999999994</v>
      </c>
      <c r="Y92" s="71">
        <f t="shared" si="35"/>
        <v>85.5</v>
      </c>
      <c r="Z92" s="71">
        <f t="shared" si="35"/>
        <v>123.3</v>
      </c>
      <c r="AA92" s="71">
        <f t="shared" si="35"/>
        <v>132.9</v>
      </c>
      <c r="AB92" s="71">
        <f>SUMIF(AB81:AB91,"&gt;0")</f>
        <v>84.4</v>
      </c>
      <c r="AC92" s="71">
        <f>SUMIF(AC81:AC91,"&gt;0")</f>
        <v>109</v>
      </c>
      <c r="AD92" s="71">
        <f>SUMIF(AD81:AD91,"&gt;0")</f>
        <v>88.6</v>
      </c>
      <c r="AE92" s="71">
        <f>SUMIF(AE81:AE91,"&gt;0")</f>
        <v>62.3</v>
      </c>
      <c r="AF92" s="71">
        <f>SUMIF(AF81:AF91,"&gt;0")</f>
        <v>57.4</v>
      </c>
      <c r="AG92" s="101">
        <f>SUM(AG81:AG91)</f>
        <v>0</v>
      </c>
      <c r="AH92" s="48">
        <f t="shared" si="33"/>
        <v>805.40000000000009</v>
      </c>
      <c r="AI92" s="49">
        <f t="shared" si="34"/>
        <v>57.4</v>
      </c>
      <c r="AK92" s="99"/>
      <c r="AL92" s="90"/>
      <c r="AM92" s="102"/>
      <c r="AN92" s="202"/>
      <c r="AY92" s="82"/>
      <c r="BF92" s="82"/>
      <c r="BG92" s="82">
        <v>64.2</v>
      </c>
      <c r="BH92" s="82">
        <v>68</v>
      </c>
      <c r="BI92" s="82">
        <v>391</v>
      </c>
      <c r="BJ92" s="82">
        <v>47.8</v>
      </c>
      <c r="BK92" s="82">
        <v>135</v>
      </c>
      <c r="BL92" s="82">
        <v>50.4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3"/>
        <v>0</v>
      </c>
      <c r="AI93" s="49">
        <f t="shared" si="34"/>
        <v>0</v>
      </c>
      <c r="AK93" s="99"/>
      <c r="AL93" s="90"/>
      <c r="AM93" s="90"/>
      <c r="AN93" s="203"/>
      <c r="BF93" s="82"/>
      <c r="BG93" s="82">
        <v>64.2</v>
      </c>
      <c r="BH93" s="82">
        <v>0</v>
      </c>
      <c r="BI93" s="82">
        <v>410</v>
      </c>
      <c r="BJ93" s="82">
        <v>43.5</v>
      </c>
      <c r="BK93" s="82">
        <v>140</v>
      </c>
      <c r="BL93" s="82">
        <v>50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3"/>
        <v>0</v>
      </c>
      <c r="AI94" s="49">
        <f t="shared" si="34"/>
        <v>0</v>
      </c>
      <c r="AK94" s="104"/>
      <c r="AL94" s="105"/>
      <c r="AM94" s="105"/>
      <c r="AN94" s="106"/>
      <c r="BF94" s="82"/>
      <c r="BG94" s="82">
        <v>59</v>
      </c>
      <c r="BH94" s="82">
        <v>63.9</v>
      </c>
      <c r="BI94" s="82">
        <v>380</v>
      </c>
      <c r="BJ94" s="82">
        <v>48.8</v>
      </c>
      <c r="BK94" s="82">
        <v>130</v>
      </c>
      <c r="BL94" s="82">
        <v>48.3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3"/>
        <v>0</v>
      </c>
      <c r="AI95" s="49">
        <f t="shared" si="34"/>
        <v>0</v>
      </c>
      <c r="BF95" s="82"/>
      <c r="BG95" s="82">
        <v>67.7</v>
      </c>
      <c r="BH95" s="82">
        <v>46.2</v>
      </c>
      <c r="BI95" s="82">
        <v>437.4</v>
      </c>
      <c r="BJ95" s="82">
        <v>45.3</v>
      </c>
      <c r="BK95" s="82">
        <v>134</v>
      </c>
      <c r="BL95" s="82">
        <v>52.4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3"/>
        <v>0</v>
      </c>
      <c r="AI96" s="49">
        <f t="shared" si="34"/>
        <v>0</v>
      </c>
      <c r="BF96" s="82"/>
      <c r="BG96" s="82">
        <v>64</v>
      </c>
      <c r="BH96" s="82">
        <v>45.8</v>
      </c>
      <c r="BI96" s="82">
        <v>450</v>
      </c>
      <c r="BJ96" s="82">
        <v>47.1</v>
      </c>
      <c r="BK96" s="82">
        <v>138</v>
      </c>
      <c r="BL96" s="82">
        <v>52.4</v>
      </c>
    </row>
    <row r="97" spans="1:64" ht="15.75" thickBot="1" x14ac:dyDescent="0.3">
      <c r="A97" s="87" t="s">
        <v>123</v>
      </c>
      <c r="B97" s="108">
        <f t="shared" ref="B97:AG97" si="36">B58+B62+B80+B76+B92+B96</f>
        <v>1389.8400000000001</v>
      </c>
      <c r="C97" s="108">
        <f t="shared" si="36"/>
        <v>1384.0400000000002</v>
      </c>
      <c r="D97" s="108">
        <f t="shared" si="36"/>
        <v>1375.1400000000003</v>
      </c>
      <c r="E97" s="108">
        <f t="shared" si="36"/>
        <v>1289.94</v>
      </c>
      <c r="F97" s="108">
        <f t="shared" si="36"/>
        <v>1302.27</v>
      </c>
      <c r="G97" s="108">
        <f t="shared" si="36"/>
        <v>1282.1400000000001</v>
      </c>
      <c r="H97" s="108">
        <f t="shared" si="36"/>
        <v>1278.5400000000002</v>
      </c>
      <c r="I97" s="108">
        <f t="shared" si="36"/>
        <v>1163.24</v>
      </c>
      <c r="J97" s="108">
        <f t="shared" si="36"/>
        <v>1494.03</v>
      </c>
      <c r="K97" s="108">
        <f t="shared" si="36"/>
        <v>1514.03</v>
      </c>
      <c r="L97" s="108">
        <f t="shared" si="36"/>
        <v>1474.0300000000002</v>
      </c>
      <c r="M97" s="108">
        <f t="shared" si="36"/>
        <v>1603.1690000000003</v>
      </c>
      <c r="N97" s="108">
        <f t="shared" si="36"/>
        <v>1653.8690000000001</v>
      </c>
      <c r="O97" s="108">
        <f t="shared" si="36"/>
        <v>1562.9690000000001</v>
      </c>
      <c r="P97" s="108">
        <f t="shared" si="36"/>
        <v>1559.37</v>
      </c>
      <c r="Q97" s="108">
        <f t="shared" si="36"/>
        <v>1586.77</v>
      </c>
      <c r="R97" s="108">
        <f t="shared" si="36"/>
        <v>1618.0700000000002</v>
      </c>
      <c r="S97" s="108">
        <f t="shared" si="36"/>
        <v>1597.3700000000003</v>
      </c>
      <c r="T97" s="108">
        <f t="shared" si="36"/>
        <v>1626.77</v>
      </c>
      <c r="U97" s="108">
        <f>U58+U62+U80+U76+U92+U96</f>
        <v>1618.27</v>
      </c>
      <c r="V97" s="108">
        <f t="shared" si="36"/>
        <v>1571.17</v>
      </c>
      <c r="W97" s="108">
        <f t="shared" si="36"/>
        <v>1537.67</v>
      </c>
      <c r="X97" s="108">
        <f t="shared" si="36"/>
        <v>1489.2700000000002</v>
      </c>
      <c r="Y97" s="108">
        <f t="shared" si="36"/>
        <v>1355.9299999999998</v>
      </c>
      <c r="Z97" s="108">
        <f t="shared" si="36"/>
        <v>1444.53</v>
      </c>
      <c r="AA97" s="108">
        <f t="shared" si="36"/>
        <v>1621.27</v>
      </c>
      <c r="AB97" s="108">
        <f>AB58+AB62+AB80+AB76+AB92+AB96</f>
        <v>1502.97</v>
      </c>
      <c r="AC97" s="108">
        <f>AC58+AC62+AC80+AC76+AC92+AC96</f>
        <v>1503.77</v>
      </c>
      <c r="AD97" s="108">
        <f>AD58+AD62+AD80+AD76+AD92+AD96</f>
        <v>1516.4699999999998</v>
      </c>
      <c r="AE97" s="108">
        <f>AE58+AE62+AE80+AE76+AE92+AE96</f>
        <v>1395.07</v>
      </c>
      <c r="AF97" s="108">
        <f>AF58+AF62+AF80+AF76+AF92+AF96</f>
        <v>1341.27</v>
      </c>
      <c r="AG97" s="72">
        <f t="shared" si="36"/>
        <v>2231.81</v>
      </c>
      <c r="AH97" s="48">
        <f t="shared" si="33"/>
        <v>1653.8690000000001</v>
      </c>
      <c r="AI97" s="49">
        <f t="shared" si="34"/>
        <v>1163.24</v>
      </c>
      <c r="BF97" s="82"/>
      <c r="BG97" s="82">
        <v>70.099999999999994</v>
      </c>
      <c r="BH97" s="82">
        <v>58.2</v>
      </c>
      <c r="BI97" s="82">
        <v>451.9</v>
      </c>
      <c r="BJ97" s="82">
        <v>43.7</v>
      </c>
      <c r="BK97" s="82">
        <v>102.3</v>
      </c>
      <c r="BL97" s="82">
        <v>45.2</v>
      </c>
    </row>
    <row r="98" spans="1:64" ht="15.75" thickBot="1" x14ac:dyDescent="0.3">
      <c r="A98" s="109" t="s">
        <v>124</v>
      </c>
      <c r="B98" s="110">
        <v>250</v>
      </c>
      <c r="C98" s="110">
        <v>250</v>
      </c>
      <c r="D98" s="110">
        <v>250</v>
      </c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150</v>
      </c>
      <c r="Z98" s="110">
        <v>150</v>
      </c>
      <c r="AA98" s="110">
        <v>150</v>
      </c>
      <c r="AB98" s="110">
        <v>210</v>
      </c>
      <c r="AC98" s="110">
        <v>210</v>
      </c>
      <c r="AD98" s="110">
        <v>210</v>
      </c>
      <c r="AE98" s="110">
        <v>210</v>
      </c>
      <c r="AF98" s="110">
        <v>210</v>
      </c>
      <c r="AG98" s="101"/>
      <c r="AH98" s="48">
        <f t="shared" si="33"/>
        <v>250</v>
      </c>
      <c r="AI98" s="49">
        <f t="shared" si="34"/>
        <v>150</v>
      </c>
      <c r="BF98" s="82"/>
      <c r="BG98" s="82">
        <v>64</v>
      </c>
      <c r="BH98" s="82">
        <v>76.7</v>
      </c>
      <c r="BI98" s="82">
        <v>440.3</v>
      </c>
      <c r="BJ98" s="82">
        <v>45.2</v>
      </c>
      <c r="BK98" s="82">
        <v>126.2</v>
      </c>
      <c r="BL98" s="82">
        <v>53</v>
      </c>
    </row>
    <row r="99" spans="1:64" ht="15.75" thickBot="1" x14ac:dyDescent="0.3">
      <c r="A99" s="87" t="s">
        <v>125</v>
      </c>
      <c r="B99" s="108">
        <f t="shared" ref="B99:AA99" si="37">B97+B98</f>
        <v>1639.8400000000001</v>
      </c>
      <c r="C99" s="108">
        <f t="shared" si="37"/>
        <v>1634.0400000000002</v>
      </c>
      <c r="D99" s="108">
        <f t="shared" si="37"/>
        <v>1625.1400000000003</v>
      </c>
      <c r="E99" s="108">
        <f t="shared" si="37"/>
        <v>1289.94</v>
      </c>
      <c r="F99" s="108">
        <f t="shared" si="37"/>
        <v>1302.27</v>
      </c>
      <c r="G99" s="108">
        <f t="shared" si="37"/>
        <v>1282.1400000000001</v>
      </c>
      <c r="H99" s="108">
        <f t="shared" si="37"/>
        <v>1278.5400000000002</v>
      </c>
      <c r="I99" s="108">
        <f t="shared" si="37"/>
        <v>1163.24</v>
      </c>
      <c r="J99" s="108">
        <f t="shared" si="37"/>
        <v>1494.03</v>
      </c>
      <c r="K99" s="108">
        <f t="shared" si="37"/>
        <v>1514.03</v>
      </c>
      <c r="L99" s="108">
        <f t="shared" si="37"/>
        <v>1474.0300000000002</v>
      </c>
      <c r="M99" s="108">
        <f t="shared" si="37"/>
        <v>1603.1690000000003</v>
      </c>
      <c r="N99" s="108">
        <f t="shared" si="37"/>
        <v>1653.8690000000001</v>
      </c>
      <c r="O99" s="108">
        <f t="shared" si="37"/>
        <v>1562.9690000000001</v>
      </c>
      <c r="P99" s="108">
        <f t="shared" si="37"/>
        <v>1559.37</v>
      </c>
      <c r="Q99" s="108">
        <f t="shared" si="37"/>
        <v>1586.77</v>
      </c>
      <c r="R99" s="108">
        <f t="shared" si="37"/>
        <v>1618.0700000000002</v>
      </c>
      <c r="S99" s="108">
        <f t="shared" si="37"/>
        <v>1597.3700000000003</v>
      </c>
      <c r="T99" s="108">
        <f t="shared" si="37"/>
        <v>1626.77</v>
      </c>
      <c r="U99" s="108">
        <f>U97+U98</f>
        <v>1618.27</v>
      </c>
      <c r="V99" s="108">
        <f t="shared" si="37"/>
        <v>1571.17</v>
      </c>
      <c r="W99" s="108">
        <f t="shared" si="37"/>
        <v>1537.67</v>
      </c>
      <c r="X99" s="108">
        <f t="shared" si="37"/>
        <v>1489.2700000000002</v>
      </c>
      <c r="Y99" s="108">
        <f t="shared" si="37"/>
        <v>1505.9299999999998</v>
      </c>
      <c r="Z99" s="108">
        <f t="shared" si="37"/>
        <v>1594.53</v>
      </c>
      <c r="AA99" s="108">
        <f t="shared" si="37"/>
        <v>1771.27</v>
      </c>
      <c r="AB99" s="108">
        <f>AB97+AB98</f>
        <v>1712.97</v>
      </c>
      <c r="AC99" s="108">
        <f>AC97+AC98</f>
        <v>1713.77</v>
      </c>
      <c r="AD99" s="108">
        <f>AD97+AD98</f>
        <v>1726.4699999999998</v>
      </c>
      <c r="AE99" s="108">
        <f>AE97+AE98</f>
        <v>1605.07</v>
      </c>
      <c r="AF99" s="108">
        <f>AF97+AF98</f>
        <v>1551.27</v>
      </c>
      <c r="AG99" s="101">
        <f>AG96+AG92+AG80+AG76+AG58+AG98</f>
        <v>1693.71</v>
      </c>
      <c r="AH99" s="48">
        <f t="shared" si="33"/>
        <v>1771.27</v>
      </c>
      <c r="AI99" s="49">
        <f t="shared" si="34"/>
        <v>1163.24</v>
      </c>
      <c r="BF99" s="82"/>
      <c r="BG99" s="82">
        <v>70</v>
      </c>
      <c r="BH99" s="82">
        <v>82</v>
      </c>
      <c r="BI99" s="82">
        <v>417</v>
      </c>
      <c r="BJ99" s="82">
        <v>49</v>
      </c>
      <c r="BK99" s="82">
        <v>125.5</v>
      </c>
      <c r="BL99" s="82">
        <v>53</v>
      </c>
    </row>
    <row r="100" spans="1:64" ht="15.75" thickBot="1" x14ac:dyDescent="0.3">
      <c r="A100" s="87" t="s">
        <v>126</v>
      </c>
      <c r="B100" s="108">
        <f t="shared" ref="B100:AA100" si="38">B99-(B107)</f>
        <v>1639.8400000000001</v>
      </c>
      <c r="C100" s="108">
        <f t="shared" si="38"/>
        <v>1634.0400000000002</v>
      </c>
      <c r="D100" s="108">
        <f t="shared" si="38"/>
        <v>1625.1400000000003</v>
      </c>
      <c r="E100" s="108">
        <f t="shared" si="38"/>
        <v>1289.94</v>
      </c>
      <c r="F100" s="108">
        <f t="shared" si="38"/>
        <v>1302.27</v>
      </c>
      <c r="G100" s="108">
        <f t="shared" si="38"/>
        <v>1282.1400000000001</v>
      </c>
      <c r="H100" s="108">
        <f t="shared" si="38"/>
        <v>1278.5400000000002</v>
      </c>
      <c r="I100" s="108">
        <f t="shared" si="38"/>
        <v>1163.24</v>
      </c>
      <c r="J100" s="108">
        <f t="shared" si="38"/>
        <v>1494.03</v>
      </c>
      <c r="K100" s="108">
        <f t="shared" si="38"/>
        <v>1514.03</v>
      </c>
      <c r="L100" s="108">
        <f t="shared" si="38"/>
        <v>1474.0300000000002</v>
      </c>
      <c r="M100" s="108">
        <f t="shared" si="38"/>
        <v>1603.1690000000003</v>
      </c>
      <c r="N100" s="108">
        <f t="shared" si="38"/>
        <v>1653.8690000000001</v>
      </c>
      <c r="O100" s="108">
        <f t="shared" si="38"/>
        <v>1562.9690000000001</v>
      </c>
      <c r="P100" s="108">
        <f t="shared" si="38"/>
        <v>1559.37</v>
      </c>
      <c r="Q100" s="108">
        <f t="shared" si="38"/>
        <v>1586.77</v>
      </c>
      <c r="R100" s="108">
        <f t="shared" si="38"/>
        <v>1618.0700000000002</v>
      </c>
      <c r="S100" s="108">
        <f t="shared" si="38"/>
        <v>1597.3700000000003</v>
      </c>
      <c r="T100" s="108">
        <f t="shared" si="38"/>
        <v>1626.77</v>
      </c>
      <c r="U100" s="108">
        <f>U99-(U107)</f>
        <v>1618.27</v>
      </c>
      <c r="V100" s="108">
        <f t="shared" si="38"/>
        <v>1571.17</v>
      </c>
      <c r="W100" s="108">
        <f t="shared" si="38"/>
        <v>1537.67</v>
      </c>
      <c r="X100" s="108">
        <f t="shared" si="38"/>
        <v>1489.2700000000002</v>
      </c>
      <c r="Y100" s="108">
        <f t="shared" si="38"/>
        <v>1505.9299999999998</v>
      </c>
      <c r="Z100" s="108">
        <f t="shared" si="38"/>
        <v>1594.53</v>
      </c>
      <c r="AA100" s="108">
        <f t="shared" si="38"/>
        <v>1771.27</v>
      </c>
      <c r="AB100" s="108">
        <f>AB99-(AB107)</f>
        <v>1712.97</v>
      </c>
      <c r="AC100" s="108">
        <f>AC99-(AC107)</f>
        <v>1713.77</v>
      </c>
      <c r="AD100" s="108">
        <f>AD99-(AD107)</f>
        <v>1726.4699999999998</v>
      </c>
      <c r="AE100" s="108">
        <f>AE99-(AE107)</f>
        <v>1605.07</v>
      </c>
      <c r="AF100" s="108">
        <f>AF99-(AF107)</f>
        <v>1551.27</v>
      </c>
      <c r="AG100" s="101"/>
      <c r="AH100" s="48">
        <f t="shared" si="33"/>
        <v>1771.27</v>
      </c>
      <c r="AI100" s="49">
        <f t="shared" si="34"/>
        <v>1163.24</v>
      </c>
      <c r="BF100" s="82"/>
      <c r="BG100" s="82">
        <v>69</v>
      </c>
      <c r="BH100" s="82">
        <v>80</v>
      </c>
      <c r="BI100" s="82">
        <v>350</v>
      </c>
      <c r="BJ100" s="82">
        <v>46</v>
      </c>
      <c r="BK100" s="82">
        <v>130.80000000000001</v>
      </c>
      <c r="BL100" s="82">
        <v>46.2</v>
      </c>
    </row>
    <row r="101" spans="1:64" x14ac:dyDescent="0.25">
      <c r="A101" s="45" t="s">
        <v>107</v>
      </c>
      <c r="B101" s="89">
        <f t="shared" ref="B101:AA101" si="39">IF(B84&lt;0,B84*-1,0)</f>
        <v>0</v>
      </c>
      <c r="C101" s="89">
        <f t="shared" si="39"/>
        <v>0</v>
      </c>
      <c r="D101" s="89">
        <f t="shared" si="39"/>
        <v>0</v>
      </c>
      <c r="E101" s="89">
        <f t="shared" si="39"/>
        <v>0</v>
      </c>
      <c r="F101" s="89">
        <f t="shared" si="39"/>
        <v>0</v>
      </c>
      <c r="G101" s="89">
        <f t="shared" si="39"/>
        <v>0</v>
      </c>
      <c r="H101" s="89">
        <f t="shared" si="39"/>
        <v>0</v>
      </c>
      <c r="I101" s="89">
        <f t="shared" si="39"/>
        <v>0</v>
      </c>
      <c r="J101" s="89">
        <f t="shared" si="39"/>
        <v>0</v>
      </c>
      <c r="K101" s="89">
        <f t="shared" si="39"/>
        <v>0</v>
      </c>
      <c r="L101" s="89">
        <f t="shared" si="39"/>
        <v>0</v>
      </c>
      <c r="M101" s="89">
        <f t="shared" si="39"/>
        <v>0</v>
      </c>
      <c r="N101" s="89">
        <f t="shared" si="39"/>
        <v>0</v>
      </c>
      <c r="O101" s="89">
        <f t="shared" si="39"/>
        <v>0</v>
      </c>
      <c r="P101" s="89">
        <f t="shared" si="39"/>
        <v>0</v>
      </c>
      <c r="Q101" s="89">
        <f t="shared" si="39"/>
        <v>0</v>
      </c>
      <c r="R101" s="89">
        <f t="shared" si="39"/>
        <v>0</v>
      </c>
      <c r="S101" s="89">
        <f t="shared" si="39"/>
        <v>0</v>
      </c>
      <c r="T101" s="89">
        <f t="shared" si="39"/>
        <v>0</v>
      </c>
      <c r="U101" s="89">
        <f>IF(U84&lt;0,U84*-1,0)</f>
        <v>0</v>
      </c>
      <c r="V101" s="89">
        <f t="shared" si="39"/>
        <v>0</v>
      </c>
      <c r="W101" s="89">
        <f t="shared" si="39"/>
        <v>0</v>
      </c>
      <c r="X101" s="89">
        <f t="shared" si="39"/>
        <v>0</v>
      </c>
      <c r="Y101" s="89">
        <f t="shared" si="39"/>
        <v>0</v>
      </c>
      <c r="Z101" s="89">
        <f t="shared" si="39"/>
        <v>0</v>
      </c>
      <c r="AA101" s="89">
        <f t="shared" si="39"/>
        <v>0</v>
      </c>
      <c r="AB101" s="89">
        <f>IF(AB84&lt;0,AB84*-1,0)</f>
        <v>0</v>
      </c>
      <c r="AC101" s="89">
        <f>IF(AC84&lt;0,AC84*-1,0)</f>
        <v>0</v>
      </c>
      <c r="AD101" s="89">
        <f>IF(AD84&lt;0,AD84*-1,0)</f>
        <v>0</v>
      </c>
      <c r="AE101" s="89">
        <f>IF(AE84&lt;0,AE84*-1,0)</f>
        <v>0</v>
      </c>
      <c r="AF101" s="89">
        <f>IF(AF84&lt;0,AF84*-1,0)</f>
        <v>0</v>
      </c>
      <c r="AG101" s="61"/>
      <c r="AH101" s="48">
        <f t="shared" si="33"/>
        <v>0</v>
      </c>
      <c r="AI101" s="49">
        <f t="shared" si="34"/>
        <v>0</v>
      </c>
      <c r="BF101" s="81"/>
      <c r="BG101" s="82">
        <v>63</v>
      </c>
      <c r="BH101" s="82">
        <v>0</v>
      </c>
      <c r="BI101" s="82">
        <v>200</v>
      </c>
      <c r="BJ101" s="82">
        <v>49.7</v>
      </c>
      <c r="BK101" s="82">
        <v>100.6</v>
      </c>
      <c r="BL101" s="82">
        <v>40.700000000000003</v>
      </c>
    </row>
    <row r="102" spans="1:64" x14ac:dyDescent="0.25">
      <c r="A102" s="65" t="s">
        <v>105</v>
      </c>
      <c r="B102" s="89">
        <f t="shared" ref="B102:AA102" si="40">IF(B82&lt;0,B82*-1,0)</f>
        <v>0</v>
      </c>
      <c r="C102" s="89">
        <f t="shared" si="40"/>
        <v>0</v>
      </c>
      <c r="D102" s="89">
        <f t="shared" si="40"/>
        <v>0</v>
      </c>
      <c r="E102" s="89">
        <f t="shared" si="40"/>
        <v>0</v>
      </c>
      <c r="F102" s="89">
        <f t="shared" si="40"/>
        <v>0</v>
      </c>
      <c r="G102" s="89">
        <f t="shared" si="40"/>
        <v>0</v>
      </c>
      <c r="H102" s="89">
        <f t="shared" si="40"/>
        <v>0</v>
      </c>
      <c r="I102" s="89">
        <f t="shared" si="40"/>
        <v>0</v>
      </c>
      <c r="J102" s="89">
        <f t="shared" si="40"/>
        <v>0</v>
      </c>
      <c r="K102" s="89">
        <f t="shared" si="40"/>
        <v>0</v>
      </c>
      <c r="L102" s="89">
        <f t="shared" si="40"/>
        <v>0</v>
      </c>
      <c r="M102" s="89">
        <f t="shared" si="40"/>
        <v>0</v>
      </c>
      <c r="N102" s="89">
        <f t="shared" si="40"/>
        <v>0</v>
      </c>
      <c r="O102" s="89">
        <f t="shared" si="40"/>
        <v>0</v>
      </c>
      <c r="P102" s="89">
        <f t="shared" si="40"/>
        <v>0</v>
      </c>
      <c r="Q102" s="89">
        <f t="shared" si="40"/>
        <v>0</v>
      </c>
      <c r="R102" s="89">
        <f t="shared" si="40"/>
        <v>0</v>
      </c>
      <c r="S102" s="89">
        <f t="shared" si="40"/>
        <v>0</v>
      </c>
      <c r="T102" s="89">
        <f t="shared" si="40"/>
        <v>0</v>
      </c>
      <c r="U102" s="89">
        <f>IF(U82&lt;0,U82*-1,0)</f>
        <v>0</v>
      </c>
      <c r="V102" s="89">
        <f t="shared" si="40"/>
        <v>0</v>
      </c>
      <c r="W102" s="89">
        <f t="shared" si="40"/>
        <v>0</v>
      </c>
      <c r="X102" s="89">
        <f t="shared" si="40"/>
        <v>0</v>
      </c>
      <c r="Y102" s="89">
        <f t="shared" si="40"/>
        <v>0</v>
      </c>
      <c r="Z102" s="89">
        <f t="shared" si="40"/>
        <v>0</v>
      </c>
      <c r="AA102" s="89">
        <f t="shared" si="40"/>
        <v>0</v>
      </c>
      <c r="AB102" s="89">
        <f>IF(AB82&lt;0,AB82*-1,0)</f>
        <v>0</v>
      </c>
      <c r="AC102" s="89">
        <f>IF(AC82&lt;0,AC82*-1,0)</f>
        <v>0</v>
      </c>
      <c r="AD102" s="89">
        <f>IF(AD82&lt;0,AD82*-1,0)</f>
        <v>0</v>
      </c>
      <c r="AE102" s="89">
        <f>IF(AE82&lt;0,AE82*-1,0)</f>
        <v>0</v>
      </c>
      <c r="AF102" s="89">
        <f>IF(AF82&lt;0,AF82*-1,0)</f>
        <v>0</v>
      </c>
      <c r="AG102" s="66"/>
      <c r="AH102" s="48">
        <f t="shared" si="33"/>
        <v>0</v>
      </c>
      <c r="AI102" s="49">
        <f t="shared" si="34"/>
        <v>0</v>
      </c>
      <c r="BF102" s="81"/>
      <c r="BG102" s="82">
        <v>31.4</v>
      </c>
      <c r="BH102" s="82">
        <v>0</v>
      </c>
      <c r="BI102" s="82">
        <v>60.2</v>
      </c>
      <c r="BJ102" s="82">
        <v>0</v>
      </c>
      <c r="BK102" s="82">
        <v>0</v>
      </c>
      <c r="BL102" s="82">
        <v>31.7</v>
      </c>
    </row>
    <row r="103" spans="1:64" x14ac:dyDescent="0.25">
      <c r="A103" s="97" t="s">
        <v>127</v>
      </c>
      <c r="B103" s="89">
        <f t="shared" ref="B103:AA103" si="41">IF(B85&lt;0,B85*-1,0)</f>
        <v>0</v>
      </c>
      <c r="C103" s="89">
        <f t="shared" si="41"/>
        <v>0</v>
      </c>
      <c r="D103" s="89">
        <f t="shared" si="41"/>
        <v>0</v>
      </c>
      <c r="E103" s="89">
        <f t="shared" si="41"/>
        <v>0</v>
      </c>
      <c r="F103" s="89">
        <f t="shared" si="41"/>
        <v>0</v>
      </c>
      <c r="G103" s="89">
        <f t="shared" si="41"/>
        <v>0</v>
      </c>
      <c r="H103" s="89">
        <f t="shared" si="41"/>
        <v>0</v>
      </c>
      <c r="I103" s="89">
        <f t="shared" si="41"/>
        <v>0</v>
      </c>
      <c r="J103" s="89">
        <f t="shared" si="41"/>
        <v>0</v>
      </c>
      <c r="K103" s="89">
        <f t="shared" si="41"/>
        <v>0</v>
      </c>
      <c r="L103" s="89">
        <f t="shared" si="41"/>
        <v>0</v>
      </c>
      <c r="M103" s="89">
        <f t="shared" si="41"/>
        <v>0</v>
      </c>
      <c r="N103" s="89">
        <f t="shared" si="41"/>
        <v>0</v>
      </c>
      <c r="O103" s="89">
        <f t="shared" si="41"/>
        <v>0</v>
      </c>
      <c r="P103" s="89">
        <f t="shared" si="41"/>
        <v>0</v>
      </c>
      <c r="Q103" s="89">
        <f t="shared" si="41"/>
        <v>0</v>
      </c>
      <c r="R103" s="89">
        <f t="shared" si="41"/>
        <v>0</v>
      </c>
      <c r="S103" s="89">
        <f t="shared" si="41"/>
        <v>0</v>
      </c>
      <c r="T103" s="89">
        <f t="shared" si="41"/>
        <v>0</v>
      </c>
      <c r="U103" s="89">
        <f>IF(U85&lt;0,U85*-1,0)</f>
        <v>0</v>
      </c>
      <c r="V103" s="89">
        <f t="shared" si="41"/>
        <v>0</v>
      </c>
      <c r="W103" s="89">
        <f t="shared" si="41"/>
        <v>0</v>
      </c>
      <c r="X103" s="89">
        <f t="shared" si="41"/>
        <v>0</v>
      </c>
      <c r="Y103" s="89">
        <f t="shared" si="41"/>
        <v>0</v>
      </c>
      <c r="Z103" s="89">
        <f t="shared" si="41"/>
        <v>0</v>
      </c>
      <c r="AA103" s="89">
        <f t="shared" si="41"/>
        <v>0</v>
      </c>
      <c r="AB103" s="89">
        <f>IF(AB85&lt;0,AB85*-1,0)</f>
        <v>0</v>
      </c>
      <c r="AC103" s="89">
        <f>IF(AC85&lt;0,AC85*-1,0)</f>
        <v>0</v>
      </c>
      <c r="AD103" s="89">
        <f>IF(AD85&lt;0,AD85*-1,0)</f>
        <v>0</v>
      </c>
      <c r="AE103" s="89">
        <f>IF(AE85&lt;0,AE85*-1,0)</f>
        <v>0</v>
      </c>
      <c r="AF103" s="89">
        <f>IF(AF85&lt;0,AF85*-1,0)</f>
        <v>0</v>
      </c>
      <c r="AG103" s="111"/>
      <c r="AH103" s="48">
        <f t="shared" si="33"/>
        <v>0</v>
      </c>
      <c r="AI103" s="49">
        <f t="shared" si="34"/>
        <v>0</v>
      </c>
      <c r="BF103" s="81"/>
      <c r="BG103" s="82">
        <v>33.1</v>
      </c>
      <c r="BH103" s="82">
        <v>0</v>
      </c>
      <c r="BI103" s="82">
        <v>16.399999999999999</v>
      </c>
      <c r="BJ103" s="82">
        <v>0</v>
      </c>
      <c r="BK103" s="82">
        <v>0</v>
      </c>
      <c r="BL103" s="82">
        <v>34.9</v>
      </c>
    </row>
    <row r="104" spans="1:64" x14ac:dyDescent="0.25">
      <c r="A104" s="97" t="s">
        <v>128</v>
      </c>
      <c r="B104" s="89">
        <f t="shared" ref="B104:AA104" si="42">IF(B83&lt;0,B83*-1,0)</f>
        <v>0</v>
      </c>
      <c r="C104" s="89">
        <f t="shared" si="42"/>
        <v>0</v>
      </c>
      <c r="D104" s="89">
        <f t="shared" si="42"/>
        <v>0</v>
      </c>
      <c r="E104" s="89">
        <f t="shared" si="42"/>
        <v>0</v>
      </c>
      <c r="F104" s="89">
        <f t="shared" si="42"/>
        <v>0</v>
      </c>
      <c r="G104" s="89">
        <f t="shared" si="42"/>
        <v>0</v>
      </c>
      <c r="H104" s="89">
        <f t="shared" si="42"/>
        <v>0</v>
      </c>
      <c r="I104" s="89">
        <f t="shared" si="42"/>
        <v>0</v>
      </c>
      <c r="J104" s="89">
        <f t="shared" si="42"/>
        <v>0</v>
      </c>
      <c r="K104" s="89">
        <f t="shared" si="42"/>
        <v>0</v>
      </c>
      <c r="L104" s="89">
        <f t="shared" si="42"/>
        <v>0</v>
      </c>
      <c r="M104" s="89">
        <f t="shared" si="42"/>
        <v>0</v>
      </c>
      <c r="N104" s="89">
        <f t="shared" si="42"/>
        <v>0</v>
      </c>
      <c r="O104" s="89">
        <f t="shared" si="42"/>
        <v>0</v>
      </c>
      <c r="P104" s="89">
        <f t="shared" si="42"/>
        <v>0</v>
      </c>
      <c r="Q104" s="89">
        <f t="shared" si="42"/>
        <v>0</v>
      </c>
      <c r="R104" s="89">
        <f t="shared" si="42"/>
        <v>0</v>
      </c>
      <c r="S104" s="89">
        <f t="shared" si="42"/>
        <v>0</v>
      </c>
      <c r="T104" s="89">
        <f t="shared" si="42"/>
        <v>0</v>
      </c>
      <c r="U104" s="89">
        <f>IF(U83&lt;0,U83*-1,0)</f>
        <v>0</v>
      </c>
      <c r="V104" s="89">
        <f t="shared" si="42"/>
        <v>0</v>
      </c>
      <c r="W104" s="89">
        <f t="shared" si="42"/>
        <v>0</v>
      </c>
      <c r="X104" s="89">
        <f t="shared" si="42"/>
        <v>0</v>
      </c>
      <c r="Y104" s="89">
        <f t="shared" si="42"/>
        <v>0</v>
      </c>
      <c r="Z104" s="89">
        <f t="shared" si="42"/>
        <v>0</v>
      </c>
      <c r="AA104" s="89">
        <f t="shared" si="42"/>
        <v>0</v>
      </c>
      <c r="AB104" s="89">
        <f>IF(AB83&lt;0,AB83*-1,0)</f>
        <v>0</v>
      </c>
      <c r="AC104" s="89">
        <f>IF(AC83&lt;0,AC83*-1,0)</f>
        <v>0</v>
      </c>
      <c r="AD104" s="89">
        <f>IF(AD83&lt;0,AD83*-1,0)</f>
        <v>0</v>
      </c>
      <c r="AE104" s="89">
        <f>IF(AE83&lt;0,AE83*-1,0)</f>
        <v>0</v>
      </c>
      <c r="AF104" s="89">
        <f>IF(AF83&lt;0,AF83*-1,0)</f>
        <v>0</v>
      </c>
      <c r="AG104" s="111"/>
      <c r="AH104" s="48">
        <f t="shared" si="33"/>
        <v>0</v>
      </c>
      <c r="AI104" s="49">
        <f t="shared" si="34"/>
        <v>0</v>
      </c>
      <c r="BF104" s="81"/>
      <c r="BG104" s="82">
        <v>0</v>
      </c>
      <c r="BH104" s="82">
        <v>0</v>
      </c>
      <c r="BI104" s="82">
        <v>52.6</v>
      </c>
      <c r="BJ104" s="82">
        <v>0</v>
      </c>
      <c r="BK104" s="82">
        <v>0</v>
      </c>
      <c r="BL104" s="82">
        <v>36</v>
      </c>
    </row>
    <row r="105" spans="1:64" x14ac:dyDescent="0.25">
      <c r="A105" s="97" t="s">
        <v>104</v>
      </c>
      <c r="B105" s="89">
        <f t="shared" ref="B105:AA105" si="43">IF(B81&lt;0,B81*-1,0)</f>
        <v>0</v>
      </c>
      <c r="C105" s="89">
        <f t="shared" si="43"/>
        <v>0</v>
      </c>
      <c r="D105" s="89">
        <f t="shared" si="43"/>
        <v>0</v>
      </c>
      <c r="E105" s="89">
        <f t="shared" si="43"/>
        <v>0</v>
      </c>
      <c r="F105" s="89">
        <f t="shared" si="43"/>
        <v>0</v>
      </c>
      <c r="G105" s="89">
        <f t="shared" si="43"/>
        <v>0</v>
      </c>
      <c r="H105" s="89">
        <f t="shared" si="43"/>
        <v>0</v>
      </c>
      <c r="I105" s="89">
        <f t="shared" si="43"/>
        <v>0</v>
      </c>
      <c r="J105" s="89">
        <f t="shared" si="43"/>
        <v>0</v>
      </c>
      <c r="K105" s="89">
        <f t="shared" si="43"/>
        <v>0</v>
      </c>
      <c r="L105" s="89">
        <f t="shared" si="43"/>
        <v>0</v>
      </c>
      <c r="M105" s="89">
        <f t="shared" si="43"/>
        <v>0</v>
      </c>
      <c r="N105" s="89">
        <f t="shared" si="43"/>
        <v>0</v>
      </c>
      <c r="O105" s="89">
        <f t="shared" si="43"/>
        <v>0</v>
      </c>
      <c r="P105" s="89">
        <f t="shared" si="43"/>
        <v>0</v>
      </c>
      <c r="Q105" s="89">
        <f t="shared" si="43"/>
        <v>0</v>
      </c>
      <c r="R105" s="89">
        <f t="shared" si="43"/>
        <v>0</v>
      </c>
      <c r="S105" s="89">
        <f t="shared" si="43"/>
        <v>0</v>
      </c>
      <c r="T105" s="89">
        <f t="shared" si="43"/>
        <v>0</v>
      </c>
      <c r="U105" s="89">
        <f>IF(U81&lt;0,U81*-1,0)</f>
        <v>0</v>
      </c>
      <c r="V105" s="89">
        <f t="shared" si="43"/>
        <v>0</v>
      </c>
      <c r="W105" s="89">
        <f t="shared" si="43"/>
        <v>0</v>
      </c>
      <c r="X105" s="89">
        <f t="shared" si="43"/>
        <v>0</v>
      </c>
      <c r="Y105" s="89">
        <f t="shared" si="43"/>
        <v>0</v>
      </c>
      <c r="Z105" s="89">
        <f t="shared" si="43"/>
        <v>0</v>
      </c>
      <c r="AA105" s="89">
        <f t="shared" si="43"/>
        <v>0</v>
      </c>
      <c r="AB105" s="89">
        <f>IF(AB81&lt;0,AB81*-1,0)</f>
        <v>0</v>
      </c>
      <c r="AC105" s="89">
        <f>IF(AC81&lt;0,AC81*-1,0)</f>
        <v>0</v>
      </c>
      <c r="AD105" s="89">
        <f>IF(AD81&lt;0,AD81*-1,0)</f>
        <v>0</v>
      </c>
      <c r="AE105" s="89">
        <f>IF(AE81&lt;0,AE81*-1,0)</f>
        <v>0</v>
      </c>
      <c r="AF105" s="89">
        <f>IF(AF81&lt;0,AF81*-1,0)</f>
        <v>0</v>
      </c>
      <c r="AG105" s="111"/>
      <c r="AH105" s="48">
        <f t="shared" si="33"/>
        <v>0</v>
      </c>
      <c r="AI105" s="49">
        <f t="shared" si="34"/>
        <v>0</v>
      </c>
      <c r="BF105" s="81"/>
      <c r="BG105" s="82">
        <v>23.7</v>
      </c>
      <c r="BH105" s="82">
        <v>0</v>
      </c>
      <c r="BI105" s="82">
        <v>0</v>
      </c>
      <c r="BJ105" s="82">
        <v>0</v>
      </c>
      <c r="BK105" s="82">
        <v>0</v>
      </c>
      <c r="BL105" s="82">
        <v>38.6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1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3"/>
        <v>1</v>
      </c>
      <c r="AI106" s="49">
        <f t="shared" si="34"/>
        <v>0</v>
      </c>
      <c r="BG106" s="82">
        <v>18</v>
      </c>
      <c r="BH106" s="82">
        <v>0</v>
      </c>
      <c r="BI106" s="82">
        <v>0</v>
      </c>
      <c r="BJ106" s="82">
        <v>0</v>
      </c>
      <c r="BK106" s="82">
        <v>0</v>
      </c>
      <c r="BL106" s="82">
        <v>39.4</v>
      </c>
    </row>
    <row r="107" spans="1:64" ht="15.75" thickBot="1" x14ac:dyDescent="0.3">
      <c r="A107" s="112" t="s">
        <v>130</v>
      </c>
      <c r="B107" s="71">
        <f t="shared" ref="B107:AA107" si="44">SUM(B101:B106)</f>
        <v>0</v>
      </c>
      <c r="C107" s="71">
        <f t="shared" si="44"/>
        <v>0</v>
      </c>
      <c r="D107" s="71">
        <f t="shared" si="44"/>
        <v>0</v>
      </c>
      <c r="E107" s="71">
        <f t="shared" si="44"/>
        <v>0</v>
      </c>
      <c r="F107" s="71">
        <f t="shared" si="44"/>
        <v>0</v>
      </c>
      <c r="G107" s="71">
        <f t="shared" si="44"/>
        <v>0</v>
      </c>
      <c r="H107" s="71">
        <f t="shared" si="44"/>
        <v>0</v>
      </c>
      <c r="I107" s="71">
        <f t="shared" si="44"/>
        <v>0</v>
      </c>
      <c r="J107" s="71">
        <f t="shared" si="44"/>
        <v>0</v>
      </c>
      <c r="K107" s="71">
        <f t="shared" si="44"/>
        <v>0</v>
      </c>
      <c r="L107" s="71">
        <f t="shared" si="44"/>
        <v>0</v>
      </c>
      <c r="M107" s="71">
        <f t="shared" si="44"/>
        <v>0</v>
      </c>
      <c r="N107" s="71">
        <f t="shared" si="44"/>
        <v>0</v>
      </c>
      <c r="O107" s="71">
        <f t="shared" si="44"/>
        <v>0</v>
      </c>
      <c r="P107" s="71">
        <f t="shared" si="44"/>
        <v>0</v>
      </c>
      <c r="Q107" s="71">
        <f t="shared" si="44"/>
        <v>0</v>
      </c>
      <c r="R107" s="71">
        <f t="shared" si="44"/>
        <v>0</v>
      </c>
      <c r="S107" s="71">
        <f t="shared" si="44"/>
        <v>0</v>
      </c>
      <c r="T107" s="71">
        <f t="shared" si="44"/>
        <v>0</v>
      </c>
      <c r="U107" s="71">
        <v>0</v>
      </c>
      <c r="V107" s="71">
        <f t="shared" si="44"/>
        <v>0</v>
      </c>
      <c r="W107" s="71">
        <f t="shared" si="44"/>
        <v>0</v>
      </c>
      <c r="X107" s="71">
        <f t="shared" si="44"/>
        <v>0</v>
      </c>
      <c r="Y107" s="71">
        <f t="shared" si="44"/>
        <v>0</v>
      </c>
      <c r="Z107" s="71">
        <f t="shared" si="44"/>
        <v>0</v>
      </c>
      <c r="AA107" s="71">
        <f t="shared" si="44"/>
        <v>0</v>
      </c>
      <c r="AB107" s="71">
        <f>SUM(AB101:AB106)</f>
        <v>0</v>
      </c>
      <c r="AC107" s="71">
        <f>SUM(AC101:AC106)</f>
        <v>0</v>
      </c>
      <c r="AD107" s="71">
        <f>SUM(AD101:AD106)</f>
        <v>0</v>
      </c>
      <c r="AE107" s="71">
        <f>SUM(AE101:AE106)</f>
        <v>0</v>
      </c>
      <c r="AF107" s="71">
        <f>SUM(AF101:AF106)</f>
        <v>0</v>
      </c>
      <c r="AG107" s="101"/>
      <c r="AH107" s="48">
        <f t="shared" si="33"/>
        <v>0</v>
      </c>
      <c r="AI107" s="49">
        <f t="shared" si="34"/>
        <v>0</v>
      </c>
      <c r="AK107" s="51"/>
      <c r="BG107" s="82">
        <v>59</v>
      </c>
      <c r="BH107" s="82">
        <v>0</v>
      </c>
      <c r="BI107" s="82">
        <v>142</v>
      </c>
      <c r="BJ107" s="82">
        <v>15</v>
      </c>
      <c r="BK107" s="82">
        <v>0</v>
      </c>
      <c r="BL107" s="82">
        <v>48</v>
      </c>
    </row>
    <row r="108" spans="1:64" ht="15.75" thickBot="1" x14ac:dyDescent="0.3">
      <c r="A108" s="87" t="s">
        <v>131</v>
      </c>
      <c r="B108" s="71">
        <f t="shared" ref="B108:AA108" si="45">B92-B107</f>
        <v>264</v>
      </c>
      <c r="C108" s="71">
        <f t="shared" si="45"/>
        <v>257.2</v>
      </c>
      <c r="D108" s="71">
        <f t="shared" si="45"/>
        <v>270.89999999999998</v>
      </c>
      <c r="E108" s="71">
        <f t="shared" si="45"/>
        <v>261.60000000000002</v>
      </c>
      <c r="F108" s="71">
        <f t="shared" si="45"/>
        <v>271.13</v>
      </c>
      <c r="G108" s="71">
        <f t="shared" si="45"/>
        <v>252.3</v>
      </c>
      <c r="H108" s="71">
        <f t="shared" si="45"/>
        <v>253.40000000000003</v>
      </c>
      <c r="I108" s="71">
        <f t="shared" si="45"/>
        <v>151</v>
      </c>
      <c r="J108" s="71">
        <f t="shared" si="45"/>
        <v>528.79999999999995</v>
      </c>
      <c r="K108" s="71">
        <f t="shared" si="45"/>
        <v>556</v>
      </c>
      <c r="L108" s="71">
        <f t="shared" si="45"/>
        <v>557.6</v>
      </c>
      <c r="M108" s="71">
        <f t="shared" si="45"/>
        <v>710.50000000000011</v>
      </c>
      <c r="N108" s="71">
        <f t="shared" si="45"/>
        <v>756.4</v>
      </c>
      <c r="O108" s="71">
        <f t="shared" si="45"/>
        <v>707.7</v>
      </c>
      <c r="P108" s="71">
        <f t="shared" si="45"/>
        <v>729.99999999999989</v>
      </c>
      <c r="Q108" s="71">
        <f t="shared" si="45"/>
        <v>782.99999999999989</v>
      </c>
      <c r="R108" s="71">
        <f t="shared" si="45"/>
        <v>797.3</v>
      </c>
      <c r="S108" s="71">
        <f t="shared" si="45"/>
        <v>771.40000000000009</v>
      </c>
      <c r="T108" s="71">
        <f t="shared" si="45"/>
        <v>805.40000000000009</v>
      </c>
      <c r="U108" s="71">
        <f>U92-U107</f>
        <v>796.5</v>
      </c>
      <c r="V108" s="71">
        <f t="shared" si="45"/>
        <v>722</v>
      </c>
      <c r="W108" s="71">
        <f t="shared" si="45"/>
        <v>676.4</v>
      </c>
      <c r="X108" s="71">
        <f t="shared" si="45"/>
        <v>453.99999999999994</v>
      </c>
      <c r="Y108" s="71">
        <f t="shared" si="45"/>
        <v>85.5</v>
      </c>
      <c r="Z108" s="71">
        <f t="shared" si="45"/>
        <v>123.3</v>
      </c>
      <c r="AA108" s="71">
        <f t="shared" si="45"/>
        <v>132.9</v>
      </c>
      <c r="AB108" s="71">
        <f>AB92-AB107</f>
        <v>84.4</v>
      </c>
      <c r="AC108" s="71">
        <f>AC92-AC107</f>
        <v>109</v>
      </c>
      <c r="AD108" s="71">
        <f>AD92-AD107</f>
        <v>88.6</v>
      </c>
      <c r="AE108" s="71">
        <f>AE92-AE107</f>
        <v>62.3</v>
      </c>
      <c r="AF108" s="71">
        <f>AF92-AF107</f>
        <v>57.4</v>
      </c>
      <c r="AG108" s="101"/>
      <c r="AH108" s="48">
        <f t="shared" si="33"/>
        <v>805.40000000000009</v>
      </c>
      <c r="AI108" s="49">
        <f t="shared" si="34"/>
        <v>57.4</v>
      </c>
    </row>
    <row r="109" spans="1:64" x14ac:dyDescent="0.25">
      <c r="A109" s="113" t="s">
        <v>132</v>
      </c>
      <c r="B109" s="114">
        <v>50.017000000000003</v>
      </c>
      <c r="C109" s="114">
        <v>50.015999999999998</v>
      </c>
      <c r="D109" s="114">
        <v>50.015000000000001</v>
      </c>
      <c r="E109" s="114">
        <v>50.045000000000002</v>
      </c>
      <c r="F109" s="114">
        <v>50.051000000000002</v>
      </c>
      <c r="G109" s="114">
        <v>50.043999999999997</v>
      </c>
      <c r="H109" s="114">
        <v>50.014000000000003</v>
      </c>
      <c r="I109" s="114">
        <v>50.018999999999998</v>
      </c>
      <c r="J109" s="114">
        <v>50.037999999999997</v>
      </c>
      <c r="K109" s="114">
        <v>50.081000000000003</v>
      </c>
      <c r="L109" s="114">
        <v>50.009</v>
      </c>
      <c r="M109" s="114">
        <v>50.048999999999999</v>
      </c>
      <c r="N109" s="114">
        <v>49.94</v>
      </c>
      <c r="O109" s="114">
        <v>49.94</v>
      </c>
      <c r="P109" s="114">
        <v>49.94</v>
      </c>
      <c r="Q109" s="114">
        <v>49.872</v>
      </c>
      <c r="R109" s="114">
        <v>49.8</v>
      </c>
      <c r="S109" s="114">
        <v>50.018000000000001</v>
      </c>
      <c r="T109" s="114">
        <v>50.009</v>
      </c>
      <c r="U109" s="114">
        <v>49.96</v>
      </c>
      <c r="V109" s="114">
        <v>50.024000000000001</v>
      </c>
      <c r="W109" s="114">
        <v>49.994999999999997</v>
      </c>
      <c r="X109" s="114">
        <v>50.02</v>
      </c>
      <c r="Y109" s="114">
        <v>50.055999999999997</v>
      </c>
      <c r="Z109" s="114">
        <v>50.034999999999997</v>
      </c>
      <c r="AA109" s="114">
        <v>50.012999999999998</v>
      </c>
      <c r="AB109" s="114">
        <v>50.04</v>
      </c>
      <c r="AC109" s="114">
        <v>50.03</v>
      </c>
      <c r="AD109" s="114">
        <v>50.01</v>
      </c>
      <c r="AE109" s="114">
        <v>50.03</v>
      </c>
      <c r="AF109" s="114">
        <v>50</v>
      </c>
      <c r="AG109" s="115"/>
      <c r="AH109" s="48">
        <f t="shared" si="33"/>
        <v>50.081000000000003</v>
      </c>
      <c r="AI109" s="49">
        <f t="shared" si="34"/>
        <v>49.8</v>
      </c>
    </row>
    <row r="110" spans="1:64" x14ac:dyDescent="0.25">
      <c r="A110" s="116" t="s">
        <v>133</v>
      </c>
      <c r="B110" s="76">
        <v>128.1</v>
      </c>
      <c r="C110" s="76">
        <v>128.19999999999999</v>
      </c>
      <c r="D110" s="76">
        <v>129</v>
      </c>
      <c r="E110" s="76">
        <v>130.4</v>
      </c>
      <c r="F110" s="76">
        <v>130.4</v>
      </c>
      <c r="G110" s="76">
        <v>130.30000000000001</v>
      </c>
      <c r="H110" s="76">
        <v>130.6</v>
      </c>
      <c r="I110" s="76">
        <v>130.9</v>
      </c>
      <c r="J110" s="76">
        <v>128.30000000000001</v>
      </c>
      <c r="K110" s="76">
        <v>127.7</v>
      </c>
      <c r="L110" s="76">
        <v>126.8</v>
      </c>
      <c r="M110" s="76">
        <v>126.6</v>
      </c>
      <c r="N110" s="76">
        <v>124.6</v>
      </c>
      <c r="O110" s="76">
        <v>124.6</v>
      </c>
      <c r="P110" s="76">
        <v>124.6</v>
      </c>
      <c r="Q110" s="76">
        <v>126.1</v>
      </c>
      <c r="R110" s="76">
        <v>125.4</v>
      </c>
      <c r="S110" s="76">
        <v>125.6</v>
      </c>
      <c r="T110" s="76">
        <v>124.5</v>
      </c>
      <c r="U110" s="76">
        <v>123.6</v>
      </c>
      <c r="V110" s="76">
        <v>127.9</v>
      </c>
      <c r="W110" s="76">
        <v>128</v>
      </c>
      <c r="X110" s="76">
        <v>128.19999999999999</v>
      </c>
      <c r="Y110" s="76">
        <v>125.6</v>
      </c>
      <c r="Z110" s="76">
        <v>124.7</v>
      </c>
      <c r="AA110" s="76">
        <v>123.5</v>
      </c>
      <c r="AB110" s="76">
        <v>123.5</v>
      </c>
      <c r="AC110" s="76">
        <v>126.4</v>
      </c>
      <c r="AD110" s="76">
        <v>126.4</v>
      </c>
      <c r="AE110" s="76">
        <v>128.1</v>
      </c>
      <c r="AF110" s="76">
        <v>128.4</v>
      </c>
      <c r="AG110" s="117"/>
      <c r="AH110" s="48">
        <f t="shared" si="33"/>
        <v>130.9</v>
      </c>
      <c r="AI110" s="49">
        <f t="shared" si="34"/>
        <v>123.5</v>
      </c>
    </row>
    <row r="111" spans="1:64" x14ac:dyDescent="0.25">
      <c r="A111" s="116" t="s">
        <v>134</v>
      </c>
      <c r="B111" s="76">
        <v>132.1</v>
      </c>
      <c r="C111" s="76">
        <v>132.30000000000001</v>
      </c>
      <c r="D111" s="76">
        <v>133</v>
      </c>
      <c r="E111" s="76">
        <v>133</v>
      </c>
      <c r="F111" s="76">
        <v>133</v>
      </c>
      <c r="G111" s="76">
        <v>133.19999999999999</v>
      </c>
      <c r="H111" s="76">
        <v>133.1</v>
      </c>
      <c r="I111" s="76">
        <v>132.4</v>
      </c>
      <c r="J111" s="76">
        <v>130.6</v>
      </c>
      <c r="K111" s="76">
        <v>129.80000000000001</v>
      </c>
      <c r="L111" s="76">
        <v>128.69999999999999</v>
      </c>
      <c r="M111" s="76">
        <v>128.30000000000001</v>
      </c>
      <c r="N111" s="76">
        <v>127.5</v>
      </c>
      <c r="O111" s="76">
        <v>127.5</v>
      </c>
      <c r="P111" s="76">
        <v>127.5</v>
      </c>
      <c r="Q111" s="76">
        <v>128.80000000000001</v>
      </c>
      <c r="R111" s="76">
        <v>125.5</v>
      </c>
      <c r="S111" s="76">
        <v>125.2</v>
      </c>
      <c r="T111" s="76">
        <v>127.5</v>
      </c>
      <c r="U111" s="76">
        <v>126.7</v>
      </c>
      <c r="V111" s="76">
        <v>129.6</v>
      </c>
      <c r="W111" s="76">
        <v>129.9</v>
      </c>
      <c r="X111" s="76">
        <v>130.1</v>
      </c>
      <c r="Y111" s="76">
        <v>129.30000000000001</v>
      </c>
      <c r="Z111" s="76">
        <v>128.80000000000001</v>
      </c>
      <c r="AA111" s="76">
        <v>127.7</v>
      </c>
      <c r="AB111" s="76">
        <v>127.7</v>
      </c>
      <c r="AC111" s="76">
        <v>129.69999999999999</v>
      </c>
      <c r="AD111" s="76">
        <v>129.69999999999999</v>
      </c>
      <c r="AE111" s="76">
        <v>131</v>
      </c>
      <c r="AF111" s="76">
        <v>131.6</v>
      </c>
      <c r="AG111" s="117"/>
      <c r="AH111" s="48">
        <f t="shared" si="33"/>
        <v>133.19999999999999</v>
      </c>
      <c r="AI111" s="49">
        <f t="shared" si="34"/>
        <v>125.2</v>
      </c>
    </row>
    <row r="112" spans="1:64" x14ac:dyDescent="0.25">
      <c r="A112" s="116" t="s">
        <v>135</v>
      </c>
      <c r="B112" s="76">
        <v>129.4</v>
      </c>
      <c r="C112" s="76">
        <v>129.30000000000001</v>
      </c>
      <c r="D112" s="76">
        <v>130.69999999999999</v>
      </c>
      <c r="E112" s="76">
        <v>132.6</v>
      </c>
      <c r="F112" s="76">
        <v>131.19999999999999</v>
      </c>
      <c r="G112" s="76">
        <v>131.1</v>
      </c>
      <c r="H112" s="76">
        <v>131.9</v>
      </c>
      <c r="I112" s="76">
        <v>131.6</v>
      </c>
      <c r="J112" s="76">
        <v>128</v>
      </c>
      <c r="K112" s="76">
        <v>126.8</v>
      </c>
      <c r="L112" s="76">
        <v>125.4</v>
      </c>
      <c r="M112" s="76">
        <v>128.4</v>
      </c>
      <c r="N112" s="76">
        <v>126.6</v>
      </c>
      <c r="O112" s="76">
        <v>126.6</v>
      </c>
      <c r="P112" s="76">
        <v>126.6</v>
      </c>
      <c r="Q112" s="76">
        <v>127.7</v>
      </c>
      <c r="R112" s="76">
        <v>128</v>
      </c>
      <c r="S112" s="76">
        <v>127.7</v>
      </c>
      <c r="T112" s="76">
        <v>126.4</v>
      </c>
      <c r="U112" s="76">
        <v>126.4</v>
      </c>
      <c r="V112" s="76">
        <v>127.9</v>
      </c>
      <c r="W112" s="76">
        <v>128.1</v>
      </c>
      <c r="X112" s="76">
        <v>129.6</v>
      </c>
      <c r="Y112" s="76">
        <v>127.5</v>
      </c>
      <c r="Z112" s="76">
        <v>127.3</v>
      </c>
      <c r="AA112" s="76">
        <v>127.6</v>
      </c>
      <c r="AB112" s="76">
        <v>127.6</v>
      </c>
      <c r="AC112" s="76">
        <v>130.80000000000001</v>
      </c>
      <c r="AD112" s="76">
        <v>130.80000000000001</v>
      </c>
      <c r="AE112" s="76">
        <v>130.6</v>
      </c>
      <c r="AF112" s="76">
        <v>132.1</v>
      </c>
      <c r="AG112" s="117"/>
      <c r="AH112" s="48">
        <f t="shared" si="33"/>
        <v>132.6</v>
      </c>
      <c r="AI112" s="49">
        <f t="shared" si="34"/>
        <v>125.4</v>
      </c>
    </row>
    <row r="113" spans="1:35" x14ac:dyDescent="0.25">
      <c r="A113" s="118" t="s">
        <v>136</v>
      </c>
      <c r="B113" s="76">
        <v>129.6</v>
      </c>
      <c r="C113" s="76">
        <v>130.69999999999999</v>
      </c>
      <c r="D113" s="76">
        <v>131.30000000000001</v>
      </c>
      <c r="E113" s="76">
        <v>133.69999999999999</v>
      </c>
      <c r="F113" s="76">
        <v>130.69999999999999</v>
      </c>
      <c r="G113" s="76">
        <v>130.6</v>
      </c>
      <c r="H113" s="76">
        <v>130</v>
      </c>
      <c r="I113" s="76">
        <v>129.80000000000001</v>
      </c>
      <c r="J113" s="76">
        <v>128.6</v>
      </c>
      <c r="K113" s="76">
        <v>128.80000000000001</v>
      </c>
      <c r="L113" s="76">
        <v>127.1</v>
      </c>
      <c r="M113" s="76">
        <v>129.6</v>
      </c>
      <c r="N113" s="76">
        <v>130.69999999999999</v>
      </c>
      <c r="O113" s="76">
        <v>130.69999999999999</v>
      </c>
      <c r="P113" s="76">
        <v>130.69999999999999</v>
      </c>
      <c r="Q113" s="76">
        <v>131.9</v>
      </c>
      <c r="R113" s="76">
        <v>134.30000000000001</v>
      </c>
      <c r="S113" s="76">
        <v>131.5</v>
      </c>
      <c r="T113" s="76">
        <v>129.4</v>
      </c>
      <c r="U113" s="76">
        <v>129.4</v>
      </c>
      <c r="V113" s="76">
        <v>131.69999999999999</v>
      </c>
      <c r="W113" s="76">
        <v>130.9</v>
      </c>
      <c r="X113" s="76">
        <v>130.4</v>
      </c>
      <c r="Y113" s="76">
        <v>129.19999999999999</v>
      </c>
      <c r="Z113" s="76">
        <v>129.5</v>
      </c>
      <c r="AA113" s="76">
        <v>127.5</v>
      </c>
      <c r="AB113" s="76">
        <v>127.5</v>
      </c>
      <c r="AC113" s="76">
        <v>131.6</v>
      </c>
      <c r="AD113" s="76">
        <v>131.6</v>
      </c>
      <c r="AE113" s="76">
        <v>132.4</v>
      </c>
      <c r="AF113" s="76">
        <v>134.1</v>
      </c>
      <c r="AG113" s="117"/>
      <c r="AH113" s="48">
        <f t="shared" si="33"/>
        <v>134.30000000000001</v>
      </c>
      <c r="AI113" s="49">
        <f t="shared" si="34"/>
        <v>127.1</v>
      </c>
    </row>
    <row r="114" spans="1:35" x14ac:dyDescent="0.25">
      <c r="A114" s="118" t="s">
        <v>137</v>
      </c>
      <c r="B114" s="119">
        <v>133.6</v>
      </c>
      <c r="C114" s="119">
        <v>133.6</v>
      </c>
      <c r="D114" s="119">
        <v>135.19999999999999</v>
      </c>
      <c r="E114" s="119">
        <v>135.9</v>
      </c>
      <c r="F114" s="119">
        <v>134.5</v>
      </c>
      <c r="G114" s="119">
        <v>134.6</v>
      </c>
      <c r="H114" s="119">
        <v>133.30000000000001</v>
      </c>
      <c r="I114" s="119">
        <v>133.6</v>
      </c>
      <c r="J114" s="119">
        <v>131.1</v>
      </c>
      <c r="K114" s="119">
        <v>133.5</v>
      </c>
      <c r="L114" s="119">
        <v>132.80000000000001</v>
      </c>
      <c r="M114" s="119">
        <v>130.4</v>
      </c>
      <c r="N114" s="119">
        <v>126.3</v>
      </c>
      <c r="O114" s="119">
        <v>126.3</v>
      </c>
      <c r="P114" s="119">
        <v>126.3</v>
      </c>
      <c r="Q114" s="119">
        <v>135.69999999999999</v>
      </c>
      <c r="R114" s="119">
        <v>131.4</v>
      </c>
      <c r="S114" s="119">
        <v>134.6</v>
      </c>
      <c r="T114" s="119">
        <v>133.4</v>
      </c>
      <c r="U114" s="119">
        <v>131.4</v>
      </c>
      <c r="V114" s="119">
        <v>135.4</v>
      </c>
      <c r="W114" s="119">
        <v>132.9</v>
      </c>
      <c r="X114" s="119">
        <v>136.1</v>
      </c>
      <c r="Y114" s="119">
        <v>132</v>
      </c>
      <c r="Z114" s="119">
        <v>130.9</v>
      </c>
      <c r="AA114" s="119">
        <v>131.9</v>
      </c>
      <c r="AB114" s="119">
        <v>131.9</v>
      </c>
      <c r="AC114" s="119">
        <v>132.69999999999999</v>
      </c>
      <c r="AD114" s="119">
        <v>132.69999999999999</v>
      </c>
      <c r="AE114" s="119">
        <v>132.6</v>
      </c>
      <c r="AF114" s="119">
        <v>133.19999999999999</v>
      </c>
      <c r="AG114" s="120"/>
      <c r="AH114" s="48">
        <f t="shared" si="33"/>
        <v>136.1</v>
      </c>
      <c r="AI114" s="49">
        <f t="shared" si="34"/>
        <v>126.3</v>
      </c>
    </row>
    <row r="115" spans="1:35" x14ac:dyDescent="0.25">
      <c r="A115" s="116" t="s">
        <v>138</v>
      </c>
      <c r="B115" s="76">
        <v>133.19999999999999</v>
      </c>
      <c r="C115" s="76">
        <v>133.5</v>
      </c>
      <c r="D115" s="76">
        <v>134.9</v>
      </c>
      <c r="E115" s="76">
        <v>126.3</v>
      </c>
      <c r="F115" s="76">
        <v>127.1</v>
      </c>
      <c r="G115" s="76">
        <v>127.2</v>
      </c>
      <c r="H115" s="76">
        <v>126.8</v>
      </c>
      <c r="I115" s="76">
        <v>125.8</v>
      </c>
      <c r="J115" s="76">
        <v>124.7</v>
      </c>
      <c r="K115" s="76">
        <v>128</v>
      </c>
      <c r="L115" s="76">
        <v>126.9</v>
      </c>
      <c r="M115" s="76">
        <v>134.80000000000001</v>
      </c>
      <c r="N115" s="76">
        <v>130.19999999999999</v>
      </c>
      <c r="O115" s="76">
        <v>130.19999999999999</v>
      </c>
      <c r="P115" s="76">
        <v>130.19999999999999</v>
      </c>
      <c r="Q115" s="76">
        <v>128.6</v>
      </c>
      <c r="R115" s="76">
        <v>128</v>
      </c>
      <c r="S115" s="76">
        <v>125.9</v>
      </c>
      <c r="T115" s="76">
        <v>127</v>
      </c>
      <c r="U115" s="76">
        <v>129.4</v>
      </c>
      <c r="V115" s="76">
        <v>133</v>
      </c>
      <c r="W115" s="76">
        <v>128</v>
      </c>
      <c r="X115" s="76">
        <v>134.30000000000001</v>
      </c>
      <c r="Y115" s="76">
        <v>127.5</v>
      </c>
      <c r="Z115" s="76">
        <v>132.6</v>
      </c>
      <c r="AA115" s="76">
        <v>117.9</v>
      </c>
      <c r="AB115" s="76">
        <v>117.9</v>
      </c>
      <c r="AC115" s="76">
        <v>136.19999999999999</v>
      </c>
      <c r="AD115" s="76">
        <v>136.19999999999999</v>
      </c>
      <c r="AE115" s="76">
        <v>133</v>
      </c>
      <c r="AF115" s="76">
        <v>129.4</v>
      </c>
      <c r="AG115" s="117"/>
      <c r="AH115" s="48">
        <f t="shared" si="33"/>
        <v>136.19999999999999</v>
      </c>
      <c r="AI115" s="49">
        <f t="shared" si="34"/>
        <v>117.9</v>
      </c>
    </row>
    <row r="116" spans="1:35" ht="15.75" thickBot="1" x14ac:dyDescent="0.3">
      <c r="A116" s="116" t="s">
        <v>139</v>
      </c>
      <c r="B116" s="105">
        <v>66.099999999999994</v>
      </c>
      <c r="C116" s="105">
        <v>66.2</v>
      </c>
      <c r="D116" s="105">
        <v>66.599999999999994</v>
      </c>
      <c r="E116" s="105">
        <v>66.8</v>
      </c>
      <c r="F116" s="105">
        <v>66.900000000000006</v>
      </c>
      <c r="G116" s="105">
        <v>66.7</v>
      </c>
      <c r="H116" s="105">
        <v>66.8</v>
      </c>
      <c r="I116" s="105">
        <v>66.7</v>
      </c>
      <c r="J116" s="105">
        <v>65.7</v>
      </c>
      <c r="K116" s="105">
        <v>65.099999999999994</v>
      </c>
      <c r="L116" s="105">
        <v>64.5</v>
      </c>
      <c r="M116" s="105">
        <v>64.8</v>
      </c>
      <c r="N116" s="105">
        <v>63.9</v>
      </c>
      <c r="O116" s="105">
        <v>63.9</v>
      </c>
      <c r="P116" s="105">
        <v>63.9</v>
      </c>
      <c r="Q116" s="105">
        <v>64.7</v>
      </c>
      <c r="R116" s="105">
        <v>63.3</v>
      </c>
      <c r="S116" s="105">
        <v>63.1</v>
      </c>
      <c r="T116" s="105">
        <v>64.3</v>
      </c>
      <c r="U116" s="105">
        <v>63.6</v>
      </c>
      <c r="V116" s="105">
        <v>65.099999999999994</v>
      </c>
      <c r="W116" s="105">
        <v>65</v>
      </c>
      <c r="X116" s="105">
        <v>65</v>
      </c>
      <c r="Y116" s="105">
        <v>65</v>
      </c>
      <c r="Z116" s="105">
        <v>64.7</v>
      </c>
      <c r="AA116" s="105">
        <v>63.9</v>
      </c>
      <c r="AB116" s="105">
        <v>63.9</v>
      </c>
      <c r="AC116" s="105">
        <v>65</v>
      </c>
      <c r="AD116" s="105">
        <v>65</v>
      </c>
      <c r="AE116" s="105">
        <v>65.8</v>
      </c>
      <c r="AF116" s="105">
        <v>66.2</v>
      </c>
      <c r="AG116" s="121"/>
      <c r="AH116" s="48">
        <f t="shared" si="33"/>
        <v>66.900000000000006</v>
      </c>
      <c r="AI116" s="49">
        <f t="shared" si="34"/>
        <v>63.1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3"/>
        <v>0</v>
      </c>
      <c r="AI117" s="49">
        <f t="shared" si="34"/>
        <v>0</v>
      </c>
    </row>
    <row r="118" spans="1:35" ht="15.75" thickBot="1" x14ac:dyDescent="0.3">
      <c r="A118" s="123" t="s">
        <v>141</v>
      </c>
      <c r="B118" s="124">
        <f t="shared" ref="B118:O118" si="46">SUM(B22,B28,B31:B32,B66,B68:B69,B71,B73,B119:B123,B155,B161,B167,B176,B178,B190,B197,B200:B201,B208,B210,B212,B216:B218,B220:B222,B227,B233:B234,B236:B238,B246,B251)</f>
        <v>143.13999999999999</v>
      </c>
      <c r="C118" s="124">
        <f t="shared" si="46"/>
        <v>139.14000000000001</v>
      </c>
      <c r="D118" s="124">
        <f t="shared" si="46"/>
        <v>133.04</v>
      </c>
      <c r="E118" s="124">
        <f t="shared" si="46"/>
        <v>82.04</v>
      </c>
      <c r="F118" s="124">
        <f t="shared" si="46"/>
        <v>96.040000000000035</v>
      </c>
      <c r="G118" s="124">
        <f t="shared" si="46"/>
        <v>116.13999999999999</v>
      </c>
      <c r="H118" s="124">
        <f t="shared" si="46"/>
        <v>127.64000000000001</v>
      </c>
      <c r="I118" s="124">
        <f t="shared" si="46"/>
        <v>151.24</v>
      </c>
      <c r="J118" s="124">
        <f t="shared" si="46"/>
        <v>223.04</v>
      </c>
      <c r="K118" s="124">
        <f t="shared" si="46"/>
        <v>226.74</v>
      </c>
      <c r="L118" s="124">
        <f t="shared" si="46"/>
        <v>241.44</v>
      </c>
      <c r="M118" s="124">
        <f t="shared" si="46"/>
        <v>249.64</v>
      </c>
      <c r="N118" s="124">
        <f t="shared" si="46"/>
        <v>233.64</v>
      </c>
      <c r="O118" s="124">
        <f t="shared" si="46"/>
        <v>213.33999999999997</v>
      </c>
      <c r="P118" s="124">
        <v>42</v>
      </c>
      <c r="Q118" s="124">
        <f t="shared" ref="Q118:X118" si="47">SUM(Q22,Q28,Q31:Q32,Q66,Q68:Q69,Q71,Q73,Q119:Q123,Q155,Q161,Q167,Q176,Q178,Q190,Q197,Q200:Q201,Q208,Q210,Q212,Q216:Q218,Q220:Q222,Q227,Q233:Q234,Q236:Q238,Q246,Q251)</f>
        <v>237.04000000000002</v>
      </c>
      <c r="R118" s="124">
        <f t="shared" si="47"/>
        <v>242.74</v>
      </c>
      <c r="S118" s="124">
        <f t="shared" si="47"/>
        <v>250.33999999999997</v>
      </c>
      <c r="T118" s="124">
        <f t="shared" si="47"/>
        <v>257.44</v>
      </c>
      <c r="U118" s="124">
        <f>SUM(U22,U28,U31:U32,U66,U68:U69,U71,U73,U119:U123,U155,U161,U167,U176,U178,U190,U197,U200:U201,U208,U210,U212,U216:U218,U220:U222,U227,U233:U234,U236:U238,U246,U251)</f>
        <v>260.64</v>
      </c>
      <c r="V118" s="124">
        <f t="shared" si="47"/>
        <v>255.94</v>
      </c>
      <c r="W118" s="124">
        <f t="shared" si="47"/>
        <v>255.83999999999997</v>
      </c>
      <c r="X118" s="124">
        <f t="shared" si="47"/>
        <v>263.44</v>
      </c>
      <c r="Y118" s="124">
        <f>SUM(Y20,Y26,Y37:Y38,Y66,Y68:Y69,Y71,Y73,Y119:Y123,Y148,Y154,Y160,Y169,Y171,Y183,Y190,Y193:Y194,Y201,Y203,Y205,Y209:Y211,Y213:Y215,Y220,Y226:Y227,Y229:Y231,Y239,Y244)</f>
        <v>320.3</v>
      </c>
      <c r="Z118" s="124">
        <f>SUM(Z20,Z26,Z37:Z38,Z66,Z68:Z69,Z71,Z73,Z119:Z123,Z148,Z154,Z160,Z169,Z171,Z183,Z190,Z193:Z194,Z201,Z203,Z205,Z209:Z211,Z213:Z215,Z220,Z226:Z227,Z229:Z231,Z239,Z244)</f>
        <v>332.2</v>
      </c>
      <c r="AA118" s="124">
        <f t="shared" ref="AA118:AF118" si="48">SUM(AA22,AA28,AA31:AA32,AA66,AA68:AA69,AA71,AA73,AA119:AA123,AA155,AA161,AA167,AA176,AA178,AA190,AA197,AA200:AA201,AA208,AA210,AA212,AA216:AA218,AA220:AA222,AA227,AA233:AA234,AA236:AA238,AA246,AA251)</f>
        <v>345.84</v>
      </c>
      <c r="AB118" s="124">
        <f t="shared" si="48"/>
        <v>328.24000000000007</v>
      </c>
      <c r="AC118" s="124">
        <f t="shared" si="48"/>
        <v>112.13999999999999</v>
      </c>
      <c r="AD118" s="124">
        <f t="shared" si="48"/>
        <v>276.24</v>
      </c>
      <c r="AE118" s="124">
        <f t="shared" si="48"/>
        <v>216.74</v>
      </c>
      <c r="AF118" s="124">
        <f t="shared" si="48"/>
        <v>167.34</v>
      </c>
      <c r="AG118" s="125"/>
      <c r="AH118" s="48">
        <f t="shared" si="33"/>
        <v>345.84</v>
      </c>
      <c r="AI118" s="49">
        <f t="shared" si="34"/>
        <v>42</v>
      </c>
    </row>
    <row r="119" spans="1:35" x14ac:dyDescent="0.25">
      <c r="A119" s="126" t="s">
        <v>142</v>
      </c>
      <c r="B119" s="127">
        <v>37</v>
      </c>
      <c r="C119" s="127">
        <v>37.1</v>
      </c>
      <c r="D119" s="127">
        <v>29.4</v>
      </c>
      <c r="E119" s="127">
        <v>15.1</v>
      </c>
      <c r="F119" s="127">
        <v>14.6</v>
      </c>
      <c r="G119" s="127">
        <v>13.5</v>
      </c>
      <c r="H119" s="127">
        <v>13.3</v>
      </c>
      <c r="I119" s="127">
        <v>21.2</v>
      </c>
      <c r="J119" s="127">
        <v>19.899999999999999</v>
      </c>
      <c r="K119" s="127">
        <v>29</v>
      </c>
      <c r="L119" s="127">
        <v>23.9</v>
      </c>
      <c r="M119" s="127">
        <v>20.100000000000001</v>
      </c>
      <c r="N119" s="127">
        <v>15</v>
      </c>
      <c r="O119" s="127">
        <v>12</v>
      </c>
      <c r="P119" s="127">
        <v>5.9</v>
      </c>
      <c r="Q119" s="127">
        <v>3.4</v>
      </c>
      <c r="R119" s="127">
        <v>30.4</v>
      </c>
      <c r="S119" s="127">
        <v>36</v>
      </c>
      <c r="T119" s="127">
        <v>7.9</v>
      </c>
      <c r="U119" s="127">
        <v>12.9</v>
      </c>
      <c r="V119" s="127">
        <v>16.399999999999999</v>
      </c>
      <c r="W119" s="127">
        <v>29.6</v>
      </c>
      <c r="X119" s="127">
        <v>39.200000000000003</v>
      </c>
      <c r="Y119" s="127">
        <v>43.6</v>
      </c>
      <c r="Z119" s="127">
        <v>41.5</v>
      </c>
      <c r="AA119" s="127">
        <v>56.8</v>
      </c>
      <c r="AB119" s="127">
        <v>68.099999999999994</v>
      </c>
      <c r="AC119" s="127">
        <v>41.2</v>
      </c>
      <c r="AD119" s="127">
        <v>28.5</v>
      </c>
      <c r="AE119" s="127">
        <v>39.4</v>
      </c>
      <c r="AF119" s="127">
        <v>32.700000000000003</v>
      </c>
      <c r="AG119" s="128">
        <v>75</v>
      </c>
      <c r="AH119" s="48">
        <f t="shared" si="33"/>
        <v>68.099999999999994</v>
      </c>
      <c r="AI119" s="49">
        <f t="shared" si="34"/>
        <v>3.4</v>
      </c>
    </row>
    <row r="120" spans="1:35" x14ac:dyDescent="0.25">
      <c r="A120" s="129" t="s">
        <v>143</v>
      </c>
      <c r="B120" s="130">
        <v>57</v>
      </c>
      <c r="C120" s="130">
        <v>57.9</v>
      </c>
      <c r="D120" s="130">
        <v>48.4</v>
      </c>
      <c r="E120" s="130">
        <v>27.1</v>
      </c>
      <c r="F120" s="130">
        <v>26.3</v>
      </c>
      <c r="G120" s="130">
        <v>24.1</v>
      </c>
      <c r="H120" s="130">
        <v>23.3</v>
      </c>
      <c r="I120" s="130">
        <v>31.6</v>
      </c>
      <c r="J120" s="130">
        <v>24.5</v>
      </c>
      <c r="K120" s="130">
        <v>36.1</v>
      </c>
      <c r="L120" s="130">
        <v>29.8</v>
      </c>
      <c r="M120" s="130">
        <v>25.7</v>
      </c>
      <c r="N120" s="130">
        <v>22.3</v>
      </c>
      <c r="O120" s="130">
        <v>15</v>
      </c>
      <c r="P120" s="130">
        <v>14.6</v>
      </c>
      <c r="Q120" s="130">
        <v>4.7</v>
      </c>
      <c r="R120" s="130">
        <v>-12.1</v>
      </c>
      <c r="S120" s="130">
        <v>-9.3000000000000007</v>
      </c>
      <c r="T120" s="130">
        <v>11.5</v>
      </c>
      <c r="U120" s="130">
        <v>19</v>
      </c>
      <c r="V120" s="130">
        <v>22</v>
      </c>
      <c r="W120" s="130">
        <v>39.4</v>
      </c>
      <c r="X120" s="130">
        <v>51.5</v>
      </c>
      <c r="Y120" s="130">
        <v>62.8</v>
      </c>
      <c r="Z120" s="130">
        <v>60.1</v>
      </c>
      <c r="AA120" s="130">
        <v>81</v>
      </c>
      <c r="AB120" s="130">
        <v>97.4</v>
      </c>
      <c r="AC120" s="130">
        <v>61</v>
      </c>
      <c r="AD120" s="130">
        <v>44.9</v>
      </c>
      <c r="AE120" s="130">
        <v>58.6</v>
      </c>
      <c r="AF120" s="130">
        <v>51</v>
      </c>
      <c r="AG120" s="128">
        <v>240</v>
      </c>
      <c r="AH120" s="48">
        <f t="shared" si="33"/>
        <v>97.4</v>
      </c>
      <c r="AI120" s="49">
        <f t="shared" si="34"/>
        <v>-12.1</v>
      </c>
    </row>
    <row r="121" spans="1:35" x14ac:dyDescent="0.25">
      <c r="A121" s="129" t="s">
        <v>144</v>
      </c>
      <c r="B121" s="130">
        <v>-80</v>
      </c>
      <c r="C121" s="130">
        <v>-80</v>
      </c>
      <c r="D121" s="130">
        <v>-76</v>
      </c>
      <c r="E121" s="130">
        <v>-101.3</v>
      </c>
      <c r="F121" s="130">
        <v>-95.3</v>
      </c>
      <c r="G121" s="130">
        <v>-83.9</v>
      </c>
      <c r="H121" s="130">
        <v>-78.400000000000006</v>
      </c>
      <c r="I121" s="130">
        <v>-64.5</v>
      </c>
      <c r="J121" s="130">
        <v>-36.9</v>
      </c>
      <c r="K121" s="130">
        <v>-34.799999999999997</v>
      </c>
      <c r="L121" s="130">
        <v>-26.9</v>
      </c>
      <c r="M121" s="130">
        <v>-23.5</v>
      </c>
      <c r="N121" s="130">
        <v>-20</v>
      </c>
      <c r="O121" s="130">
        <v>-18</v>
      </c>
      <c r="P121" s="130">
        <f>-6.2-7.4</f>
        <v>-13.600000000000001</v>
      </c>
      <c r="Q121" s="130">
        <v>-11</v>
      </c>
      <c r="R121" s="130">
        <f>-21.2-23.4</f>
        <v>-44.599999999999994</v>
      </c>
      <c r="S121" s="130">
        <v>-42.9</v>
      </c>
      <c r="T121" s="130">
        <v>-6.4</v>
      </c>
      <c r="U121" s="130">
        <v>-8</v>
      </c>
      <c r="V121" s="130">
        <v>-0.7</v>
      </c>
      <c r="W121" s="130">
        <v>-10.8</v>
      </c>
      <c r="X121" s="130">
        <v>-23</v>
      </c>
      <c r="Y121" s="130">
        <v>-60</v>
      </c>
      <c r="Z121" s="130">
        <v>-54</v>
      </c>
      <c r="AA121" s="130">
        <v>-88</v>
      </c>
      <c r="AB121" s="130">
        <v>-120</v>
      </c>
      <c r="AC121" s="130">
        <v>-66.900000000000006</v>
      </c>
      <c r="AD121" s="130">
        <v>-43</v>
      </c>
      <c r="AE121" s="130">
        <v>-55.6</v>
      </c>
      <c r="AF121" s="130">
        <v>-73</v>
      </c>
      <c r="AG121" s="128">
        <v>240</v>
      </c>
      <c r="AH121" s="48">
        <f t="shared" si="33"/>
        <v>-0.7</v>
      </c>
      <c r="AI121" s="49">
        <f t="shared" si="34"/>
        <v>-120</v>
      </c>
    </row>
    <row r="122" spans="1:35" ht="15.75" thickBot="1" x14ac:dyDescent="0.3">
      <c r="A122" s="129" t="s">
        <v>145</v>
      </c>
      <c r="B122" s="130">
        <v>21</v>
      </c>
      <c r="C122" s="130">
        <v>22</v>
      </c>
      <c r="D122" s="130">
        <v>22.1</v>
      </c>
      <c r="E122" s="130">
        <v>24.3</v>
      </c>
      <c r="F122" s="130">
        <v>21.6</v>
      </c>
      <c r="G122" s="130">
        <v>23.2</v>
      </c>
      <c r="H122" s="130">
        <v>25.9</v>
      </c>
      <c r="I122" s="130">
        <v>22.4</v>
      </c>
      <c r="J122" s="130">
        <v>12.1</v>
      </c>
      <c r="K122" s="130">
        <v>12.5</v>
      </c>
      <c r="L122" s="130">
        <v>14</v>
      </c>
      <c r="M122" s="130">
        <v>13.2</v>
      </c>
      <c r="N122" s="130">
        <v>10</v>
      </c>
      <c r="O122" s="130">
        <v>5</v>
      </c>
      <c r="P122" s="130">
        <v>-1</v>
      </c>
      <c r="Q122" s="130">
        <v>1.1000000000000001</v>
      </c>
      <c r="R122" s="130">
        <v>4.0999999999999996</v>
      </c>
      <c r="S122" s="130">
        <v>4</v>
      </c>
      <c r="T122" s="130">
        <v>0.5</v>
      </c>
      <c r="U122" s="130">
        <v>0</v>
      </c>
      <c r="V122" s="130">
        <v>0</v>
      </c>
      <c r="W122" s="130">
        <v>0</v>
      </c>
      <c r="X122" s="130">
        <v>8.4</v>
      </c>
      <c r="Y122" s="130">
        <v>17.399999999999999</v>
      </c>
      <c r="Z122" s="130">
        <v>18.600000000000001</v>
      </c>
      <c r="AA122" s="130">
        <v>35.700000000000003</v>
      </c>
      <c r="AB122" s="130">
        <v>35.700000000000003</v>
      </c>
      <c r="AC122" s="130">
        <v>-116.9</v>
      </c>
      <c r="AD122" s="130">
        <v>32</v>
      </c>
      <c r="AE122" s="130">
        <v>31.8</v>
      </c>
      <c r="AF122" s="130">
        <v>21.6</v>
      </c>
      <c r="AG122" s="128">
        <v>60</v>
      </c>
      <c r="AH122" s="48">
        <f t="shared" si="33"/>
        <v>35.700000000000003</v>
      </c>
      <c r="AI122" s="49">
        <f t="shared" si="34"/>
        <v>-116.9</v>
      </c>
    </row>
    <row r="123" spans="1:35" x14ac:dyDescent="0.25">
      <c r="A123" s="126" t="s">
        <v>146</v>
      </c>
      <c r="B123" s="131">
        <v>-9</v>
      </c>
      <c r="C123" s="131">
        <v>-15</v>
      </c>
      <c r="D123" s="131">
        <v>-8</v>
      </c>
      <c r="E123" s="131">
        <v>-1.8</v>
      </c>
      <c r="F123" s="131">
        <v>10.199999999999999</v>
      </c>
      <c r="G123" s="131">
        <v>20.6</v>
      </c>
      <c r="H123" s="131">
        <v>25.4</v>
      </c>
      <c r="I123" s="131">
        <v>22.4</v>
      </c>
      <c r="J123" s="131">
        <v>86</v>
      </c>
      <c r="K123" s="131">
        <v>66.5</v>
      </c>
      <c r="L123" s="131">
        <v>79.2</v>
      </c>
      <c r="M123" s="131">
        <v>92.8</v>
      </c>
      <c r="N123" s="131">
        <v>86</v>
      </c>
      <c r="O123" s="131">
        <v>79</v>
      </c>
      <c r="P123" s="131">
        <v>101.2</v>
      </c>
      <c r="Q123" s="131">
        <v>107.3</v>
      </c>
      <c r="R123" s="131">
        <v>135</v>
      </c>
      <c r="S123" s="131">
        <v>134.9</v>
      </c>
      <c r="T123" s="131">
        <v>120.2</v>
      </c>
      <c r="U123" s="131">
        <v>113</v>
      </c>
      <c r="V123" s="131">
        <v>101</v>
      </c>
      <c r="W123" s="131">
        <v>81.400000000000006</v>
      </c>
      <c r="X123" s="131">
        <v>72</v>
      </c>
      <c r="Y123" s="131">
        <v>118.7</v>
      </c>
      <c r="Z123" s="131">
        <v>128.19999999999999</v>
      </c>
      <c r="AA123" s="131">
        <v>143.19999999999999</v>
      </c>
      <c r="AB123" s="131">
        <v>129.9</v>
      </c>
      <c r="AC123" s="131">
        <v>76.599999999999994</v>
      </c>
      <c r="AD123" s="131">
        <v>96.7</v>
      </c>
      <c r="AE123" s="131">
        <v>25.4</v>
      </c>
      <c r="AF123" s="131">
        <v>17.899999999999999</v>
      </c>
      <c r="AG123" s="132">
        <v>120</v>
      </c>
      <c r="AH123" s="48">
        <f t="shared" si="33"/>
        <v>143.19999999999999</v>
      </c>
      <c r="AI123" s="49">
        <f t="shared" si="34"/>
        <v>-15</v>
      </c>
    </row>
    <row r="124" spans="1:35" x14ac:dyDescent="0.25">
      <c r="A124" s="129" t="s">
        <v>147</v>
      </c>
      <c r="B124" s="131">
        <v>18</v>
      </c>
      <c r="C124" s="131">
        <v>15</v>
      </c>
      <c r="D124" s="131">
        <v>18</v>
      </c>
      <c r="E124" s="131">
        <v>22.65</v>
      </c>
      <c r="F124" s="131">
        <v>25.6</v>
      </c>
      <c r="G124" s="131">
        <v>33.6</v>
      </c>
      <c r="H124" s="131">
        <v>36.1</v>
      </c>
      <c r="I124" s="131">
        <v>34.700000000000003</v>
      </c>
      <c r="J124" s="131">
        <v>51.8</v>
      </c>
      <c r="K124" s="131">
        <v>57.6</v>
      </c>
      <c r="L124" s="131">
        <v>62.9</v>
      </c>
      <c r="M124" s="131">
        <v>69</v>
      </c>
      <c r="N124" s="131">
        <v>69</v>
      </c>
      <c r="O124" s="131">
        <v>69</v>
      </c>
      <c r="P124" s="131">
        <v>74.2</v>
      </c>
      <c r="Q124" s="131">
        <v>76.2</v>
      </c>
      <c r="R124" s="131">
        <v>87.6</v>
      </c>
      <c r="S124" s="131">
        <v>87.7</v>
      </c>
      <c r="T124" s="131">
        <v>81.7</v>
      </c>
      <c r="U124" s="131">
        <v>78.599999999999994</v>
      </c>
      <c r="V124" s="131">
        <v>73.400000000000006</v>
      </c>
      <c r="W124" s="131">
        <v>62.8</v>
      </c>
      <c r="X124" s="131">
        <v>58.4</v>
      </c>
      <c r="Y124" s="131">
        <v>80.900000000000006</v>
      </c>
      <c r="Z124" s="131">
        <v>85.4</v>
      </c>
      <c r="AA124" s="131">
        <v>92.4</v>
      </c>
      <c r="AB124" s="131">
        <v>81.900000000000006</v>
      </c>
      <c r="AC124" s="131">
        <v>76.599999999999994</v>
      </c>
      <c r="AD124" s="131">
        <v>68</v>
      </c>
      <c r="AE124" s="131">
        <v>34.4</v>
      </c>
      <c r="AF124" s="131">
        <v>33</v>
      </c>
      <c r="AG124" s="132"/>
      <c r="AH124" s="48">
        <f t="shared" si="33"/>
        <v>92.4</v>
      </c>
      <c r="AI124" s="49">
        <f t="shared" si="34"/>
        <v>15</v>
      </c>
    </row>
    <row r="125" spans="1:35" x14ac:dyDescent="0.25">
      <c r="A125" s="129" t="s">
        <v>148</v>
      </c>
      <c r="B125" s="131">
        <v>-38</v>
      </c>
      <c r="C125" s="131">
        <v>-38</v>
      </c>
      <c r="D125" s="131">
        <v>-26</v>
      </c>
      <c r="E125" s="131">
        <v>-15.2</v>
      </c>
      <c r="F125" s="131">
        <v>-15.3</v>
      </c>
      <c r="G125" s="131">
        <v>-12.6</v>
      </c>
      <c r="H125" s="131">
        <v>-15</v>
      </c>
      <c r="I125" s="131">
        <v>-33.200000000000003</v>
      </c>
      <c r="J125" s="131">
        <v>-5.4</v>
      </c>
      <c r="K125" s="131">
        <v>-20.3</v>
      </c>
      <c r="L125" s="131">
        <v>-20.100000000000001</v>
      </c>
      <c r="M125" s="131">
        <v>-17.100000000000001</v>
      </c>
      <c r="N125" s="131">
        <v>-10</v>
      </c>
      <c r="O125" s="131">
        <v>-5</v>
      </c>
      <c r="P125" s="131">
        <v>11.9</v>
      </c>
      <c r="Q125" s="131">
        <v>23.3</v>
      </c>
      <c r="R125" s="131">
        <v>44.8</v>
      </c>
      <c r="S125" s="131">
        <v>42.6</v>
      </c>
      <c r="T125" s="131">
        <v>20.5</v>
      </c>
      <c r="U125" s="131">
        <v>10</v>
      </c>
      <c r="V125" s="131">
        <v>-6</v>
      </c>
      <c r="W125" s="131">
        <v>-30</v>
      </c>
      <c r="X125" s="131">
        <v>-38.4</v>
      </c>
      <c r="Y125" s="131">
        <v>-23.9</v>
      </c>
      <c r="Z125" s="131">
        <v>-23.5</v>
      </c>
      <c r="AA125" s="131">
        <v>-20.399999999999999</v>
      </c>
      <c r="AB125" s="131">
        <v>-17.8</v>
      </c>
      <c r="AC125" s="131">
        <v>-15.4</v>
      </c>
      <c r="AD125" s="131">
        <v>-14.2</v>
      </c>
      <c r="AE125" s="131">
        <v>-46.4</v>
      </c>
      <c r="AF125" s="131">
        <v>-26.6</v>
      </c>
      <c r="AG125" s="132"/>
      <c r="AH125" s="48">
        <f t="shared" si="33"/>
        <v>44.8</v>
      </c>
      <c r="AI125" s="49">
        <f t="shared" si="34"/>
        <v>-46.4</v>
      </c>
    </row>
    <row r="126" spans="1:35" ht="15.75" thickBot="1" x14ac:dyDescent="0.3">
      <c r="A126" s="129" t="s">
        <v>149</v>
      </c>
      <c r="B126" s="131">
        <v>22</v>
      </c>
      <c r="C126" s="131">
        <v>18</v>
      </c>
      <c r="D126" s="131">
        <v>23.2</v>
      </c>
      <c r="E126" s="131">
        <v>22.8</v>
      </c>
      <c r="F126" s="131">
        <v>39</v>
      </c>
      <c r="G126" s="131">
        <v>36.700000000000003</v>
      </c>
      <c r="H126" s="131">
        <v>39.799999999999997</v>
      </c>
      <c r="I126" s="131">
        <v>17.5</v>
      </c>
      <c r="J126" s="131">
        <v>60.1</v>
      </c>
      <c r="K126" s="131">
        <v>92.78</v>
      </c>
      <c r="L126" s="131">
        <v>58.9</v>
      </c>
      <c r="M126" s="131">
        <v>70.2</v>
      </c>
      <c r="N126" s="131">
        <v>650</v>
      </c>
      <c r="O126" s="131">
        <v>61</v>
      </c>
      <c r="P126" s="131">
        <v>81.400000000000006</v>
      </c>
      <c r="Q126" s="131">
        <v>88.8</v>
      </c>
      <c r="R126" s="131">
        <v>91.3</v>
      </c>
      <c r="S126" s="131">
        <v>88.8</v>
      </c>
      <c r="T126" s="131">
        <v>93.7</v>
      </c>
      <c r="U126" s="131">
        <v>96</v>
      </c>
      <c r="V126" s="131">
        <v>78.400000000000006</v>
      </c>
      <c r="W126" s="131">
        <v>64.5</v>
      </c>
      <c r="X126" s="131">
        <v>47.6</v>
      </c>
      <c r="Y126" s="131">
        <v>45.5</v>
      </c>
      <c r="Z126" s="131">
        <v>58.1</v>
      </c>
      <c r="AA126" s="131">
        <v>65.400000000000006</v>
      </c>
      <c r="AB126" s="131">
        <v>36.4</v>
      </c>
      <c r="AC126" s="131">
        <v>44</v>
      </c>
      <c r="AD126" s="131">
        <v>55.6</v>
      </c>
      <c r="AE126" s="131">
        <v>30.1</v>
      </c>
      <c r="AF126" s="131">
        <v>31.6</v>
      </c>
      <c r="AG126" s="128"/>
      <c r="AH126" s="48">
        <f>MAX(B126:AF126)</f>
        <v>650</v>
      </c>
      <c r="AI126" s="49">
        <f>MIN(B126:AF126)</f>
        <v>17.5</v>
      </c>
    </row>
    <row r="127" spans="1:35" x14ac:dyDescent="0.25">
      <c r="A127" s="126" t="s">
        <v>150</v>
      </c>
      <c r="B127" s="131">
        <v>-80</v>
      </c>
      <c r="C127" s="131">
        <v>-83</v>
      </c>
      <c r="D127" s="131">
        <v>-81</v>
      </c>
      <c r="E127" s="131">
        <v>-76.7</v>
      </c>
      <c r="F127" s="131">
        <v>-72</v>
      </c>
      <c r="G127" s="131">
        <v>-67</v>
      </c>
      <c r="H127" s="131">
        <v>-63.6</v>
      </c>
      <c r="I127" s="131">
        <v>-88.3</v>
      </c>
      <c r="J127" s="131">
        <v>-37.200000000000003</v>
      </c>
      <c r="K127" s="131">
        <v>-29.7</v>
      </c>
      <c r="L127" s="131">
        <v>13.4</v>
      </c>
      <c r="M127" s="131">
        <v>19.2</v>
      </c>
      <c r="N127" s="131">
        <v>20</v>
      </c>
      <c r="O127" s="131">
        <v>25</v>
      </c>
      <c r="P127" s="131">
        <v>26.1</v>
      </c>
      <c r="Q127" s="131">
        <v>28.3</v>
      </c>
      <c r="R127" s="131">
        <v>42.3</v>
      </c>
      <c r="S127" s="131">
        <v>42.5</v>
      </c>
      <c r="T127" s="131">
        <v>35.1</v>
      </c>
      <c r="U127" s="131">
        <v>32</v>
      </c>
      <c r="V127" s="131">
        <v>18.3</v>
      </c>
      <c r="W127" s="131">
        <v>7.2</v>
      </c>
      <c r="X127" s="131">
        <v>-64.8</v>
      </c>
      <c r="Y127" s="131">
        <v>-143.30000000000001</v>
      </c>
      <c r="Z127" s="131">
        <v>-155.6</v>
      </c>
      <c r="AA127" s="131">
        <v>-177.8</v>
      </c>
      <c r="AB127" s="131">
        <v>-144.30000000000001</v>
      </c>
      <c r="AC127" s="131">
        <v>-141</v>
      </c>
      <c r="AD127" s="131">
        <v>-151.69999999999999</v>
      </c>
      <c r="AE127" s="131">
        <v>-145.1</v>
      </c>
      <c r="AF127" s="131">
        <v>-135.19999999999999</v>
      </c>
      <c r="AG127" s="128"/>
      <c r="AH127" s="48">
        <f>MAX(B127:AF127)</f>
        <v>42.5</v>
      </c>
      <c r="AI127" s="49">
        <f>MIN(B127:AF127)</f>
        <v>-177.8</v>
      </c>
    </row>
    <row r="128" spans="1:35" x14ac:dyDescent="0.25">
      <c r="A128" s="129" t="s">
        <v>151</v>
      </c>
      <c r="B128" s="119">
        <v>-5</v>
      </c>
      <c r="C128" s="119">
        <v>-5.6</v>
      </c>
      <c r="D128" s="119">
        <v>-14</v>
      </c>
      <c r="E128" s="119">
        <v>-14.4</v>
      </c>
      <c r="F128" s="119">
        <v>-14.3</v>
      </c>
      <c r="G128" s="119">
        <v>-13.3</v>
      </c>
      <c r="H128" s="119">
        <v>-14.9</v>
      </c>
      <c r="I128" s="119">
        <v>-17.3</v>
      </c>
      <c r="J128" s="119">
        <v>-23.6</v>
      </c>
      <c r="K128" s="119">
        <v>-14.5</v>
      </c>
      <c r="L128" s="119">
        <v>-16.8</v>
      </c>
      <c r="M128" s="119">
        <v>-22</v>
      </c>
      <c r="N128" s="119">
        <v>-19</v>
      </c>
      <c r="O128" s="119">
        <v>-15</v>
      </c>
      <c r="P128" s="119">
        <v>-14.5</v>
      </c>
      <c r="Q128" s="119">
        <v>-20.7</v>
      </c>
      <c r="R128" s="119">
        <v>-16</v>
      </c>
      <c r="S128" s="119">
        <v>-20.2</v>
      </c>
      <c r="T128" s="119">
        <v>-20.100000000000001</v>
      </c>
      <c r="U128" s="119">
        <v>-20.100000000000001</v>
      </c>
      <c r="V128" s="119">
        <v>-26.2</v>
      </c>
      <c r="W128" s="119">
        <v>-27.7</v>
      </c>
      <c r="X128" s="119">
        <v>-28.1</v>
      </c>
      <c r="Y128" s="119">
        <v>-32.700000000000003</v>
      </c>
      <c r="Z128" s="119">
        <v>-30.3</v>
      </c>
      <c r="AA128" s="119">
        <v>-65.3</v>
      </c>
      <c r="AB128" s="119">
        <v>-6.5</v>
      </c>
      <c r="AC128" s="119">
        <v>0.8</v>
      </c>
      <c r="AD128" s="119">
        <v>-10.4</v>
      </c>
      <c r="AE128" s="119">
        <v>-2.7</v>
      </c>
      <c r="AF128" s="119">
        <v>7.1</v>
      </c>
      <c r="AG128" s="128"/>
      <c r="AH128" s="48">
        <f>MAX(B128:AF128)</f>
        <v>7.1</v>
      </c>
      <c r="AI128" s="49">
        <f>MIN(B128:AF128)</f>
        <v>-65.3</v>
      </c>
    </row>
    <row r="129" spans="1:37" x14ac:dyDescent="0.25">
      <c r="A129" s="129" t="s">
        <v>152</v>
      </c>
      <c r="B129" s="119">
        <v>92</v>
      </c>
      <c r="C129" s="119">
        <v>91</v>
      </c>
      <c r="D129" s="119">
        <v>91</v>
      </c>
      <c r="E129" s="119">
        <v>81.3</v>
      </c>
      <c r="F129" s="119">
        <v>81</v>
      </c>
      <c r="G129" s="119">
        <v>61.5</v>
      </c>
      <c r="H129" s="119">
        <v>61.3</v>
      </c>
      <c r="I129" s="119">
        <v>58.8</v>
      </c>
      <c r="J129" s="119">
        <v>90.1</v>
      </c>
      <c r="K129" s="119">
        <v>89.4</v>
      </c>
      <c r="L129" s="119">
        <v>89.2</v>
      </c>
      <c r="M129" s="119">
        <v>98.9</v>
      </c>
      <c r="N129" s="119">
        <v>47</v>
      </c>
      <c r="O129" s="119">
        <v>76</v>
      </c>
      <c r="P129" s="119">
        <v>52</v>
      </c>
      <c r="Q129" s="119">
        <v>68.099999999999994</v>
      </c>
      <c r="R129" s="119">
        <v>71.2</v>
      </c>
      <c r="S129" s="119">
        <v>60.8</v>
      </c>
      <c r="T129" s="119">
        <v>53.9</v>
      </c>
      <c r="U129" s="119">
        <v>48</v>
      </c>
      <c r="V129" s="119">
        <v>45.7</v>
      </c>
      <c r="W129" s="119">
        <v>50.3</v>
      </c>
      <c r="X129" s="119">
        <v>76.599999999999994</v>
      </c>
      <c r="Y129" s="119">
        <v>76.3</v>
      </c>
      <c r="Z129" s="119">
        <v>80.8</v>
      </c>
      <c r="AA129" s="119">
        <v>102.2</v>
      </c>
      <c r="AB129" s="119">
        <v>78.2</v>
      </c>
      <c r="AC129" s="119">
        <v>75.400000000000006</v>
      </c>
      <c r="AD129" s="119">
        <v>78.7</v>
      </c>
      <c r="AE129" s="119">
        <v>77.400000000000006</v>
      </c>
      <c r="AF129" s="119">
        <v>68.3</v>
      </c>
      <c r="AG129" s="128"/>
      <c r="AH129" s="48">
        <f>MAX(B129:AF129)</f>
        <v>102.2</v>
      </c>
      <c r="AI129" s="49">
        <f>MIN(B129:AF129)</f>
        <v>45.7</v>
      </c>
    </row>
    <row r="130" spans="1:37" ht="15.75" thickBot="1" x14ac:dyDescent="0.3">
      <c r="A130" s="129" t="s">
        <v>153</v>
      </c>
      <c r="B130" s="119">
        <v>99</v>
      </c>
      <c r="C130" s="119">
        <v>96.9</v>
      </c>
      <c r="D130" s="119">
        <v>100</v>
      </c>
      <c r="E130" s="119">
        <v>91.3</v>
      </c>
      <c r="F130" s="119">
        <v>85</v>
      </c>
      <c r="G130" s="119">
        <v>75.5</v>
      </c>
      <c r="H130" s="119">
        <v>71.599999999999994</v>
      </c>
      <c r="I130" s="119">
        <v>68.8</v>
      </c>
      <c r="J130" s="119">
        <v>94.85</v>
      </c>
      <c r="K130" s="119">
        <v>101.8</v>
      </c>
      <c r="L130" s="119">
        <v>99.4</v>
      </c>
      <c r="M130" s="119">
        <v>104.2</v>
      </c>
      <c r="N130" s="119">
        <v>52</v>
      </c>
      <c r="O130" s="119">
        <v>85</v>
      </c>
      <c r="P130" s="119">
        <v>61</v>
      </c>
      <c r="Q130" s="119">
        <v>76</v>
      </c>
      <c r="R130" s="119">
        <v>80</v>
      </c>
      <c r="S130" s="119">
        <v>71.099999999999994</v>
      </c>
      <c r="T130" s="119">
        <v>63.8</v>
      </c>
      <c r="U130" s="119">
        <v>59</v>
      </c>
      <c r="V130" s="119">
        <v>53.2</v>
      </c>
      <c r="W130" s="119">
        <v>55.1</v>
      </c>
      <c r="X130" s="119">
        <v>86.3</v>
      </c>
      <c r="Y130" s="119">
        <v>86.1</v>
      </c>
      <c r="Z130" s="119">
        <v>88.1</v>
      </c>
      <c r="AA130" s="119">
        <v>104.1</v>
      </c>
      <c r="AB130" s="119">
        <v>84.6</v>
      </c>
      <c r="AC130" s="119">
        <v>79.3</v>
      </c>
      <c r="AD130" s="119">
        <v>87.8</v>
      </c>
      <c r="AE130" s="119">
        <v>84.1</v>
      </c>
      <c r="AF130" s="119">
        <v>76.7</v>
      </c>
      <c r="AG130" s="128"/>
      <c r="AH130" s="48">
        <f>MAX(B130:AF130)</f>
        <v>104.2</v>
      </c>
      <c r="AI130" s="49">
        <f>MIN(B130:AF130)</f>
        <v>52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1982.71</v>
      </c>
      <c r="C132" s="137">
        <v>1982.78</v>
      </c>
      <c r="D132" s="137">
        <v>1982.85</v>
      </c>
      <c r="E132" s="137">
        <v>1982.98</v>
      </c>
      <c r="F132" s="137">
        <v>1983.05</v>
      </c>
      <c r="G132" s="137">
        <v>1983.15</v>
      </c>
      <c r="H132" s="137"/>
      <c r="I132" s="137">
        <v>1983.2</v>
      </c>
      <c r="J132" s="137"/>
      <c r="K132" s="137">
        <v>1983.25</v>
      </c>
      <c r="L132" s="137"/>
      <c r="M132" s="137">
        <v>1983.62</v>
      </c>
      <c r="N132" s="137">
        <v>1984.05</v>
      </c>
      <c r="O132" s="137">
        <v>1984.45</v>
      </c>
      <c r="P132" s="137">
        <v>1984.7</v>
      </c>
      <c r="Q132" s="137">
        <v>1985.05</v>
      </c>
      <c r="R132" s="137">
        <v>1985.33</v>
      </c>
      <c r="S132" s="137">
        <v>1985.65</v>
      </c>
      <c r="T132" s="137">
        <v>1985.95</v>
      </c>
      <c r="U132" s="137">
        <v>1986.2</v>
      </c>
      <c r="V132" s="137">
        <v>1986.5</v>
      </c>
      <c r="W132" s="137"/>
      <c r="X132" s="137">
        <v>1986.66</v>
      </c>
      <c r="Y132" s="137"/>
      <c r="Z132" s="137">
        <v>1986.3</v>
      </c>
      <c r="AA132" s="137"/>
      <c r="AB132" s="137">
        <v>1985.48</v>
      </c>
      <c r="AC132" s="137"/>
      <c r="AD132" s="137">
        <v>1984.8</v>
      </c>
      <c r="AE132" s="137">
        <v>1984.23</v>
      </c>
      <c r="AF132" s="138">
        <v>1983.84</v>
      </c>
      <c r="AG132" s="139"/>
      <c r="AH132" s="48"/>
      <c r="AI132" s="49"/>
    </row>
    <row r="133" spans="1:37" x14ac:dyDescent="0.25">
      <c r="A133" s="136" t="s">
        <v>156</v>
      </c>
      <c r="B133" s="140">
        <v>518.86</v>
      </c>
      <c r="C133" s="140">
        <v>518.72</v>
      </c>
      <c r="D133" s="140">
        <v>518.6</v>
      </c>
      <c r="E133" s="140">
        <v>518.66999999999996</v>
      </c>
      <c r="F133" s="140">
        <v>519.84</v>
      </c>
      <c r="G133" s="140">
        <v>519.04</v>
      </c>
      <c r="H133" s="140"/>
      <c r="I133" s="140">
        <v>519.29999999999995</v>
      </c>
      <c r="J133" s="140"/>
      <c r="K133" s="140">
        <v>519.57000000000005</v>
      </c>
      <c r="L133" s="140"/>
      <c r="M133" s="140">
        <v>519.9</v>
      </c>
      <c r="N133" s="140">
        <v>520.44000000000005</v>
      </c>
      <c r="O133" s="140">
        <v>520.86</v>
      </c>
      <c r="P133" s="140">
        <v>521.24</v>
      </c>
      <c r="Q133" s="140">
        <v>521.5</v>
      </c>
      <c r="R133" s="140">
        <v>521.80999999999995</v>
      </c>
      <c r="S133" s="140">
        <v>522.08000000000004</v>
      </c>
      <c r="T133" s="140">
        <v>522.36</v>
      </c>
      <c r="U133" s="140">
        <v>522.62</v>
      </c>
      <c r="V133" s="140">
        <v>522.88</v>
      </c>
      <c r="W133" s="140"/>
      <c r="X133" s="140">
        <v>523.04</v>
      </c>
      <c r="Y133" s="140"/>
      <c r="Z133" s="140">
        <v>522.95000000000005</v>
      </c>
      <c r="AA133" s="140"/>
      <c r="AB133" s="140">
        <v>522.71</v>
      </c>
      <c r="AC133" s="140"/>
      <c r="AD133" s="140">
        <v>522.46</v>
      </c>
      <c r="AE133" s="140">
        <v>522.12</v>
      </c>
      <c r="AF133" s="141">
        <v>521.75</v>
      </c>
      <c r="AG133" s="139"/>
      <c r="AH133" s="48"/>
      <c r="AI133" s="49"/>
    </row>
    <row r="134" spans="1:37" x14ac:dyDescent="0.25">
      <c r="A134" s="136" t="s">
        <v>157</v>
      </c>
      <c r="B134" s="140">
        <v>622.39</v>
      </c>
      <c r="C134" s="140">
        <v>622.04</v>
      </c>
      <c r="D134" s="140">
        <v>622.02</v>
      </c>
      <c r="E134" s="140">
        <v>622.53</v>
      </c>
      <c r="F134" s="140">
        <v>623.27</v>
      </c>
      <c r="G134" s="140">
        <v>623.99</v>
      </c>
      <c r="H134" s="140"/>
      <c r="I134" s="140">
        <v>624.4</v>
      </c>
      <c r="J134" s="140"/>
      <c r="K134" s="140">
        <v>624.69000000000005</v>
      </c>
      <c r="L134" s="140"/>
      <c r="M134" s="140"/>
      <c r="N134" s="140"/>
      <c r="O134" s="140"/>
      <c r="P134" s="140">
        <v>624.64</v>
      </c>
      <c r="Q134" s="140">
        <v>624.71</v>
      </c>
      <c r="R134" s="140">
        <v>624.9</v>
      </c>
      <c r="S134" s="140">
        <v>624.82000000000005</v>
      </c>
      <c r="T134" s="140">
        <v>624.69000000000005</v>
      </c>
      <c r="U134" s="140">
        <v>624.54999999999995</v>
      </c>
      <c r="V134" s="140">
        <v>624.20000000000005</v>
      </c>
      <c r="W134" s="140"/>
      <c r="X134" s="140">
        <v>624</v>
      </c>
      <c r="Y134" s="140"/>
      <c r="Z134" s="140">
        <v>623.83000000000004</v>
      </c>
      <c r="AA134" s="140"/>
      <c r="AB134" s="140">
        <v>623.54999999999995</v>
      </c>
      <c r="AC134" s="140"/>
      <c r="AD134" s="140">
        <v>623.26</v>
      </c>
      <c r="AE134" s="140">
        <v>623.02</v>
      </c>
      <c r="AF134" s="141">
        <v>622.9</v>
      </c>
      <c r="AG134" s="139"/>
      <c r="AH134" s="48"/>
      <c r="AI134" s="49"/>
    </row>
    <row r="135" spans="1:37" x14ac:dyDescent="0.25">
      <c r="A135" s="136" t="s">
        <v>158</v>
      </c>
      <c r="B135" s="140">
        <v>334.59</v>
      </c>
      <c r="C135" s="140">
        <v>334.41</v>
      </c>
      <c r="D135" s="140">
        <v>334.42</v>
      </c>
      <c r="E135" s="140">
        <v>334.58</v>
      </c>
      <c r="F135" s="140">
        <v>334.86</v>
      </c>
      <c r="G135" s="140">
        <v>335.15</v>
      </c>
      <c r="H135" s="140"/>
      <c r="I135" s="140">
        <v>335.35</v>
      </c>
      <c r="J135" s="140"/>
      <c r="K135" s="140">
        <v>335.57</v>
      </c>
      <c r="L135" s="140"/>
      <c r="M135" s="140">
        <v>335.58</v>
      </c>
      <c r="N135" s="140">
        <v>335.48</v>
      </c>
      <c r="O135" s="140">
        <v>335.3</v>
      </c>
      <c r="P135" s="140">
        <v>335.22</v>
      </c>
      <c r="Q135" s="140">
        <v>335.15</v>
      </c>
      <c r="R135" s="140">
        <v>335.34</v>
      </c>
      <c r="S135" s="140">
        <v>335.82</v>
      </c>
      <c r="T135" s="140">
        <v>336.35</v>
      </c>
      <c r="U135" s="140">
        <v>336.87</v>
      </c>
      <c r="V135" s="140">
        <v>337.09</v>
      </c>
      <c r="W135" s="140"/>
      <c r="X135" s="140">
        <v>337.13</v>
      </c>
      <c r="Y135" s="140"/>
      <c r="Z135" s="140">
        <v>337.15</v>
      </c>
      <c r="AA135" s="140"/>
      <c r="AB135" s="140">
        <v>337.1</v>
      </c>
      <c r="AC135" s="140"/>
      <c r="AD135" s="140">
        <v>336.98</v>
      </c>
      <c r="AE135" s="140">
        <v>336.87</v>
      </c>
      <c r="AF135" s="141">
        <v>336.89</v>
      </c>
      <c r="AG135" s="139"/>
      <c r="AH135" s="48"/>
      <c r="AI135" s="49"/>
    </row>
    <row r="136" spans="1:37" x14ac:dyDescent="0.25">
      <c r="A136" s="136" t="s">
        <v>159</v>
      </c>
      <c r="B136" s="140">
        <v>882.9</v>
      </c>
      <c r="C136" s="140">
        <v>883.5</v>
      </c>
      <c r="D136" s="140">
        <v>884.4</v>
      </c>
      <c r="E136" s="140">
        <v>885</v>
      </c>
      <c r="F136" s="140">
        <v>885.4</v>
      </c>
      <c r="G136" s="140">
        <v>885.9</v>
      </c>
      <c r="H136" s="140"/>
      <c r="I136" s="140">
        <v>886.2</v>
      </c>
      <c r="J136" s="140"/>
      <c r="K136" s="140">
        <v>886.4</v>
      </c>
      <c r="L136" s="140"/>
      <c r="M136" s="140">
        <v>886.6</v>
      </c>
      <c r="N136" s="140">
        <v>886.7</v>
      </c>
      <c r="O136" s="140">
        <v>886.8</v>
      </c>
      <c r="P136" s="140">
        <v>886.9</v>
      </c>
      <c r="Q136" s="140">
        <v>887</v>
      </c>
      <c r="R136" s="140">
        <v>886.8</v>
      </c>
      <c r="S136" s="140">
        <v>886.2</v>
      </c>
      <c r="T136" s="140">
        <v>885.6</v>
      </c>
      <c r="U136" s="140">
        <v>885.1</v>
      </c>
      <c r="V136" s="140">
        <v>885.1</v>
      </c>
      <c r="W136" s="140"/>
      <c r="X136" s="140">
        <v>885.4</v>
      </c>
      <c r="Y136" s="140"/>
      <c r="Z136" s="140">
        <v>885.4</v>
      </c>
      <c r="AA136" s="140"/>
      <c r="AB136" s="140">
        <v>885</v>
      </c>
      <c r="AC136" s="140"/>
      <c r="AD136" s="140">
        <v>885.2</v>
      </c>
      <c r="AE136" s="140">
        <v>885.2</v>
      </c>
      <c r="AF136" s="141">
        <v>884.9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1495.6</v>
      </c>
      <c r="C137" s="142"/>
      <c r="D137" s="142"/>
      <c r="E137" s="142"/>
      <c r="F137" s="142"/>
      <c r="G137" s="142"/>
      <c r="H137" s="142"/>
      <c r="I137" s="142"/>
      <c r="J137" s="142"/>
      <c r="K137" s="142">
        <v>1495.29</v>
      </c>
      <c r="L137" s="142"/>
      <c r="M137" s="142"/>
      <c r="N137" s="142"/>
      <c r="O137" s="142"/>
      <c r="P137" s="142"/>
      <c r="Q137" s="142"/>
      <c r="R137" s="142"/>
      <c r="S137" s="142">
        <v>1495.22</v>
      </c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9">SUM(B139:B243)</f>
        <v>0</v>
      </c>
      <c r="C244" s="161">
        <f t="shared" si="49"/>
        <v>0</v>
      </c>
      <c r="D244" s="161">
        <f t="shared" si="49"/>
        <v>0</v>
      </c>
      <c r="E244" s="161">
        <f t="shared" si="49"/>
        <v>0</v>
      </c>
      <c r="F244" s="161">
        <f t="shared" si="49"/>
        <v>0</v>
      </c>
      <c r="G244" s="161">
        <f t="shared" si="49"/>
        <v>0</v>
      </c>
      <c r="H244" s="161">
        <f t="shared" si="49"/>
        <v>0</v>
      </c>
      <c r="I244" s="161">
        <f t="shared" si="49"/>
        <v>0</v>
      </c>
      <c r="J244" s="161">
        <f t="shared" si="49"/>
        <v>0</v>
      </c>
      <c r="K244" s="161">
        <f t="shared" si="49"/>
        <v>0</v>
      </c>
      <c r="L244" s="161">
        <f t="shared" si="49"/>
        <v>0</v>
      </c>
      <c r="M244" s="161">
        <f t="shared" si="49"/>
        <v>0</v>
      </c>
      <c r="N244" s="161">
        <f t="shared" si="49"/>
        <v>0</v>
      </c>
      <c r="O244" s="161">
        <f t="shared" si="49"/>
        <v>0</v>
      </c>
      <c r="P244" s="161">
        <f t="shared" si="49"/>
        <v>0</v>
      </c>
      <c r="Q244" s="161">
        <f t="shared" si="49"/>
        <v>0</v>
      </c>
      <c r="R244" s="161">
        <f t="shared" si="49"/>
        <v>0</v>
      </c>
      <c r="S244" s="161">
        <f t="shared" si="49"/>
        <v>0</v>
      </c>
      <c r="T244" s="161">
        <f t="shared" si="49"/>
        <v>0</v>
      </c>
      <c r="U244" s="161">
        <f t="shared" si="49"/>
        <v>0</v>
      </c>
      <c r="V244" s="161">
        <f t="shared" si="49"/>
        <v>0</v>
      </c>
      <c r="W244" s="161">
        <f t="shared" si="49"/>
        <v>0</v>
      </c>
      <c r="X244" s="161">
        <f t="shared" si="49"/>
        <v>0</v>
      </c>
      <c r="Y244" s="161">
        <f t="shared" si="49"/>
        <v>0</v>
      </c>
      <c r="Z244" s="161">
        <f t="shared" si="49"/>
        <v>0</v>
      </c>
      <c r="AA244" s="161">
        <f t="shared" si="49"/>
        <v>0</v>
      </c>
      <c r="AB244" s="161">
        <f t="shared" si="49"/>
        <v>0</v>
      </c>
      <c r="AC244" s="161">
        <f t="shared" si="49"/>
        <v>0</v>
      </c>
      <c r="AD244" s="161">
        <f t="shared" si="49"/>
        <v>0</v>
      </c>
      <c r="AE244" s="161">
        <f t="shared" si="49"/>
        <v>0</v>
      </c>
      <c r="AF244" s="162">
        <f t="shared" si="49"/>
        <v>0</v>
      </c>
      <c r="AG244" s="163">
        <f t="shared" si="4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50">AF246</f>
        <v>0.3</v>
      </c>
      <c r="C246" s="166">
        <v>0.3</v>
      </c>
      <c r="D246" s="166">
        <f t="shared" ref="D246:S251" si="51">C246</f>
        <v>0.3</v>
      </c>
      <c r="E246" s="166">
        <f t="shared" si="51"/>
        <v>0.3</v>
      </c>
      <c r="F246" s="166">
        <f t="shared" si="51"/>
        <v>0.3</v>
      </c>
      <c r="G246" s="166">
        <f t="shared" si="51"/>
        <v>0.3</v>
      </c>
      <c r="H246" s="166">
        <f t="shared" si="51"/>
        <v>0.3</v>
      </c>
      <c r="I246" s="166">
        <f t="shared" si="51"/>
        <v>0.3</v>
      </c>
      <c r="J246" s="166">
        <f t="shared" si="51"/>
        <v>0.3</v>
      </c>
      <c r="K246" s="166">
        <f t="shared" si="51"/>
        <v>0.3</v>
      </c>
      <c r="L246" s="166">
        <f t="shared" si="51"/>
        <v>0.3</v>
      </c>
      <c r="M246" s="166">
        <f t="shared" si="51"/>
        <v>0.3</v>
      </c>
      <c r="N246" s="166">
        <f t="shared" si="51"/>
        <v>0.3</v>
      </c>
      <c r="O246" s="166">
        <f t="shared" si="51"/>
        <v>0.3</v>
      </c>
      <c r="P246" s="166">
        <f t="shared" si="51"/>
        <v>0.3</v>
      </c>
      <c r="Q246" s="166">
        <f t="shared" si="51"/>
        <v>0.3</v>
      </c>
      <c r="R246" s="166">
        <f t="shared" si="51"/>
        <v>0.3</v>
      </c>
      <c r="S246" s="166">
        <f t="shared" si="51"/>
        <v>0.3</v>
      </c>
      <c r="T246" s="166">
        <f t="shared" ref="T246:AF251" si="52">S246</f>
        <v>0.3</v>
      </c>
      <c r="U246" s="166">
        <f t="shared" si="52"/>
        <v>0.3</v>
      </c>
      <c r="V246" s="166">
        <f t="shared" si="52"/>
        <v>0.3</v>
      </c>
      <c r="W246" s="166">
        <f t="shared" si="52"/>
        <v>0.3</v>
      </c>
      <c r="X246" s="166">
        <f t="shared" si="52"/>
        <v>0.3</v>
      </c>
      <c r="Y246" s="166">
        <f t="shared" si="52"/>
        <v>0.3</v>
      </c>
      <c r="Z246" s="166">
        <f t="shared" si="52"/>
        <v>0.3</v>
      </c>
      <c r="AA246" s="166">
        <f t="shared" si="52"/>
        <v>0.3</v>
      </c>
      <c r="AB246" s="166">
        <f t="shared" si="52"/>
        <v>0.3</v>
      </c>
      <c r="AC246" s="166">
        <f t="shared" si="52"/>
        <v>0.3</v>
      </c>
      <c r="AD246" s="166">
        <f t="shared" si="52"/>
        <v>0.3</v>
      </c>
      <c r="AE246" s="166">
        <f t="shared" si="52"/>
        <v>0.3</v>
      </c>
      <c r="AF246" s="166">
        <f t="shared" si="52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50"/>
        <v>0.4</v>
      </c>
      <c r="C247" s="152">
        <v>0.4</v>
      </c>
      <c r="D247" s="152">
        <f t="shared" si="51"/>
        <v>0.4</v>
      </c>
      <c r="E247" s="152">
        <f t="shared" si="51"/>
        <v>0.4</v>
      </c>
      <c r="F247" s="152">
        <f t="shared" si="51"/>
        <v>0.4</v>
      </c>
      <c r="G247" s="152">
        <f t="shared" si="51"/>
        <v>0.4</v>
      </c>
      <c r="H247" s="152">
        <f t="shared" si="51"/>
        <v>0.4</v>
      </c>
      <c r="I247" s="152">
        <f t="shared" si="51"/>
        <v>0.4</v>
      </c>
      <c r="J247" s="152">
        <f t="shared" si="51"/>
        <v>0.4</v>
      </c>
      <c r="K247" s="152">
        <f t="shared" si="51"/>
        <v>0.4</v>
      </c>
      <c r="L247" s="152">
        <f t="shared" si="51"/>
        <v>0.4</v>
      </c>
      <c r="M247" s="152">
        <f t="shared" si="51"/>
        <v>0.4</v>
      </c>
      <c r="N247" s="152">
        <f t="shared" si="51"/>
        <v>0.4</v>
      </c>
      <c r="O247" s="152">
        <f t="shared" si="51"/>
        <v>0.4</v>
      </c>
      <c r="P247" s="152">
        <f t="shared" si="51"/>
        <v>0.4</v>
      </c>
      <c r="Q247" s="152">
        <f t="shared" si="51"/>
        <v>0.4</v>
      </c>
      <c r="R247" s="152">
        <f t="shared" si="51"/>
        <v>0.4</v>
      </c>
      <c r="S247" s="152">
        <f t="shared" si="51"/>
        <v>0.4</v>
      </c>
      <c r="T247" s="152">
        <f t="shared" si="52"/>
        <v>0.4</v>
      </c>
      <c r="U247" s="152">
        <f t="shared" si="52"/>
        <v>0.4</v>
      </c>
      <c r="V247" s="152">
        <f t="shared" si="52"/>
        <v>0.4</v>
      </c>
      <c r="W247" s="152">
        <f t="shared" si="52"/>
        <v>0.4</v>
      </c>
      <c r="X247" s="152">
        <f t="shared" si="52"/>
        <v>0.4</v>
      </c>
      <c r="Y247" s="152">
        <f t="shared" si="52"/>
        <v>0.4</v>
      </c>
      <c r="Z247" s="152">
        <f t="shared" si="52"/>
        <v>0.4</v>
      </c>
      <c r="AA247" s="152">
        <f t="shared" si="52"/>
        <v>0.4</v>
      </c>
      <c r="AB247" s="152">
        <f t="shared" si="52"/>
        <v>0.4</v>
      </c>
      <c r="AC247" s="152">
        <f t="shared" si="52"/>
        <v>0.4</v>
      </c>
      <c r="AD247" s="152">
        <f t="shared" si="52"/>
        <v>0.4</v>
      </c>
      <c r="AE247" s="152">
        <f t="shared" si="52"/>
        <v>0.4</v>
      </c>
      <c r="AF247" s="152">
        <f t="shared" si="52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50"/>
        <v>1.5</v>
      </c>
      <c r="C248" s="152">
        <v>1.5</v>
      </c>
      <c r="D248" s="152">
        <f t="shared" si="51"/>
        <v>1.5</v>
      </c>
      <c r="E248" s="152">
        <f t="shared" si="51"/>
        <v>1.5</v>
      </c>
      <c r="F248" s="152">
        <f t="shared" si="51"/>
        <v>1.5</v>
      </c>
      <c r="G248" s="152">
        <f t="shared" si="51"/>
        <v>1.5</v>
      </c>
      <c r="H248" s="152">
        <f t="shared" si="51"/>
        <v>1.5</v>
      </c>
      <c r="I248" s="152">
        <f t="shared" si="51"/>
        <v>1.5</v>
      </c>
      <c r="J248" s="152">
        <f t="shared" si="51"/>
        <v>1.5</v>
      </c>
      <c r="K248" s="152">
        <f t="shared" si="51"/>
        <v>1.5</v>
      </c>
      <c r="L248" s="152">
        <f t="shared" si="51"/>
        <v>1.5</v>
      </c>
      <c r="M248" s="152">
        <f t="shared" si="51"/>
        <v>1.5</v>
      </c>
      <c r="N248" s="152">
        <f t="shared" si="51"/>
        <v>1.5</v>
      </c>
      <c r="O248" s="152">
        <f t="shared" si="51"/>
        <v>1.5</v>
      </c>
      <c r="P248" s="152">
        <f t="shared" si="51"/>
        <v>1.5</v>
      </c>
      <c r="Q248" s="152">
        <f t="shared" si="51"/>
        <v>1.5</v>
      </c>
      <c r="R248" s="152">
        <f t="shared" si="51"/>
        <v>1.5</v>
      </c>
      <c r="S248" s="152">
        <f t="shared" si="51"/>
        <v>1.5</v>
      </c>
      <c r="T248" s="152">
        <f t="shared" si="52"/>
        <v>1.5</v>
      </c>
      <c r="U248" s="152">
        <f t="shared" si="52"/>
        <v>1.5</v>
      </c>
      <c r="V248" s="152">
        <f t="shared" si="52"/>
        <v>1.5</v>
      </c>
      <c r="W248" s="152">
        <f t="shared" si="52"/>
        <v>1.5</v>
      </c>
      <c r="X248" s="152">
        <f t="shared" si="52"/>
        <v>1.5</v>
      </c>
      <c r="Y248" s="152">
        <f t="shared" si="52"/>
        <v>1.5</v>
      </c>
      <c r="Z248" s="152">
        <f t="shared" si="52"/>
        <v>1.5</v>
      </c>
      <c r="AA248" s="152">
        <f t="shared" si="52"/>
        <v>1.5</v>
      </c>
      <c r="AB248" s="152">
        <f t="shared" si="52"/>
        <v>1.5</v>
      </c>
      <c r="AC248" s="152">
        <f t="shared" si="52"/>
        <v>1.5</v>
      </c>
      <c r="AD248" s="152">
        <f t="shared" si="52"/>
        <v>1.5</v>
      </c>
      <c r="AE248" s="152">
        <f t="shared" si="52"/>
        <v>1.5</v>
      </c>
      <c r="AF248" s="152">
        <f t="shared" si="52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50"/>
        <v>0.3</v>
      </c>
      <c r="C249" s="152">
        <v>0.3</v>
      </c>
      <c r="D249" s="152">
        <f t="shared" si="51"/>
        <v>0.3</v>
      </c>
      <c r="E249" s="152">
        <f t="shared" si="51"/>
        <v>0.3</v>
      </c>
      <c r="F249" s="152">
        <f t="shared" si="51"/>
        <v>0.3</v>
      </c>
      <c r="G249" s="152">
        <f t="shared" si="51"/>
        <v>0.3</v>
      </c>
      <c r="H249" s="152">
        <f t="shared" si="51"/>
        <v>0.3</v>
      </c>
      <c r="I249" s="152">
        <f t="shared" si="51"/>
        <v>0.3</v>
      </c>
      <c r="J249" s="152">
        <f t="shared" si="51"/>
        <v>0.3</v>
      </c>
      <c r="K249" s="152">
        <f t="shared" si="51"/>
        <v>0.3</v>
      </c>
      <c r="L249" s="152">
        <f t="shared" si="51"/>
        <v>0.3</v>
      </c>
      <c r="M249" s="152">
        <f t="shared" si="51"/>
        <v>0.3</v>
      </c>
      <c r="N249" s="152">
        <f t="shared" si="51"/>
        <v>0.3</v>
      </c>
      <c r="O249" s="152">
        <f t="shared" si="51"/>
        <v>0.3</v>
      </c>
      <c r="P249" s="152">
        <f t="shared" si="51"/>
        <v>0.3</v>
      </c>
      <c r="Q249" s="152">
        <f t="shared" si="51"/>
        <v>0.3</v>
      </c>
      <c r="R249" s="152">
        <f t="shared" si="51"/>
        <v>0.3</v>
      </c>
      <c r="S249" s="152">
        <f t="shared" si="51"/>
        <v>0.3</v>
      </c>
      <c r="T249" s="152">
        <f t="shared" si="52"/>
        <v>0.3</v>
      </c>
      <c r="U249" s="152">
        <f t="shared" si="52"/>
        <v>0.3</v>
      </c>
      <c r="V249" s="152">
        <f t="shared" si="52"/>
        <v>0.3</v>
      </c>
      <c r="W249" s="152">
        <f t="shared" si="52"/>
        <v>0.3</v>
      </c>
      <c r="X249" s="152">
        <f t="shared" si="52"/>
        <v>0.3</v>
      </c>
      <c r="Y249" s="152">
        <f t="shared" si="52"/>
        <v>0.3</v>
      </c>
      <c r="Z249" s="152">
        <f t="shared" si="52"/>
        <v>0.3</v>
      </c>
      <c r="AA249" s="152">
        <f t="shared" si="52"/>
        <v>0.3</v>
      </c>
      <c r="AB249" s="152">
        <f t="shared" si="52"/>
        <v>0.3</v>
      </c>
      <c r="AC249" s="152">
        <f t="shared" si="52"/>
        <v>0.3</v>
      </c>
      <c r="AD249" s="152">
        <f t="shared" si="52"/>
        <v>0.3</v>
      </c>
      <c r="AE249" s="152">
        <f t="shared" si="52"/>
        <v>0.3</v>
      </c>
      <c r="AF249" s="152">
        <f t="shared" si="52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50"/>
        <v>0.4</v>
      </c>
      <c r="C250" s="152">
        <v>0.4</v>
      </c>
      <c r="D250" s="152">
        <f t="shared" si="51"/>
        <v>0.4</v>
      </c>
      <c r="E250" s="152">
        <f t="shared" si="51"/>
        <v>0.4</v>
      </c>
      <c r="F250" s="152">
        <f t="shared" si="51"/>
        <v>0.4</v>
      </c>
      <c r="G250" s="152">
        <f t="shared" si="51"/>
        <v>0.4</v>
      </c>
      <c r="H250" s="152">
        <f t="shared" si="51"/>
        <v>0.4</v>
      </c>
      <c r="I250" s="152">
        <f t="shared" si="51"/>
        <v>0.4</v>
      </c>
      <c r="J250" s="152">
        <f t="shared" si="51"/>
        <v>0.4</v>
      </c>
      <c r="K250" s="152">
        <f t="shared" si="51"/>
        <v>0.4</v>
      </c>
      <c r="L250" s="152">
        <f t="shared" si="51"/>
        <v>0.4</v>
      </c>
      <c r="M250" s="152">
        <f t="shared" si="51"/>
        <v>0.4</v>
      </c>
      <c r="N250" s="152">
        <f t="shared" si="51"/>
        <v>0.4</v>
      </c>
      <c r="O250" s="152">
        <f t="shared" si="51"/>
        <v>0.4</v>
      </c>
      <c r="P250" s="152">
        <f t="shared" si="51"/>
        <v>0.4</v>
      </c>
      <c r="Q250" s="152">
        <f t="shared" si="51"/>
        <v>0.4</v>
      </c>
      <c r="R250" s="152">
        <f t="shared" si="51"/>
        <v>0.4</v>
      </c>
      <c r="S250" s="152">
        <f t="shared" si="51"/>
        <v>0.4</v>
      </c>
      <c r="T250" s="152">
        <f t="shared" si="52"/>
        <v>0.4</v>
      </c>
      <c r="U250" s="152">
        <f t="shared" si="52"/>
        <v>0.4</v>
      </c>
      <c r="V250" s="152">
        <f t="shared" si="52"/>
        <v>0.4</v>
      </c>
      <c r="W250" s="152">
        <f t="shared" si="52"/>
        <v>0.4</v>
      </c>
      <c r="X250" s="152">
        <f t="shared" si="52"/>
        <v>0.4</v>
      </c>
      <c r="Y250" s="152">
        <f t="shared" si="52"/>
        <v>0.4</v>
      </c>
      <c r="Z250" s="152">
        <f t="shared" si="52"/>
        <v>0.4</v>
      </c>
      <c r="AA250" s="152">
        <f t="shared" si="52"/>
        <v>0.4</v>
      </c>
      <c r="AB250" s="152">
        <f t="shared" si="52"/>
        <v>0.4</v>
      </c>
      <c r="AC250" s="152">
        <f t="shared" si="52"/>
        <v>0.4</v>
      </c>
      <c r="AD250" s="152">
        <f t="shared" si="52"/>
        <v>0.4</v>
      </c>
      <c r="AE250" s="152">
        <f t="shared" si="52"/>
        <v>0.4</v>
      </c>
      <c r="AF250" s="152">
        <f t="shared" si="52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50"/>
        <v>0.64</v>
      </c>
      <c r="C251" s="157">
        <v>0.64</v>
      </c>
      <c r="D251" s="157">
        <f t="shared" si="51"/>
        <v>0.64</v>
      </c>
      <c r="E251" s="157">
        <f t="shared" si="51"/>
        <v>0.64</v>
      </c>
      <c r="F251" s="157">
        <f t="shared" si="51"/>
        <v>0.64</v>
      </c>
      <c r="G251" s="157">
        <f t="shared" si="51"/>
        <v>0.64</v>
      </c>
      <c r="H251" s="157">
        <f t="shared" si="51"/>
        <v>0.64</v>
      </c>
      <c r="I251" s="157">
        <f t="shared" si="51"/>
        <v>0.64</v>
      </c>
      <c r="J251" s="157">
        <f t="shared" si="51"/>
        <v>0.64</v>
      </c>
      <c r="K251" s="157">
        <f t="shared" si="51"/>
        <v>0.64</v>
      </c>
      <c r="L251" s="157">
        <f t="shared" si="51"/>
        <v>0.64</v>
      </c>
      <c r="M251" s="157">
        <f t="shared" si="51"/>
        <v>0.64</v>
      </c>
      <c r="N251" s="157">
        <f t="shared" si="51"/>
        <v>0.64</v>
      </c>
      <c r="O251" s="157">
        <f t="shared" si="51"/>
        <v>0.64</v>
      </c>
      <c r="P251" s="157">
        <f t="shared" si="51"/>
        <v>0.64</v>
      </c>
      <c r="Q251" s="157">
        <f t="shared" si="51"/>
        <v>0.64</v>
      </c>
      <c r="R251" s="157">
        <f t="shared" si="51"/>
        <v>0.64</v>
      </c>
      <c r="S251" s="157">
        <f t="shared" si="51"/>
        <v>0.64</v>
      </c>
      <c r="T251" s="157">
        <f t="shared" si="52"/>
        <v>0.64</v>
      </c>
      <c r="U251" s="157">
        <f t="shared" si="52"/>
        <v>0.64</v>
      </c>
      <c r="V251" s="157">
        <f t="shared" si="52"/>
        <v>0.64</v>
      </c>
      <c r="W251" s="157">
        <f t="shared" si="52"/>
        <v>0.64</v>
      </c>
      <c r="X251" s="157">
        <f t="shared" si="52"/>
        <v>0.64</v>
      </c>
      <c r="Y251" s="157">
        <f t="shared" si="52"/>
        <v>0.64</v>
      </c>
      <c r="Z251" s="157">
        <f t="shared" si="52"/>
        <v>0.64</v>
      </c>
      <c r="AA251" s="157">
        <f t="shared" si="52"/>
        <v>0.64</v>
      </c>
      <c r="AB251" s="157">
        <f t="shared" si="52"/>
        <v>0.64</v>
      </c>
      <c r="AC251" s="157">
        <f t="shared" si="52"/>
        <v>0.64</v>
      </c>
      <c r="AD251" s="157">
        <f t="shared" si="52"/>
        <v>0.64</v>
      </c>
      <c r="AE251" s="157">
        <f t="shared" si="52"/>
        <v>0.64</v>
      </c>
      <c r="AF251" s="157">
        <f t="shared" si="52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3">SUM(B246:B251)</f>
        <v>3.54</v>
      </c>
      <c r="C252" s="161">
        <f t="shared" si="53"/>
        <v>3.54</v>
      </c>
      <c r="D252" s="161">
        <f t="shared" si="53"/>
        <v>3.54</v>
      </c>
      <c r="E252" s="161">
        <f t="shared" si="53"/>
        <v>3.54</v>
      </c>
      <c r="F252" s="161">
        <f t="shared" si="53"/>
        <v>3.54</v>
      </c>
      <c r="G252" s="161">
        <f t="shared" si="53"/>
        <v>3.54</v>
      </c>
      <c r="H252" s="161">
        <f t="shared" si="53"/>
        <v>3.54</v>
      </c>
      <c r="I252" s="161">
        <f t="shared" si="53"/>
        <v>3.54</v>
      </c>
      <c r="J252" s="161">
        <f t="shared" si="53"/>
        <v>3.54</v>
      </c>
      <c r="K252" s="161">
        <f t="shared" si="53"/>
        <v>3.54</v>
      </c>
      <c r="L252" s="161">
        <f t="shared" si="53"/>
        <v>3.54</v>
      </c>
      <c r="M252" s="161">
        <f t="shared" si="53"/>
        <v>3.54</v>
      </c>
      <c r="N252" s="161">
        <f t="shared" si="53"/>
        <v>3.54</v>
      </c>
      <c r="O252" s="161">
        <f t="shared" si="53"/>
        <v>3.54</v>
      </c>
      <c r="P252" s="161">
        <f t="shared" si="53"/>
        <v>3.54</v>
      </c>
      <c r="Q252" s="161">
        <f t="shared" si="53"/>
        <v>3.54</v>
      </c>
      <c r="R252" s="161">
        <f t="shared" si="53"/>
        <v>3.54</v>
      </c>
      <c r="S252" s="161">
        <f t="shared" si="53"/>
        <v>3.54</v>
      </c>
      <c r="T252" s="161">
        <f t="shared" si="53"/>
        <v>3.54</v>
      </c>
      <c r="U252" s="161">
        <f t="shared" si="53"/>
        <v>3.54</v>
      </c>
      <c r="V252" s="161">
        <f t="shared" si="53"/>
        <v>3.54</v>
      </c>
      <c r="W252" s="161">
        <f t="shared" si="53"/>
        <v>3.54</v>
      </c>
      <c r="X252" s="161">
        <f t="shared" si="53"/>
        <v>3.54</v>
      </c>
      <c r="Y252" s="161">
        <f t="shared" si="53"/>
        <v>3.54</v>
      </c>
      <c r="Z252" s="161">
        <f t="shared" si="53"/>
        <v>3.54</v>
      </c>
      <c r="AA252" s="161">
        <f t="shared" si="53"/>
        <v>3.54</v>
      </c>
      <c r="AB252" s="161">
        <f t="shared" si="53"/>
        <v>3.54</v>
      </c>
      <c r="AC252" s="161">
        <f t="shared" si="53"/>
        <v>3.54</v>
      </c>
      <c r="AD252" s="161">
        <f t="shared" si="53"/>
        <v>3.54</v>
      </c>
      <c r="AE252" s="161">
        <f t="shared" si="53"/>
        <v>3.54</v>
      </c>
      <c r="AF252" s="161">
        <f t="shared" si="53"/>
        <v>3.54</v>
      </c>
      <c r="AG252" s="171">
        <f t="shared" si="5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1653.8690000000001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2080/10/5)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091" priority="89">
      <formula>$AH11=0</formula>
    </cfRule>
  </conditionalFormatting>
  <conditionalFormatting sqref="A132:A253">
    <cfRule type="expression" dxfId="4090" priority="90">
      <formula>$AH132=0</formula>
    </cfRule>
  </conditionalFormatting>
  <conditionalFormatting sqref="B8">
    <cfRule type="expression" dxfId="4089" priority="144">
      <formula>AND(C$9&gt;=14/24,C$9&lt;20/24)</formula>
    </cfRule>
    <cfRule type="expression" dxfId="4088" priority="145">
      <formula>AND(C$9&gt;=8/24,C$9&lt;14/24)</formula>
    </cfRule>
    <cfRule type="expression" dxfId="4087" priority="146">
      <formula>C$9&lt;8/24</formula>
    </cfRule>
    <cfRule type="expression" dxfId="4086" priority="147">
      <formula>C$9&gt;=20/24</formula>
    </cfRule>
  </conditionalFormatting>
  <conditionalFormatting sqref="B9:AF10 E11:F12 B11:D14 G12:T12 E13:O14 P13:AF52 B15:O52 F59:G61 E59:E62 B59:D68 C63:D74 B69:AF74 B77:AF99 B101:AF117 B119:AF137 B244:AF244 B246:B252">
    <cfRule type="expression" dxfId="4085" priority="42">
      <formula>AND(B$9&gt;=14/24,B$9&lt;20/24)</formula>
    </cfRule>
    <cfRule type="expression" dxfId="4084" priority="43">
      <formula>AND(B$9&gt;=8/24,B$9&lt;14/24)</formula>
    </cfRule>
    <cfRule type="expression" dxfId="4083" priority="44">
      <formula>B$9&lt;8/24</formula>
    </cfRule>
  </conditionalFormatting>
  <conditionalFormatting sqref="B53:AF57">
    <cfRule type="expression" dxfId="4082" priority="53">
      <formula>B$9&lt;8/24</formula>
    </cfRule>
  </conditionalFormatting>
  <conditionalFormatting sqref="D246:AF252">
    <cfRule type="expression" dxfId="4081" priority="129">
      <formula>D$9&gt;=20/24</formula>
    </cfRule>
    <cfRule type="expression" dxfId="4080" priority="130">
      <formula>AND(D$9&gt;=14/24,D$9&lt;20/24)</formula>
    </cfRule>
    <cfRule type="expression" dxfId="4079" priority="131">
      <formula>AND(D$9&gt;=8/24,D$9&lt;14/24)</formula>
    </cfRule>
    <cfRule type="expression" dxfId="4078" priority="132">
      <formula>D$9&lt;8/24</formula>
    </cfRule>
  </conditionalFormatting>
  <conditionalFormatting sqref="E11:F12 B11:D14 G12:T12 E13:O14 P13:AF52 B15:O52 F59:G61 E59:E62 B59:D68 C63:D74 B69:AF74 B77:AF99 B9:AF10 B101:AF117 B119:AF137 B244:AF244 B246:B252">
    <cfRule type="expression" dxfId="4077" priority="41">
      <formula>B$9&gt;=20/24</formula>
    </cfRule>
  </conditionalFormatting>
  <conditionalFormatting sqref="E63:I67 J64:K67">
    <cfRule type="expression" dxfId="4076" priority="54">
      <formula>E$9&gt;=20/24</formula>
    </cfRule>
    <cfRule type="expression" dxfId="4075" priority="55">
      <formula>AND(E$9&gt;=14/24,E$9&lt;20/24)</formula>
    </cfRule>
    <cfRule type="expression" dxfId="4074" priority="56">
      <formula>AND(E$9&gt;=8/24,E$9&lt;14/24)</formula>
    </cfRule>
    <cfRule type="expression" dxfId="4073" priority="57">
      <formula>E$9&lt;8/24</formula>
    </cfRule>
  </conditionalFormatting>
  <conditionalFormatting sqref="E68:K68">
    <cfRule type="expression" dxfId="4072" priority="49">
      <formula>E$9&gt;=20/24</formula>
    </cfRule>
    <cfRule type="expression" dxfId="4071" priority="50">
      <formula>AND(E$9&gt;=14/24,E$9&lt;20/24)</formula>
    </cfRule>
    <cfRule type="expression" dxfId="4070" priority="51">
      <formula>AND(E$9&gt;=8/24,E$9&lt;14/24)</formula>
    </cfRule>
    <cfRule type="expression" dxfId="4069" priority="52">
      <formula>E$9&lt;8/24</formula>
    </cfRule>
  </conditionalFormatting>
  <conditionalFormatting sqref="E11:T11 U11:AF12">
    <cfRule type="expression" dxfId="4068" priority="58">
      <formula>E11&gt;$AG11</formula>
    </cfRule>
    <cfRule type="expression" dxfId="4067" priority="59">
      <formula>E$9&gt;=20/24</formula>
    </cfRule>
    <cfRule type="expression" dxfId="4066" priority="60">
      <formula>AND(E$9&gt;=14/24,E$9&lt;20/24)</formula>
    </cfRule>
    <cfRule type="expression" dxfId="4065" priority="61">
      <formula>AND(E$9&gt;=8/24,E$9&lt;14/24)</formula>
    </cfRule>
    <cfRule type="expression" dxfId="4064" priority="62">
      <formula>E$9&lt;8/24</formula>
    </cfRule>
  </conditionalFormatting>
  <conditionalFormatting sqref="F63:L65">
    <cfRule type="expression" dxfId="4063" priority="81">
      <formula>F$9&gt;=20/24</formula>
    </cfRule>
    <cfRule type="expression" dxfId="4062" priority="82">
      <formula>AND(F$9&gt;=14/24,F$9&lt;20/24)</formula>
    </cfRule>
    <cfRule type="expression" dxfId="4061" priority="83">
      <formula>AND(F$9&gt;=8/24,F$9&lt;14/24)</formula>
    </cfRule>
    <cfRule type="expression" dxfId="4060" priority="84">
      <formula>F$9&lt;8/24</formula>
    </cfRule>
  </conditionalFormatting>
  <conditionalFormatting sqref="F59:AF62">
    <cfRule type="expression" dxfId="4059" priority="67">
      <formula>F$9&gt;=20/24</formula>
    </cfRule>
    <cfRule type="expression" dxfId="4058" priority="68">
      <formula>AND(F$9&gt;=14/24,F$9&lt;20/24)</formula>
    </cfRule>
    <cfRule type="expression" dxfId="4057" priority="69">
      <formula>AND(F$9&gt;=8/24,F$9&lt;14/24)</formula>
    </cfRule>
    <cfRule type="expression" dxfId="4056" priority="70">
      <formula>F$9&lt;8/24</formula>
    </cfRule>
  </conditionalFormatting>
  <conditionalFormatting sqref="I13:AF56 E16:H57 B16:D62 E11:F12 B11:D14 G12:T12 E13:H14 B15:H15 I57:J57 K57:M76 N57:AF80 E58:J62 AG62 B63:J76 B77:M80 AG80">
    <cfRule type="expression" dxfId="4055" priority="40">
      <formula>B11&gt;$AG11</formula>
    </cfRule>
  </conditionalFormatting>
  <conditionalFormatting sqref="I53:AF55 B53:H57">
    <cfRule type="expression" dxfId="4054" priority="37">
      <formula>B$9&gt;=20/24</formula>
    </cfRule>
    <cfRule type="expression" dxfId="4053" priority="38">
      <formula>AND(B$9&gt;=14/24,B$9&lt;20/24)</formula>
    </cfRule>
    <cfRule type="expression" dxfId="4052" priority="39">
      <formula>AND(B$9&gt;=8/24,B$9&lt;14/24)</formula>
    </cfRule>
  </conditionalFormatting>
  <conditionalFormatting sqref="I56:AF57">
    <cfRule type="expression" dxfId="4051" priority="46">
      <formula>I$9&gt;=20/24</formula>
    </cfRule>
    <cfRule type="expression" dxfId="4050" priority="47">
      <formula>AND(I$9&gt;=14/24,I$9&lt;20/24)</formula>
    </cfRule>
    <cfRule type="expression" dxfId="4049" priority="48">
      <formula>AND(I$9&gt;=8/24,I$9&lt;14/24)</formula>
    </cfRule>
  </conditionalFormatting>
  <conditionalFormatting sqref="L68:V68">
    <cfRule type="expression" dxfId="4048" priority="77">
      <formula>L$9&gt;=20/24</formula>
    </cfRule>
    <cfRule type="expression" dxfId="4047" priority="78">
      <formula>AND(L$9&gt;=14/24,L$9&lt;20/24)</formula>
    </cfRule>
    <cfRule type="expression" dxfId="4046" priority="79">
      <formula>AND(L$9&gt;=8/24,L$9&lt;14/24)</formula>
    </cfRule>
    <cfRule type="expression" dxfId="4045" priority="80">
      <formula>L$9&lt;8/24</formula>
    </cfRule>
  </conditionalFormatting>
  <conditionalFormatting sqref="M8 S8 AB8">
    <cfRule type="expression" dxfId="4044" priority="136">
      <formula>AND(N$9&gt;=14/24,N$9&lt;20/24)</formula>
    </cfRule>
    <cfRule type="expression" dxfId="4043" priority="137">
      <formula>AND(N$9&gt;=8/24,N$9&lt;14/24)</formula>
    </cfRule>
    <cfRule type="expression" dxfId="4042" priority="138">
      <formula>N$9&lt;8/24</formula>
    </cfRule>
  </conditionalFormatting>
  <conditionalFormatting sqref="M63:V67">
    <cfRule type="expression" dxfId="4041" priority="85">
      <formula>M$9&gt;=20/24</formula>
    </cfRule>
    <cfRule type="expression" dxfId="4040" priority="86">
      <formula>AND(M$9&gt;=14/24,M$9&lt;20/24)</formula>
    </cfRule>
    <cfRule type="expression" dxfId="4039" priority="87">
      <formula>AND(M$9&gt;=8/24,M$9&lt;14/24)</formula>
    </cfRule>
    <cfRule type="expression" dxfId="4038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037" priority="135">
      <formula>N$9&gt;=20/24</formula>
    </cfRule>
  </conditionalFormatting>
  <conditionalFormatting sqref="S8">
    <cfRule type="expression" dxfId="4036" priority="122">
      <formula>U$9&gt;=20/24</formula>
    </cfRule>
    <cfRule type="expression" dxfId="4035" priority="123">
      <formula>AND(U$9&gt;=14/24,U$9&lt;20/24)</formula>
    </cfRule>
    <cfRule type="expression" dxfId="4034" priority="124">
      <formula>AND(U$9&gt;=8/24,U$9&lt;14/24)</formula>
    </cfRule>
    <cfRule type="expression" dxfId="4033" priority="125">
      <formula>U$9&lt;8/24</formula>
    </cfRule>
  </conditionalFormatting>
  <conditionalFormatting sqref="T63:AF68">
    <cfRule type="expression" dxfId="4032" priority="71">
      <formula>T$9&gt;=20/24</formula>
    </cfRule>
    <cfRule type="expression" dxfId="4031" priority="72">
      <formula>AND(T$9&gt;=14/24,T$9&lt;20/24)</formula>
    </cfRule>
    <cfRule type="expression" dxfId="4030" priority="73">
      <formula>AND(T$9&gt;=8/24,T$9&lt;14/24)</formula>
    </cfRule>
    <cfRule type="expression" dxfId="4029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028" priority="118">
      <formula>AD$9&gt;=20/24</formula>
    </cfRule>
    <cfRule type="expression" dxfId="4027" priority="119">
      <formula>AND(AD$9&gt;=14/24,AD$9&lt;20/24)</formula>
    </cfRule>
    <cfRule type="expression" dxfId="4026" priority="120">
      <formula>AND(AD$9&gt;=8/24,AD$9&lt;14/24)</formula>
    </cfRule>
    <cfRule type="expression" dxfId="4025" priority="121">
      <formula>AD$9&lt;8/24</formula>
    </cfRule>
  </conditionalFormatting>
  <conditionalFormatting sqref="AG58">
    <cfRule type="expression" dxfId="4024" priority="113">
      <formula>AG58&gt;$AG58</formula>
    </cfRule>
  </conditionalFormatting>
  <conditionalFormatting sqref="AG62">
    <cfRule type="expression" dxfId="4023" priority="96">
      <formula>AG$9&gt;=20/24</formula>
    </cfRule>
    <cfRule type="expression" dxfId="4022" priority="97">
      <formula>AND(AG$9&gt;=14/24,AG$9&lt;20/24)</formula>
    </cfRule>
    <cfRule type="expression" dxfId="4021" priority="98">
      <formula>AND(AG$9&gt;=8/24,AG$9&lt;14/24)</formula>
    </cfRule>
    <cfRule type="expression" dxfId="4020" priority="99">
      <formula>AG$9&lt;8/24</formula>
    </cfRule>
  </conditionalFormatting>
  <conditionalFormatting sqref="AG75:AG76">
    <cfRule type="expression" dxfId="4019" priority="91">
      <formula>AG75&gt;$AG75</formula>
    </cfRule>
  </conditionalFormatting>
  <conditionalFormatting sqref="AG80">
    <cfRule type="expression" dxfId="4018" priority="92">
      <formula>AG$9&gt;=20/24</formula>
    </cfRule>
    <cfRule type="expression" dxfId="4017" priority="93">
      <formula>AND(AG$9&gt;=14/24,AG$9&lt;20/24)</formula>
    </cfRule>
    <cfRule type="expression" dxfId="4016" priority="94">
      <formula>AND(AG$9&gt;=8/24,AG$9&lt;14/24)</formula>
    </cfRule>
    <cfRule type="expression" dxfId="4015" priority="95">
      <formula>AG$9&lt;8/24</formula>
    </cfRule>
  </conditionalFormatting>
  <conditionalFormatting sqref="AG97">
    <cfRule type="expression" dxfId="4014" priority="114">
      <formula>AG$9&gt;=20/24</formula>
    </cfRule>
    <cfRule type="expression" dxfId="4013" priority="115">
      <formula>AND(AG$9&gt;=14/24,AG$9&lt;20/24)</formula>
    </cfRule>
    <cfRule type="expression" dxfId="4012" priority="116">
      <formula>AND(AG$9&gt;=8/24,AG$9&lt;14/24)</formula>
    </cfRule>
    <cfRule type="expression" dxfId="4011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010" priority="139">
      <formula>AJ$9&gt;=20/24</formula>
    </cfRule>
    <cfRule type="expression" dxfId="4009" priority="140">
      <formula>AND(AJ$9&gt;=14/24,AJ$9&lt;20/24)</formula>
    </cfRule>
    <cfRule type="expression" dxfId="4008" priority="141">
      <formula>AND(AJ$9&gt;=8/24,AJ$9&lt;14/24)</formula>
    </cfRule>
    <cfRule type="expression" dxfId="4007" priority="142">
      <formula>AJ$9&lt;8/24</formula>
    </cfRule>
  </conditionalFormatting>
  <conditionalFormatting sqref="AL88:AN88 AL94:AN94">
    <cfRule type="expression" dxfId="4006" priority="106">
      <formula>AL$9&gt;=20/24</formula>
    </cfRule>
    <cfRule type="expression" dxfId="4005" priority="107">
      <formula>AND(AL$9&gt;=14/24,AL$9&lt;20/24)</formula>
    </cfRule>
    <cfRule type="expression" dxfId="4004" priority="108">
      <formula>AND(AL$9&gt;=8/24,AL$9&lt;14/24)</formula>
    </cfRule>
    <cfRule type="expression" dxfId="4003" priority="109">
      <formula>AL$9&lt;8/24</formula>
    </cfRule>
  </conditionalFormatting>
  <conditionalFormatting sqref="AM15:AM21 AN16:AR21">
    <cfRule type="expression" dxfId="4002" priority="13">
      <formula>AX$9&gt;=20/24</formula>
    </cfRule>
    <cfRule type="expression" dxfId="4001" priority="14">
      <formula>AND(AX$9&gt;=14/24,AX$9&lt;20/24)</formula>
    </cfRule>
    <cfRule type="expression" dxfId="4000" priority="15">
      <formula>AND(AX$9&gt;=8/24,AX$9&lt;14/24)</formula>
    </cfRule>
    <cfRule type="expression" dxfId="3999" priority="16">
      <formula>AX$9&lt;8/24</formula>
    </cfRule>
  </conditionalFormatting>
  <conditionalFormatting sqref="AN89:AN92">
    <cfRule type="expression" dxfId="3998" priority="102">
      <formula>AN$9&gt;=20/24</formula>
    </cfRule>
    <cfRule type="expression" dxfId="3997" priority="103">
      <formula>AND(AN$9&gt;=14/24,AN$9&lt;20/24)</formula>
    </cfRule>
    <cfRule type="expression" dxfId="3996" priority="104">
      <formula>AND(AN$9&gt;=8/24,AN$9&lt;14/24)</formula>
    </cfRule>
    <cfRule type="expression" dxfId="3995" priority="105">
      <formula>AN$9&lt;8/24</formula>
    </cfRule>
  </conditionalFormatting>
  <conditionalFormatting sqref="AN15:AR15">
    <cfRule type="expression" dxfId="3994" priority="1">
      <formula>U$9&gt;=20/24</formula>
    </cfRule>
    <cfRule type="expression" dxfId="3993" priority="2">
      <formula>AND(U$9&gt;=14/24,U$9&lt;20/24)</formula>
    </cfRule>
    <cfRule type="expression" dxfId="3992" priority="3">
      <formula>AND(U$9&gt;=8/24,U$9&lt;14/24)</formula>
    </cfRule>
    <cfRule type="expression" dxfId="3991" priority="4">
      <formula>U$9&lt;8/24</formula>
    </cfRule>
  </conditionalFormatting>
  <conditionalFormatting sqref="AS15">
    <cfRule type="expression" dxfId="3990" priority="9">
      <formula>AA$9&gt;=20/24</formula>
    </cfRule>
    <cfRule type="expression" dxfId="3989" priority="10">
      <formula>AND(AA$9&gt;=14/24,AA$9&lt;20/24)</formula>
    </cfRule>
    <cfRule type="expression" dxfId="3988" priority="11">
      <formula>AND(AA$9&gt;=8/24,AA$9&lt;14/24)</formula>
    </cfRule>
    <cfRule type="expression" dxfId="3987" priority="12">
      <formula>AA$9&lt;8/24</formula>
    </cfRule>
  </conditionalFormatting>
  <conditionalFormatting sqref="AS16:AS21">
    <cfRule type="expression" dxfId="3986" priority="17">
      <formula>BE$9&gt;=20/24</formula>
    </cfRule>
    <cfRule type="expression" dxfId="3985" priority="18">
      <formula>AND(BE$9&gt;=14/24,BE$9&lt;20/24)</formula>
    </cfRule>
    <cfRule type="expression" dxfId="3984" priority="19">
      <formula>AND(BE$9&gt;=8/24,BE$9&lt;14/24)</formula>
    </cfRule>
    <cfRule type="expression" dxfId="3983" priority="20">
      <formula>BE$9&lt;8/24</formula>
    </cfRule>
  </conditionalFormatting>
  <conditionalFormatting sqref="AT15 AX15:BJ15">
    <cfRule type="expression" dxfId="3982" priority="21">
      <formula>AC$9&gt;=20/24</formula>
    </cfRule>
    <cfRule type="expression" dxfId="3981" priority="22">
      <formula>AND(AC$9&gt;=14/24,AC$9&lt;20/24)</formula>
    </cfRule>
    <cfRule type="expression" dxfId="3980" priority="23">
      <formula>AND(AC$9&gt;=8/24,AC$9&lt;14/24)</formula>
    </cfRule>
    <cfRule type="expression" dxfId="3979" priority="24">
      <formula>AC$9&lt;8/24</formula>
    </cfRule>
  </conditionalFormatting>
  <conditionalFormatting sqref="AT16:AT21">
    <cfRule type="expression" dxfId="3978" priority="25">
      <formula>BG$9&gt;=20/24</formula>
    </cfRule>
    <cfRule type="expression" dxfId="3977" priority="26">
      <formula>AND(BG$9&gt;=14/24,BG$9&lt;20/24)</formula>
    </cfRule>
    <cfRule type="expression" dxfId="3976" priority="27">
      <formula>AND(BG$9&gt;=8/24,BG$9&lt;14/24)</formula>
    </cfRule>
    <cfRule type="expression" dxfId="3975" priority="28">
      <formula>BG$9&lt;8/24</formula>
    </cfRule>
  </conditionalFormatting>
  <conditionalFormatting sqref="AU15:AV15">
    <cfRule type="expression" dxfId="3974" priority="29">
      <formula>AE$9&gt;=20/24</formula>
    </cfRule>
    <cfRule type="expression" dxfId="3973" priority="30">
      <formula>AND(AE$9&gt;=14/24,AE$9&lt;20/24)</formula>
    </cfRule>
    <cfRule type="expression" dxfId="3972" priority="31">
      <formula>AND(AE$9&gt;=8/24,AE$9&lt;14/24)</formula>
    </cfRule>
    <cfRule type="expression" dxfId="3971" priority="32">
      <formula>AE$9&lt;8/24</formula>
    </cfRule>
  </conditionalFormatting>
  <conditionalFormatting sqref="AU16:BJ21">
    <cfRule type="expression" dxfId="3970" priority="33">
      <formula>BI$9&gt;=20/24</formula>
    </cfRule>
    <cfRule type="expression" dxfId="3969" priority="34">
      <formula>AND(BI$9&gt;=14/24,BI$9&lt;20/24)</formula>
    </cfRule>
    <cfRule type="expression" dxfId="3968" priority="35">
      <formula>AND(BI$9&gt;=8/24,BI$9&lt;14/24)</formula>
    </cfRule>
    <cfRule type="expression" dxfId="3967" priority="36">
      <formula>BI$9&lt;8/24</formula>
    </cfRule>
  </conditionalFormatting>
  <conditionalFormatting sqref="AW15">
    <cfRule type="expression" dxfId="3966" priority="5">
      <formula>B$9&gt;=20/24</formula>
    </cfRule>
    <cfRule type="expression" dxfId="3965" priority="6">
      <formula>AND(B$9&gt;=14/24,B$9&lt;20/24)</formula>
    </cfRule>
    <cfRule type="expression" dxfId="3964" priority="7">
      <formula>AND(B$9&gt;=8/24,B$9&lt;14/24)</formula>
    </cfRule>
    <cfRule type="expression" dxfId="396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221A-80C2-4F77-8346-2A2CE18EDBDE}">
  <sheetPr codeName="Sheet6"/>
  <dimension ref="A1:CJ294"/>
  <sheetViews>
    <sheetView zoomScale="115" zoomScaleNormal="115" workbookViewId="0">
      <pane xSplit="1" ySplit="10" topLeftCell="K9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2080/10/6</v>
      </c>
      <c r="C4" s="187"/>
      <c r="D4" s="187"/>
      <c r="E4" s="188" t="str">
        <f ca="1">"2080/"&amp;"10/"&amp;INT(MID(CELL("filename",G6),FIND("]",CELL("filename",G6))+1,200))</f>
        <v>2080/10/6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54.6</v>
      </c>
      <c r="C5" s="30">
        <f t="shared" si="0"/>
        <v>49.1</v>
      </c>
      <c r="D5" s="30">
        <f t="shared" si="0"/>
        <v>57.900000000000006</v>
      </c>
      <c r="E5" s="30">
        <f t="shared" si="0"/>
        <v>113</v>
      </c>
      <c r="F5" s="30">
        <f t="shared" si="0"/>
        <v>60.300000000000004</v>
      </c>
      <c r="G5" s="30">
        <f t="shared" si="0"/>
        <v>52.4</v>
      </c>
      <c r="H5" s="30">
        <f t="shared" si="0"/>
        <v>61.6</v>
      </c>
      <c r="I5" s="30">
        <f t="shared" si="0"/>
        <v>453.4</v>
      </c>
      <c r="J5" s="30">
        <f t="shared" si="0"/>
        <v>568.9</v>
      </c>
      <c r="K5" s="30">
        <f t="shared" si="0"/>
        <v>476.2</v>
      </c>
      <c r="L5" s="30">
        <f t="shared" si="0"/>
        <v>585.5</v>
      </c>
      <c r="M5" s="30">
        <f t="shared" si="0"/>
        <v>607.20000000000005</v>
      </c>
      <c r="N5" s="30">
        <f t="shared" si="0"/>
        <v>668.9</v>
      </c>
      <c r="O5" s="30">
        <f t="shared" si="0"/>
        <v>700.7</v>
      </c>
      <c r="P5" s="30">
        <f t="shared" si="0"/>
        <v>699</v>
      </c>
      <c r="Q5" s="30">
        <f t="shared" si="0"/>
        <v>726.80000000000007</v>
      </c>
      <c r="R5" s="30">
        <f t="shared" si="0"/>
        <v>757.3</v>
      </c>
      <c r="S5" s="30">
        <f t="shared" si="0"/>
        <v>805.6</v>
      </c>
      <c r="T5" s="30">
        <f t="shared" si="0"/>
        <v>680.9</v>
      </c>
      <c r="U5" s="30">
        <f t="shared" si="0"/>
        <v>606</v>
      </c>
      <c r="V5" s="30">
        <f t="shared" si="0"/>
        <v>614.10000000000014</v>
      </c>
      <c r="W5" s="30">
        <f t="shared" si="0"/>
        <v>540.20000000000005</v>
      </c>
      <c r="X5" s="30">
        <f t="shared" si="0"/>
        <v>199</v>
      </c>
      <c r="Y5" s="30">
        <f t="shared" si="0"/>
        <v>200.8</v>
      </c>
      <c r="Z5" s="30">
        <f t="shared" si="0"/>
        <v>183.8</v>
      </c>
      <c r="AA5" s="30">
        <f t="shared" si="0"/>
        <v>187.3</v>
      </c>
      <c r="AB5" s="30">
        <f t="shared" si="0"/>
        <v>166.4</v>
      </c>
      <c r="AC5" s="30">
        <f t="shared" si="0"/>
        <v>174.10000000000002</v>
      </c>
      <c r="AD5" s="30">
        <f t="shared" si="0"/>
        <v>86.1</v>
      </c>
      <c r="AE5" s="30">
        <f t="shared" si="0"/>
        <v>132.70000000000002</v>
      </c>
      <c r="AF5" s="30">
        <f>B92</f>
        <v>50.900000000000006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1539MW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Load=1256</v>
      </c>
      <c r="B7" s="35">
        <f t="shared" ref="B7:AF7" si="1">B100</f>
        <v>1516.5700000000002</v>
      </c>
      <c r="C7" s="35">
        <f t="shared" si="1"/>
        <v>1459.17</v>
      </c>
      <c r="D7" s="35">
        <f t="shared" si="1"/>
        <v>1406.37</v>
      </c>
      <c r="E7" s="35">
        <f t="shared" si="1"/>
        <v>1317.9700000000003</v>
      </c>
      <c r="F7" s="35">
        <f t="shared" si="1"/>
        <v>1332.0700000000002</v>
      </c>
      <c r="G7" s="35">
        <f t="shared" si="1"/>
        <v>1255.57</v>
      </c>
      <c r="H7" s="35">
        <f t="shared" si="1"/>
        <v>1279.5700000000002</v>
      </c>
      <c r="I7" s="35">
        <f t="shared" si="1"/>
        <v>1365.27</v>
      </c>
      <c r="J7" s="35">
        <f t="shared" si="1"/>
        <v>1370.27</v>
      </c>
      <c r="K7" s="35">
        <f t="shared" si="1"/>
        <v>1418.27</v>
      </c>
      <c r="L7" s="35">
        <f t="shared" si="1"/>
        <v>1527.57</v>
      </c>
      <c r="M7" s="35">
        <f t="shared" si="1"/>
        <v>1467.27</v>
      </c>
      <c r="N7" s="35">
        <f t="shared" si="1"/>
        <v>1538.97</v>
      </c>
      <c r="O7" s="35">
        <f t="shared" si="1"/>
        <v>1608.97</v>
      </c>
      <c r="P7" s="35">
        <f t="shared" si="1"/>
        <v>1682.7700000000002</v>
      </c>
      <c r="Q7" s="35">
        <f t="shared" si="1"/>
        <v>1702.3700000000001</v>
      </c>
      <c r="R7" s="35">
        <f t="shared" si="1"/>
        <v>1732.3700000000003</v>
      </c>
      <c r="S7" s="35">
        <f t="shared" si="1"/>
        <v>1715.3400000000001</v>
      </c>
      <c r="T7" s="35">
        <f t="shared" si="1"/>
        <v>1780.8389999999999</v>
      </c>
      <c r="U7" s="35">
        <f t="shared" si="1"/>
        <v>1737.8389999999999</v>
      </c>
      <c r="V7" s="35">
        <f t="shared" si="1"/>
        <v>1605.4390000000001</v>
      </c>
      <c r="W7" s="35">
        <f t="shared" si="1"/>
        <v>1677.9390000000001</v>
      </c>
      <c r="X7" s="35">
        <f t="shared" si="1"/>
        <v>1562.94</v>
      </c>
      <c r="Y7" s="35">
        <f t="shared" si="1"/>
        <v>1594.6</v>
      </c>
      <c r="Z7" s="35">
        <f t="shared" si="1"/>
        <v>1648.3999999999999</v>
      </c>
      <c r="AA7" s="35">
        <f t="shared" si="1"/>
        <v>1811.84</v>
      </c>
      <c r="AB7" s="35">
        <f t="shared" si="1"/>
        <v>1813.54</v>
      </c>
      <c r="AC7" s="35">
        <f t="shared" si="1"/>
        <v>1779.8400000000001</v>
      </c>
      <c r="AD7" s="35">
        <f t="shared" si="1"/>
        <v>1767.1399999999999</v>
      </c>
      <c r="AE7" s="35">
        <f t="shared" si="1"/>
        <v>1718.14</v>
      </c>
      <c r="AF7" s="35">
        <f t="shared" si="1"/>
        <v>1665.24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1813.54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1813.54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24.2</v>
      </c>
      <c r="C11" s="46">
        <v>24.2</v>
      </c>
      <c r="D11" s="46">
        <v>24.2</v>
      </c>
      <c r="E11" s="46">
        <v>24.2</v>
      </c>
      <c r="F11" s="46">
        <v>24.2</v>
      </c>
      <c r="G11" s="46">
        <v>24.2</v>
      </c>
      <c r="H11" s="46">
        <v>24.2</v>
      </c>
      <c r="I11" s="46">
        <v>24.2</v>
      </c>
      <c r="J11" s="46">
        <v>24.2</v>
      </c>
      <c r="K11" s="46">
        <v>24.2</v>
      </c>
      <c r="L11" s="46">
        <v>24.2</v>
      </c>
      <c r="M11" s="46">
        <v>22</v>
      </c>
      <c r="N11" s="46">
        <v>49.9</v>
      </c>
      <c r="O11" s="46">
        <v>49.9</v>
      </c>
      <c r="P11" s="46">
        <v>49.9</v>
      </c>
      <c r="Q11" s="46">
        <v>49.9</v>
      </c>
      <c r="R11" s="46">
        <v>49.9</v>
      </c>
      <c r="S11" s="46">
        <v>31.8</v>
      </c>
      <c r="T11" s="46">
        <v>23.7</v>
      </c>
      <c r="U11" s="46">
        <v>23.7</v>
      </c>
      <c r="V11" s="46">
        <v>23.7</v>
      </c>
      <c r="W11" s="46">
        <v>23.7</v>
      </c>
      <c r="X11" s="46">
        <v>26.5</v>
      </c>
      <c r="Y11" s="46">
        <v>26.5</v>
      </c>
      <c r="Z11" s="46">
        <v>26.5</v>
      </c>
      <c r="AA11" s="46">
        <v>26.5</v>
      </c>
      <c r="AB11" s="46">
        <v>24.2</v>
      </c>
      <c r="AC11" s="46">
        <v>20.100000000000001</v>
      </c>
      <c r="AD11" s="46">
        <v>27.4</v>
      </c>
      <c r="AE11" s="46">
        <v>21.9</v>
      </c>
      <c r="AF11" s="46">
        <v>24.9</v>
      </c>
      <c r="AG11" s="47">
        <v>86</v>
      </c>
      <c r="AH11" s="48">
        <f t="shared" ref="AH11:AH16" si="2">MAX(B11:AF11)</f>
        <v>49.9</v>
      </c>
      <c r="AI11" s="49">
        <f t="shared" ref="AI11:AI16" si="3">MIN(B11:AF11)</f>
        <v>20.100000000000001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8.6300000000000008</v>
      </c>
      <c r="C12" s="46">
        <v>8.6300000000000008</v>
      </c>
      <c r="D12" s="46">
        <v>8.6300000000000008</v>
      </c>
      <c r="E12" s="46">
        <v>8.6300000000000008</v>
      </c>
      <c r="F12" s="46">
        <v>8.6300000000000008</v>
      </c>
      <c r="G12" s="46">
        <v>8.6300000000000008</v>
      </c>
      <c r="H12" s="46">
        <v>8.6300000000000008</v>
      </c>
      <c r="I12" s="46">
        <v>8.6300000000000008</v>
      </c>
      <c r="J12" s="46">
        <v>8.6300000000000008</v>
      </c>
      <c r="K12" s="46">
        <v>8.6300000000000008</v>
      </c>
      <c r="L12" s="46">
        <v>8.6300000000000008</v>
      </c>
      <c r="M12" s="46">
        <v>8.6300000000000008</v>
      </c>
      <c r="N12" s="46">
        <v>8.6300000000000008</v>
      </c>
      <c r="O12" s="46">
        <v>8.6300000000000008</v>
      </c>
      <c r="P12" s="46">
        <v>8.6300000000000008</v>
      </c>
      <c r="Q12" s="46">
        <v>8.6300000000000008</v>
      </c>
      <c r="R12" s="46">
        <v>8.6300000000000008</v>
      </c>
      <c r="S12" s="46">
        <v>8.6</v>
      </c>
      <c r="T12" s="46">
        <v>8.6</v>
      </c>
      <c r="U12" s="46">
        <v>8.6</v>
      </c>
      <c r="V12" s="46">
        <v>8.6</v>
      </c>
      <c r="W12" s="46">
        <v>8.6</v>
      </c>
      <c r="X12" s="46">
        <v>11.2</v>
      </c>
      <c r="Y12" s="46">
        <v>11.2</v>
      </c>
      <c r="Z12" s="46">
        <v>11.2</v>
      </c>
      <c r="AA12" s="46">
        <v>11.2</v>
      </c>
      <c r="AB12" s="46">
        <v>11.2</v>
      </c>
      <c r="AC12" s="46">
        <v>11.2</v>
      </c>
      <c r="AD12" s="46">
        <v>11.2</v>
      </c>
      <c r="AE12" s="46">
        <v>11.2</v>
      </c>
      <c r="AF12" s="46">
        <v>11.2</v>
      </c>
      <c r="AG12" s="50">
        <v>54</v>
      </c>
      <c r="AH12" s="48">
        <f t="shared" si="2"/>
        <v>11.2</v>
      </c>
      <c r="AI12" s="49">
        <f t="shared" si="3"/>
        <v>8.6</v>
      </c>
      <c r="AK12" s="51"/>
      <c r="AL12" s="52" t="str">
        <f ca="1">MID(CELL("filename",C7),FIND("]",CELL("filename",C7))+1,600)</f>
        <v>06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18</v>
      </c>
      <c r="C13" s="46">
        <v>18</v>
      </c>
      <c r="D13" s="46">
        <v>18</v>
      </c>
      <c r="E13" s="46">
        <v>18</v>
      </c>
      <c r="F13" s="46">
        <v>18</v>
      </c>
      <c r="G13" s="46">
        <v>18</v>
      </c>
      <c r="H13" s="46">
        <v>18</v>
      </c>
      <c r="I13" s="46">
        <v>18</v>
      </c>
      <c r="J13" s="46">
        <v>18</v>
      </c>
      <c r="K13" s="46">
        <v>18</v>
      </c>
      <c r="L13" s="46">
        <v>18</v>
      </c>
      <c r="M13" s="46">
        <v>18</v>
      </c>
      <c r="N13" s="46">
        <v>18</v>
      </c>
      <c r="O13" s="46">
        <v>18</v>
      </c>
      <c r="P13" s="46">
        <v>18</v>
      </c>
      <c r="Q13" s="46">
        <v>18</v>
      </c>
      <c r="R13" s="46">
        <v>18</v>
      </c>
      <c r="S13" s="46">
        <v>16.8</v>
      </c>
      <c r="T13" s="46">
        <v>16.8</v>
      </c>
      <c r="U13" s="46">
        <v>16.8</v>
      </c>
      <c r="V13" s="46">
        <v>16.8</v>
      </c>
      <c r="W13" s="46">
        <v>16.8</v>
      </c>
      <c r="X13" s="46">
        <v>17.399999999999999</v>
      </c>
      <c r="Y13" s="46">
        <v>17.399999999999999</v>
      </c>
      <c r="Z13" s="46">
        <v>17.399999999999999</v>
      </c>
      <c r="AA13" s="46">
        <v>17.399999999999999</v>
      </c>
      <c r="AB13" s="46">
        <v>19</v>
      </c>
      <c r="AC13" s="46">
        <v>19</v>
      </c>
      <c r="AD13" s="46">
        <v>19</v>
      </c>
      <c r="AE13" s="46">
        <v>22.5</v>
      </c>
      <c r="AF13" s="46">
        <v>19.3</v>
      </c>
      <c r="AG13" s="50">
        <v>54</v>
      </c>
      <c r="AH13" s="48">
        <f t="shared" si="2"/>
        <v>22.5</v>
      </c>
      <c r="AI13" s="49">
        <f t="shared" si="3"/>
        <v>16.8</v>
      </c>
      <c r="AK13" s="51"/>
      <c r="AL13" s="52" t="str">
        <f ca="1">"Daily Load Curve(Excluding of Export) of Nepal ("&amp;A4&amp;" "&amp;B4&amp;")"</f>
        <v>Daily Load Curve(Excluding of Export) of Nepal (Nepali Date: 2080/10/6)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50.6</v>
      </c>
      <c r="C15" s="46">
        <v>50.6</v>
      </c>
      <c r="D15" s="46">
        <v>50.6</v>
      </c>
      <c r="E15" s="46">
        <v>50.6</v>
      </c>
      <c r="F15" s="46">
        <v>50.6</v>
      </c>
      <c r="G15" s="46">
        <v>50.6</v>
      </c>
      <c r="H15" s="46">
        <v>50.6</v>
      </c>
      <c r="I15" s="46">
        <v>50.6</v>
      </c>
      <c r="J15" s="46">
        <v>50.6</v>
      </c>
      <c r="K15" s="46">
        <v>50.6</v>
      </c>
      <c r="L15" s="46">
        <v>50.6</v>
      </c>
      <c r="M15" s="46">
        <v>50.6</v>
      </c>
      <c r="N15" s="46">
        <v>50.6</v>
      </c>
      <c r="O15" s="46">
        <v>50.6</v>
      </c>
      <c r="P15" s="46">
        <v>50.6</v>
      </c>
      <c r="Q15" s="46">
        <v>50.6</v>
      </c>
      <c r="R15" s="46">
        <v>50.6</v>
      </c>
      <c r="S15" s="46">
        <v>50.3</v>
      </c>
      <c r="T15" s="46">
        <v>50.2</v>
      </c>
      <c r="U15" s="46">
        <v>50.2</v>
      </c>
      <c r="V15" s="46">
        <v>50.2</v>
      </c>
      <c r="W15" s="46">
        <v>50.2</v>
      </c>
      <c r="X15" s="53">
        <v>50.2</v>
      </c>
      <c r="Y15" s="53">
        <v>50.2</v>
      </c>
      <c r="Z15" s="53">
        <v>50.2</v>
      </c>
      <c r="AA15" s="53">
        <v>50.2</v>
      </c>
      <c r="AB15" s="53">
        <v>50.2</v>
      </c>
      <c r="AC15" s="53">
        <v>50.2</v>
      </c>
      <c r="AD15" s="53">
        <v>50.2</v>
      </c>
      <c r="AE15" s="53">
        <v>50.2</v>
      </c>
      <c r="AF15" s="53">
        <v>50.3</v>
      </c>
      <c r="AG15" s="50">
        <v>50</v>
      </c>
      <c r="AH15" s="48">
        <f t="shared" si="2"/>
        <v>50.6</v>
      </c>
      <c r="AI15" s="49">
        <f t="shared" si="3"/>
        <v>50.2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550.73</v>
      </c>
      <c r="AN16" s="59">
        <f t="shared" si="4"/>
        <v>550.73</v>
      </c>
      <c r="AO16" s="59">
        <f t="shared" si="4"/>
        <v>550.73</v>
      </c>
      <c r="AP16" s="59">
        <f t="shared" si="4"/>
        <v>550.73</v>
      </c>
      <c r="AQ16" s="59">
        <f t="shared" si="4"/>
        <v>487.73</v>
      </c>
      <c r="AR16" s="59">
        <f t="shared" si="4"/>
        <v>550.73</v>
      </c>
      <c r="AS16" s="59">
        <f>I58</f>
        <v>550.73</v>
      </c>
      <c r="AT16" s="59">
        <f>K58</f>
        <v>550.73</v>
      </c>
      <c r="AU16" s="59">
        <f t="shared" ref="AU16:BD16" si="5">M58</f>
        <v>548.53</v>
      </c>
      <c r="AV16" s="59">
        <f t="shared" si="5"/>
        <v>576.43000000000006</v>
      </c>
      <c r="AW16" s="59">
        <f t="shared" si="5"/>
        <v>576.43000000000006</v>
      </c>
      <c r="AX16" s="59">
        <f t="shared" si="5"/>
        <v>576.43000000000006</v>
      </c>
      <c r="AY16" s="59">
        <f t="shared" si="5"/>
        <v>576.43000000000006</v>
      </c>
      <c r="AZ16" s="59">
        <f t="shared" si="5"/>
        <v>576.43000000000006</v>
      </c>
      <c r="BA16" s="59">
        <f t="shared" si="5"/>
        <v>545.1</v>
      </c>
      <c r="BB16" s="59">
        <f t="shared" si="5"/>
        <v>537.39900000000011</v>
      </c>
      <c r="BC16" s="59">
        <f t="shared" si="5"/>
        <v>537.39900000000011</v>
      </c>
      <c r="BD16" s="59">
        <f t="shared" si="5"/>
        <v>537.39900000000011</v>
      </c>
      <c r="BE16" s="60">
        <f>X58</f>
        <v>547</v>
      </c>
      <c r="BF16" s="60">
        <f>Z58</f>
        <v>547</v>
      </c>
      <c r="BG16" s="60">
        <f>AB58</f>
        <v>555.80000000000007</v>
      </c>
      <c r="BH16" s="60">
        <f>AD58</f>
        <v>560.90000000000009</v>
      </c>
      <c r="BI16" s="60">
        <f>AE58</f>
        <v>586.60000000000014</v>
      </c>
      <c r="BJ16" s="60">
        <f>AF58</f>
        <v>590.1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</v>
      </c>
      <c r="C17" s="46">
        <v>16</v>
      </c>
      <c r="D17" s="46">
        <v>16</v>
      </c>
      <c r="E17" s="46">
        <v>16</v>
      </c>
      <c r="F17" s="46">
        <v>16</v>
      </c>
      <c r="G17" s="46">
        <v>16</v>
      </c>
      <c r="H17" s="46">
        <v>16</v>
      </c>
      <c r="I17" s="46">
        <v>16</v>
      </c>
      <c r="J17" s="46">
        <v>16</v>
      </c>
      <c r="K17" s="46">
        <v>16</v>
      </c>
      <c r="L17" s="46">
        <v>16</v>
      </c>
      <c r="M17" s="46">
        <v>16</v>
      </c>
      <c r="N17" s="46">
        <v>16</v>
      </c>
      <c r="O17" s="46">
        <v>16</v>
      </c>
      <c r="P17" s="46">
        <v>16</v>
      </c>
      <c r="Q17" s="46">
        <v>16</v>
      </c>
      <c r="R17" s="46">
        <v>16</v>
      </c>
      <c r="S17" s="46">
        <v>16</v>
      </c>
      <c r="T17" s="46">
        <v>16.899999999999999</v>
      </c>
      <c r="U17" s="46">
        <v>16.899999999999999</v>
      </c>
      <c r="V17" s="46">
        <v>16.899999999999999</v>
      </c>
      <c r="W17" s="46">
        <v>16.899999999999999</v>
      </c>
      <c r="X17" s="46">
        <v>16.899999999999999</v>
      </c>
      <c r="Y17" s="46">
        <v>16.899999999999999</v>
      </c>
      <c r="Z17" s="46">
        <v>16.899999999999999</v>
      </c>
      <c r="AA17" s="46">
        <v>16.899999999999999</v>
      </c>
      <c r="AB17" s="46">
        <v>16.899999999999999</v>
      </c>
      <c r="AC17" s="46">
        <v>16.899999999999999</v>
      </c>
      <c r="AD17" s="46">
        <v>16.899999999999999</v>
      </c>
      <c r="AE17" s="46">
        <v>16.899999999999999</v>
      </c>
      <c r="AF17" s="46">
        <v>16.899999999999999</v>
      </c>
      <c r="AG17" s="50">
        <v>44</v>
      </c>
      <c r="AH17" s="48">
        <f>MAX(B17:AG17)</f>
        <v>44</v>
      </c>
      <c r="AI17" s="49">
        <f>MIN(B17:AG17)</f>
        <v>16</v>
      </c>
      <c r="AK17" s="51"/>
      <c r="AL17" s="54" t="s">
        <v>27</v>
      </c>
      <c r="AM17" s="59">
        <f t="shared" ref="AM17:AR17" si="6">B62</f>
        <v>234.20000000000002</v>
      </c>
      <c r="AN17" s="59">
        <f t="shared" si="6"/>
        <v>213.20000000000002</v>
      </c>
      <c r="AO17" s="59">
        <f t="shared" si="6"/>
        <v>121.8</v>
      </c>
      <c r="AP17" s="59">
        <f t="shared" si="6"/>
        <v>153.6</v>
      </c>
      <c r="AQ17" s="59">
        <f t="shared" si="6"/>
        <v>203.10000000000002</v>
      </c>
      <c r="AR17" s="59">
        <f t="shared" si="6"/>
        <v>176.3</v>
      </c>
      <c r="AS17" s="59">
        <f>I62</f>
        <v>275.39999999999998</v>
      </c>
      <c r="AT17" s="59">
        <f>K62</f>
        <v>50.5</v>
      </c>
      <c r="AU17" s="59">
        <f t="shared" ref="AU17:BD17" si="7">M62</f>
        <v>53.5</v>
      </c>
      <c r="AV17" s="59">
        <f t="shared" si="7"/>
        <v>58.4</v>
      </c>
      <c r="AW17" s="59">
        <f t="shared" si="7"/>
        <v>66.7</v>
      </c>
      <c r="AX17" s="59">
        <f t="shared" si="7"/>
        <v>62.7</v>
      </c>
      <c r="AY17" s="59">
        <f t="shared" si="7"/>
        <v>62.7</v>
      </c>
      <c r="AZ17" s="59">
        <f t="shared" si="7"/>
        <v>71.199999999999989</v>
      </c>
      <c r="BA17" s="59">
        <f t="shared" si="7"/>
        <v>54.4</v>
      </c>
      <c r="BB17" s="59">
        <f t="shared" si="7"/>
        <v>52.3</v>
      </c>
      <c r="BC17" s="59">
        <f t="shared" si="7"/>
        <v>152.30000000000001</v>
      </c>
      <c r="BD17" s="59">
        <f t="shared" si="7"/>
        <v>102.3</v>
      </c>
      <c r="BE17" s="60">
        <f>X62</f>
        <v>212.5</v>
      </c>
      <c r="BF17" s="60">
        <f>Z62</f>
        <v>248.3</v>
      </c>
      <c r="BG17" s="60">
        <f>AB62</f>
        <v>392.4</v>
      </c>
      <c r="BH17" s="60">
        <f>AD62</f>
        <v>352.9</v>
      </c>
      <c r="BI17" s="60">
        <f>AE62</f>
        <v>360.9</v>
      </c>
      <c r="BJ17" s="60">
        <f>AF62</f>
        <v>262.5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24.4</v>
      </c>
      <c r="C18" s="46">
        <v>24.4</v>
      </c>
      <c r="D18" s="46">
        <v>24.4</v>
      </c>
      <c r="E18" s="46">
        <v>24.4</v>
      </c>
      <c r="F18" s="46">
        <v>24.4</v>
      </c>
      <c r="G18" s="46">
        <v>24.4</v>
      </c>
      <c r="H18" s="46">
        <v>24.4</v>
      </c>
      <c r="I18" s="46">
        <v>24.4</v>
      </c>
      <c r="J18" s="46">
        <v>24.4</v>
      </c>
      <c r="K18" s="46">
        <v>24.4</v>
      </c>
      <c r="L18" s="46">
        <v>24.4</v>
      </c>
      <c r="M18" s="46">
        <v>24.4</v>
      </c>
      <c r="N18" s="46">
        <v>24.4</v>
      </c>
      <c r="O18" s="46">
        <v>24.4</v>
      </c>
      <c r="P18" s="46">
        <v>24.4</v>
      </c>
      <c r="Q18" s="46">
        <v>24.4</v>
      </c>
      <c r="R18" s="46">
        <v>24.4</v>
      </c>
      <c r="S18" s="46">
        <v>13</v>
      </c>
      <c r="T18" s="46">
        <v>13</v>
      </c>
      <c r="U18" s="46">
        <v>13</v>
      </c>
      <c r="V18" s="46">
        <v>13</v>
      </c>
      <c r="W18" s="46">
        <v>13</v>
      </c>
      <c r="X18" s="46">
        <v>16</v>
      </c>
      <c r="Y18" s="46">
        <v>16</v>
      </c>
      <c r="Z18" s="46">
        <v>16</v>
      </c>
      <c r="AA18" s="46">
        <v>16</v>
      </c>
      <c r="AB18" s="46">
        <v>22</v>
      </c>
      <c r="AC18" s="46">
        <v>22</v>
      </c>
      <c r="AD18" s="46">
        <v>22</v>
      </c>
      <c r="AE18" s="46">
        <v>19</v>
      </c>
      <c r="AF18" s="46">
        <v>21</v>
      </c>
      <c r="AG18" s="50">
        <v>42</v>
      </c>
      <c r="AH18" s="48">
        <f t="shared" ref="AH18:AH81" si="8">MAX(B18:AF18)</f>
        <v>24.4</v>
      </c>
      <c r="AI18" s="49">
        <f t="shared" ref="AI18:AI81" si="9">MIN(B18:AF18)</f>
        <v>13</v>
      </c>
      <c r="AK18" s="51"/>
      <c r="AL18" s="54" t="s">
        <v>29</v>
      </c>
      <c r="AM18" s="59">
        <f t="shared" ref="AM18:AR18" si="10">B76</f>
        <v>388.94</v>
      </c>
      <c r="AN18" s="59">
        <f t="shared" si="10"/>
        <v>388.94</v>
      </c>
      <c r="AO18" s="59">
        <f t="shared" si="10"/>
        <v>394.34</v>
      </c>
      <c r="AP18" s="59">
        <f t="shared" si="10"/>
        <v>312.64000000000004</v>
      </c>
      <c r="AQ18" s="59">
        <f t="shared" si="10"/>
        <v>283.64</v>
      </c>
      <c r="AR18" s="59">
        <f t="shared" si="10"/>
        <v>268.24</v>
      </c>
      <c r="AS18" s="59">
        <f>I76</f>
        <v>289.03999999999996</v>
      </c>
      <c r="AT18" s="59">
        <f>K76</f>
        <v>248.14000000000004</v>
      </c>
      <c r="AU18" s="59">
        <f t="shared" ref="AU18:BD18" si="11">M76</f>
        <v>279.74</v>
      </c>
      <c r="AV18" s="59">
        <f t="shared" si="11"/>
        <v>296.93999999999994</v>
      </c>
      <c r="AW18" s="59">
        <f t="shared" si="11"/>
        <v>296.93999999999994</v>
      </c>
      <c r="AX18" s="59">
        <f t="shared" si="11"/>
        <v>342.94000000000005</v>
      </c>
      <c r="AY18" s="59">
        <f t="shared" si="11"/>
        <v>342.94000000000005</v>
      </c>
      <c r="AZ18" s="59">
        <f t="shared" si="11"/>
        <v>338.54</v>
      </c>
      <c r="BA18" s="59">
        <f t="shared" si="11"/>
        <v>337.44000000000005</v>
      </c>
      <c r="BB18" s="59">
        <f t="shared" si="11"/>
        <v>336.64000000000004</v>
      </c>
      <c r="BC18" s="59">
        <f t="shared" si="11"/>
        <v>314.84000000000003</v>
      </c>
      <c r="BD18" s="59">
        <f t="shared" si="11"/>
        <v>311.74</v>
      </c>
      <c r="BE18" s="60">
        <f>X76</f>
        <v>263.24</v>
      </c>
      <c r="BF18" s="60">
        <f>Z76</f>
        <v>305.5</v>
      </c>
      <c r="BG18" s="60">
        <f>AB76</f>
        <v>311.44</v>
      </c>
      <c r="BH18" s="60">
        <f>AD76</f>
        <v>311.54000000000002</v>
      </c>
      <c r="BI18" s="60">
        <f>AE76</f>
        <v>317.44000000000011</v>
      </c>
      <c r="BJ18" s="60">
        <f>AF76</f>
        <v>318.54000000000008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21.1</v>
      </c>
      <c r="C19" s="46">
        <v>21.1</v>
      </c>
      <c r="D19" s="46">
        <v>21.1</v>
      </c>
      <c r="E19" s="46">
        <v>21.1</v>
      </c>
      <c r="F19" s="46">
        <v>21.1</v>
      </c>
      <c r="G19" s="46">
        <v>21.1</v>
      </c>
      <c r="H19" s="46">
        <v>21.1</v>
      </c>
      <c r="I19" s="46">
        <v>21.1</v>
      </c>
      <c r="J19" s="46">
        <v>21.1</v>
      </c>
      <c r="K19" s="46">
        <v>21.1</v>
      </c>
      <c r="L19" s="46">
        <v>21.1</v>
      </c>
      <c r="M19" s="46">
        <v>21.1</v>
      </c>
      <c r="N19" s="46">
        <v>21.1</v>
      </c>
      <c r="O19" s="46">
        <v>21.1</v>
      </c>
      <c r="P19" s="46">
        <v>21.1</v>
      </c>
      <c r="Q19" s="46">
        <v>21.1</v>
      </c>
      <c r="R19" s="46">
        <v>21.1</v>
      </c>
      <c r="S19" s="46">
        <v>19.3</v>
      </c>
      <c r="T19" s="46">
        <v>18.8</v>
      </c>
      <c r="U19" s="46">
        <v>18.8</v>
      </c>
      <c r="V19" s="46">
        <v>18.8</v>
      </c>
      <c r="W19" s="46">
        <v>18.8</v>
      </c>
      <c r="X19" s="46">
        <v>18.8</v>
      </c>
      <c r="Y19" s="46">
        <v>18.8</v>
      </c>
      <c r="Z19" s="46">
        <v>18.8</v>
      </c>
      <c r="AA19" s="46">
        <v>18.8</v>
      </c>
      <c r="AB19" s="46">
        <v>21.5</v>
      </c>
      <c r="AC19" s="46">
        <v>21.5</v>
      </c>
      <c r="AD19" s="46">
        <v>21.5</v>
      </c>
      <c r="AE19" s="46">
        <v>26.4</v>
      </c>
      <c r="AF19" s="46">
        <v>28</v>
      </c>
      <c r="AG19" s="50">
        <v>38.46</v>
      </c>
      <c r="AH19" s="48">
        <f t="shared" si="8"/>
        <v>28</v>
      </c>
      <c r="AI19" s="49">
        <f t="shared" si="9"/>
        <v>18.8</v>
      </c>
      <c r="AK19" s="51"/>
      <c r="AL19" s="54" t="s">
        <v>31</v>
      </c>
      <c r="AM19" s="59">
        <f t="shared" ref="AM19:AR19" si="12">B92</f>
        <v>50.900000000000006</v>
      </c>
      <c r="AN19" s="59">
        <f t="shared" si="12"/>
        <v>54.6</v>
      </c>
      <c r="AO19" s="59">
        <f t="shared" si="12"/>
        <v>49.1</v>
      </c>
      <c r="AP19" s="59">
        <f t="shared" si="12"/>
        <v>57.900000000000006</v>
      </c>
      <c r="AQ19" s="59">
        <f t="shared" si="12"/>
        <v>113</v>
      </c>
      <c r="AR19" s="59">
        <f t="shared" si="12"/>
        <v>60.300000000000004</v>
      </c>
      <c r="AS19" s="59">
        <f>I92</f>
        <v>61.6</v>
      </c>
      <c r="AT19" s="59">
        <f>K92</f>
        <v>568.9</v>
      </c>
      <c r="AU19" s="59">
        <f t="shared" ref="AU19:BD19" si="13">M92</f>
        <v>585.5</v>
      </c>
      <c r="AV19" s="59">
        <f t="shared" si="13"/>
        <v>607.20000000000005</v>
      </c>
      <c r="AW19" s="59">
        <f t="shared" si="13"/>
        <v>668.9</v>
      </c>
      <c r="AX19" s="59">
        <f t="shared" si="13"/>
        <v>700.7</v>
      </c>
      <c r="AY19" s="59">
        <f t="shared" si="13"/>
        <v>699</v>
      </c>
      <c r="AZ19" s="59">
        <f t="shared" si="13"/>
        <v>726.80000000000007</v>
      </c>
      <c r="BA19" s="59">
        <f t="shared" si="13"/>
        <v>757.3</v>
      </c>
      <c r="BB19" s="59">
        <f t="shared" si="13"/>
        <v>805.6</v>
      </c>
      <c r="BC19" s="59">
        <f t="shared" si="13"/>
        <v>680.9</v>
      </c>
      <c r="BD19" s="59">
        <f t="shared" si="13"/>
        <v>606</v>
      </c>
      <c r="BE19" s="60">
        <f>X92</f>
        <v>540.20000000000005</v>
      </c>
      <c r="BF19" s="60">
        <f>Z92</f>
        <v>200.8</v>
      </c>
      <c r="BG19" s="60">
        <f>AB92</f>
        <v>187.3</v>
      </c>
      <c r="BH19" s="60">
        <f>AD92</f>
        <v>174.10000000000002</v>
      </c>
      <c r="BI19" s="60">
        <f>AE92</f>
        <v>86.1</v>
      </c>
      <c r="BJ19" s="60">
        <f>AF92</f>
        <v>132.70000000000002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20</v>
      </c>
      <c r="C20" s="46">
        <v>20</v>
      </c>
      <c r="D20" s="46">
        <v>20</v>
      </c>
      <c r="E20" s="46">
        <v>20</v>
      </c>
      <c r="F20" s="46">
        <v>20</v>
      </c>
      <c r="G20" s="46">
        <v>20</v>
      </c>
      <c r="H20" s="46">
        <v>20</v>
      </c>
      <c r="I20" s="46">
        <v>20</v>
      </c>
      <c r="J20" s="46">
        <v>20</v>
      </c>
      <c r="K20" s="46">
        <v>20</v>
      </c>
      <c r="L20" s="46">
        <v>20</v>
      </c>
      <c r="M20" s="46">
        <v>20</v>
      </c>
      <c r="N20" s="46">
        <v>20</v>
      </c>
      <c r="O20" s="46">
        <v>20</v>
      </c>
      <c r="P20" s="46">
        <v>20</v>
      </c>
      <c r="Q20" s="46">
        <v>20</v>
      </c>
      <c r="R20" s="46">
        <v>20</v>
      </c>
      <c r="S20" s="46">
        <v>18</v>
      </c>
      <c r="T20" s="46">
        <v>18</v>
      </c>
      <c r="U20" s="46">
        <v>18</v>
      </c>
      <c r="V20" s="46">
        <v>18</v>
      </c>
      <c r="W20" s="46">
        <v>18</v>
      </c>
      <c r="X20" s="46">
        <v>18</v>
      </c>
      <c r="Y20" s="46">
        <v>18</v>
      </c>
      <c r="Z20" s="46">
        <v>18</v>
      </c>
      <c r="AA20" s="46">
        <v>18</v>
      </c>
      <c r="AB20" s="46">
        <v>18</v>
      </c>
      <c r="AC20" s="46">
        <v>18</v>
      </c>
      <c r="AD20" s="46">
        <v>18</v>
      </c>
      <c r="AE20" s="46">
        <v>18</v>
      </c>
      <c r="AF20" s="46">
        <v>18</v>
      </c>
      <c r="AG20" s="50">
        <v>38.46</v>
      </c>
      <c r="AH20" s="48">
        <f t="shared" si="8"/>
        <v>20</v>
      </c>
      <c r="AI20" s="49">
        <f t="shared" si="9"/>
        <v>18</v>
      </c>
      <c r="AK20" s="51"/>
      <c r="AL20" s="54" t="s">
        <v>33</v>
      </c>
      <c r="AM20" s="59">
        <f t="shared" ref="AM20:AR20" si="14">B80</f>
        <v>81.8</v>
      </c>
      <c r="AN20" s="59">
        <f t="shared" si="14"/>
        <v>41.7</v>
      </c>
      <c r="AO20" s="59">
        <f t="shared" si="14"/>
        <v>80.399999999999991</v>
      </c>
      <c r="AP20" s="59">
        <f t="shared" si="14"/>
        <v>33.1</v>
      </c>
      <c r="AQ20" s="59">
        <f t="shared" si="14"/>
        <v>34.6</v>
      </c>
      <c r="AR20" s="59">
        <f t="shared" si="14"/>
        <v>0</v>
      </c>
      <c r="AS20" s="59">
        <f>I80</f>
        <v>28.5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21.3</v>
      </c>
      <c r="AZ20" s="59">
        <f t="shared" si="15"/>
        <v>19.399999999999999</v>
      </c>
      <c r="BA20" s="59">
        <f t="shared" si="15"/>
        <v>21.099999999999998</v>
      </c>
      <c r="BB20" s="59">
        <f t="shared" si="15"/>
        <v>48.9</v>
      </c>
      <c r="BC20" s="59">
        <f t="shared" si="15"/>
        <v>52.4</v>
      </c>
      <c r="BD20" s="59">
        <f t="shared" si="15"/>
        <v>48</v>
      </c>
      <c r="BE20" s="60">
        <f>X80</f>
        <v>0</v>
      </c>
      <c r="BF20" s="60">
        <f>Z80</f>
        <v>46.8</v>
      </c>
      <c r="BG20" s="60">
        <f>AB80</f>
        <v>66.599999999999994</v>
      </c>
      <c r="BH20" s="60">
        <f>AD80</f>
        <v>67.699999999999989</v>
      </c>
      <c r="BI20" s="60">
        <f>AE80</f>
        <v>67.100000000000009</v>
      </c>
      <c r="BJ20" s="60">
        <f>AF80</f>
        <v>61.4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210</v>
      </c>
      <c r="AN21" s="59">
        <f t="shared" si="16"/>
        <v>210</v>
      </c>
      <c r="AO21" s="59">
        <f t="shared" si="16"/>
        <v>210</v>
      </c>
      <c r="AP21" s="59">
        <f t="shared" si="16"/>
        <v>210</v>
      </c>
      <c r="AQ21" s="59">
        <f t="shared" si="16"/>
        <v>210</v>
      </c>
      <c r="AR21" s="59">
        <f t="shared" si="16"/>
        <v>200</v>
      </c>
      <c r="AS21" s="59">
        <f>I98</f>
        <v>160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300</v>
      </c>
      <c r="BG21" s="60">
        <f>AB98</f>
        <v>300</v>
      </c>
      <c r="BH21" s="60">
        <f>AD98</f>
        <v>300</v>
      </c>
      <c r="BI21" s="60">
        <f>AE98</f>
        <v>300</v>
      </c>
      <c r="BJ21" s="60">
        <f>AF98</f>
        <v>300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9.3000000000000007</v>
      </c>
      <c r="C22" s="46">
        <v>9.3000000000000007</v>
      </c>
      <c r="D22" s="46">
        <v>9.3000000000000007</v>
      </c>
      <c r="E22" s="46">
        <v>9.3000000000000007</v>
      </c>
      <c r="F22" s="46">
        <v>9.3000000000000007</v>
      </c>
      <c r="G22" s="46">
        <v>9.3000000000000007</v>
      </c>
      <c r="H22" s="46">
        <v>9.3000000000000007</v>
      </c>
      <c r="I22" s="46">
        <v>9.3000000000000007</v>
      </c>
      <c r="J22" s="46">
        <v>9.3000000000000007</v>
      </c>
      <c r="K22" s="46">
        <v>9.3000000000000007</v>
      </c>
      <c r="L22" s="46">
        <v>9.3000000000000007</v>
      </c>
      <c r="M22" s="46">
        <v>9.3000000000000007</v>
      </c>
      <c r="N22" s="46">
        <v>9.3000000000000007</v>
      </c>
      <c r="O22" s="46">
        <v>9.3000000000000007</v>
      </c>
      <c r="P22" s="46">
        <v>9.3000000000000007</v>
      </c>
      <c r="Q22" s="46">
        <v>9.3000000000000007</v>
      </c>
      <c r="R22" s="46">
        <v>9.3000000000000007</v>
      </c>
      <c r="S22" s="46">
        <v>9.3000000000000007</v>
      </c>
      <c r="T22" s="46">
        <v>9.3989999999999991</v>
      </c>
      <c r="U22" s="46">
        <v>9.3989999999999991</v>
      </c>
      <c r="V22" s="46">
        <v>9.3989999999999991</v>
      </c>
      <c r="W22" s="46">
        <v>9.3989999999999991</v>
      </c>
      <c r="X22" s="46">
        <v>8.8000000000000007</v>
      </c>
      <c r="Y22" s="46">
        <v>8.8000000000000007</v>
      </c>
      <c r="Z22" s="46">
        <v>8.8000000000000007</v>
      </c>
      <c r="AA22" s="46">
        <v>8.8000000000000007</v>
      </c>
      <c r="AB22" s="46">
        <v>8.8000000000000007</v>
      </c>
      <c r="AC22" s="46">
        <v>8.8000000000000007</v>
      </c>
      <c r="AD22" s="46">
        <v>8.8000000000000007</v>
      </c>
      <c r="AE22" s="46">
        <v>13.9</v>
      </c>
      <c r="AF22" s="46">
        <v>12.7</v>
      </c>
      <c r="AG22" s="61">
        <v>30</v>
      </c>
      <c r="AH22" s="48">
        <f t="shared" si="8"/>
        <v>13.9</v>
      </c>
      <c r="AI22" s="49">
        <f t="shared" si="9"/>
        <v>8.8000000000000007</v>
      </c>
      <c r="AK22" s="51"/>
      <c r="AL22" s="62" t="s">
        <v>37</v>
      </c>
      <c r="AM22" s="63">
        <f t="shared" ref="AM22:BJ22" si="18">SUM(AM16:AM21)</f>
        <v>1516.5700000000002</v>
      </c>
      <c r="AN22" s="63">
        <f t="shared" si="18"/>
        <v>1459.17</v>
      </c>
      <c r="AO22" s="63">
        <f t="shared" si="18"/>
        <v>1406.37</v>
      </c>
      <c r="AP22" s="63">
        <f t="shared" si="18"/>
        <v>1317.97</v>
      </c>
      <c r="AQ22" s="63">
        <f t="shared" si="18"/>
        <v>1332.07</v>
      </c>
      <c r="AR22" s="63">
        <f t="shared" si="18"/>
        <v>1255.57</v>
      </c>
      <c r="AS22" s="63">
        <f t="shared" si="18"/>
        <v>1365.27</v>
      </c>
      <c r="AT22" s="63">
        <f t="shared" si="18"/>
        <v>1418.27</v>
      </c>
      <c r="AU22" s="63">
        <f t="shared" si="18"/>
        <v>1467.27</v>
      </c>
      <c r="AV22" s="63">
        <f t="shared" si="18"/>
        <v>1538.97</v>
      </c>
      <c r="AW22" s="63">
        <f t="shared" si="18"/>
        <v>1608.97</v>
      </c>
      <c r="AX22" s="63">
        <f t="shared" si="18"/>
        <v>1682.7700000000002</v>
      </c>
      <c r="AY22" s="63">
        <f t="shared" si="18"/>
        <v>1702.3700000000001</v>
      </c>
      <c r="AZ22" s="63">
        <f t="shared" si="18"/>
        <v>1732.3700000000003</v>
      </c>
      <c r="BA22" s="63">
        <f t="shared" si="18"/>
        <v>1715.34</v>
      </c>
      <c r="BB22" s="63">
        <f t="shared" si="18"/>
        <v>1780.8390000000004</v>
      </c>
      <c r="BC22" s="63">
        <f t="shared" si="18"/>
        <v>1737.8390000000002</v>
      </c>
      <c r="BD22" s="63">
        <f t="shared" si="18"/>
        <v>1605.4390000000001</v>
      </c>
      <c r="BE22" s="63">
        <f t="shared" si="18"/>
        <v>1562.94</v>
      </c>
      <c r="BF22" s="63">
        <f t="shared" si="18"/>
        <v>1648.3999999999999</v>
      </c>
      <c r="BG22" s="63">
        <f t="shared" si="18"/>
        <v>1813.54</v>
      </c>
      <c r="BH22" s="63">
        <f t="shared" si="18"/>
        <v>1767.14</v>
      </c>
      <c r="BI22" s="63">
        <f t="shared" si="18"/>
        <v>1718.14</v>
      </c>
      <c r="BJ22" s="63">
        <f t="shared" si="18"/>
        <v>1665.2400000000002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8.6</v>
      </c>
      <c r="C23" s="46">
        <v>8.6</v>
      </c>
      <c r="D23" s="46">
        <v>8.6</v>
      </c>
      <c r="E23" s="46">
        <v>8.6</v>
      </c>
      <c r="F23" s="46">
        <v>8.6</v>
      </c>
      <c r="G23" s="46">
        <v>8.6</v>
      </c>
      <c r="H23" s="46">
        <v>8.6</v>
      </c>
      <c r="I23" s="46">
        <v>8.6</v>
      </c>
      <c r="J23" s="46">
        <v>8.6</v>
      </c>
      <c r="K23" s="46">
        <v>8.6</v>
      </c>
      <c r="L23" s="46">
        <v>8.6</v>
      </c>
      <c r="M23" s="46">
        <v>8.6</v>
      </c>
      <c r="N23" s="46">
        <v>8.6</v>
      </c>
      <c r="O23" s="46">
        <v>8.6</v>
      </c>
      <c r="P23" s="46">
        <v>8.6</v>
      </c>
      <c r="Q23" s="46">
        <v>8.6</v>
      </c>
      <c r="R23" s="46">
        <v>8.6</v>
      </c>
      <c r="S23" s="46">
        <v>8.6</v>
      </c>
      <c r="T23" s="46">
        <v>8.6</v>
      </c>
      <c r="U23" s="46">
        <v>8.6</v>
      </c>
      <c r="V23" s="46">
        <v>8.6</v>
      </c>
      <c r="W23" s="46">
        <v>8.6</v>
      </c>
      <c r="X23" s="46">
        <v>8.1</v>
      </c>
      <c r="Y23" s="46">
        <v>8.1</v>
      </c>
      <c r="Z23" s="46">
        <v>8.1</v>
      </c>
      <c r="AA23" s="46">
        <v>8.1</v>
      </c>
      <c r="AB23" s="46">
        <v>8.1</v>
      </c>
      <c r="AC23" s="46">
        <v>8.1</v>
      </c>
      <c r="AD23" s="46">
        <v>8.1</v>
      </c>
      <c r="AE23" s="46">
        <v>8.1</v>
      </c>
      <c r="AF23" s="46">
        <v>8.1</v>
      </c>
      <c r="AG23" s="50">
        <v>24.2</v>
      </c>
      <c r="AH23" s="48">
        <f t="shared" si="8"/>
        <v>8.6</v>
      </c>
      <c r="AI23" s="49">
        <f t="shared" si="9"/>
        <v>8.1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6.4</v>
      </c>
      <c r="C24" s="46">
        <v>6.4</v>
      </c>
      <c r="D24" s="46">
        <v>6.4</v>
      </c>
      <c r="E24" s="46">
        <v>6.4</v>
      </c>
      <c r="F24" s="46">
        <v>6.4</v>
      </c>
      <c r="G24" s="46">
        <v>6.4</v>
      </c>
      <c r="H24" s="46">
        <v>6.4</v>
      </c>
      <c r="I24" s="46">
        <v>6.4</v>
      </c>
      <c r="J24" s="46">
        <v>6.4</v>
      </c>
      <c r="K24" s="46">
        <v>6.4</v>
      </c>
      <c r="L24" s="46">
        <v>6.4</v>
      </c>
      <c r="M24" s="46">
        <v>6.4</v>
      </c>
      <c r="N24" s="46">
        <v>6.4</v>
      </c>
      <c r="O24" s="46">
        <v>6.4</v>
      </c>
      <c r="P24" s="46">
        <v>6.4</v>
      </c>
      <c r="Q24" s="46">
        <v>6.4</v>
      </c>
      <c r="R24" s="46">
        <v>6.4</v>
      </c>
      <c r="S24" s="46">
        <v>6.4</v>
      </c>
      <c r="T24" s="46">
        <v>6.4</v>
      </c>
      <c r="U24" s="46">
        <v>6.4</v>
      </c>
      <c r="V24" s="46">
        <v>6.4</v>
      </c>
      <c r="W24" s="46">
        <v>6.4</v>
      </c>
      <c r="X24" s="46">
        <v>8.1</v>
      </c>
      <c r="Y24" s="46">
        <v>8.1</v>
      </c>
      <c r="Z24" s="46">
        <v>8.1</v>
      </c>
      <c r="AA24" s="46">
        <v>8.1</v>
      </c>
      <c r="AB24" s="46">
        <v>8.1</v>
      </c>
      <c r="AC24" s="46">
        <v>8.1</v>
      </c>
      <c r="AD24" s="46">
        <v>8.1</v>
      </c>
      <c r="AE24" s="46">
        <v>8.1</v>
      </c>
      <c r="AF24" s="46">
        <v>8.1</v>
      </c>
      <c r="AG24" s="50">
        <v>28</v>
      </c>
      <c r="AH24" s="48">
        <f t="shared" si="8"/>
        <v>8.1</v>
      </c>
      <c r="AI24" s="49">
        <f t="shared" si="9"/>
        <v>6.4</v>
      </c>
      <c r="AK24" s="51"/>
      <c r="AL24" s="62" t="s">
        <v>41</v>
      </c>
      <c r="AM24" s="63">
        <f t="shared" ref="AM24:BJ24" si="21">AM22+AM23</f>
        <v>1516.5700000000002</v>
      </c>
      <c r="AN24" s="63">
        <f t="shared" si="21"/>
        <v>1459.17</v>
      </c>
      <c r="AO24" s="63">
        <f t="shared" si="21"/>
        <v>1406.37</v>
      </c>
      <c r="AP24" s="63">
        <f t="shared" si="21"/>
        <v>1317.97</v>
      </c>
      <c r="AQ24" s="63">
        <f t="shared" si="21"/>
        <v>1332.07</v>
      </c>
      <c r="AR24" s="63">
        <f t="shared" si="21"/>
        <v>1255.57</v>
      </c>
      <c r="AS24" s="63">
        <f t="shared" si="21"/>
        <v>1365.27</v>
      </c>
      <c r="AT24" s="63">
        <f t="shared" si="21"/>
        <v>1418.27</v>
      </c>
      <c r="AU24" s="63">
        <f t="shared" si="21"/>
        <v>1467.27</v>
      </c>
      <c r="AV24" s="63">
        <f t="shared" si="21"/>
        <v>1538.97</v>
      </c>
      <c r="AW24" s="63">
        <f t="shared" si="21"/>
        <v>1608.97</v>
      </c>
      <c r="AX24" s="63">
        <f t="shared" si="21"/>
        <v>1682.7700000000002</v>
      </c>
      <c r="AY24" s="63">
        <f t="shared" si="21"/>
        <v>1702.3700000000001</v>
      </c>
      <c r="AZ24" s="63">
        <f t="shared" si="21"/>
        <v>1732.3700000000003</v>
      </c>
      <c r="BA24" s="63">
        <f t="shared" si="21"/>
        <v>1715.34</v>
      </c>
      <c r="BB24" s="63">
        <f t="shared" si="21"/>
        <v>1780.8390000000004</v>
      </c>
      <c r="BC24" s="63">
        <f t="shared" si="21"/>
        <v>1737.8390000000002</v>
      </c>
      <c r="BD24" s="63">
        <f t="shared" si="21"/>
        <v>1605.4390000000001</v>
      </c>
      <c r="BE24" s="63">
        <f t="shared" si="21"/>
        <v>1562.94</v>
      </c>
      <c r="BF24" s="63">
        <f t="shared" si="21"/>
        <v>1648.3999999999999</v>
      </c>
      <c r="BG24" s="63">
        <f t="shared" si="21"/>
        <v>1813.54</v>
      </c>
      <c r="BH24" s="63">
        <f t="shared" si="21"/>
        <v>1767.14</v>
      </c>
      <c r="BI24" s="63">
        <f t="shared" si="21"/>
        <v>1718.14</v>
      </c>
      <c r="BJ24" s="63">
        <f t="shared" si="21"/>
        <v>1665.2400000000002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8.1999999999999993</v>
      </c>
      <c r="C25" s="46">
        <v>8.1999999999999993</v>
      </c>
      <c r="D25" s="46">
        <v>8.1999999999999993</v>
      </c>
      <c r="E25" s="46">
        <v>8.1999999999999993</v>
      </c>
      <c r="F25" s="46">
        <v>8.1999999999999993</v>
      </c>
      <c r="G25" s="46">
        <v>8.1999999999999993</v>
      </c>
      <c r="H25" s="46">
        <v>8.1999999999999993</v>
      </c>
      <c r="I25" s="46">
        <v>8.1999999999999993</v>
      </c>
      <c r="J25" s="46">
        <v>8.1999999999999993</v>
      </c>
      <c r="K25" s="46">
        <v>8.1999999999999993</v>
      </c>
      <c r="L25" s="46">
        <v>8.1999999999999993</v>
      </c>
      <c r="M25" s="46">
        <v>8.1999999999999993</v>
      </c>
      <c r="N25" s="46">
        <v>8.1999999999999993</v>
      </c>
      <c r="O25" s="46">
        <v>8.1999999999999993</v>
      </c>
      <c r="P25" s="46">
        <v>8.1999999999999993</v>
      </c>
      <c r="Q25" s="46">
        <v>8.1999999999999993</v>
      </c>
      <c r="R25" s="46">
        <v>8.1999999999999993</v>
      </c>
      <c r="S25" s="46">
        <v>8.1999999999999993</v>
      </c>
      <c r="T25" s="46">
        <v>8.1999999999999993</v>
      </c>
      <c r="U25" s="46">
        <v>8.1999999999999993</v>
      </c>
      <c r="V25" s="46">
        <v>8.1999999999999993</v>
      </c>
      <c r="W25" s="46">
        <v>8.1999999999999993</v>
      </c>
      <c r="X25" s="46">
        <v>8.1999999999999993</v>
      </c>
      <c r="Y25" s="46">
        <v>8.1999999999999993</v>
      </c>
      <c r="Z25" s="46">
        <v>8.1999999999999993</v>
      </c>
      <c r="AA25" s="46">
        <v>8.1999999999999993</v>
      </c>
      <c r="AB25" s="46">
        <v>9</v>
      </c>
      <c r="AC25" s="46">
        <v>9</v>
      </c>
      <c r="AD25" s="46">
        <v>7.4</v>
      </c>
      <c r="AE25" s="46">
        <v>9</v>
      </c>
      <c r="AF25" s="46">
        <v>9</v>
      </c>
      <c r="AG25" s="61">
        <v>30</v>
      </c>
      <c r="AH25" s="48">
        <f t="shared" si="8"/>
        <v>9</v>
      </c>
      <c r="AI25" s="49">
        <f t="shared" si="9"/>
        <v>7.4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12.2</v>
      </c>
      <c r="C26" s="46">
        <v>12.2</v>
      </c>
      <c r="D26" s="46">
        <v>12.2</v>
      </c>
      <c r="E26" s="46">
        <v>12.2</v>
      </c>
      <c r="F26" s="46">
        <v>12.2</v>
      </c>
      <c r="G26" s="46">
        <v>12.2</v>
      </c>
      <c r="H26" s="46">
        <v>12.2</v>
      </c>
      <c r="I26" s="46">
        <v>12.2</v>
      </c>
      <c r="J26" s="46">
        <v>12.2</v>
      </c>
      <c r="K26" s="46">
        <v>12.2</v>
      </c>
      <c r="L26" s="46">
        <v>12.2</v>
      </c>
      <c r="M26" s="46">
        <v>12.2</v>
      </c>
      <c r="N26" s="46">
        <v>12.2</v>
      </c>
      <c r="O26" s="46">
        <v>12.2</v>
      </c>
      <c r="P26" s="46">
        <v>12.2</v>
      </c>
      <c r="Q26" s="46">
        <v>12.2</v>
      </c>
      <c r="R26" s="46">
        <v>12.2</v>
      </c>
      <c r="S26" s="46">
        <v>11.1</v>
      </c>
      <c r="T26" s="46">
        <v>11.1</v>
      </c>
      <c r="U26" s="46">
        <v>11.1</v>
      </c>
      <c r="V26" s="46">
        <v>11.1</v>
      </c>
      <c r="W26" s="46">
        <v>11.1</v>
      </c>
      <c r="X26" s="46">
        <v>11.1</v>
      </c>
      <c r="Y26" s="46">
        <v>11.1</v>
      </c>
      <c r="Z26" s="46">
        <v>11.1</v>
      </c>
      <c r="AA26" s="46">
        <v>11.1</v>
      </c>
      <c r="AB26" s="46">
        <v>11.1</v>
      </c>
      <c r="AC26" s="46">
        <v>11.1</v>
      </c>
      <c r="AD26" s="46">
        <v>13.1</v>
      </c>
      <c r="AE26" s="46">
        <v>13.1</v>
      </c>
      <c r="AF26" s="46">
        <v>13.1</v>
      </c>
      <c r="AG26" s="50">
        <v>25</v>
      </c>
      <c r="AH26" s="48">
        <f t="shared" si="8"/>
        <v>13.1</v>
      </c>
      <c r="AI26" s="49">
        <f t="shared" si="9"/>
        <v>11.1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0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10.9</v>
      </c>
      <c r="C29" s="46">
        <v>10.9</v>
      </c>
      <c r="D29" s="46">
        <v>10.9</v>
      </c>
      <c r="E29" s="46">
        <v>10.9</v>
      </c>
      <c r="F29" s="46">
        <v>10.9</v>
      </c>
      <c r="G29" s="46">
        <v>10.9</v>
      </c>
      <c r="H29" s="46">
        <v>10.9</v>
      </c>
      <c r="I29" s="46">
        <v>10.9</v>
      </c>
      <c r="J29" s="46">
        <v>10.9</v>
      </c>
      <c r="K29" s="46">
        <v>10.9</v>
      </c>
      <c r="L29" s="46">
        <v>10.9</v>
      </c>
      <c r="M29" s="46">
        <v>10.9</v>
      </c>
      <c r="N29" s="46">
        <v>10.9</v>
      </c>
      <c r="O29" s="46">
        <v>10.9</v>
      </c>
      <c r="P29" s="46">
        <v>10.9</v>
      </c>
      <c r="Q29" s="46">
        <v>10.9</v>
      </c>
      <c r="R29" s="46">
        <v>10.9</v>
      </c>
      <c r="S29" s="46">
        <v>9.9</v>
      </c>
      <c r="T29" s="46">
        <v>9.9</v>
      </c>
      <c r="U29" s="46">
        <v>9.9</v>
      </c>
      <c r="V29" s="46">
        <v>9.9</v>
      </c>
      <c r="W29" s="46">
        <v>9.9</v>
      </c>
      <c r="X29" s="46">
        <v>9.9</v>
      </c>
      <c r="Y29" s="46">
        <v>9.9</v>
      </c>
      <c r="Z29" s="46">
        <v>9.9</v>
      </c>
      <c r="AA29" s="46">
        <v>9.9</v>
      </c>
      <c r="AB29" s="46">
        <v>9.9</v>
      </c>
      <c r="AC29" s="46">
        <v>9.9</v>
      </c>
      <c r="AD29" s="46">
        <v>11.4</v>
      </c>
      <c r="AE29" s="46">
        <v>14.9</v>
      </c>
      <c r="AF29" s="46">
        <v>16.399999999999999</v>
      </c>
      <c r="AG29" s="50">
        <v>25</v>
      </c>
      <c r="AH29" s="48">
        <f t="shared" si="8"/>
        <v>16.399999999999999</v>
      </c>
      <c r="AI29" s="49">
        <f t="shared" si="9"/>
        <v>9.9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5.0999999999999996</v>
      </c>
      <c r="C30" s="46">
        <v>5.0999999999999996</v>
      </c>
      <c r="D30" s="46">
        <v>5.0999999999999996</v>
      </c>
      <c r="E30" s="46">
        <v>5.0999999999999996</v>
      </c>
      <c r="F30" s="46">
        <v>5.0999999999999996</v>
      </c>
      <c r="G30" s="46">
        <v>5.0999999999999996</v>
      </c>
      <c r="H30" s="46">
        <v>5.0999999999999996</v>
      </c>
      <c r="I30" s="46">
        <v>5.0999999999999996</v>
      </c>
      <c r="J30" s="46">
        <v>5.0999999999999996</v>
      </c>
      <c r="K30" s="46">
        <v>5.0999999999999996</v>
      </c>
      <c r="L30" s="46">
        <v>5.0999999999999996</v>
      </c>
      <c r="M30" s="46">
        <v>5.0999999999999996</v>
      </c>
      <c r="N30" s="46">
        <v>5.0999999999999996</v>
      </c>
      <c r="O30" s="46">
        <v>5.0999999999999996</v>
      </c>
      <c r="P30" s="46">
        <v>5.0999999999999996</v>
      </c>
      <c r="Q30" s="46">
        <v>5.0999999999999996</v>
      </c>
      <c r="R30" s="46">
        <v>5.0999999999999996</v>
      </c>
      <c r="S30" s="46">
        <v>6.1</v>
      </c>
      <c r="T30" s="46">
        <v>6.1</v>
      </c>
      <c r="U30" s="46">
        <v>6.1</v>
      </c>
      <c r="V30" s="46">
        <v>6.1</v>
      </c>
      <c r="W30" s="46">
        <v>6.1</v>
      </c>
      <c r="X30" s="46">
        <v>6.1</v>
      </c>
      <c r="Y30" s="46">
        <v>6.1</v>
      </c>
      <c r="Z30" s="46">
        <v>6.1</v>
      </c>
      <c r="AA30" s="46">
        <v>6.1</v>
      </c>
      <c r="AB30" s="46">
        <v>6.1</v>
      </c>
      <c r="AC30" s="46">
        <v>6.1</v>
      </c>
      <c r="AD30" s="46">
        <v>6.1</v>
      </c>
      <c r="AE30" s="46">
        <v>6</v>
      </c>
      <c r="AF30" s="46">
        <v>6</v>
      </c>
      <c r="AG30" s="50">
        <v>23.5</v>
      </c>
      <c r="AH30" s="48">
        <f t="shared" si="8"/>
        <v>6.1</v>
      </c>
      <c r="AI30" s="49">
        <f t="shared" si="9"/>
        <v>5.0999999999999996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6</v>
      </c>
      <c r="C33" s="46">
        <v>6</v>
      </c>
      <c r="D33" s="46">
        <v>6</v>
      </c>
      <c r="E33" s="46">
        <v>6</v>
      </c>
      <c r="F33" s="46">
        <v>0</v>
      </c>
      <c r="G33" s="46">
        <v>6</v>
      </c>
      <c r="H33" s="46">
        <v>6</v>
      </c>
      <c r="I33" s="46">
        <v>6</v>
      </c>
      <c r="J33" s="46">
        <v>6</v>
      </c>
      <c r="K33" s="46">
        <v>6</v>
      </c>
      <c r="L33" s="46">
        <v>6</v>
      </c>
      <c r="M33" s="46">
        <v>6</v>
      </c>
      <c r="N33" s="46">
        <v>6</v>
      </c>
      <c r="O33" s="46">
        <v>6</v>
      </c>
      <c r="P33" s="46">
        <v>6</v>
      </c>
      <c r="Q33" s="46">
        <v>6</v>
      </c>
      <c r="R33" s="46">
        <v>6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6.1</v>
      </c>
      <c r="C34" s="46">
        <v>6.1</v>
      </c>
      <c r="D34" s="46">
        <v>6.1</v>
      </c>
      <c r="E34" s="46">
        <v>6.1</v>
      </c>
      <c r="F34" s="46">
        <v>6.1</v>
      </c>
      <c r="G34" s="46">
        <v>6.1</v>
      </c>
      <c r="H34" s="46">
        <v>6.1</v>
      </c>
      <c r="I34" s="46">
        <v>6.1</v>
      </c>
      <c r="J34" s="46">
        <v>6.1</v>
      </c>
      <c r="K34" s="46">
        <v>6.1</v>
      </c>
      <c r="L34" s="46">
        <v>6.1</v>
      </c>
      <c r="M34" s="46">
        <v>6.1</v>
      </c>
      <c r="N34" s="46">
        <v>6.1</v>
      </c>
      <c r="O34" s="46">
        <v>6.1</v>
      </c>
      <c r="P34" s="46">
        <v>6.1</v>
      </c>
      <c r="Q34" s="46">
        <v>6.1</v>
      </c>
      <c r="R34" s="46">
        <v>6.1</v>
      </c>
      <c r="S34" s="46">
        <v>7.9</v>
      </c>
      <c r="T34" s="46">
        <v>7.9</v>
      </c>
      <c r="U34" s="46">
        <v>7.9</v>
      </c>
      <c r="V34" s="46">
        <v>7.9</v>
      </c>
      <c r="W34" s="46">
        <v>7.9</v>
      </c>
      <c r="X34" s="46">
        <v>7.9</v>
      </c>
      <c r="Y34" s="46">
        <v>7.9</v>
      </c>
      <c r="Z34" s="46">
        <v>7.9</v>
      </c>
      <c r="AA34" s="46">
        <v>7.9</v>
      </c>
      <c r="AB34" s="46">
        <v>7.9</v>
      </c>
      <c r="AC34" s="46">
        <v>7.9</v>
      </c>
      <c r="AD34" s="46">
        <v>7.9</v>
      </c>
      <c r="AE34" s="46">
        <v>11.3</v>
      </c>
      <c r="AF34" s="46">
        <v>11.5</v>
      </c>
      <c r="AG34" s="50">
        <v>22</v>
      </c>
      <c r="AH34" s="48">
        <f t="shared" si="8"/>
        <v>11.5</v>
      </c>
      <c r="AI34" s="49">
        <f t="shared" si="9"/>
        <v>6.1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8.9</v>
      </c>
      <c r="C35" s="46">
        <v>8.9</v>
      </c>
      <c r="D35" s="46">
        <v>8.9</v>
      </c>
      <c r="E35" s="46">
        <v>8.9</v>
      </c>
      <c r="F35" s="46">
        <v>8.9</v>
      </c>
      <c r="G35" s="46">
        <v>8.9</v>
      </c>
      <c r="H35" s="46">
        <v>8.9</v>
      </c>
      <c r="I35" s="46">
        <v>8.9</v>
      </c>
      <c r="J35" s="46">
        <v>8.9</v>
      </c>
      <c r="K35" s="46">
        <v>8.9</v>
      </c>
      <c r="L35" s="46">
        <v>8.9</v>
      </c>
      <c r="M35" s="46">
        <v>8.9</v>
      </c>
      <c r="N35" s="46">
        <v>8.9</v>
      </c>
      <c r="O35" s="46">
        <v>8.9</v>
      </c>
      <c r="P35" s="46">
        <v>8.9</v>
      </c>
      <c r="Q35" s="46">
        <v>8.9</v>
      </c>
      <c r="R35" s="46">
        <v>8.9</v>
      </c>
      <c r="S35" s="46">
        <v>9.5</v>
      </c>
      <c r="T35" s="46">
        <v>9.5</v>
      </c>
      <c r="U35" s="46">
        <v>9.5</v>
      </c>
      <c r="V35" s="46">
        <v>9.5</v>
      </c>
      <c r="W35" s="46">
        <v>9.5</v>
      </c>
      <c r="X35" s="46">
        <v>9.5</v>
      </c>
      <c r="Y35" s="46">
        <v>9.5</v>
      </c>
      <c r="Z35" s="46">
        <v>9.5</v>
      </c>
      <c r="AA35" s="46">
        <v>9.5</v>
      </c>
      <c r="AB35" s="46">
        <v>9.5</v>
      </c>
      <c r="AC35" s="46">
        <v>9.5</v>
      </c>
      <c r="AD35" s="46">
        <v>9.5</v>
      </c>
      <c r="AE35" s="46">
        <v>18.8</v>
      </c>
      <c r="AF35" s="46">
        <v>18.3</v>
      </c>
      <c r="AG35" s="50">
        <v>20</v>
      </c>
      <c r="AH35" s="48">
        <f t="shared" si="8"/>
        <v>18.8</v>
      </c>
      <c r="AI35" s="49">
        <f t="shared" si="9"/>
        <v>8.9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11.4</v>
      </c>
      <c r="C37" s="46">
        <v>11.4</v>
      </c>
      <c r="D37" s="46">
        <v>11.4</v>
      </c>
      <c r="E37" s="46">
        <v>11.4</v>
      </c>
      <c r="F37" s="46">
        <v>11.4</v>
      </c>
      <c r="G37" s="46">
        <v>11.4</v>
      </c>
      <c r="H37" s="46">
        <v>11.4</v>
      </c>
      <c r="I37" s="46">
        <v>11.4</v>
      </c>
      <c r="J37" s="46">
        <v>11.4</v>
      </c>
      <c r="K37" s="46">
        <v>11.4</v>
      </c>
      <c r="L37" s="46">
        <v>11.4</v>
      </c>
      <c r="M37" s="46">
        <v>11.4</v>
      </c>
      <c r="N37" s="46">
        <v>11.4</v>
      </c>
      <c r="O37" s="46">
        <v>11.4</v>
      </c>
      <c r="P37" s="46">
        <v>11.4</v>
      </c>
      <c r="Q37" s="46">
        <v>11.4</v>
      </c>
      <c r="R37" s="46">
        <v>11.4</v>
      </c>
      <c r="S37" s="46">
        <v>8.6</v>
      </c>
      <c r="T37" s="46">
        <v>8.6</v>
      </c>
      <c r="U37" s="46">
        <v>8.6</v>
      </c>
      <c r="V37" s="46">
        <v>8.6</v>
      </c>
      <c r="W37" s="46">
        <v>8.6</v>
      </c>
      <c r="X37" s="46">
        <v>8.6</v>
      </c>
      <c r="Y37" s="46">
        <v>8.6</v>
      </c>
      <c r="Z37" s="46">
        <v>8.6</v>
      </c>
      <c r="AA37" s="46">
        <v>8.6</v>
      </c>
      <c r="AB37" s="46">
        <v>8.6</v>
      </c>
      <c r="AC37" s="46">
        <v>8.6</v>
      </c>
      <c r="AD37" s="46">
        <v>8.6</v>
      </c>
      <c r="AE37" s="46">
        <v>11.6</v>
      </c>
      <c r="AF37" s="46">
        <v>11.6</v>
      </c>
      <c r="AG37" s="50">
        <v>18</v>
      </c>
      <c r="AH37" s="48">
        <f t="shared" si="8"/>
        <v>11.6</v>
      </c>
      <c r="AI37" s="49">
        <f t="shared" si="9"/>
        <v>8.6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5.0999999999999996</v>
      </c>
      <c r="T38" s="46">
        <v>5.0999999999999996</v>
      </c>
      <c r="U38" s="46">
        <v>5.0999999999999996</v>
      </c>
      <c r="V38" s="46">
        <v>5.0999999999999996</v>
      </c>
      <c r="W38" s="46">
        <v>5.0999999999999996</v>
      </c>
      <c r="X38" s="46">
        <v>5.0999999999999996</v>
      </c>
      <c r="Y38" s="46">
        <v>5.0999999999999996</v>
      </c>
      <c r="Z38" s="46">
        <v>5.0999999999999996</v>
      </c>
      <c r="AA38" s="46">
        <v>5.0999999999999996</v>
      </c>
      <c r="AB38" s="46">
        <v>5.0999999999999996</v>
      </c>
      <c r="AC38" s="46">
        <v>5.0999999999999996</v>
      </c>
      <c r="AD38" s="46">
        <v>5.0999999999999996</v>
      </c>
      <c r="AE38" s="46">
        <v>5.0999999999999996</v>
      </c>
      <c r="AF38" s="46">
        <v>5.0999999999999996</v>
      </c>
      <c r="AG38" s="50">
        <v>14.9</v>
      </c>
      <c r="AH38" s="48">
        <f t="shared" si="8"/>
        <v>5.0999999999999996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5</v>
      </c>
      <c r="C41" s="46">
        <v>5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6">
        <v>5</v>
      </c>
      <c r="K41" s="46">
        <v>5</v>
      </c>
      <c r="L41" s="46">
        <v>5</v>
      </c>
      <c r="M41" s="46">
        <v>5</v>
      </c>
      <c r="N41" s="46">
        <v>5</v>
      </c>
      <c r="O41" s="46">
        <v>5</v>
      </c>
      <c r="P41" s="46">
        <v>5</v>
      </c>
      <c r="Q41" s="46">
        <v>5</v>
      </c>
      <c r="R41" s="46">
        <v>5</v>
      </c>
      <c r="S41" s="46">
        <v>5</v>
      </c>
      <c r="T41" s="46">
        <v>5</v>
      </c>
      <c r="U41" s="46">
        <v>5</v>
      </c>
      <c r="V41" s="46">
        <v>5</v>
      </c>
      <c r="W41" s="46">
        <v>5</v>
      </c>
      <c r="X41" s="46">
        <v>5</v>
      </c>
      <c r="Y41" s="46">
        <v>5</v>
      </c>
      <c r="Z41" s="46">
        <v>5</v>
      </c>
      <c r="AA41" s="46">
        <v>5</v>
      </c>
      <c r="AB41" s="46">
        <v>5</v>
      </c>
      <c r="AC41" s="46">
        <v>5</v>
      </c>
      <c r="AD41" s="46">
        <v>5</v>
      </c>
      <c r="AE41" s="46">
        <v>5</v>
      </c>
      <c r="AF41" s="46">
        <v>5</v>
      </c>
      <c r="AG41" s="50">
        <v>14.9</v>
      </c>
      <c r="AH41" s="48">
        <f t="shared" si="8"/>
        <v>5</v>
      </c>
      <c r="AI41" s="49">
        <f t="shared" si="9"/>
        <v>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12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</v>
      </c>
      <c r="C50" s="46">
        <v>1.8</v>
      </c>
      <c r="D50" s="46">
        <v>1.8</v>
      </c>
      <c r="E50" s="46">
        <v>1.8</v>
      </c>
      <c r="F50" s="46">
        <v>1.8</v>
      </c>
      <c r="G50" s="46">
        <v>1.8</v>
      </c>
      <c r="H50" s="46">
        <v>1.8</v>
      </c>
      <c r="I50" s="46">
        <v>1.8</v>
      </c>
      <c r="J50" s="46">
        <v>1.8</v>
      </c>
      <c r="K50" s="46">
        <v>1.8</v>
      </c>
      <c r="L50" s="46">
        <v>1.8</v>
      </c>
      <c r="M50" s="46">
        <v>1.8</v>
      </c>
      <c r="N50" s="46">
        <v>1.8</v>
      </c>
      <c r="O50" s="46">
        <v>1.8</v>
      </c>
      <c r="P50" s="46">
        <v>1.8</v>
      </c>
      <c r="Q50" s="46">
        <v>1.8</v>
      </c>
      <c r="R50" s="46">
        <v>1.8</v>
      </c>
      <c r="S50" s="46">
        <v>1.8</v>
      </c>
      <c r="T50" s="46">
        <v>1.8</v>
      </c>
      <c r="U50" s="46">
        <v>1.8</v>
      </c>
      <c r="V50" s="46">
        <v>1.8</v>
      </c>
      <c r="W50" s="46">
        <v>1.8</v>
      </c>
      <c r="X50" s="46">
        <v>1.8</v>
      </c>
      <c r="Y50" s="46">
        <v>1.8</v>
      </c>
      <c r="Z50" s="46">
        <v>1.8</v>
      </c>
      <c r="AA50" s="46">
        <v>1.8</v>
      </c>
      <c r="AB50" s="46">
        <v>1.8</v>
      </c>
      <c r="AC50" s="46">
        <v>1.8</v>
      </c>
      <c r="AD50" s="46">
        <v>1.8</v>
      </c>
      <c r="AE50" s="46">
        <v>1.8</v>
      </c>
      <c r="AF50" s="46">
        <v>1.8</v>
      </c>
      <c r="AG50" s="66">
        <v>11</v>
      </c>
      <c r="AH50" s="48">
        <f t="shared" si="8"/>
        <v>1.8</v>
      </c>
      <c r="AI50" s="49">
        <f t="shared" si="9"/>
        <v>1.8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100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100</v>
      </c>
      <c r="AK56" s="51"/>
    </row>
    <row r="57" spans="1:88" ht="15.75" thickBot="1" x14ac:dyDescent="0.3">
      <c r="A57" s="69" t="s">
        <v>74</v>
      </c>
      <c r="B57" s="68">
        <v>59</v>
      </c>
      <c r="C57" s="68">
        <v>59</v>
      </c>
      <c r="D57" s="68">
        <v>79</v>
      </c>
      <c r="E57" s="68">
        <f>42.2+23.8</f>
        <v>66</v>
      </c>
      <c r="F57" s="68">
        <f>0</f>
        <v>0</v>
      </c>
      <c r="G57" s="68">
        <f>52.5+24.7</f>
        <v>77.2</v>
      </c>
      <c r="H57" s="68">
        <f>47.9+21.4</f>
        <v>69.3</v>
      </c>
      <c r="I57" s="68">
        <f>32.5+0.9</f>
        <v>33.4</v>
      </c>
      <c r="J57" s="68">
        <f>54.7+30.9</f>
        <v>85.6</v>
      </c>
      <c r="K57" s="53">
        <f>58.8+29</f>
        <v>87.8</v>
      </c>
      <c r="L57" s="53">
        <f>33.1+26</f>
        <v>59.1</v>
      </c>
      <c r="M57" s="53">
        <v>95</v>
      </c>
      <c r="N57" s="53">
        <v>95</v>
      </c>
      <c r="O57" s="53">
        <v>100</v>
      </c>
      <c r="P57" s="53">
        <f>50.2+52.7</f>
        <v>102.9</v>
      </c>
      <c r="Q57" s="53">
        <f>50.2+52.7</f>
        <v>102.9</v>
      </c>
      <c r="R57" s="53">
        <f>50.2+52.7</f>
        <v>102.9</v>
      </c>
      <c r="S57" s="53">
        <v>93.5</v>
      </c>
      <c r="T57" s="53">
        <v>89.6</v>
      </c>
      <c r="U57" s="53">
        <v>89.6</v>
      </c>
      <c r="V57" s="53">
        <v>89.6</v>
      </c>
      <c r="W57" s="53">
        <v>89.6</v>
      </c>
      <c r="X57" s="53">
        <v>86.8</v>
      </c>
      <c r="Y57" s="53">
        <v>86.8</v>
      </c>
      <c r="Z57" s="53">
        <v>86.8</v>
      </c>
      <c r="AA57" s="53">
        <v>86.8</v>
      </c>
      <c r="AB57" s="53">
        <f>42.8+28.8</f>
        <v>71.599999999999994</v>
      </c>
      <c r="AC57" s="68">
        <f>42.1+28.3</f>
        <v>70.400000000000006</v>
      </c>
      <c r="AD57" s="68">
        <f>26.1+38.2</f>
        <v>64.300000000000011</v>
      </c>
      <c r="AE57" s="68">
        <f>24.2+34.1</f>
        <v>58.3</v>
      </c>
      <c r="AF57" s="68">
        <f>25.1+38.2</f>
        <v>63.300000000000004</v>
      </c>
      <c r="AG57" s="66">
        <v>240</v>
      </c>
      <c r="AH57" s="48">
        <f t="shared" si="8"/>
        <v>102.9</v>
      </c>
      <c r="AI57" s="49">
        <f t="shared" si="9"/>
        <v>0</v>
      </c>
      <c r="AK57" s="51"/>
    </row>
    <row r="58" spans="1:88" ht="15.75" thickBot="1" x14ac:dyDescent="0.3">
      <c r="A58" s="70" t="s">
        <v>75</v>
      </c>
      <c r="B58" s="71">
        <f t="shared" ref="B58:AD58" si="22">SUM(B11:B56)</f>
        <v>550.73</v>
      </c>
      <c r="C58" s="71">
        <f t="shared" si="22"/>
        <v>550.73</v>
      </c>
      <c r="D58" s="71">
        <f t="shared" si="22"/>
        <v>550.73</v>
      </c>
      <c r="E58" s="71">
        <f t="shared" si="22"/>
        <v>550.73</v>
      </c>
      <c r="F58" s="71">
        <f t="shared" si="22"/>
        <v>487.73</v>
      </c>
      <c r="G58" s="71">
        <f t="shared" si="22"/>
        <v>550.73</v>
      </c>
      <c r="H58" s="71">
        <f t="shared" si="22"/>
        <v>550.73</v>
      </c>
      <c r="I58" s="71">
        <f t="shared" si="22"/>
        <v>550.73</v>
      </c>
      <c r="J58" s="71">
        <f t="shared" si="22"/>
        <v>550.73</v>
      </c>
      <c r="K58" s="71">
        <f t="shared" si="22"/>
        <v>550.73</v>
      </c>
      <c r="L58" s="71">
        <f t="shared" si="22"/>
        <v>550.73</v>
      </c>
      <c r="M58" s="71">
        <f t="shared" si="22"/>
        <v>548.53</v>
      </c>
      <c r="N58" s="71">
        <f t="shared" si="22"/>
        <v>576.43000000000006</v>
      </c>
      <c r="O58" s="71">
        <f t="shared" si="22"/>
        <v>576.43000000000006</v>
      </c>
      <c r="P58" s="71">
        <f t="shared" si="22"/>
        <v>576.43000000000006</v>
      </c>
      <c r="Q58" s="71">
        <f t="shared" si="22"/>
        <v>576.43000000000006</v>
      </c>
      <c r="R58" s="71">
        <f t="shared" si="22"/>
        <v>576.43000000000006</v>
      </c>
      <c r="S58" s="71">
        <f t="shared" si="22"/>
        <v>545.1</v>
      </c>
      <c r="T58" s="71">
        <f t="shared" si="22"/>
        <v>537.39900000000011</v>
      </c>
      <c r="U58" s="71">
        <f t="shared" si="22"/>
        <v>537.39900000000011</v>
      </c>
      <c r="V58" s="71">
        <f t="shared" si="22"/>
        <v>537.39900000000011</v>
      </c>
      <c r="W58" s="71">
        <f t="shared" si="22"/>
        <v>537.39900000000011</v>
      </c>
      <c r="X58" s="71">
        <f t="shared" si="22"/>
        <v>547</v>
      </c>
      <c r="Y58" s="71">
        <f t="shared" si="22"/>
        <v>547</v>
      </c>
      <c r="Z58" s="71">
        <f t="shared" si="22"/>
        <v>547</v>
      </c>
      <c r="AA58" s="71">
        <f t="shared" si="22"/>
        <v>547</v>
      </c>
      <c r="AB58" s="71">
        <f t="shared" si="22"/>
        <v>555.80000000000007</v>
      </c>
      <c r="AC58" s="71">
        <f t="shared" si="22"/>
        <v>551.70000000000005</v>
      </c>
      <c r="AD58" s="71">
        <f t="shared" si="22"/>
        <v>560.90000000000009</v>
      </c>
      <c r="AE58" s="71">
        <f>SUM(AE11:AE56)</f>
        <v>586.60000000000014</v>
      </c>
      <c r="AF58" s="71">
        <f>SUM(AF11:AF56)</f>
        <v>590.1</v>
      </c>
      <c r="AG58" s="72">
        <f>SUM(AG14:AG56)</f>
        <v>1042.4000000000001</v>
      </c>
      <c r="AH58" s="48">
        <f t="shared" si="8"/>
        <v>590.1</v>
      </c>
      <c r="AI58" s="49">
        <f t="shared" si="9"/>
        <v>487.73</v>
      </c>
      <c r="AK58" s="51"/>
    </row>
    <row r="59" spans="1:88" x14ac:dyDescent="0.25">
      <c r="A59" s="73" t="s">
        <v>76</v>
      </c>
      <c r="B59" s="46">
        <v>193</v>
      </c>
      <c r="C59" s="46">
        <v>172</v>
      </c>
      <c r="D59" s="46">
        <v>80.599999999999994</v>
      </c>
      <c r="E59" s="46">
        <v>110.8</v>
      </c>
      <c r="F59" s="46">
        <v>152.80000000000001</v>
      </c>
      <c r="G59" s="46">
        <v>129.80000000000001</v>
      </c>
      <c r="H59" s="46">
        <v>170</v>
      </c>
      <c r="I59" s="46">
        <v>230</v>
      </c>
      <c r="J59" s="46">
        <v>0</v>
      </c>
      <c r="K59" s="46">
        <v>0</v>
      </c>
      <c r="L59" s="46">
        <v>152.5</v>
      </c>
      <c r="M59" s="46">
        <v>0</v>
      </c>
      <c r="N59" s="74">
        <v>0</v>
      </c>
      <c r="O59" s="74">
        <v>0</v>
      </c>
      <c r="P59" s="74">
        <v>0</v>
      </c>
      <c r="Q59" s="74">
        <v>0</v>
      </c>
      <c r="R59" s="74">
        <v>14.9</v>
      </c>
      <c r="S59" s="74">
        <v>0</v>
      </c>
      <c r="T59" s="74">
        <v>0</v>
      </c>
      <c r="U59" s="74">
        <v>100</v>
      </c>
      <c r="V59" s="74">
        <v>50</v>
      </c>
      <c r="W59" s="46">
        <v>193</v>
      </c>
      <c r="X59" s="46">
        <v>173.2</v>
      </c>
      <c r="Y59" s="46">
        <v>209</v>
      </c>
      <c r="Z59" s="46">
        <v>209</v>
      </c>
      <c r="AA59" s="46">
        <v>373</v>
      </c>
      <c r="AB59" s="46">
        <v>355.8</v>
      </c>
      <c r="AC59" s="46">
        <v>340</v>
      </c>
      <c r="AD59" s="46">
        <v>313.5</v>
      </c>
      <c r="AE59" s="46">
        <v>300</v>
      </c>
      <c r="AF59" s="46">
        <v>200</v>
      </c>
      <c r="AG59" s="61">
        <v>456</v>
      </c>
      <c r="AH59" s="48">
        <f t="shared" si="8"/>
        <v>373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19.399999999999999</v>
      </c>
      <c r="C60" s="76">
        <v>19.399999999999999</v>
      </c>
      <c r="D60" s="76">
        <v>19.399999999999999</v>
      </c>
      <c r="E60" s="76">
        <v>21.3</v>
      </c>
      <c r="F60" s="76">
        <v>31.8</v>
      </c>
      <c r="G60" s="76">
        <v>27.9</v>
      </c>
      <c r="H60" s="76">
        <v>24.2</v>
      </c>
      <c r="I60" s="76">
        <v>26.9</v>
      </c>
      <c r="J60" s="76">
        <v>30.6</v>
      </c>
      <c r="K60" s="76">
        <v>31.9</v>
      </c>
      <c r="L60" s="76">
        <v>28.9</v>
      </c>
      <c r="M60" s="76">
        <v>31.5</v>
      </c>
      <c r="N60" s="76">
        <v>36.4</v>
      </c>
      <c r="O60" s="76">
        <v>44.7</v>
      </c>
      <c r="P60" s="76">
        <v>40.700000000000003</v>
      </c>
      <c r="Q60" s="76">
        <v>40.700000000000003</v>
      </c>
      <c r="R60" s="76">
        <v>34.299999999999997</v>
      </c>
      <c r="S60" s="76">
        <v>32.4</v>
      </c>
      <c r="T60" s="76">
        <v>30.3</v>
      </c>
      <c r="U60" s="76">
        <v>30.3</v>
      </c>
      <c r="V60" s="76">
        <v>30.3</v>
      </c>
      <c r="W60" s="76">
        <v>28.5</v>
      </c>
      <c r="X60" s="76">
        <v>27.9</v>
      </c>
      <c r="Y60" s="76">
        <v>27.9</v>
      </c>
      <c r="Z60" s="76">
        <v>27.9</v>
      </c>
      <c r="AA60" s="76">
        <v>27.9</v>
      </c>
      <c r="AB60" s="76">
        <v>25.2</v>
      </c>
      <c r="AC60" s="76">
        <v>28</v>
      </c>
      <c r="AD60" s="76">
        <v>28</v>
      </c>
      <c r="AE60" s="76">
        <v>49.5</v>
      </c>
      <c r="AF60" s="76">
        <v>51.1</v>
      </c>
      <c r="AG60" s="66">
        <v>60</v>
      </c>
      <c r="AH60" s="48">
        <f t="shared" si="8"/>
        <v>51.1</v>
      </c>
      <c r="AI60" s="49">
        <f t="shared" si="9"/>
        <v>19.399999999999999</v>
      </c>
      <c r="AK60" s="51"/>
    </row>
    <row r="61" spans="1:88" ht="15.75" thickBot="1" x14ac:dyDescent="0.3">
      <c r="A61" s="77" t="s">
        <v>78</v>
      </c>
      <c r="B61" s="78">
        <v>21.8</v>
      </c>
      <c r="C61" s="78">
        <v>21.8</v>
      </c>
      <c r="D61" s="78">
        <v>21.8</v>
      </c>
      <c r="E61" s="78">
        <v>21.5</v>
      </c>
      <c r="F61" s="78">
        <v>18.5</v>
      </c>
      <c r="G61" s="78">
        <v>18.600000000000001</v>
      </c>
      <c r="H61" s="78">
        <v>18.600000000000001</v>
      </c>
      <c r="I61" s="78">
        <v>18.5</v>
      </c>
      <c r="J61" s="78">
        <v>18.600000000000001</v>
      </c>
      <c r="K61" s="78">
        <v>18.600000000000001</v>
      </c>
      <c r="L61" s="78">
        <v>21</v>
      </c>
      <c r="M61" s="78">
        <v>22</v>
      </c>
      <c r="N61" s="78">
        <v>22</v>
      </c>
      <c r="O61" s="78">
        <v>22</v>
      </c>
      <c r="P61" s="78">
        <v>22</v>
      </c>
      <c r="Q61" s="78">
        <v>22</v>
      </c>
      <c r="R61" s="78">
        <v>22</v>
      </c>
      <c r="S61" s="78">
        <v>22</v>
      </c>
      <c r="T61" s="78">
        <v>22</v>
      </c>
      <c r="U61" s="78">
        <v>22</v>
      </c>
      <c r="V61" s="78">
        <v>22</v>
      </c>
      <c r="W61" s="78">
        <v>11.4</v>
      </c>
      <c r="X61" s="78">
        <v>11.4</v>
      </c>
      <c r="Y61" s="78">
        <v>11.4</v>
      </c>
      <c r="Z61" s="78">
        <v>11.4</v>
      </c>
      <c r="AA61" s="78">
        <v>11.4</v>
      </c>
      <c r="AB61" s="78">
        <v>11.4</v>
      </c>
      <c r="AC61" s="78">
        <v>11.4</v>
      </c>
      <c r="AD61" s="78">
        <v>11.4</v>
      </c>
      <c r="AE61" s="78">
        <v>11.4</v>
      </c>
      <c r="AF61" s="78">
        <v>11.4</v>
      </c>
      <c r="AG61" s="79">
        <v>22.1</v>
      </c>
      <c r="AH61" s="48">
        <f t="shared" si="8"/>
        <v>22</v>
      </c>
      <c r="AI61" s="49">
        <f t="shared" si="9"/>
        <v>11.4</v>
      </c>
      <c r="AK61" s="51"/>
    </row>
    <row r="62" spans="1:88" ht="15.75" thickBot="1" x14ac:dyDescent="0.3">
      <c r="A62" s="80" t="s">
        <v>79</v>
      </c>
      <c r="B62" s="71">
        <f>SUM(B59:B61)</f>
        <v>234.20000000000002</v>
      </c>
      <c r="C62" s="71">
        <f>SUM(C59:C61)</f>
        <v>213.20000000000002</v>
      </c>
      <c r="D62" s="71">
        <f>SUM(D59:D61)</f>
        <v>121.8</v>
      </c>
      <c r="E62" s="71">
        <f t="shared" ref="E62:AG62" si="23">SUM(E59:E61)</f>
        <v>153.6</v>
      </c>
      <c r="F62" s="71">
        <f t="shared" si="23"/>
        <v>203.10000000000002</v>
      </c>
      <c r="G62" s="71">
        <f t="shared" si="23"/>
        <v>176.3</v>
      </c>
      <c r="H62" s="71">
        <f t="shared" si="23"/>
        <v>212.79999999999998</v>
      </c>
      <c r="I62" s="71">
        <f t="shared" si="23"/>
        <v>275.39999999999998</v>
      </c>
      <c r="J62" s="71">
        <f t="shared" si="23"/>
        <v>49.2</v>
      </c>
      <c r="K62" s="71">
        <f t="shared" si="23"/>
        <v>50.5</v>
      </c>
      <c r="L62" s="71">
        <f t="shared" si="23"/>
        <v>202.4</v>
      </c>
      <c r="M62" s="71">
        <f t="shared" si="23"/>
        <v>53.5</v>
      </c>
      <c r="N62" s="71">
        <f t="shared" si="23"/>
        <v>58.4</v>
      </c>
      <c r="O62" s="71">
        <f t="shared" si="23"/>
        <v>66.7</v>
      </c>
      <c r="P62" s="71">
        <f t="shared" si="23"/>
        <v>62.7</v>
      </c>
      <c r="Q62" s="71">
        <f>SUM(Q59:Q61)</f>
        <v>62.7</v>
      </c>
      <c r="R62" s="71">
        <f t="shared" si="23"/>
        <v>71.199999999999989</v>
      </c>
      <c r="S62" s="71">
        <f t="shared" si="23"/>
        <v>54.4</v>
      </c>
      <c r="T62" s="71">
        <f>SUM(T59:T61)</f>
        <v>52.3</v>
      </c>
      <c r="U62" s="71">
        <f t="shared" si="23"/>
        <v>152.30000000000001</v>
      </c>
      <c r="V62" s="71">
        <f t="shared" si="23"/>
        <v>102.3</v>
      </c>
      <c r="W62" s="71">
        <f t="shared" si="23"/>
        <v>232.9</v>
      </c>
      <c r="X62" s="71">
        <f t="shared" si="23"/>
        <v>212.5</v>
      </c>
      <c r="Y62" s="71">
        <f t="shared" si="23"/>
        <v>248.3</v>
      </c>
      <c r="Z62" s="71">
        <f t="shared" si="23"/>
        <v>248.3</v>
      </c>
      <c r="AA62" s="71">
        <f t="shared" si="23"/>
        <v>412.29999999999995</v>
      </c>
      <c r="AB62" s="71">
        <f t="shared" si="23"/>
        <v>392.4</v>
      </c>
      <c r="AC62" s="71">
        <f t="shared" si="23"/>
        <v>379.4</v>
      </c>
      <c r="AD62" s="71">
        <f t="shared" si="23"/>
        <v>352.9</v>
      </c>
      <c r="AE62" s="71">
        <f>SUM(AE59:AE61)</f>
        <v>360.9</v>
      </c>
      <c r="AF62" s="71">
        <f>SUM(AF59:AF61)</f>
        <v>262.5</v>
      </c>
      <c r="AG62" s="72">
        <f t="shared" si="23"/>
        <v>538.1</v>
      </c>
      <c r="AH62" s="48">
        <f t="shared" si="8"/>
        <v>412.29999999999995</v>
      </c>
      <c r="AI62" s="49">
        <f t="shared" si="9"/>
        <v>49.2</v>
      </c>
      <c r="AK62" s="51"/>
    </row>
    <row r="63" spans="1:88" x14ac:dyDescent="0.25">
      <c r="A63" s="45" t="s">
        <v>80</v>
      </c>
      <c r="B63" s="46">
        <v>143.9</v>
      </c>
      <c r="C63" s="46">
        <v>143.9</v>
      </c>
      <c r="D63" s="46">
        <v>143.9</v>
      </c>
      <c r="E63" s="46">
        <v>80.8</v>
      </c>
      <c r="F63" s="46">
        <v>71.3</v>
      </c>
      <c r="G63" s="46">
        <v>60.7</v>
      </c>
      <c r="H63" s="46">
        <v>60.8</v>
      </c>
      <c r="I63" s="46">
        <v>85.3</v>
      </c>
      <c r="J63" s="46">
        <v>61.1</v>
      </c>
      <c r="K63" s="46">
        <v>60.6</v>
      </c>
      <c r="L63" s="46">
        <v>91.8</v>
      </c>
      <c r="M63" s="46">
        <v>70.400000000000006</v>
      </c>
      <c r="N63" s="46">
        <v>60</v>
      </c>
      <c r="O63" s="46">
        <v>61.3</v>
      </c>
      <c r="P63" s="46">
        <v>90.9</v>
      </c>
      <c r="Q63" s="46">
        <v>90.9</v>
      </c>
      <c r="R63" s="46">
        <v>96.5</v>
      </c>
      <c r="S63" s="46">
        <v>97</v>
      </c>
      <c r="T63" s="46">
        <v>97</v>
      </c>
      <c r="U63" s="46">
        <v>97</v>
      </c>
      <c r="V63" s="46">
        <v>97</v>
      </c>
      <c r="W63" s="46">
        <v>61.7</v>
      </c>
      <c r="X63" s="46">
        <v>62.1</v>
      </c>
      <c r="Y63" s="46">
        <v>70</v>
      </c>
      <c r="Z63" s="46">
        <v>93</v>
      </c>
      <c r="AA63" s="46">
        <v>92</v>
      </c>
      <c r="AB63" s="46">
        <v>92.1</v>
      </c>
      <c r="AC63" s="46">
        <v>92.7</v>
      </c>
      <c r="AD63" s="46">
        <v>91.7</v>
      </c>
      <c r="AE63" s="46">
        <v>92.5</v>
      </c>
      <c r="AF63" s="46">
        <v>92.9</v>
      </c>
      <c r="AG63" s="61">
        <v>144</v>
      </c>
      <c r="AH63" s="48">
        <f t="shared" si="8"/>
        <v>143.9</v>
      </c>
      <c r="AI63" s="49">
        <f t="shared" si="9"/>
        <v>60</v>
      </c>
      <c r="AK63" s="51"/>
    </row>
    <row r="64" spans="1:88" x14ac:dyDescent="0.25">
      <c r="A64" s="65" t="s">
        <v>81</v>
      </c>
      <c r="B64" s="76">
        <v>59.4</v>
      </c>
      <c r="C64" s="76">
        <v>59.4</v>
      </c>
      <c r="D64" s="76">
        <v>59.4</v>
      </c>
      <c r="E64" s="76">
        <v>46.1</v>
      </c>
      <c r="F64" s="76">
        <v>34.9</v>
      </c>
      <c r="G64" s="76">
        <v>35</v>
      </c>
      <c r="H64" s="76">
        <v>35</v>
      </c>
      <c r="I64" s="76">
        <v>34.5</v>
      </c>
      <c r="J64" s="76">
        <v>23.7</v>
      </c>
      <c r="K64" s="76">
        <v>22.8</v>
      </c>
      <c r="L64" s="76">
        <v>35.1</v>
      </c>
      <c r="M64" s="76">
        <v>47.6</v>
      </c>
      <c r="N64" s="76">
        <v>69.5</v>
      </c>
      <c r="O64" s="76">
        <v>69.900000000000006</v>
      </c>
      <c r="P64" s="76">
        <v>69.900000000000006</v>
      </c>
      <c r="Q64" s="76">
        <v>69.900000000000006</v>
      </c>
      <c r="R64" s="76">
        <v>59.6</v>
      </c>
      <c r="S64" s="76">
        <v>59.8</v>
      </c>
      <c r="T64" s="76">
        <v>59</v>
      </c>
      <c r="U64" s="76">
        <v>45</v>
      </c>
      <c r="V64" s="76">
        <v>45</v>
      </c>
      <c r="W64" s="76">
        <v>45</v>
      </c>
      <c r="X64" s="46">
        <v>45.7</v>
      </c>
      <c r="Y64" s="46">
        <v>45</v>
      </c>
      <c r="Z64" s="46">
        <v>46</v>
      </c>
      <c r="AA64" s="46">
        <v>46.4</v>
      </c>
      <c r="AB64" s="46">
        <v>45.6</v>
      </c>
      <c r="AC64" s="46">
        <v>45.3</v>
      </c>
      <c r="AD64" s="46">
        <v>46.5</v>
      </c>
      <c r="AE64" s="46">
        <v>45.5</v>
      </c>
      <c r="AF64" s="46">
        <v>46.1</v>
      </c>
      <c r="AG64" s="66">
        <v>70</v>
      </c>
      <c r="AH64" s="48">
        <f t="shared" si="8"/>
        <v>69.900000000000006</v>
      </c>
      <c r="AI64" s="49">
        <f t="shared" si="9"/>
        <v>22.8</v>
      </c>
      <c r="AK64" s="51"/>
    </row>
    <row r="65" spans="1:75" x14ac:dyDescent="0.25">
      <c r="A65" s="65" t="s">
        <v>82</v>
      </c>
      <c r="B65" s="76">
        <v>63.6</v>
      </c>
      <c r="C65" s="76">
        <v>63.6</v>
      </c>
      <c r="D65" s="76">
        <v>69</v>
      </c>
      <c r="E65" s="76">
        <v>68.599999999999994</v>
      </c>
      <c r="F65" s="76">
        <v>60.1</v>
      </c>
      <c r="G65" s="76">
        <v>50.7</v>
      </c>
      <c r="H65" s="76">
        <v>50.8</v>
      </c>
      <c r="I65" s="76">
        <v>51.1</v>
      </c>
      <c r="J65" s="76">
        <v>32.799999999999997</v>
      </c>
      <c r="K65" s="76">
        <v>45.4</v>
      </c>
      <c r="L65" s="76">
        <v>46.1</v>
      </c>
      <c r="M65" s="76">
        <v>45.7</v>
      </c>
      <c r="N65" s="76">
        <v>46.6</v>
      </c>
      <c r="O65" s="76">
        <v>46.4</v>
      </c>
      <c r="P65" s="76">
        <v>56.3</v>
      </c>
      <c r="Q65" s="76">
        <v>56.3</v>
      </c>
      <c r="R65" s="76">
        <v>56.2</v>
      </c>
      <c r="S65" s="76">
        <v>56.8</v>
      </c>
      <c r="T65" s="76">
        <v>56.8</v>
      </c>
      <c r="U65" s="76">
        <v>53</v>
      </c>
      <c r="V65" s="76">
        <v>53</v>
      </c>
      <c r="W65" s="76">
        <v>53.9</v>
      </c>
      <c r="X65" s="46">
        <v>43.7</v>
      </c>
      <c r="Y65" s="46">
        <v>67</v>
      </c>
      <c r="Z65" s="46">
        <v>67</v>
      </c>
      <c r="AA65" s="46">
        <v>67</v>
      </c>
      <c r="AB65" s="46">
        <v>67</v>
      </c>
      <c r="AC65" s="46">
        <v>66.900000000000006</v>
      </c>
      <c r="AD65" s="46">
        <v>66.8</v>
      </c>
      <c r="AE65" s="46">
        <v>66.400000000000006</v>
      </c>
      <c r="AF65" s="46">
        <v>66.2</v>
      </c>
      <c r="AG65" s="66">
        <v>69</v>
      </c>
      <c r="AH65" s="48">
        <f t="shared" si="8"/>
        <v>69</v>
      </c>
      <c r="AI65" s="49">
        <f t="shared" si="9"/>
        <v>32.799999999999997</v>
      </c>
      <c r="AK65" s="51"/>
    </row>
    <row r="66" spans="1:75" x14ac:dyDescent="0.25">
      <c r="A66" s="65" t="s">
        <v>83</v>
      </c>
      <c r="B66" s="76">
        <v>62</v>
      </c>
      <c r="C66" s="76">
        <v>62</v>
      </c>
      <c r="D66" s="76">
        <v>62</v>
      </c>
      <c r="E66" s="76">
        <v>62</v>
      </c>
      <c r="F66" s="76">
        <v>62</v>
      </c>
      <c r="G66" s="76">
        <v>62</v>
      </c>
      <c r="H66" s="76">
        <v>62</v>
      </c>
      <c r="I66" s="76">
        <v>62</v>
      </c>
      <c r="J66" s="76">
        <v>62</v>
      </c>
      <c r="K66" s="76">
        <v>62</v>
      </c>
      <c r="L66" s="68">
        <v>62</v>
      </c>
      <c r="M66" s="76">
        <v>60.5</v>
      </c>
      <c r="N66" s="76">
        <v>60.5</v>
      </c>
      <c r="O66" s="76">
        <v>60.5</v>
      </c>
      <c r="P66" s="76">
        <v>60</v>
      </c>
      <c r="Q66" s="76">
        <v>60</v>
      </c>
      <c r="R66" s="76">
        <v>60.2</v>
      </c>
      <c r="S66" s="76">
        <v>60.4</v>
      </c>
      <c r="T66" s="76">
        <v>60.4</v>
      </c>
      <c r="U66" s="76">
        <v>60.4</v>
      </c>
      <c r="V66" s="76">
        <v>60.4</v>
      </c>
      <c r="W66" s="76">
        <v>60.5</v>
      </c>
      <c r="X66" s="76">
        <v>60.5</v>
      </c>
      <c r="Y66" s="76">
        <v>60.5</v>
      </c>
      <c r="Z66" s="76">
        <v>60.5</v>
      </c>
      <c r="AA66" s="76">
        <v>60.5</v>
      </c>
      <c r="AB66" s="46">
        <v>60.4</v>
      </c>
      <c r="AC66" s="46">
        <v>60</v>
      </c>
      <c r="AD66" s="46">
        <v>60</v>
      </c>
      <c r="AE66" s="46">
        <v>59.7</v>
      </c>
      <c r="AF66" s="46">
        <v>60</v>
      </c>
      <c r="AG66" s="66">
        <v>60</v>
      </c>
      <c r="AH66" s="48">
        <f t="shared" si="8"/>
        <v>62</v>
      </c>
      <c r="AI66" s="49">
        <f t="shared" si="9"/>
        <v>59.7</v>
      </c>
      <c r="AK66" s="51"/>
    </row>
    <row r="67" spans="1:75" x14ac:dyDescent="0.25">
      <c r="A67" s="65" t="s">
        <v>84</v>
      </c>
      <c r="B67" s="46">
        <v>14.7</v>
      </c>
      <c r="C67" s="46">
        <v>14.7</v>
      </c>
      <c r="D67" s="46">
        <v>14.7</v>
      </c>
      <c r="E67" s="76">
        <v>9.8000000000000007</v>
      </c>
      <c r="F67" s="76">
        <v>10</v>
      </c>
      <c r="G67" s="76">
        <v>14.5</v>
      </c>
      <c r="H67" s="76">
        <v>9.8000000000000007</v>
      </c>
      <c r="I67" s="76">
        <v>9.6999999999999993</v>
      </c>
      <c r="J67" s="76">
        <v>10.3</v>
      </c>
      <c r="K67" s="76">
        <v>10.3</v>
      </c>
      <c r="L67" s="68">
        <v>14.8</v>
      </c>
      <c r="M67" s="76">
        <v>10.199999999999999</v>
      </c>
      <c r="N67" s="76">
        <v>10.199999999999999</v>
      </c>
      <c r="O67" s="76">
        <v>10.199999999999999</v>
      </c>
      <c r="P67" s="76">
        <v>14.9</v>
      </c>
      <c r="Q67" s="76">
        <v>14.9</v>
      </c>
      <c r="R67" s="76">
        <v>14.9</v>
      </c>
      <c r="S67" s="76">
        <v>14.6</v>
      </c>
      <c r="T67" s="76">
        <v>14.6</v>
      </c>
      <c r="U67" s="76">
        <v>14.6</v>
      </c>
      <c r="V67" s="76">
        <v>14.6</v>
      </c>
      <c r="W67" s="76">
        <v>14.2</v>
      </c>
      <c r="X67" s="76">
        <v>14.2</v>
      </c>
      <c r="Y67" s="76">
        <v>0</v>
      </c>
      <c r="Z67" s="76">
        <v>0</v>
      </c>
      <c r="AA67" s="76">
        <v>0</v>
      </c>
      <c r="AB67" s="46">
        <v>9.8000000000000007</v>
      </c>
      <c r="AC67" s="46">
        <v>9.6</v>
      </c>
      <c r="AD67" s="46">
        <v>10</v>
      </c>
      <c r="AE67" s="46">
        <v>10.1</v>
      </c>
      <c r="AF67" s="46">
        <v>10.1</v>
      </c>
      <c r="AG67" s="66">
        <v>30</v>
      </c>
      <c r="AH67" s="48">
        <f t="shared" si="8"/>
        <v>14.9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1.2</v>
      </c>
      <c r="J68" s="46">
        <v>1.8</v>
      </c>
      <c r="K68" s="46">
        <v>1.8</v>
      </c>
      <c r="L68" s="76">
        <v>3.2</v>
      </c>
      <c r="M68" s="76">
        <v>6.9</v>
      </c>
      <c r="N68" s="76">
        <v>9.8000000000000007</v>
      </c>
      <c r="O68" s="76">
        <v>8.3000000000000007</v>
      </c>
      <c r="P68" s="76">
        <v>10.5</v>
      </c>
      <c r="Q68" s="76">
        <v>10.5</v>
      </c>
      <c r="R68" s="76">
        <v>13.5</v>
      </c>
      <c r="S68" s="76">
        <v>12.3</v>
      </c>
      <c r="T68" s="76">
        <v>12.3</v>
      </c>
      <c r="U68" s="76">
        <v>8.3000000000000007</v>
      </c>
      <c r="V68" s="76">
        <v>5.2</v>
      </c>
      <c r="W68" s="76">
        <v>0.7</v>
      </c>
      <c r="X68" s="76">
        <v>0.5</v>
      </c>
      <c r="Y68" s="76">
        <v>0.5</v>
      </c>
      <c r="Z68" s="76">
        <v>0.5</v>
      </c>
      <c r="AA68" s="7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13.5</v>
      </c>
      <c r="AI68" s="49">
        <f t="shared" si="9"/>
        <v>0</v>
      </c>
      <c r="AK68" s="51"/>
      <c r="AY68" s="1" t="s">
        <v>86</v>
      </c>
      <c r="AZ68" s="82">
        <f>ROUND(C81,0)</f>
        <v>14</v>
      </c>
      <c r="BA68" s="81">
        <f t="shared" ref="BA68:BD72" si="24">D81</f>
        <v>9.5</v>
      </c>
      <c r="BB68" s="81">
        <f t="shared" si="24"/>
        <v>13.7</v>
      </c>
      <c r="BC68" s="81">
        <f t="shared" si="24"/>
        <v>11.5</v>
      </c>
      <c r="BD68" s="81">
        <f t="shared" si="24"/>
        <v>20.6</v>
      </c>
      <c r="BE68" s="82">
        <f>I81</f>
        <v>6.7</v>
      </c>
      <c r="BF68" s="82">
        <f>K81</f>
        <v>56.1</v>
      </c>
      <c r="BG68" s="82">
        <f t="shared" ref="BG68:BP72" si="25">M81</f>
        <v>58.2</v>
      </c>
      <c r="BH68" s="82">
        <f t="shared" si="25"/>
        <v>63.7</v>
      </c>
      <c r="BI68" s="82">
        <f t="shared" si="25"/>
        <v>66.8</v>
      </c>
      <c r="BJ68" s="82">
        <f t="shared" si="25"/>
        <v>69.2</v>
      </c>
      <c r="BK68" s="82">
        <f t="shared" si="25"/>
        <v>71</v>
      </c>
      <c r="BL68" s="82">
        <f t="shared" si="25"/>
        <v>74.599999999999994</v>
      </c>
      <c r="BM68" s="82">
        <f t="shared" si="25"/>
        <v>69.900000000000006</v>
      </c>
      <c r="BN68" s="82">
        <f t="shared" si="25"/>
        <v>72</v>
      </c>
      <c r="BO68" s="82">
        <f t="shared" si="25"/>
        <v>65.400000000000006</v>
      </c>
      <c r="BP68" s="82">
        <f t="shared" si="25"/>
        <v>62</v>
      </c>
      <c r="BQ68" s="82">
        <f>X81</f>
        <v>69.3</v>
      </c>
      <c r="BR68" s="82">
        <f>Z81</f>
        <v>41.5</v>
      </c>
      <c r="BS68" s="81">
        <f>AB81</f>
        <v>43.3</v>
      </c>
      <c r="BT68" s="81">
        <f t="shared" ref="BT68:BV72" si="26">AD81</f>
        <v>40.4</v>
      </c>
      <c r="BU68" s="81">
        <f t="shared" si="26"/>
        <v>35.4</v>
      </c>
      <c r="BV68" s="81">
        <f t="shared" si="26"/>
        <v>31.2</v>
      </c>
      <c r="BW68" s="81">
        <f>B81</f>
        <v>9.6999999999999993</v>
      </c>
    </row>
    <row r="69" spans="1:75" x14ac:dyDescent="0.25">
      <c r="A69" s="65" t="s">
        <v>87</v>
      </c>
      <c r="B69" s="76">
        <v>13.5</v>
      </c>
      <c r="C69" s="76">
        <v>13.5</v>
      </c>
      <c r="D69" s="76">
        <v>13.5</v>
      </c>
      <c r="E69" s="76">
        <v>13.1</v>
      </c>
      <c r="F69" s="76">
        <v>13.1</v>
      </c>
      <c r="G69" s="76">
        <v>13.1</v>
      </c>
      <c r="H69" s="76">
        <v>13</v>
      </c>
      <c r="I69" s="76">
        <v>13</v>
      </c>
      <c r="J69" s="76">
        <v>13</v>
      </c>
      <c r="K69" s="76">
        <v>13</v>
      </c>
      <c r="L69" s="76">
        <v>13</v>
      </c>
      <c r="M69" s="76">
        <v>12.5</v>
      </c>
      <c r="N69" s="76">
        <v>12.5</v>
      </c>
      <c r="O69" s="76">
        <v>12.5</v>
      </c>
      <c r="P69" s="76">
        <v>12.2</v>
      </c>
      <c r="Q69" s="76">
        <v>12.2</v>
      </c>
      <c r="R69" s="76">
        <v>12</v>
      </c>
      <c r="S69" s="76">
        <v>12.6</v>
      </c>
      <c r="T69" s="76">
        <v>12.6</v>
      </c>
      <c r="U69" s="76">
        <v>12.6</v>
      </c>
      <c r="V69" s="76">
        <v>12.6</v>
      </c>
      <c r="W69" s="76">
        <v>12.6</v>
      </c>
      <c r="X69" s="76">
        <v>12.6</v>
      </c>
      <c r="Y69" s="76">
        <v>12.6</v>
      </c>
      <c r="Z69" s="76">
        <v>12.6</v>
      </c>
      <c r="AA69" s="76">
        <v>12.6</v>
      </c>
      <c r="AB69" s="76">
        <v>12.6</v>
      </c>
      <c r="AC69" s="76">
        <v>12.6</v>
      </c>
      <c r="AD69" s="76">
        <v>12.6</v>
      </c>
      <c r="AE69" s="76">
        <v>13.1</v>
      </c>
      <c r="AF69" s="76">
        <v>13.1</v>
      </c>
      <c r="AG69" s="66">
        <v>24</v>
      </c>
      <c r="AH69" s="48">
        <f t="shared" si="8"/>
        <v>13.5</v>
      </c>
      <c r="AI69" s="49">
        <f t="shared" si="9"/>
        <v>12</v>
      </c>
      <c r="AK69" s="51"/>
      <c r="AY69" s="1" t="s">
        <v>88</v>
      </c>
      <c r="AZ69" s="82">
        <f>ROUND(C82,0)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I82</f>
        <v>0</v>
      </c>
      <c r="BF69" s="82">
        <f>K82</f>
        <v>0</v>
      </c>
      <c r="BG69" s="82">
        <f t="shared" si="25"/>
        <v>61.6</v>
      </c>
      <c r="BH69" s="82">
        <f t="shared" si="25"/>
        <v>0</v>
      </c>
      <c r="BI69" s="82">
        <f t="shared" si="25"/>
        <v>0</v>
      </c>
      <c r="BJ69" s="82">
        <f t="shared" si="25"/>
        <v>60.8</v>
      </c>
      <c r="BK69" s="82">
        <f t="shared" si="25"/>
        <v>94</v>
      </c>
      <c r="BL69" s="82">
        <f t="shared" si="25"/>
        <v>94.3</v>
      </c>
      <c r="BM69" s="82">
        <f t="shared" si="25"/>
        <v>110.5</v>
      </c>
      <c r="BN69" s="82">
        <f t="shared" si="25"/>
        <v>111.6</v>
      </c>
      <c r="BO69" s="82">
        <f t="shared" si="25"/>
        <v>66.900000000000006</v>
      </c>
      <c r="BP69" s="82">
        <f t="shared" si="25"/>
        <v>67</v>
      </c>
      <c r="BQ69" s="82">
        <f>X82</f>
        <v>60.1</v>
      </c>
      <c r="BR69" s="82">
        <f>Z82</f>
        <v>0</v>
      </c>
      <c r="BS69" s="81">
        <f>AB82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24"/>
        <v>0</v>
      </c>
      <c r="BB70" s="81">
        <f t="shared" si="24"/>
        <v>7</v>
      </c>
      <c r="BC70" s="81">
        <f t="shared" si="24"/>
        <v>60.5</v>
      </c>
      <c r="BD70" s="81">
        <f t="shared" si="24"/>
        <v>0</v>
      </c>
      <c r="BE70" s="82">
        <f>I83</f>
        <v>15.7</v>
      </c>
      <c r="BF70" s="82">
        <f>K83</f>
        <v>294</v>
      </c>
      <c r="BG70" s="82">
        <f t="shared" si="25"/>
        <v>248.7</v>
      </c>
      <c r="BH70" s="82">
        <f t="shared" si="25"/>
        <v>316.60000000000002</v>
      </c>
      <c r="BI70" s="82">
        <f t="shared" si="25"/>
        <v>363.3</v>
      </c>
      <c r="BJ70" s="82">
        <f t="shared" si="25"/>
        <v>337.9</v>
      </c>
      <c r="BK70" s="82">
        <f t="shared" si="25"/>
        <v>310</v>
      </c>
      <c r="BL70" s="82">
        <f t="shared" si="25"/>
        <v>332.8</v>
      </c>
      <c r="BM70" s="82">
        <f t="shared" si="25"/>
        <v>373</v>
      </c>
      <c r="BN70" s="82">
        <f t="shared" si="25"/>
        <v>378</v>
      </c>
      <c r="BO70" s="82">
        <f t="shared" si="25"/>
        <v>317</v>
      </c>
      <c r="BP70" s="82">
        <f t="shared" si="25"/>
        <v>250</v>
      </c>
      <c r="BQ70" s="82">
        <f>X83</f>
        <v>220</v>
      </c>
      <c r="BR70" s="82">
        <f>Z83</f>
        <v>111</v>
      </c>
      <c r="BS70" s="81">
        <f>AB83</f>
        <v>97.2</v>
      </c>
      <c r="BT70" s="81">
        <f t="shared" si="26"/>
        <v>86.4</v>
      </c>
      <c r="BU70" s="81">
        <f t="shared" si="26"/>
        <v>0</v>
      </c>
      <c r="BV70" s="81">
        <f t="shared" si="26"/>
        <v>50</v>
      </c>
      <c r="BW70" s="81">
        <f>B83</f>
        <v>0</v>
      </c>
    </row>
    <row r="71" spans="1:75" s="83" customFormat="1" x14ac:dyDescent="0.25">
      <c r="A71" s="65" t="s">
        <v>91</v>
      </c>
      <c r="B71" s="76">
        <v>10.9</v>
      </c>
      <c r="C71" s="76">
        <v>10.9</v>
      </c>
      <c r="D71" s="76">
        <v>10.9</v>
      </c>
      <c r="E71" s="76">
        <v>9.8000000000000007</v>
      </c>
      <c r="F71" s="76">
        <v>9.8000000000000007</v>
      </c>
      <c r="G71" s="76">
        <v>9.8000000000000007</v>
      </c>
      <c r="H71" s="76">
        <v>9.8000000000000007</v>
      </c>
      <c r="I71" s="76">
        <v>9.8000000000000007</v>
      </c>
      <c r="J71" s="76">
        <v>9.8000000000000007</v>
      </c>
      <c r="K71" s="76">
        <v>9.8000000000000007</v>
      </c>
      <c r="L71" s="76">
        <v>9.8000000000000007</v>
      </c>
      <c r="M71" s="76">
        <v>9.9</v>
      </c>
      <c r="N71" s="76">
        <v>9.9</v>
      </c>
      <c r="O71" s="76">
        <v>9.9</v>
      </c>
      <c r="P71" s="76">
        <v>10.1</v>
      </c>
      <c r="Q71" s="76">
        <v>10.1</v>
      </c>
      <c r="R71" s="76">
        <v>10.3</v>
      </c>
      <c r="S71" s="76">
        <v>9.9</v>
      </c>
      <c r="T71" s="76">
        <v>9.9</v>
      </c>
      <c r="U71" s="76">
        <v>9.9</v>
      </c>
      <c r="V71" s="76">
        <v>9.9</v>
      </c>
      <c r="W71" s="76">
        <v>9.9</v>
      </c>
      <c r="X71" s="76">
        <v>9.9</v>
      </c>
      <c r="Y71" s="76">
        <v>9.9</v>
      </c>
      <c r="Z71" s="76">
        <v>9.9</v>
      </c>
      <c r="AA71" s="76">
        <v>9.9</v>
      </c>
      <c r="AB71" s="76">
        <v>9.9</v>
      </c>
      <c r="AC71" s="76">
        <v>9.9</v>
      </c>
      <c r="AD71" s="76">
        <v>9.9</v>
      </c>
      <c r="AE71" s="76">
        <v>10.3</v>
      </c>
      <c r="AF71" s="76">
        <v>10.3</v>
      </c>
      <c r="AG71" s="66">
        <v>14.1</v>
      </c>
      <c r="AH71" s="48">
        <f t="shared" si="8"/>
        <v>10.9</v>
      </c>
      <c r="AI71" s="49">
        <f t="shared" si="9"/>
        <v>9.8000000000000007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4"/>
        <v>0</v>
      </c>
      <c r="BB71" s="81">
        <f t="shared" si="24"/>
        <v>0</v>
      </c>
      <c r="BC71" s="81">
        <f t="shared" si="24"/>
        <v>0</v>
      </c>
      <c r="BD71" s="81">
        <f t="shared" si="24"/>
        <v>0</v>
      </c>
      <c r="BE71" s="82">
        <f>I84</f>
        <v>0</v>
      </c>
      <c r="BF71" s="82">
        <f>K84</f>
        <v>47.7</v>
      </c>
      <c r="BG71" s="82">
        <f t="shared" si="25"/>
        <v>51.9</v>
      </c>
      <c r="BH71" s="82">
        <f t="shared" si="25"/>
        <v>49.4</v>
      </c>
      <c r="BI71" s="82">
        <f t="shared" si="25"/>
        <v>51.6</v>
      </c>
      <c r="BJ71" s="82">
        <f t="shared" si="25"/>
        <v>48.1</v>
      </c>
      <c r="BK71" s="82">
        <f t="shared" si="25"/>
        <v>48</v>
      </c>
      <c r="BL71" s="82">
        <f t="shared" si="25"/>
        <v>48.8</v>
      </c>
      <c r="BM71" s="82">
        <f t="shared" si="25"/>
        <v>48.8</v>
      </c>
      <c r="BN71" s="82">
        <f t="shared" si="25"/>
        <v>48.4</v>
      </c>
      <c r="BO71" s="82">
        <f t="shared" si="25"/>
        <v>48</v>
      </c>
      <c r="BP71" s="82">
        <f t="shared" si="25"/>
        <v>50</v>
      </c>
      <c r="BQ71" s="82">
        <f>X84</f>
        <v>44.6</v>
      </c>
      <c r="BR71" s="82">
        <f>Z84</f>
        <v>12.3</v>
      </c>
      <c r="BS71" s="81">
        <f>AB84</f>
        <v>13.6</v>
      </c>
      <c r="BT71" s="81">
        <f t="shared" si="26"/>
        <v>14.5</v>
      </c>
      <c r="BU71" s="81">
        <f t="shared" si="26"/>
        <v>15.4</v>
      </c>
      <c r="BV71" s="81">
        <f t="shared" si="26"/>
        <v>15.4</v>
      </c>
      <c r="BW71" s="81">
        <f>B84</f>
        <v>0</v>
      </c>
    </row>
    <row r="72" spans="1:75" x14ac:dyDescent="0.25">
      <c r="A72" s="84" t="s">
        <v>93</v>
      </c>
      <c r="B72" s="76">
        <v>10.9</v>
      </c>
      <c r="C72" s="76">
        <v>10.9</v>
      </c>
      <c r="D72" s="76">
        <v>10.9</v>
      </c>
      <c r="E72" s="76">
        <v>12.4</v>
      </c>
      <c r="F72" s="76">
        <v>12.4</v>
      </c>
      <c r="G72" s="76">
        <v>12.4</v>
      </c>
      <c r="H72" s="76">
        <v>12.4</v>
      </c>
      <c r="I72" s="76">
        <v>12.4</v>
      </c>
      <c r="J72" s="76">
        <v>12.4</v>
      </c>
      <c r="K72" s="76">
        <v>12.4</v>
      </c>
      <c r="L72" s="76">
        <v>12.4</v>
      </c>
      <c r="M72" s="76">
        <v>8</v>
      </c>
      <c r="N72" s="76">
        <v>9.9</v>
      </c>
      <c r="O72" s="76">
        <v>9.9</v>
      </c>
      <c r="P72" s="76">
        <v>10.1</v>
      </c>
      <c r="Q72" s="76">
        <v>10.1</v>
      </c>
      <c r="R72" s="76">
        <v>7.3</v>
      </c>
      <c r="S72" s="76">
        <v>6</v>
      </c>
      <c r="T72" s="76">
        <v>6</v>
      </c>
      <c r="U72" s="76">
        <v>6</v>
      </c>
      <c r="V72" s="76">
        <v>6</v>
      </c>
      <c r="W72" s="76">
        <v>6</v>
      </c>
      <c r="X72" s="76">
        <v>6</v>
      </c>
      <c r="Y72" s="76">
        <v>6</v>
      </c>
      <c r="Z72" s="76">
        <v>6</v>
      </c>
      <c r="AA72" s="76">
        <v>6</v>
      </c>
      <c r="AB72" s="76">
        <v>6</v>
      </c>
      <c r="AC72" s="76">
        <v>6</v>
      </c>
      <c r="AD72" s="76">
        <v>6</v>
      </c>
      <c r="AE72" s="76">
        <v>11.8</v>
      </c>
      <c r="AF72" s="76">
        <v>11.8</v>
      </c>
      <c r="AG72" s="66">
        <v>14</v>
      </c>
      <c r="AH72" s="48">
        <f t="shared" si="8"/>
        <v>12.4</v>
      </c>
      <c r="AI72" s="49">
        <f t="shared" si="9"/>
        <v>6</v>
      </c>
      <c r="AK72" s="51"/>
      <c r="AY72" s="1" t="s">
        <v>94</v>
      </c>
      <c r="AZ72" s="82">
        <f>ROUND(C85,0)</f>
        <v>0</v>
      </c>
      <c r="BA72" s="81">
        <f t="shared" si="24"/>
        <v>0</v>
      </c>
      <c r="BB72" s="81">
        <f t="shared" si="24"/>
        <v>0</v>
      </c>
      <c r="BC72" s="81">
        <f t="shared" si="24"/>
        <v>0</v>
      </c>
      <c r="BD72" s="81">
        <f t="shared" si="24"/>
        <v>0</v>
      </c>
      <c r="BE72" s="82">
        <f>I85</f>
        <v>0</v>
      </c>
      <c r="BF72" s="82">
        <f>K85</f>
        <v>130.1</v>
      </c>
      <c r="BG72" s="82">
        <f t="shared" si="25"/>
        <v>123.4</v>
      </c>
      <c r="BH72" s="82">
        <f t="shared" si="25"/>
        <v>134.5</v>
      </c>
      <c r="BI72" s="82">
        <f t="shared" si="25"/>
        <v>142.30000000000001</v>
      </c>
      <c r="BJ72" s="82">
        <f t="shared" si="25"/>
        <v>140</v>
      </c>
      <c r="BK72" s="82">
        <f t="shared" si="25"/>
        <v>134</v>
      </c>
      <c r="BL72" s="82">
        <f t="shared" si="25"/>
        <v>130.69999999999999</v>
      </c>
      <c r="BM72" s="82">
        <f t="shared" si="25"/>
        <v>109.5</v>
      </c>
      <c r="BN72" s="82">
        <f t="shared" si="25"/>
        <v>150</v>
      </c>
      <c r="BO72" s="82">
        <f t="shared" si="25"/>
        <v>138</v>
      </c>
      <c r="BP72" s="82">
        <f t="shared" si="25"/>
        <v>129</v>
      </c>
      <c r="BQ72" s="82">
        <f>X85</f>
        <v>105.3</v>
      </c>
      <c r="BR72" s="82">
        <f>Z85</f>
        <v>0</v>
      </c>
      <c r="BS72" s="81">
        <f>AB85</f>
        <v>0</v>
      </c>
      <c r="BT72" s="81">
        <f t="shared" si="26"/>
        <v>0</v>
      </c>
      <c r="BU72" s="81">
        <f t="shared" si="26"/>
        <v>0</v>
      </c>
      <c r="BV72" s="81">
        <f t="shared" si="26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41</v>
      </c>
      <c r="BA73" s="82">
        <f>D91</f>
        <v>39.6</v>
      </c>
      <c r="BB73" s="82">
        <f>E91</f>
        <v>37.200000000000003</v>
      </c>
      <c r="BC73" s="82">
        <f>F91</f>
        <v>41</v>
      </c>
      <c r="BD73" s="82">
        <f>G91</f>
        <v>39.700000000000003</v>
      </c>
      <c r="BE73" s="82">
        <f>I91</f>
        <v>39.200000000000003</v>
      </c>
      <c r="BF73" s="82">
        <f>K91</f>
        <v>41</v>
      </c>
      <c r="BG73" s="82">
        <f t="shared" ref="BG73:BP73" si="27">M91</f>
        <v>41.7</v>
      </c>
      <c r="BH73" s="82">
        <f t="shared" si="27"/>
        <v>43</v>
      </c>
      <c r="BI73" s="82">
        <f t="shared" si="27"/>
        <v>44.9</v>
      </c>
      <c r="BJ73" s="82">
        <f t="shared" si="27"/>
        <v>44.7</v>
      </c>
      <c r="BK73" s="82">
        <f t="shared" si="27"/>
        <v>42</v>
      </c>
      <c r="BL73" s="82">
        <f t="shared" si="27"/>
        <v>45.6</v>
      </c>
      <c r="BM73" s="82">
        <f t="shared" si="27"/>
        <v>45.6</v>
      </c>
      <c r="BN73" s="82">
        <f t="shared" si="27"/>
        <v>45.6</v>
      </c>
      <c r="BO73" s="82">
        <f t="shared" si="27"/>
        <v>45.6</v>
      </c>
      <c r="BP73" s="82">
        <f t="shared" si="27"/>
        <v>48</v>
      </c>
      <c r="BQ73" s="82">
        <f>X91</f>
        <v>40.9</v>
      </c>
      <c r="BR73" s="82">
        <f>Z91</f>
        <v>36</v>
      </c>
      <c r="BS73" s="82">
        <f>AB91</f>
        <v>33.200000000000003</v>
      </c>
      <c r="BT73" s="82">
        <f>AD91</f>
        <v>32.799999999999997</v>
      </c>
      <c r="BU73" s="82">
        <f>AE91</f>
        <v>35.299999999999997</v>
      </c>
      <c r="BV73" s="82">
        <f>AF91</f>
        <v>36.1</v>
      </c>
      <c r="BW73" s="82">
        <f>B91</f>
        <v>41.2</v>
      </c>
    </row>
    <row r="74" spans="1:75" x14ac:dyDescent="0.25">
      <c r="A74" s="65" t="s">
        <v>97</v>
      </c>
      <c r="B74" s="76">
        <v>2</v>
      </c>
      <c r="C74" s="76">
        <v>2</v>
      </c>
      <c r="D74" s="76">
        <v>2</v>
      </c>
      <c r="E74" s="76">
        <v>2</v>
      </c>
      <c r="F74" s="76">
        <v>2</v>
      </c>
      <c r="G74" s="76">
        <v>2</v>
      </c>
      <c r="H74" s="76">
        <v>2</v>
      </c>
      <c r="I74" s="76">
        <v>2</v>
      </c>
      <c r="J74" s="76">
        <v>2</v>
      </c>
      <c r="K74" s="76">
        <v>2</v>
      </c>
      <c r="L74" s="76">
        <v>2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66">
        <v>6.2</v>
      </c>
      <c r="AH74" s="48">
        <f t="shared" si="8"/>
        <v>2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8">VALUE(AZ68)</f>
        <v>14</v>
      </c>
      <c r="BA75" s="82">
        <f t="shared" si="28"/>
        <v>9.5</v>
      </c>
      <c r="BB75" s="82">
        <f t="shared" si="28"/>
        <v>13.7</v>
      </c>
      <c r="BC75" s="82">
        <f t="shared" si="28"/>
        <v>11.5</v>
      </c>
      <c r="BD75" s="82">
        <f t="shared" si="28"/>
        <v>20.6</v>
      </c>
      <c r="BE75" s="82">
        <f t="shared" si="28"/>
        <v>6.7</v>
      </c>
      <c r="BF75" s="82">
        <f t="shared" si="28"/>
        <v>56.1</v>
      </c>
      <c r="BG75" s="82">
        <f t="shared" si="28"/>
        <v>58.2</v>
      </c>
      <c r="BH75" s="82">
        <f t="shared" si="28"/>
        <v>63.7</v>
      </c>
      <c r="BI75" s="82">
        <f t="shared" si="28"/>
        <v>66.8</v>
      </c>
      <c r="BJ75" s="82">
        <f t="shared" si="28"/>
        <v>69.2</v>
      </c>
      <c r="BK75" s="82">
        <f t="shared" si="28"/>
        <v>71</v>
      </c>
      <c r="BL75" s="82">
        <f t="shared" si="28"/>
        <v>74.599999999999994</v>
      </c>
      <c r="BM75" s="82">
        <f t="shared" si="28"/>
        <v>69.900000000000006</v>
      </c>
      <c r="BN75" s="82">
        <f t="shared" si="28"/>
        <v>72</v>
      </c>
      <c r="BO75" s="82">
        <f t="shared" si="28"/>
        <v>65.400000000000006</v>
      </c>
      <c r="BP75" s="82">
        <f t="shared" si="28"/>
        <v>62</v>
      </c>
      <c r="BQ75" s="82">
        <f t="shared" si="28"/>
        <v>69.3</v>
      </c>
      <c r="BR75" s="82">
        <f t="shared" si="28"/>
        <v>41.5</v>
      </c>
      <c r="BS75" s="82">
        <f t="shared" si="28"/>
        <v>43.3</v>
      </c>
      <c r="BT75" s="82">
        <f t="shared" si="28"/>
        <v>40.4</v>
      </c>
      <c r="BU75" s="82">
        <f t="shared" si="28"/>
        <v>35.4</v>
      </c>
      <c r="BV75" s="82">
        <f t="shared" si="28"/>
        <v>31.2</v>
      </c>
      <c r="BW75" s="82">
        <f t="shared" si="28"/>
        <v>9.6999999999999993</v>
      </c>
    </row>
    <row r="76" spans="1:75" ht="15.75" thickBot="1" x14ac:dyDescent="0.3">
      <c r="A76" s="87" t="s">
        <v>99</v>
      </c>
      <c r="B76" s="71">
        <f>SUM(B63:B75)</f>
        <v>388.94</v>
      </c>
      <c r="C76" s="71">
        <f>SUM(C63:C75)</f>
        <v>388.94</v>
      </c>
      <c r="D76" s="71">
        <f>SUM(D63:D75)</f>
        <v>394.34</v>
      </c>
      <c r="E76" s="71">
        <f t="shared" ref="E76:AG76" si="29">SUM(E63:E75)</f>
        <v>312.64000000000004</v>
      </c>
      <c r="F76" s="71">
        <f t="shared" si="29"/>
        <v>283.64</v>
      </c>
      <c r="G76" s="71">
        <f t="shared" si="29"/>
        <v>268.24</v>
      </c>
      <c r="H76" s="71">
        <f t="shared" si="29"/>
        <v>263.64000000000004</v>
      </c>
      <c r="I76" s="71">
        <f t="shared" si="29"/>
        <v>289.03999999999996</v>
      </c>
      <c r="J76" s="71">
        <f t="shared" si="29"/>
        <v>236.94000000000003</v>
      </c>
      <c r="K76" s="71">
        <f t="shared" si="29"/>
        <v>248.14000000000004</v>
      </c>
      <c r="L76" s="71">
        <f t="shared" si="29"/>
        <v>298.24</v>
      </c>
      <c r="M76" s="71">
        <f t="shared" si="29"/>
        <v>279.74</v>
      </c>
      <c r="N76" s="71">
        <f t="shared" si="29"/>
        <v>296.93999999999994</v>
      </c>
      <c r="O76" s="71">
        <f t="shared" si="29"/>
        <v>296.93999999999994</v>
      </c>
      <c r="P76" s="71">
        <f t="shared" si="29"/>
        <v>342.94000000000005</v>
      </c>
      <c r="Q76" s="71">
        <f>SUM(Q63:Q75)</f>
        <v>342.94000000000005</v>
      </c>
      <c r="R76" s="71">
        <f t="shared" si="29"/>
        <v>338.54</v>
      </c>
      <c r="S76" s="71">
        <f t="shared" si="29"/>
        <v>337.44000000000005</v>
      </c>
      <c r="T76" s="71">
        <f>SUM(T63:T75)</f>
        <v>336.64000000000004</v>
      </c>
      <c r="U76" s="71">
        <f t="shared" si="29"/>
        <v>314.84000000000003</v>
      </c>
      <c r="V76" s="71">
        <f t="shared" si="29"/>
        <v>311.74</v>
      </c>
      <c r="W76" s="71">
        <f t="shared" si="29"/>
        <v>272.53999999999996</v>
      </c>
      <c r="X76" s="71">
        <f t="shared" si="29"/>
        <v>263.24</v>
      </c>
      <c r="Y76" s="71">
        <f t="shared" si="29"/>
        <v>279.5</v>
      </c>
      <c r="Z76" s="71">
        <f t="shared" si="29"/>
        <v>305.5</v>
      </c>
      <c r="AA76" s="71">
        <f t="shared" si="29"/>
        <v>302.44</v>
      </c>
      <c r="AB76" s="71">
        <f t="shared" si="29"/>
        <v>311.44</v>
      </c>
      <c r="AC76" s="71">
        <f t="shared" si="29"/>
        <v>311.04000000000002</v>
      </c>
      <c r="AD76" s="71">
        <f t="shared" si="29"/>
        <v>311.54000000000002</v>
      </c>
      <c r="AE76" s="71">
        <f>SUM(AE63:AE75)</f>
        <v>317.44000000000011</v>
      </c>
      <c r="AF76" s="71">
        <f>SUM(AF63:AF75)</f>
        <v>318.54000000000008</v>
      </c>
      <c r="AG76" s="72">
        <f t="shared" si="29"/>
        <v>489.91</v>
      </c>
      <c r="AH76" s="48">
        <f t="shared" si="8"/>
        <v>394.34</v>
      </c>
      <c r="AI76" s="49">
        <f t="shared" si="9"/>
        <v>236.94000000000003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61.6</v>
      </c>
      <c r="BH76" s="82">
        <f t="shared" si="28"/>
        <v>0</v>
      </c>
      <c r="BI76" s="82">
        <f t="shared" si="28"/>
        <v>0</v>
      </c>
      <c r="BJ76" s="82">
        <f t="shared" si="28"/>
        <v>60.8</v>
      </c>
      <c r="BK76" s="82">
        <f t="shared" si="28"/>
        <v>94</v>
      </c>
      <c r="BL76" s="82">
        <f t="shared" si="28"/>
        <v>94.3</v>
      </c>
      <c r="BM76" s="82">
        <f t="shared" si="28"/>
        <v>110.5</v>
      </c>
      <c r="BN76" s="82">
        <f t="shared" si="28"/>
        <v>111.6</v>
      </c>
      <c r="BO76" s="82">
        <f t="shared" si="28"/>
        <v>66.900000000000006</v>
      </c>
      <c r="BP76" s="82">
        <f t="shared" si="28"/>
        <v>67</v>
      </c>
      <c r="BQ76" s="82">
        <f t="shared" si="28"/>
        <v>60.1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45" t="s">
        <v>100</v>
      </c>
      <c r="B77" s="46">
        <v>49.9</v>
      </c>
      <c r="C77" s="46">
        <v>29.1</v>
      </c>
      <c r="D77" s="46">
        <v>49.8</v>
      </c>
      <c r="E77" s="46">
        <v>20.399999999999999</v>
      </c>
      <c r="F77" s="46">
        <v>25.3</v>
      </c>
      <c r="G77" s="46">
        <v>0</v>
      </c>
      <c r="H77" s="46">
        <v>0</v>
      </c>
      <c r="I77" s="46">
        <v>24.4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14</v>
      </c>
      <c r="R77" s="46">
        <v>13.2</v>
      </c>
      <c r="S77" s="46">
        <v>14.3</v>
      </c>
      <c r="T77" s="46">
        <v>29.9</v>
      </c>
      <c r="U77" s="46">
        <v>34.5</v>
      </c>
      <c r="V77" s="46">
        <v>30</v>
      </c>
      <c r="W77" s="46">
        <v>14</v>
      </c>
      <c r="X77" s="46">
        <v>0</v>
      </c>
      <c r="Y77" s="46">
        <v>14</v>
      </c>
      <c r="Z77" s="46">
        <v>29</v>
      </c>
      <c r="AA77" s="46">
        <v>43</v>
      </c>
      <c r="AB77" s="46">
        <v>43.3</v>
      </c>
      <c r="AC77" s="46">
        <v>43.3</v>
      </c>
      <c r="AD77" s="46">
        <v>43.3</v>
      </c>
      <c r="AE77" s="46">
        <v>39.5</v>
      </c>
      <c r="AF77" s="46">
        <v>39.5</v>
      </c>
      <c r="AG77" s="61">
        <v>60</v>
      </c>
      <c r="AH77" s="48">
        <f t="shared" si="8"/>
        <v>49.9</v>
      </c>
      <c r="AI77" s="49">
        <f t="shared" si="9"/>
        <v>0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7</v>
      </c>
      <c r="BC77" s="82">
        <f t="shared" si="28"/>
        <v>60.5</v>
      </c>
      <c r="BD77" s="82">
        <f t="shared" si="28"/>
        <v>0</v>
      </c>
      <c r="BE77" s="82">
        <f t="shared" si="28"/>
        <v>15.7</v>
      </c>
      <c r="BF77" s="82">
        <f t="shared" si="28"/>
        <v>294</v>
      </c>
      <c r="BG77" s="82">
        <f t="shared" si="28"/>
        <v>248.7</v>
      </c>
      <c r="BH77" s="82">
        <f t="shared" si="28"/>
        <v>316.60000000000002</v>
      </c>
      <c r="BI77" s="82">
        <f t="shared" si="28"/>
        <v>363.3</v>
      </c>
      <c r="BJ77" s="82">
        <f t="shared" si="28"/>
        <v>337.9</v>
      </c>
      <c r="BK77" s="82">
        <f t="shared" si="28"/>
        <v>310</v>
      </c>
      <c r="BL77" s="82">
        <f t="shared" si="28"/>
        <v>332.8</v>
      </c>
      <c r="BM77" s="82">
        <f t="shared" si="28"/>
        <v>373</v>
      </c>
      <c r="BN77" s="82">
        <f t="shared" si="28"/>
        <v>378</v>
      </c>
      <c r="BO77" s="82">
        <f t="shared" si="28"/>
        <v>317</v>
      </c>
      <c r="BP77" s="82">
        <f t="shared" si="28"/>
        <v>250</v>
      </c>
      <c r="BQ77" s="82">
        <f t="shared" si="28"/>
        <v>220</v>
      </c>
      <c r="BR77" s="82">
        <f t="shared" si="28"/>
        <v>111</v>
      </c>
      <c r="BS77" s="82">
        <f t="shared" si="28"/>
        <v>97.2</v>
      </c>
      <c r="BT77" s="82">
        <f t="shared" si="28"/>
        <v>86.4</v>
      </c>
      <c r="BU77" s="82">
        <f t="shared" si="28"/>
        <v>0</v>
      </c>
      <c r="BV77" s="82">
        <f t="shared" si="28"/>
        <v>50</v>
      </c>
      <c r="BW77" s="82">
        <f t="shared" si="28"/>
        <v>0</v>
      </c>
    </row>
    <row r="78" spans="1:75" x14ac:dyDescent="0.25">
      <c r="A78" s="65" t="s">
        <v>101</v>
      </c>
      <c r="B78" s="76">
        <v>23.4</v>
      </c>
      <c r="C78" s="76">
        <v>9.1</v>
      </c>
      <c r="D78" s="76">
        <v>22.4</v>
      </c>
      <c r="E78" s="76">
        <v>9.3000000000000007</v>
      </c>
      <c r="F78" s="76">
        <v>6.6</v>
      </c>
      <c r="G78" s="76">
        <v>0</v>
      </c>
      <c r="H78" s="76">
        <v>0</v>
      </c>
      <c r="I78" s="76">
        <v>3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5.3</v>
      </c>
      <c r="R78" s="76">
        <v>4.5</v>
      </c>
      <c r="S78" s="76">
        <v>5.0999999999999996</v>
      </c>
      <c r="T78" s="76">
        <v>13.9</v>
      </c>
      <c r="U78" s="76">
        <v>12.8</v>
      </c>
      <c r="V78" s="76">
        <v>13.1</v>
      </c>
      <c r="W78" s="76">
        <v>5.0999999999999996</v>
      </c>
      <c r="X78" s="76">
        <v>0</v>
      </c>
      <c r="Y78" s="76">
        <v>5</v>
      </c>
      <c r="Z78" s="76">
        <v>13</v>
      </c>
      <c r="AA78" s="76">
        <v>17</v>
      </c>
      <c r="AB78" s="76">
        <v>17.100000000000001</v>
      </c>
      <c r="AC78" s="76">
        <v>20.5</v>
      </c>
      <c r="AD78" s="76">
        <v>17.899999999999999</v>
      </c>
      <c r="AE78" s="76">
        <v>20.2</v>
      </c>
      <c r="AF78" s="76">
        <v>16</v>
      </c>
      <c r="AG78" s="66">
        <v>32</v>
      </c>
      <c r="AH78" s="48">
        <f t="shared" si="8"/>
        <v>23.4</v>
      </c>
      <c r="AI78" s="49">
        <f t="shared" si="9"/>
        <v>0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47.7</v>
      </c>
      <c r="BG78" s="82">
        <f t="shared" si="28"/>
        <v>51.9</v>
      </c>
      <c r="BH78" s="82">
        <f t="shared" si="28"/>
        <v>49.4</v>
      </c>
      <c r="BI78" s="82">
        <f t="shared" si="28"/>
        <v>51.6</v>
      </c>
      <c r="BJ78" s="82">
        <f t="shared" si="28"/>
        <v>48.1</v>
      </c>
      <c r="BK78" s="82">
        <f t="shared" si="28"/>
        <v>48</v>
      </c>
      <c r="BL78" s="82">
        <f t="shared" si="28"/>
        <v>48.8</v>
      </c>
      <c r="BM78" s="82">
        <f t="shared" si="28"/>
        <v>48.8</v>
      </c>
      <c r="BN78" s="82">
        <f t="shared" si="28"/>
        <v>48.4</v>
      </c>
      <c r="BO78" s="82">
        <f t="shared" si="28"/>
        <v>48</v>
      </c>
      <c r="BP78" s="82">
        <f t="shared" si="28"/>
        <v>50</v>
      </c>
      <c r="BQ78" s="82">
        <f t="shared" si="28"/>
        <v>44.6</v>
      </c>
      <c r="BR78" s="82">
        <f t="shared" si="28"/>
        <v>12.3</v>
      </c>
      <c r="BS78" s="82">
        <f t="shared" si="28"/>
        <v>13.6</v>
      </c>
      <c r="BT78" s="82">
        <f t="shared" si="28"/>
        <v>14.5</v>
      </c>
      <c r="BU78" s="82">
        <f t="shared" si="28"/>
        <v>15.4</v>
      </c>
      <c r="BV78" s="82">
        <f t="shared" si="28"/>
        <v>15.4</v>
      </c>
      <c r="BW78" s="82">
        <f t="shared" si="28"/>
        <v>0</v>
      </c>
    </row>
    <row r="79" spans="1:75" ht="15.75" thickBot="1" x14ac:dyDescent="0.3">
      <c r="A79" s="84" t="s">
        <v>102</v>
      </c>
      <c r="B79" s="78">
        <v>8.5</v>
      </c>
      <c r="C79" s="78">
        <v>3.5</v>
      </c>
      <c r="D79" s="78">
        <v>8.1999999999999993</v>
      </c>
      <c r="E79" s="78">
        <v>3.4</v>
      </c>
      <c r="F79" s="78">
        <v>2.7</v>
      </c>
      <c r="G79" s="78">
        <v>0</v>
      </c>
      <c r="H79" s="78">
        <v>0</v>
      </c>
      <c r="I79" s="78">
        <v>1.1000000000000001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2</v>
      </c>
      <c r="R79" s="78">
        <v>1.7</v>
      </c>
      <c r="S79" s="78">
        <v>1.7</v>
      </c>
      <c r="T79" s="78">
        <v>5.0999999999999996</v>
      </c>
      <c r="U79" s="78">
        <v>5.0999999999999996</v>
      </c>
      <c r="V79" s="78">
        <v>4.9000000000000004</v>
      </c>
      <c r="W79" s="78">
        <v>1.9</v>
      </c>
      <c r="X79" s="78">
        <v>0</v>
      </c>
      <c r="Y79" s="78">
        <v>1.8</v>
      </c>
      <c r="Z79" s="78">
        <v>4.8</v>
      </c>
      <c r="AA79" s="78">
        <v>6.3</v>
      </c>
      <c r="AB79" s="78">
        <v>6.2</v>
      </c>
      <c r="AC79" s="78">
        <v>7.5</v>
      </c>
      <c r="AD79" s="78">
        <v>6.5</v>
      </c>
      <c r="AE79" s="78">
        <v>7.4</v>
      </c>
      <c r="AF79" s="78">
        <v>5.9</v>
      </c>
      <c r="AG79" s="79">
        <v>14</v>
      </c>
      <c r="AH79" s="48">
        <f t="shared" si="8"/>
        <v>8.5</v>
      </c>
      <c r="AI79" s="49">
        <f t="shared" si="9"/>
        <v>0</v>
      </c>
      <c r="AK79" s="51"/>
      <c r="AZ79" s="82">
        <f t="shared" si="28"/>
        <v>0</v>
      </c>
      <c r="BA79" s="82">
        <f t="shared" si="28"/>
        <v>0</v>
      </c>
      <c r="BB79" s="82">
        <f t="shared" si="28"/>
        <v>0</v>
      </c>
      <c r="BC79" s="82">
        <f t="shared" si="28"/>
        <v>0</v>
      </c>
      <c r="BD79" s="82">
        <f t="shared" si="28"/>
        <v>0</v>
      </c>
      <c r="BE79" s="82">
        <f t="shared" si="28"/>
        <v>0</v>
      </c>
      <c r="BF79" s="82">
        <f t="shared" si="28"/>
        <v>130.1</v>
      </c>
      <c r="BG79" s="82">
        <f t="shared" si="28"/>
        <v>123.4</v>
      </c>
      <c r="BH79" s="82">
        <f t="shared" si="28"/>
        <v>134.5</v>
      </c>
      <c r="BI79" s="82">
        <f t="shared" si="28"/>
        <v>142.30000000000001</v>
      </c>
      <c r="BJ79" s="82">
        <f t="shared" si="28"/>
        <v>140</v>
      </c>
      <c r="BK79" s="82">
        <f t="shared" si="28"/>
        <v>134</v>
      </c>
      <c r="BL79" s="82">
        <f t="shared" si="28"/>
        <v>130.69999999999999</v>
      </c>
      <c r="BM79" s="82">
        <f t="shared" si="28"/>
        <v>109.5</v>
      </c>
      <c r="BN79" s="82">
        <f t="shared" si="28"/>
        <v>150</v>
      </c>
      <c r="BO79" s="82">
        <f t="shared" si="28"/>
        <v>138</v>
      </c>
      <c r="BP79" s="82">
        <f t="shared" si="28"/>
        <v>129</v>
      </c>
      <c r="BQ79" s="82">
        <f t="shared" si="28"/>
        <v>105.3</v>
      </c>
      <c r="BR79" s="82">
        <f t="shared" si="28"/>
        <v>0</v>
      </c>
      <c r="BS79" s="82">
        <f t="shared" si="28"/>
        <v>0</v>
      </c>
      <c r="BT79" s="82">
        <f t="shared" si="28"/>
        <v>0</v>
      </c>
      <c r="BU79" s="82">
        <f t="shared" si="28"/>
        <v>0</v>
      </c>
      <c r="BV79" s="82">
        <f t="shared" si="28"/>
        <v>0</v>
      </c>
      <c r="BW79" s="82">
        <f t="shared" si="28"/>
        <v>0</v>
      </c>
    </row>
    <row r="80" spans="1:75" ht="15.75" thickBot="1" x14ac:dyDescent="0.3">
      <c r="A80" s="87" t="s">
        <v>103</v>
      </c>
      <c r="B80" s="71">
        <f>B77+B78+B79</f>
        <v>81.8</v>
      </c>
      <c r="C80" s="71">
        <f>C77+C78+C79</f>
        <v>41.7</v>
      </c>
      <c r="D80" s="71">
        <f>D77+D78+D79</f>
        <v>80.399999999999991</v>
      </c>
      <c r="E80" s="71">
        <f t="shared" ref="E80:AD80" si="30">E77+E78+E79</f>
        <v>33.1</v>
      </c>
      <c r="F80" s="71">
        <f t="shared" si="30"/>
        <v>34.6</v>
      </c>
      <c r="G80" s="71">
        <f t="shared" si="30"/>
        <v>0</v>
      </c>
      <c r="H80" s="71">
        <f t="shared" si="30"/>
        <v>0</v>
      </c>
      <c r="I80" s="71">
        <f t="shared" si="30"/>
        <v>28.5</v>
      </c>
      <c r="J80" s="71">
        <f t="shared" si="30"/>
        <v>0</v>
      </c>
      <c r="K80" s="71">
        <f t="shared" si="30"/>
        <v>0</v>
      </c>
      <c r="L80" s="71">
        <f t="shared" si="30"/>
        <v>0</v>
      </c>
      <c r="M80" s="71">
        <f t="shared" si="30"/>
        <v>0</v>
      </c>
      <c r="N80" s="71">
        <f t="shared" si="30"/>
        <v>0</v>
      </c>
      <c r="O80" s="71">
        <f t="shared" si="30"/>
        <v>0</v>
      </c>
      <c r="P80" s="71">
        <f t="shared" si="30"/>
        <v>0</v>
      </c>
      <c r="Q80" s="71">
        <f>Q77+Q78+Q79</f>
        <v>21.3</v>
      </c>
      <c r="R80" s="71">
        <f t="shared" si="30"/>
        <v>19.399999999999999</v>
      </c>
      <c r="S80" s="71">
        <f t="shared" si="30"/>
        <v>21.099999999999998</v>
      </c>
      <c r="T80" s="71">
        <f t="shared" si="30"/>
        <v>48.9</v>
      </c>
      <c r="U80" s="71">
        <f t="shared" si="30"/>
        <v>52.4</v>
      </c>
      <c r="V80" s="71">
        <f t="shared" si="30"/>
        <v>48</v>
      </c>
      <c r="W80" s="71">
        <f t="shared" si="30"/>
        <v>21</v>
      </c>
      <c r="X80" s="71">
        <f t="shared" si="30"/>
        <v>0</v>
      </c>
      <c r="Y80" s="71">
        <f t="shared" si="30"/>
        <v>20.8</v>
      </c>
      <c r="Z80" s="71">
        <f t="shared" si="30"/>
        <v>46.8</v>
      </c>
      <c r="AA80" s="71">
        <f t="shared" si="30"/>
        <v>66.3</v>
      </c>
      <c r="AB80" s="71">
        <f>AB77+AB78+AB79</f>
        <v>66.599999999999994</v>
      </c>
      <c r="AC80" s="71">
        <f t="shared" si="30"/>
        <v>71.3</v>
      </c>
      <c r="AD80" s="71">
        <f t="shared" si="30"/>
        <v>67.699999999999989</v>
      </c>
      <c r="AE80" s="71">
        <f>AE77+AE78+AE79</f>
        <v>67.100000000000009</v>
      </c>
      <c r="AF80" s="71">
        <f>AF77+AF78+AF79</f>
        <v>61.4</v>
      </c>
      <c r="AG80" s="72">
        <f>SUM(AG77:AG79)</f>
        <v>106</v>
      </c>
      <c r="AH80" s="48">
        <f t="shared" si="8"/>
        <v>81.8</v>
      </c>
      <c r="AI80" s="49">
        <f t="shared" si="9"/>
        <v>0</v>
      </c>
      <c r="AK80" s="51"/>
      <c r="AZ80" s="82">
        <f t="shared" si="28"/>
        <v>41</v>
      </c>
      <c r="BA80" s="82">
        <f t="shared" si="28"/>
        <v>39.6</v>
      </c>
      <c r="BB80" s="82">
        <f t="shared" si="28"/>
        <v>37.200000000000003</v>
      </c>
      <c r="BC80" s="82">
        <f t="shared" si="28"/>
        <v>41</v>
      </c>
      <c r="BD80" s="82">
        <f t="shared" si="28"/>
        <v>39.700000000000003</v>
      </c>
      <c r="BE80" s="82">
        <f t="shared" si="28"/>
        <v>39.200000000000003</v>
      </c>
      <c r="BF80" s="82">
        <f t="shared" si="28"/>
        <v>41</v>
      </c>
      <c r="BG80" s="82">
        <f t="shared" si="28"/>
        <v>41.7</v>
      </c>
      <c r="BH80" s="82">
        <f t="shared" si="28"/>
        <v>43</v>
      </c>
      <c r="BI80" s="82">
        <f t="shared" si="28"/>
        <v>44.9</v>
      </c>
      <c r="BJ80" s="82">
        <f t="shared" si="28"/>
        <v>44.7</v>
      </c>
      <c r="BK80" s="82">
        <f t="shared" si="28"/>
        <v>42</v>
      </c>
      <c r="BL80" s="82">
        <f t="shared" si="28"/>
        <v>45.6</v>
      </c>
      <c r="BM80" s="82">
        <f t="shared" si="28"/>
        <v>45.6</v>
      </c>
      <c r="BN80" s="82">
        <f t="shared" si="28"/>
        <v>45.6</v>
      </c>
      <c r="BO80" s="82">
        <f t="shared" si="28"/>
        <v>45.6</v>
      </c>
      <c r="BP80" s="82">
        <f t="shared" si="28"/>
        <v>48</v>
      </c>
      <c r="BQ80" s="82">
        <f t="shared" si="28"/>
        <v>40.9</v>
      </c>
      <c r="BR80" s="82">
        <f t="shared" si="28"/>
        <v>36</v>
      </c>
      <c r="BS80" s="82">
        <f t="shared" si="28"/>
        <v>33.200000000000003</v>
      </c>
      <c r="BT80" s="82">
        <f t="shared" si="28"/>
        <v>32.799999999999997</v>
      </c>
      <c r="BU80" s="82">
        <f t="shared" si="28"/>
        <v>35.299999999999997</v>
      </c>
      <c r="BV80" s="82">
        <f t="shared" si="28"/>
        <v>36.1</v>
      </c>
      <c r="BW80" s="82">
        <f t="shared" si="28"/>
        <v>41.2</v>
      </c>
    </row>
    <row r="81" spans="1:64" x14ac:dyDescent="0.25">
      <c r="A81" s="45" t="s">
        <v>104</v>
      </c>
      <c r="B81" s="46">
        <v>9.6999999999999993</v>
      </c>
      <c r="C81" s="46">
        <v>14.1</v>
      </c>
      <c r="D81" s="46">
        <v>9.5</v>
      </c>
      <c r="E81" s="46">
        <v>13.7</v>
      </c>
      <c r="F81" s="46">
        <v>11.5</v>
      </c>
      <c r="G81" s="46">
        <v>20.6</v>
      </c>
      <c r="H81" s="46">
        <v>13.4</v>
      </c>
      <c r="I81" s="46">
        <v>6.7</v>
      </c>
      <c r="J81" s="46">
        <v>55.3</v>
      </c>
      <c r="K81" s="46">
        <v>56.1</v>
      </c>
      <c r="L81" s="46">
        <v>61.8</v>
      </c>
      <c r="M81" s="46">
        <v>58.2</v>
      </c>
      <c r="N81" s="46">
        <v>63.7</v>
      </c>
      <c r="O81" s="46">
        <v>66.8</v>
      </c>
      <c r="P81" s="46">
        <v>69.2</v>
      </c>
      <c r="Q81" s="46">
        <v>71</v>
      </c>
      <c r="R81" s="46">
        <v>74.599999999999994</v>
      </c>
      <c r="S81" s="46">
        <v>69.900000000000006</v>
      </c>
      <c r="T81" s="46">
        <v>72</v>
      </c>
      <c r="U81" s="46">
        <v>65.400000000000006</v>
      </c>
      <c r="V81" s="46">
        <v>62</v>
      </c>
      <c r="W81" s="46">
        <v>67.3</v>
      </c>
      <c r="X81" s="46">
        <v>69.3</v>
      </c>
      <c r="Y81" s="46">
        <v>49</v>
      </c>
      <c r="Z81" s="46">
        <v>41.5</v>
      </c>
      <c r="AA81" s="46">
        <v>46</v>
      </c>
      <c r="AB81" s="46">
        <v>43.3</v>
      </c>
      <c r="AC81" s="46">
        <v>41.2</v>
      </c>
      <c r="AD81" s="46">
        <v>40.4</v>
      </c>
      <c r="AE81" s="46">
        <v>35.4</v>
      </c>
      <c r="AF81" s="46">
        <v>31.2</v>
      </c>
      <c r="AG81" s="61"/>
      <c r="AH81" s="48">
        <f t="shared" si="8"/>
        <v>74.599999999999994</v>
      </c>
      <c r="AI81" s="49">
        <f t="shared" si="9"/>
        <v>6.7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61.6</v>
      </c>
      <c r="N82" s="76">
        <v>0</v>
      </c>
      <c r="O82" s="76">
        <v>0</v>
      </c>
      <c r="P82" s="76">
        <v>60.8</v>
      </c>
      <c r="Q82" s="76">
        <v>94</v>
      </c>
      <c r="R82" s="76">
        <v>94.3</v>
      </c>
      <c r="S82" s="76">
        <v>110.5</v>
      </c>
      <c r="T82" s="76">
        <v>111.6</v>
      </c>
      <c r="U82" s="76">
        <v>66.900000000000006</v>
      </c>
      <c r="V82" s="76">
        <v>67</v>
      </c>
      <c r="W82" s="76">
        <v>65.3</v>
      </c>
      <c r="X82" s="76">
        <v>60.1</v>
      </c>
      <c r="Y82" s="76">
        <v>0</v>
      </c>
      <c r="Z82" s="76">
        <v>0</v>
      </c>
      <c r="AA82" s="76">
        <v>0</v>
      </c>
      <c r="AB82" s="76">
        <v>0</v>
      </c>
      <c r="AC82" s="76"/>
      <c r="AD82" s="76"/>
      <c r="AE82" s="76"/>
      <c r="AF82" s="76"/>
      <c r="AG82" s="66"/>
      <c r="AH82" s="48">
        <f t="shared" ref="AH82:AH125" si="31">MAX(B82:AF82)</f>
        <v>111.6</v>
      </c>
      <c r="AI82" s="49">
        <f t="shared" ref="AI82:AI125" si="32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0</v>
      </c>
      <c r="D83" s="76">
        <v>0</v>
      </c>
      <c r="E83" s="76">
        <v>7</v>
      </c>
      <c r="F83" s="76">
        <v>60.5</v>
      </c>
      <c r="G83" s="76">
        <v>0</v>
      </c>
      <c r="H83" s="76">
        <v>0</v>
      </c>
      <c r="I83" s="76">
        <v>15.7</v>
      </c>
      <c r="J83" s="76">
        <v>215</v>
      </c>
      <c r="K83" s="76">
        <v>294</v>
      </c>
      <c r="L83" s="76">
        <v>170.9</v>
      </c>
      <c r="M83" s="76">
        <v>248.7</v>
      </c>
      <c r="N83" s="76">
        <v>316.60000000000002</v>
      </c>
      <c r="O83" s="76">
        <v>363.3</v>
      </c>
      <c r="P83" s="76">
        <v>337.9</v>
      </c>
      <c r="Q83" s="76">
        <v>310</v>
      </c>
      <c r="R83" s="76">
        <v>332.8</v>
      </c>
      <c r="S83" s="76">
        <v>373</v>
      </c>
      <c r="T83" s="76">
        <v>378</v>
      </c>
      <c r="U83" s="76">
        <v>317</v>
      </c>
      <c r="V83" s="76">
        <v>250</v>
      </c>
      <c r="W83" s="76">
        <v>239</v>
      </c>
      <c r="X83" s="76">
        <v>220</v>
      </c>
      <c r="Y83" s="76">
        <v>99</v>
      </c>
      <c r="Z83" s="76">
        <v>111</v>
      </c>
      <c r="AA83" s="76">
        <v>88</v>
      </c>
      <c r="AB83" s="76">
        <v>97.2</v>
      </c>
      <c r="AC83" s="76">
        <v>80</v>
      </c>
      <c r="AD83" s="76">
        <v>86.4</v>
      </c>
      <c r="AE83" s="76">
        <v>0</v>
      </c>
      <c r="AF83" s="76">
        <v>50</v>
      </c>
      <c r="AG83" s="88"/>
      <c r="AH83" s="48">
        <f t="shared" si="31"/>
        <v>378</v>
      </c>
      <c r="AI83" s="49">
        <f t="shared" si="32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35.4</v>
      </c>
      <c r="K84" s="89">
        <v>47.7</v>
      </c>
      <c r="L84" s="89">
        <v>53.2</v>
      </c>
      <c r="M84" s="89">
        <v>51.9</v>
      </c>
      <c r="N84" s="89">
        <v>49.4</v>
      </c>
      <c r="O84" s="89">
        <v>51.6</v>
      </c>
      <c r="P84" s="89">
        <v>48.1</v>
      </c>
      <c r="Q84" s="89">
        <v>48</v>
      </c>
      <c r="R84" s="89">
        <v>48.8</v>
      </c>
      <c r="S84" s="89">
        <v>48.8</v>
      </c>
      <c r="T84" s="89">
        <v>48.4</v>
      </c>
      <c r="U84" s="89">
        <v>48</v>
      </c>
      <c r="V84" s="89">
        <v>50</v>
      </c>
      <c r="W84" s="89">
        <v>51.3</v>
      </c>
      <c r="X84" s="89">
        <v>44.6</v>
      </c>
      <c r="Y84" s="89">
        <v>11</v>
      </c>
      <c r="Z84" s="89">
        <v>12.3</v>
      </c>
      <c r="AA84" s="89">
        <v>12.8</v>
      </c>
      <c r="AB84" s="89">
        <v>13.6</v>
      </c>
      <c r="AC84" s="89">
        <v>14.2</v>
      </c>
      <c r="AD84" s="89">
        <v>14.5</v>
      </c>
      <c r="AE84" s="89">
        <v>15.4</v>
      </c>
      <c r="AF84" s="89">
        <v>15.4</v>
      </c>
      <c r="AG84" s="88"/>
      <c r="AH84" s="48">
        <f t="shared" si="31"/>
        <v>53.2</v>
      </c>
      <c r="AI84" s="49">
        <f t="shared" si="32"/>
        <v>0</v>
      </c>
      <c r="AK84" s="51"/>
      <c r="AY84" s="82"/>
      <c r="BF84" s="81"/>
      <c r="BG84" s="82">
        <f t="array" ref="BG84:BL107">TRANSPOSE(AZ68:BW73)</f>
        <v>14</v>
      </c>
      <c r="BH84" s="82">
        <v>0</v>
      </c>
      <c r="BI84" s="82">
        <v>0</v>
      </c>
      <c r="BJ84" s="82">
        <v>0</v>
      </c>
      <c r="BK84" s="82">
        <v>0</v>
      </c>
      <c r="BL84" s="82">
        <v>41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106.6</v>
      </c>
      <c r="K85" s="46">
        <v>130.1</v>
      </c>
      <c r="L85" s="46">
        <v>140.30000000000001</v>
      </c>
      <c r="M85" s="46">
        <v>123.4</v>
      </c>
      <c r="N85" s="46">
        <v>134.5</v>
      </c>
      <c r="O85" s="46">
        <v>142.30000000000001</v>
      </c>
      <c r="P85" s="46">
        <v>140</v>
      </c>
      <c r="Q85" s="46">
        <v>134</v>
      </c>
      <c r="R85" s="46">
        <v>130.69999999999999</v>
      </c>
      <c r="S85" s="46">
        <v>109.5</v>
      </c>
      <c r="T85" s="46">
        <v>150</v>
      </c>
      <c r="U85" s="46">
        <v>138</v>
      </c>
      <c r="V85" s="46">
        <v>129</v>
      </c>
      <c r="W85" s="46">
        <v>143</v>
      </c>
      <c r="X85" s="46">
        <v>105.3</v>
      </c>
      <c r="Y85" s="46">
        <v>0</v>
      </c>
      <c r="Z85" s="46">
        <v>0</v>
      </c>
      <c r="AA85" s="46">
        <v>0</v>
      </c>
      <c r="AB85" s="46"/>
      <c r="AC85" s="46"/>
      <c r="AD85" s="46"/>
      <c r="AE85" s="46">
        <v>0</v>
      </c>
      <c r="AF85" s="46">
        <v>0</v>
      </c>
      <c r="AG85" s="88"/>
      <c r="AH85" s="48">
        <f t="shared" si="31"/>
        <v>150</v>
      </c>
      <c r="AI85" s="49">
        <f t="shared" si="32"/>
        <v>0</v>
      </c>
      <c r="AK85" s="51"/>
      <c r="AY85" s="82"/>
      <c r="BF85" s="81"/>
      <c r="BG85" s="82">
        <v>9.5</v>
      </c>
      <c r="BH85" s="82">
        <v>0</v>
      </c>
      <c r="BI85" s="82">
        <v>0</v>
      </c>
      <c r="BJ85" s="82">
        <v>0</v>
      </c>
      <c r="BK85" s="82">
        <v>0</v>
      </c>
      <c r="BL85" s="82">
        <v>39.6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1"/>
        <v>0</v>
      </c>
      <c r="AI86" s="49">
        <f t="shared" si="32"/>
        <v>0</v>
      </c>
      <c r="AK86" s="51"/>
      <c r="AY86" s="82"/>
      <c r="BF86" s="81"/>
      <c r="BG86" s="82">
        <v>13.7</v>
      </c>
      <c r="BH86" s="82">
        <v>0</v>
      </c>
      <c r="BI86" s="82">
        <v>7</v>
      </c>
      <c r="BJ86" s="82">
        <v>0</v>
      </c>
      <c r="BK86" s="82">
        <v>0</v>
      </c>
      <c r="BL86" s="82">
        <v>37.200000000000003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1"/>
        <v>0</v>
      </c>
      <c r="AI87" s="49">
        <f t="shared" si="32"/>
        <v>0</v>
      </c>
      <c r="AK87" s="51"/>
      <c r="AL87" s="91" t="s">
        <v>111</v>
      </c>
      <c r="AM87" s="91"/>
      <c r="AY87" s="82"/>
      <c r="BF87" s="82"/>
      <c r="BG87" s="82">
        <v>11.5</v>
      </c>
      <c r="BH87" s="82">
        <v>0</v>
      </c>
      <c r="BI87" s="82">
        <v>60.5</v>
      </c>
      <c r="BJ87" s="82">
        <v>0</v>
      </c>
      <c r="BK87" s="82">
        <v>0</v>
      </c>
      <c r="BL87" s="82">
        <v>41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1"/>
        <v>0</v>
      </c>
      <c r="AI88" s="49">
        <f t="shared" si="32"/>
        <v>0</v>
      </c>
      <c r="AK88" s="92"/>
      <c r="AL88" s="93"/>
      <c r="AM88" s="93"/>
      <c r="AN88" s="94"/>
      <c r="AY88" s="82"/>
      <c r="BF88" s="82"/>
      <c r="BG88" s="82">
        <v>20.6</v>
      </c>
      <c r="BH88" s="82">
        <v>0</v>
      </c>
      <c r="BI88" s="82">
        <v>0</v>
      </c>
      <c r="BJ88" s="82">
        <v>0</v>
      </c>
      <c r="BK88" s="82">
        <v>0</v>
      </c>
      <c r="BL88" s="82">
        <v>39.700000000000003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1"/>
        <v>0</v>
      </c>
      <c r="AI89" s="49">
        <f t="shared" si="32"/>
        <v>0</v>
      </c>
      <c r="AK89" s="95" t="s">
        <v>114</v>
      </c>
      <c r="AL89" s="76"/>
      <c r="AM89" s="89"/>
      <c r="AN89" s="96"/>
      <c r="AY89" s="82"/>
      <c r="BF89" s="82"/>
      <c r="BG89" s="82">
        <v>6.7</v>
      </c>
      <c r="BH89" s="82">
        <v>0</v>
      </c>
      <c r="BI89" s="82">
        <v>15.7</v>
      </c>
      <c r="BJ89" s="82">
        <v>0</v>
      </c>
      <c r="BK89" s="82">
        <v>0</v>
      </c>
      <c r="BL89" s="82">
        <v>39.200000000000003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1"/>
        <v>0</v>
      </c>
      <c r="AI90" s="49">
        <f t="shared" si="32"/>
        <v>0</v>
      </c>
      <c r="AK90" s="95" t="s">
        <v>116</v>
      </c>
      <c r="AL90" s="89"/>
      <c r="AM90" s="89"/>
      <c r="AN90" s="96"/>
      <c r="AY90" s="82"/>
      <c r="BF90" s="82"/>
      <c r="BG90" s="82">
        <v>56.1</v>
      </c>
      <c r="BH90" s="82">
        <v>0</v>
      </c>
      <c r="BI90" s="82">
        <v>294</v>
      </c>
      <c r="BJ90" s="82">
        <v>47.7</v>
      </c>
      <c r="BK90" s="82">
        <v>130.1</v>
      </c>
      <c r="BL90" s="82">
        <v>41</v>
      </c>
    </row>
    <row r="91" spans="1:64" ht="15.75" thickBot="1" x14ac:dyDescent="0.3">
      <c r="A91" s="97" t="s">
        <v>117</v>
      </c>
      <c r="B91" s="90">
        <v>41.2</v>
      </c>
      <c r="C91" s="90">
        <v>40.5</v>
      </c>
      <c r="D91" s="90">
        <v>39.6</v>
      </c>
      <c r="E91" s="90">
        <v>37.200000000000003</v>
      </c>
      <c r="F91" s="90">
        <v>41</v>
      </c>
      <c r="G91" s="90">
        <v>39.700000000000003</v>
      </c>
      <c r="H91" s="90">
        <v>39</v>
      </c>
      <c r="I91" s="90">
        <v>39.200000000000003</v>
      </c>
      <c r="J91" s="90">
        <v>41.1</v>
      </c>
      <c r="K91" s="90">
        <v>41</v>
      </c>
      <c r="L91" s="90">
        <v>50</v>
      </c>
      <c r="M91" s="90">
        <v>41.7</v>
      </c>
      <c r="N91" s="90">
        <v>43</v>
      </c>
      <c r="O91" s="90">
        <v>44.9</v>
      </c>
      <c r="P91" s="90">
        <v>44.7</v>
      </c>
      <c r="Q91" s="90">
        <v>42</v>
      </c>
      <c r="R91" s="90">
        <v>45.6</v>
      </c>
      <c r="S91" s="90">
        <v>45.6</v>
      </c>
      <c r="T91" s="90">
        <v>45.6</v>
      </c>
      <c r="U91" s="90">
        <v>45.6</v>
      </c>
      <c r="V91" s="90">
        <v>48</v>
      </c>
      <c r="W91" s="90">
        <v>48.2</v>
      </c>
      <c r="X91" s="90">
        <v>40.9</v>
      </c>
      <c r="Y91" s="90">
        <v>40</v>
      </c>
      <c r="Z91" s="90">
        <v>36</v>
      </c>
      <c r="AA91" s="90">
        <v>37</v>
      </c>
      <c r="AB91" s="90">
        <v>33.200000000000003</v>
      </c>
      <c r="AC91" s="90">
        <v>31</v>
      </c>
      <c r="AD91" s="90">
        <v>32.799999999999997</v>
      </c>
      <c r="AE91" s="90">
        <v>35.299999999999997</v>
      </c>
      <c r="AF91" s="90">
        <v>36.1</v>
      </c>
      <c r="AG91" s="98"/>
      <c r="AH91" s="48">
        <f t="shared" si="31"/>
        <v>50</v>
      </c>
      <c r="AI91" s="49">
        <f t="shared" si="32"/>
        <v>31</v>
      </c>
      <c r="AK91" s="99"/>
      <c r="AL91" s="46"/>
      <c r="AM91" s="46"/>
      <c r="AN91" s="100"/>
      <c r="AY91" s="82"/>
      <c r="BF91" s="82"/>
      <c r="BG91" s="82">
        <v>58.2</v>
      </c>
      <c r="BH91" s="82">
        <v>61.6</v>
      </c>
      <c r="BI91" s="82">
        <v>248.7</v>
      </c>
      <c r="BJ91" s="82">
        <v>51.9</v>
      </c>
      <c r="BK91" s="82">
        <v>123.4</v>
      </c>
      <c r="BL91" s="82">
        <v>41.7</v>
      </c>
    </row>
    <row r="92" spans="1:64" ht="15.75" thickBot="1" x14ac:dyDescent="0.3">
      <c r="A92" s="87" t="s">
        <v>118</v>
      </c>
      <c r="B92" s="71">
        <f>SUMIF(B81:B91,"&gt;0")</f>
        <v>50.900000000000006</v>
      </c>
      <c r="C92" s="71">
        <f>SUMIF(C81:C91,"&gt;0")</f>
        <v>54.6</v>
      </c>
      <c r="D92" s="71">
        <f>SUMIF(D81:D91,"&gt;0")</f>
        <v>49.1</v>
      </c>
      <c r="E92" s="71">
        <f t="shared" ref="E92:AF92" si="33">SUMIF(E81:E91,"&gt;0")</f>
        <v>57.900000000000006</v>
      </c>
      <c r="F92" s="71">
        <f t="shared" si="33"/>
        <v>113</v>
      </c>
      <c r="G92" s="71">
        <f t="shared" si="33"/>
        <v>60.300000000000004</v>
      </c>
      <c r="H92" s="71">
        <f t="shared" si="33"/>
        <v>52.4</v>
      </c>
      <c r="I92" s="71">
        <f t="shared" si="33"/>
        <v>61.6</v>
      </c>
      <c r="J92" s="71">
        <f t="shared" si="33"/>
        <v>453.4</v>
      </c>
      <c r="K92" s="71">
        <f t="shared" si="33"/>
        <v>568.9</v>
      </c>
      <c r="L92" s="71">
        <f t="shared" si="33"/>
        <v>476.2</v>
      </c>
      <c r="M92" s="71">
        <f t="shared" si="33"/>
        <v>585.5</v>
      </c>
      <c r="N92" s="71">
        <f t="shared" si="33"/>
        <v>607.20000000000005</v>
      </c>
      <c r="O92" s="71">
        <f t="shared" si="33"/>
        <v>668.9</v>
      </c>
      <c r="P92" s="71">
        <f t="shared" si="33"/>
        <v>700.7</v>
      </c>
      <c r="Q92" s="71">
        <f>SUMIF(Q81:Q91,"&gt;0")</f>
        <v>699</v>
      </c>
      <c r="R92" s="71">
        <f t="shared" si="33"/>
        <v>726.80000000000007</v>
      </c>
      <c r="S92" s="71">
        <f t="shared" si="33"/>
        <v>757.3</v>
      </c>
      <c r="T92" s="71">
        <f t="shared" si="33"/>
        <v>805.6</v>
      </c>
      <c r="U92" s="71">
        <f t="shared" si="33"/>
        <v>680.9</v>
      </c>
      <c r="V92" s="71">
        <f t="shared" si="33"/>
        <v>606</v>
      </c>
      <c r="W92" s="71">
        <f t="shared" si="33"/>
        <v>614.10000000000014</v>
      </c>
      <c r="X92" s="71">
        <f t="shared" si="33"/>
        <v>540.20000000000005</v>
      </c>
      <c r="Y92" s="71">
        <f t="shared" si="33"/>
        <v>199</v>
      </c>
      <c r="Z92" s="71">
        <f t="shared" si="33"/>
        <v>200.8</v>
      </c>
      <c r="AA92" s="71">
        <f t="shared" si="33"/>
        <v>183.8</v>
      </c>
      <c r="AB92" s="71">
        <f>SUMIF(AB81:AB91,"&gt;0")</f>
        <v>187.3</v>
      </c>
      <c r="AC92" s="71">
        <f t="shared" si="33"/>
        <v>166.4</v>
      </c>
      <c r="AD92" s="71">
        <f t="shared" si="33"/>
        <v>174.10000000000002</v>
      </c>
      <c r="AE92" s="71">
        <f t="shared" si="33"/>
        <v>86.1</v>
      </c>
      <c r="AF92" s="71">
        <f t="shared" si="33"/>
        <v>132.70000000000002</v>
      </c>
      <c r="AG92" s="101">
        <f>SUM(AG81:AG91)</f>
        <v>0</v>
      </c>
      <c r="AH92" s="48">
        <f t="shared" si="31"/>
        <v>805.6</v>
      </c>
      <c r="AI92" s="49">
        <f t="shared" si="32"/>
        <v>49.1</v>
      </c>
      <c r="AK92" s="99"/>
      <c r="AL92" s="90"/>
      <c r="AM92" s="102"/>
      <c r="AN92" s="202"/>
      <c r="AY92" s="82"/>
      <c r="BF92" s="82"/>
      <c r="BG92" s="82">
        <v>63.7</v>
      </c>
      <c r="BH92" s="82">
        <v>0</v>
      </c>
      <c r="BI92" s="82">
        <v>316.60000000000002</v>
      </c>
      <c r="BJ92" s="82">
        <v>49.4</v>
      </c>
      <c r="BK92" s="82">
        <v>134.5</v>
      </c>
      <c r="BL92" s="82">
        <v>43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1"/>
        <v>0</v>
      </c>
      <c r="AI93" s="49">
        <f t="shared" si="32"/>
        <v>0</v>
      </c>
      <c r="AK93" s="99"/>
      <c r="AL93" s="90"/>
      <c r="AM93" s="90"/>
      <c r="AN93" s="203"/>
      <c r="BF93" s="82"/>
      <c r="BG93" s="82">
        <v>66.8</v>
      </c>
      <c r="BH93" s="82">
        <v>0</v>
      </c>
      <c r="BI93" s="82">
        <v>363.3</v>
      </c>
      <c r="BJ93" s="82">
        <v>51.6</v>
      </c>
      <c r="BK93" s="82">
        <v>142.30000000000001</v>
      </c>
      <c r="BL93" s="82">
        <v>44.9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1"/>
        <v>0</v>
      </c>
      <c r="AI94" s="49">
        <f t="shared" si="32"/>
        <v>0</v>
      </c>
      <c r="AK94" s="104"/>
      <c r="AL94" s="105"/>
      <c r="AM94" s="105"/>
      <c r="AN94" s="106"/>
      <c r="BF94" s="82"/>
      <c r="BG94" s="82">
        <v>69.2</v>
      </c>
      <c r="BH94" s="82">
        <v>60.8</v>
      </c>
      <c r="BI94" s="82">
        <v>337.9</v>
      </c>
      <c r="BJ94" s="82">
        <v>48.1</v>
      </c>
      <c r="BK94" s="82">
        <v>140</v>
      </c>
      <c r="BL94" s="82">
        <v>44.7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1"/>
        <v>0</v>
      </c>
      <c r="AI95" s="49">
        <f t="shared" si="32"/>
        <v>0</v>
      </c>
      <c r="BF95" s="82"/>
      <c r="BG95" s="82">
        <v>71</v>
      </c>
      <c r="BH95" s="82">
        <v>94</v>
      </c>
      <c r="BI95" s="82">
        <v>310</v>
      </c>
      <c r="BJ95" s="82">
        <v>48</v>
      </c>
      <c r="BK95" s="82">
        <v>134</v>
      </c>
      <c r="BL95" s="82">
        <v>42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1"/>
        <v>0</v>
      </c>
      <c r="AI96" s="49">
        <f t="shared" si="32"/>
        <v>0</v>
      </c>
      <c r="BF96" s="82"/>
      <c r="BG96" s="82">
        <v>74.599999999999994</v>
      </c>
      <c r="BH96" s="82">
        <v>94.3</v>
      </c>
      <c r="BI96" s="82">
        <v>332.8</v>
      </c>
      <c r="BJ96" s="82">
        <v>48.8</v>
      </c>
      <c r="BK96" s="82">
        <v>130.69999999999999</v>
      </c>
      <c r="BL96" s="82">
        <v>45.6</v>
      </c>
    </row>
    <row r="97" spans="1:64" ht="15.75" thickBot="1" x14ac:dyDescent="0.3">
      <c r="A97" s="87" t="s">
        <v>123</v>
      </c>
      <c r="B97" s="108">
        <f>B58+B62+B80+B76+B92+B96</f>
        <v>1306.5700000000002</v>
      </c>
      <c r="C97" s="108">
        <f>C58+C62+C80+C76+C92+C96</f>
        <v>1249.17</v>
      </c>
      <c r="D97" s="108">
        <f>D58+D62+D80+D76+D92+D96</f>
        <v>1196.3699999999999</v>
      </c>
      <c r="E97" s="108">
        <f t="shared" ref="E97:AG97" si="34">E58+E62+E80+E76+E92+E96</f>
        <v>1107.9700000000003</v>
      </c>
      <c r="F97" s="108">
        <f t="shared" si="34"/>
        <v>1122.0700000000002</v>
      </c>
      <c r="G97" s="108">
        <f t="shared" si="34"/>
        <v>1055.57</v>
      </c>
      <c r="H97" s="108">
        <f t="shared" si="34"/>
        <v>1079.5700000000002</v>
      </c>
      <c r="I97" s="108">
        <f t="shared" si="34"/>
        <v>1205.27</v>
      </c>
      <c r="J97" s="108">
        <f t="shared" si="34"/>
        <v>1290.27</v>
      </c>
      <c r="K97" s="108">
        <f t="shared" si="34"/>
        <v>1418.27</v>
      </c>
      <c r="L97" s="108">
        <f t="shared" si="34"/>
        <v>1527.57</v>
      </c>
      <c r="M97" s="108">
        <f t="shared" si="34"/>
        <v>1467.27</v>
      </c>
      <c r="N97" s="108">
        <f t="shared" si="34"/>
        <v>1538.97</v>
      </c>
      <c r="O97" s="108">
        <f t="shared" si="34"/>
        <v>1608.97</v>
      </c>
      <c r="P97" s="108">
        <f t="shared" si="34"/>
        <v>1682.7700000000002</v>
      </c>
      <c r="Q97" s="108">
        <f>Q58+Q62+Q80+Q76+Q92+Q96</f>
        <v>1702.3700000000001</v>
      </c>
      <c r="R97" s="108">
        <f t="shared" si="34"/>
        <v>1732.3700000000003</v>
      </c>
      <c r="S97" s="108">
        <f t="shared" si="34"/>
        <v>1715.3400000000001</v>
      </c>
      <c r="T97" s="108">
        <f t="shared" si="34"/>
        <v>1780.8389999999999</v>
      </c>
      <c r="U97" s="108">
        <f t="shared" si="34"/>
        <v>1737.8389999999999</v>
      </c>
      <c r="V97" s="108">
        <f t="shared" si="34"/>
        <v>1605.4390000000001</v>
      </c>
      <c r="W97" s="108">
        <f t="shared" si="34"/>
        <v>1677.9390000000001</v>
      </c>
      <c r="X97" s="108">
        <f t="shared" si="34"/>
        <v>1562.94</v>
      </c>
      <c r="Y97" s="108">
        <f t="shared" si="34"/>
        <v>1294.5999999999999</v>
      </c>
      <c r="Z97" s="108">
        <f t="shared" si="34"/>
        <v>1348.3999999999999</v>
      </c>
      <c r="AA97" s="108">
        <f t="shared" si="34"/>
        <v>1511.84</v>
      </c>
      <c r="AB97" s="108">
        <f>AB58+AB62+AB80+AB76+AB92+AB96</f>
        <v>1513.54</v>
      </c>
      <c r="AC97" s="108">
        <f t="shared" si="34"/>
        <v>1479.8400000000001</v>
      </c>
      <c r="AD97" s="108">
        <f t="shared" si="34"/>
        <v>1467.1399999999999</v>
      </c>
      <c r="AE97" s="108">
        <f t="shared" si="34"/>
        <v>1418.14</v>
      </c>
      <c r="AF97" s="108">
        <f t="shared" si="34"/>
        <v>1365.24</v>
      </c>
      <c r="AG97" s="72">
        <f t="shared" si="34"/>
        <v>2231.81</v>
      </c>
      <c r="AH97" s="48">
        <f t="shared" si="31"/>
        <v>1780.8389999999999</v>
      </c>
      <c r="AI97" s="49">
        <f t="shared" si="32"/>
        <v>1055.57</v>
      </c>
      <c r="BF97" s="82"/>
      <c r="BG97" s="82">
        <v>69.900000000000006</v>
      </c>
      <c r="BH97" s="82">
        <v>110.5</v>
      </c>
      <c r="BI97" s="82">
        <v>373</v>
      </c>
      <c r="BJ97" s="82">
        <v>48.8</v>
      </c>
      <c r="BK97" s="82">
        <v>109.5</v>
      </c>
      <c r="BL97" s="82">
        <v>45.6</v>
      </c>
    </row>
    <row r="98" spans="1:64" ht="15.75" thickBot="1" x14ac:dyDescent="0.3">
      <c r="A98" s="109" t="s">
        <v>124</v>
      </c>
      <c r="B98" s="110">
        <v>210</v>
      </c>
      <c r="C98" s="110">
        <v>210</v>
      </c>
      <c r="D98" s="110">
        <v>210</v>
      </c>
      <c r="E98" s="110">
        <v>210</v>
      </c>
      <c r="F98" s="110">
        <v>210</v>
      </c>
      <c r="G98" s="110">
        <v>200</v>
      </c>
      <c r="H98" s="110">
        <v>200</v>
      </c>
      <c r="I98" s="110">
        <v>160</v>
      </c>
      <c r="J98" s="110">
        <v>80</v>
      </c>
      <c r="K98" s="110">
        <v>0</v>
      </c>
      <c r="L98" s="110">
        <v>0</v>
      </c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300</v>
      </c>
      <c r="Z98" s="110">
        <v>300</v>
      </c>
      <c r="AA98" s="110">
        <v>300</v>
      </c>
      <c r="AB98" s="110">
        <v>300</v>
      </c>
      <c r="AC98" s="110">
        <v>300</v>
      </c>
      <c r="AD98" s="110">
        <v>300</v>
      </c>
      <c r="AE98" s="110">
        <v>300</v>
      </c>
      <c r="AF98" s="110">
        <v>300</v>
      </c>
      <c r="AG98" s="101"/>
      <c r="AH98" s="48">
        <f t="shared" si="31"/>
        <v>300</v>
      </c>
      <c r="AI98" s="49">
        <f t="shared" si="32"/>
        <v>0</v>
      </c>
      <c r="BF98" s="82"/>
      <c r="BG98" s="82">
        <v>72</v>
      </c>
      <c r="BH98" s="82">
        <v>111.6</v>
      </c>
      <c r="BI98" s="82">
        <v>378</v>
      </c>
      <c r="BJ98" s="82">
        <v>48.4</v>
      </c>
      <c r="BK98" s="82">
        <v>150</v>
      </c>
      <c r="BL98" s="82">
        <v>45.6</v>
      </c>
    </row>
    <row r="99" spans="1:64" ht="15.75" thickBot="1" x14ac:dyDescent="0.3">
      <c r="A99" s="87" t="s">
        <v>125</v>
      </c>
      <c r="B99" s="108">
        <f>B97+B98</f>
        <v>1516.5700000000002</v>
      </c>
      <c r="C99" s="108">
        <f>C97+C98</f>
        <v>1459.17</v>
      </c>
      <c r="D99" s="108">
        <f>D97+D98</f>
        <v>1406.37</v>
      </c>
      <c r="E99" s="108">
        <f t="shared" ref="E99:AF99" si="35">E97+E98</f>
        <v>1317.9700000000003</v>
      </c>
      <c r="F99" s="108">
        <f t="shared" si="35"/>
        <v>1332.0700000000002</v>
      </c>
      <c r="G99" s="108">
        <f t="shared" si="35"/>
        <v>1255.57</v>
      </c>
      <c r="H99" s="108">
        <f t="shared" si="35"/>
        <v>1279.5700000000002</v>
      </c>
      <c r="I99" s="108">
        <f t="shared" si="35"/>
        <v>1365.27</v>
      </c>
      <c r="J99" s="108">
        <f t="shared" si="35"/>
        <v>1370.27</v>
      </c>
      <c r="K99" s="108">
        <f t="shared" si="35"/>
        <v>1418.27</v>
      </c>
      <c r="L99" s="108">
        <f t="shared" si="35"/>
        <v>1527.57</v>
      </c>
      <c r="M99" s="108">
        <f t="shared" si="35"/>
        <v>1467.27</v>
      </c>
      <c r="N99" s="108">
        <f t="shared" si="35"/>
        <v>1538.97</v>
      </c>
      <c r="O99" s="108">
        <f t="shared" si="35"/>
        <v>1608.97</v>
      </c>
      <c r="P99" s="108">
        <f t="shared" si="35"/>
        <v>1682.7700000000002</v>
      </c>
      <c r="Q99" s="108">
        <f>Q97+Q98</f>
        <v>1702.3700000000001</v>
      </c>
      <c r="R99" s="108">
        <f t="shared" si="35"/>
        <v>1732.3700000000003</v>
      </c>
      <c r="S99" s="108">
        <f t="shared" si="35"/>
        <v>1715.3400000000001</v>
      </c>
      <c r="T99" s="108">
        <f t="shared" si="35"/>
        <v>1780.8389999999999</v>
      </c>
      <c r="U99" s="108">
        <f t="shared" si="35"/>
        <v>1737.8389999999999</v>
      </c>
      <c r="V99" s="108">
        <f t="shared" si="35"/>
        <v>1605.4390000000001</v>
      </c>
      <c r="W99" s="108">
        <f t="shared" si="35"/>
        <v>1677.9390000000001</v>
      </c>
      <c r="X99" s="108">
        <f t="shared" si="35"/>
        <v>1562.94</v>
      </c>
      <c r="Y99" s="108">
        <f t="shared" si="35"/>
        <v>1594.6</v>
      </c>
      <c r="Z99" s="108">
        <f t="shared" si="35"/>
        <v>1648.3999999999999</v>
      </c>
      <c r="AA99" s="108">
        <f t="shared" si="35"/>
        <v>1811.84</v>
      </c>
      <c r="AB99" s="108">
        <f t="shared" si="35"/>
        <v>1813.54</v>
      </c>
      <c r="AC99" s="108">
        <f t="shared" si="35"/>
        <v>1779.8400000000001</v>
      </c>
      <c r="AD99" s="108">
        <f t="shared" si="35"/>
        <v>1767.1399999999999</v>
      </c>
      <c r="AE99" s="108">
        <f t="shared" si="35"/>
        <v>1718.14</v>
      </c>
      <c r="AF99" s="108">
        <f t="shared" si="35"/>
        <v>1665.24</v>
      </c>
      <c r="AG99" s="101">
        <f>AG96+AG92+AG80+AG76+AG58+AG98</f>
        <v>1693.71</v>
      </c>
      <c r="AH99" s="48">
        <f t="shared" si="31"/>
        <v>1813.54</v>
      </c>
      <c r="AI99" s="49">
        <f t="shared" si="32"/>
        <v>1255.57</v>
      </c>
      <c r="BF99" s="82"/>
      <c r="BG99" s="82">
        <v>65.400000000000006</v>
      </c>
      <c r="BH99" s="82">
        <v>66.900000000000006</v>
      </c>
      <c r="BI99" s="82">
        <v>317</v>
      </c>
      <c r="BJ99" s="82">
        <v>48</v>
      </c>
      <c r="BK99" s="82">
        <v>138</v>
      </c>
      <c r="BL99" s="82">
        <v>45.6</v>
      </c>
    </row>
    <row r="100" spans="1:64" ht="15.75" thickBot="1" x14ac:dyDescent="0.3">
      <c r="A100" s="87" t="s">
        <v>126</v>
      </c>
      <c r="B100" s="108">
        <f>B99-(B107)</f>
        <v>1516.5700000000002</v>
      </c>
      <c r="C100" s="108">
        <f>C99-(C107)</f>
        <v>1459.17</v>
      </c>
      <c r="D100" s="108">
        <f>D99-(D107)</f>
        <v>1406.37</v>
      </c>
      <c r="E100" s="108">
        <f t="shared" ref="E100:AF100" si="36">E99-(E107)</f>
        <v>1317.9700000000003</v>
      </c>
      <c r="F100" s="108">
        <f t="shared" si="36"/>
        <v>1332.0700000000002</v>
      </c>
      <c r="G100" s="108">
        <f t="shared" si="36"/>
        <v>1255.57</v>
      </c>
      <c r="H100" s="108">
        <f t="shared" si="36"/>
        <v>1279.5700000000002</v>
      </c>
      <c r="I100" s="108">
        <f t="shared" si="36"/>
        <v>1365.27</v>
      </c>
      <c r="J100" s="108">
        <f t="shared" si="36"/>
        <v>1370.27</v>
      </c>
      <c r="K100" s="108">
        <f t="shared" si="36"/>
        <v>1418.27</v>
      </c>
      <c r="L100" s="108">
        <f t="shared" si="36"/>
        <v>1527.57</v>
      </c>
      <c r="M100" s="108">
        <f t="shared" si="36"/>
        <v>1467.27</v>
      </c>
      <c r="N100" s="108">
        <f t="shared" si="36"/>
        <v>1538.97</v>
      </c>
      <c r="O100" s="108">
        <f t="shared" si="36"/>
        <v>1608.97</v>
      </c>
      <c r="P100" s="108">
        <f t="shared" si="36"/>
        <v>1682.7700000000002</v>
      </c>
      <c r="Q100" s="108">
        <f>Q99-(Q107)</f>
        <v>1702.3700000000001</v>
      </c>
      <c r="R100" s="108">
        <f t="shared" si="36"/>
        <v>1732.3700000000003</v>
      </c>
      <c r="S100" s="108">
        <f t="shared" si="36"/>
        <v>1715.3400000000001</v>
      </c>
      <c r="T100" s="108">
        <f t="shared" si="36"/>
        <v>1780.8389999999999</v>
      </c>
      <c r="U100" s="108">
        <f t="shared" si="36"/>
        <v>1737.8389999999999</v>
      </c>
      <c r="V100" s="108">
        <f t="shared" si="36"/>
        <v>1605.4390000000001</v>
      </c>
      <c r="W100" s="108">
        <f t="shared" si="36"/>
        <v>1677.9390000000001</v>
      </c>
      <c r="X100" s="108">
        <f t="shared" si="36"/>
        <v>1562.94</v>
      </c>
      <c r="Y100" s="108">
        <f t="shared" si="36"/>
        <v>1594.6</v>
      </c>
      <c r="Z100" s="108">
        <f t="shared" si="36"/>
        <v>1648.3999999999999</v>
      </c>
      <c r="AA100" s="108">
        <f t="shared" si="36"/>
        <v>1811.84</v>
      </c>
      <c r="AB100" s="108">
        <f t="shared" si="36"/>
        <v>1813.54</v>
      </c>
      <c r="AC100" s="108">
        <f t="shared" si="36"/>
        <v>1779.8400000000001</v>
      </c>
      <c r="AD100" s="108">
        <f t="shared" si="36"/>
        <v>1767.1399999999999</v>
      </c>
      <c r="AE100" s="108">
        <f t="shared" si="36"/>
        <v>1718.14</v>
      </c>
      <c r="AF100" s="108">
        <f t="shared" si="36"/>
        <v>1665.24</v>
      </c>
      <c r="AG100" s="101"/>
      <c r="AH100" s="48">
        <f t="shared" si="31"/>
        <v>1813.54</v>
      </c>
      <c r="AI100" s="49">
        <f t="shared" si="32"/>
        <v>1255.57</v>
      </c>
      <c r="BF100" s="82"/>
      <c r="BG100" s="82">
        <v>62</v>
      </c>
      <c r="BH100" s="82">
        <v>67</v>
      </c>
      <c r="BI100" s="82">
        <v>250</v>
      </c>
      <c r="BJ100" s="82">
        <v>50</v>
      </c>
      <c r="BK100" s="82">
        <v>129</v>
      </c>
      <c r="BL100" s="82">
        <v>48</v>
      </c>
    </row>
    <row r="101" spans="1:64" x14ac:dyDescent="0.25">
      <c r="A101" s="45" t="s">
        <v>107</v>
      </c>
      <c r="B101" s="89">
        <f>IF(B84&lt;0,B84*-1,0)</f>
        <v>0</v>
      </c>
      <c r="C101" s="89">
        <f>IF(C84&lt;0,C84*-1,0)</f>
        <v>0</v>
      </c>
      <c r="D101" s="89">
        <f>IF(D84&lt;0,D84*-1,0)</f>
        <v>0</v>
      </c>
      <c r="E101" s="89">
        <f t="shared" ref="E101:AF101" si="37">IF(E84&lt;0,E84*-1,0)</f>
        <v>0</v>
      </c>
      <c r="F101" s="89">
        <f t="shared" si="37"/>
        <v>0</v>
      </c>
      <c r="G101" s="89">
        <f t="shared" si="37"/>
        <v>0</v>
      </c>
      <c r="H101" s="89">
        <f t="shared" si="37"/>
        <v>0</v>
      </c>
      <c r="I101" s="89">
        <f t="shared" si="37"/>
        <v>0</v>
      </c>
      <c r="J101" s="89">
        <f t="shared" si="37"/>
        <v>0</v>
      </c>
      <c r="K101" s="89">
        <f t="shared" si="37"/>
        <v>0</v>
      </c>
      <c r="L101" s="89">
        <f t="shared" si="37"/>
        <v>0</v>
      </c>
      <c r="M101" s="89">
        <f t="shared" si="37"/>
        <v>0</v>
      </c>
      <c r="N101" s="89">
        <f t="shared" si="37"/>
        <v>0</v>
      </c>
      <c r="O101" s="89">
        <f t="shared" si="37"/>
        <v>0</v>
      </c>
      <c r="P101" s="89">
        <f t="shared" si="37"/>
        <v>0</v>
      </c>
      <c r="Q101" s="89">
        <f>IF(Q84&lt;0,Q84*-1,0)</f>
        <v>0</v>
      </c>
      <c r="R101" s="89">
        <f t="shared" si="37"/>
        <v>0</v>
      </c>
      <c r="S101" s="89">
        <f t="shared" si="37"/>
        <v>0</v>
      </c>
      <c r="T101" s="89">
        <f t="shared" si="37"/>
        <v>0</v>
      </c>
      <c r="U101" s="89">
        <f t="shared" si="37"/>
        <v>0</v>
      </c>
      <c r="V101" s="89">
        <f t="shared" si="37"/>
        <v>0</v>
      </c>
      <c r="W101" s="89">
        <f t="shared" si="37"/>
        <v>0</v>
      </c>
      <c r="X101" s="89">
        <f t="shared" si="37"/>
        <v>0</v>
      </c>
      <c r="Y101" s="89">
        <f t="shared" si="37"/>
        <v>0</v>
      </c>
      <c r="Z101" s="89">
        <f t="shared" si="37"/>
        <v>0</v>
      </c>
      <c r="AA101" s="89">
        <f t="shared" si="37"/>
        <v>0</v>
      </c>
      <c r="AB101" s="89">
        <f t="shared" si="37"/>
        <v>0</v>
      </c>
      <c r="AC101" s="89">
        <f t="shared" si="37"/>
        <v>0</v>
      </c>
      <c r="AD101" s="89">
        <f t="shared" si="37"/>
        <v>0</v>
      </c>
      <c r="AE101" s="89">
        <f t="shared" si="37"/>
        <v>0</v>
      </c>
      <c r="AF101" s="89">
        <f t="shared" si="37"/>
        <v>0</v>
      </c>
      <c r="AG101" s="61"/>
      <c r="AH101" s="48">
        <f t="shared" si="31"/>
        <v>0</v>
      </c>
      <c r="AI101" s="49">
        <f t="shared" si="32"/>
        <v>0</v>
      </c>
      <c r="BF101" s="81"/>
      <c r="BG101" s="82">
        <v>69.3</v>
      </c>
      <c r="BH101" s="82">
        <v>60.1</v>
      </c>
      <c r="BI101" s="82">
        <v>220</v>
      </c>
      <c r="BJ101" s="82">
        <v>44.6</v>
      </c>
      <c r="BK101" s="82">
        <v>105.3</v>
      </c>
      <c r="BL101" s="82">
        <v>40.9</v>
      </c>
    </row>
    <row r="102" spans="1:64" x14ac:dyDescent="0.25">
      <c r="A102" s="65" t="s">
        <v>105</v>
      </c>
      <c r="B102" s="89">
        <f>IF(B82&lt;0,B82*-1,0)</f>
        <v>0</v>
      </c>
      <c r="C102" s="89">
        <f>IF(C82&lt;0,C82*-1,0)</f>
        <v>0</v>
      </c>
      <c r="D102" s="89">
        <f>IF(D82&lt;0,D82*-1,0)</f>
        <v>0</v>
      </c>
      <c r="E102" s="89">
        <f t="shared" ref="E102:AF102" si="38">IF(E82&lt;0,E82*-1,0)</f>
        <v>0</v>
      </c>
      <c r="F102" s="89">
        <f t="shared" si="38"/>
        <v>0</v>
      </c>
      <c r="G102" s="89">
        <f t="shared" si="38"/>
        <v>0</v>
      </c>
      <c r="H102" s="89">
        <f t="shared" si="38"/>
        <v>0</v>
      </c>
      <c r="I102" s="89">
        <f t="shared" si="38"/>
        <v>0</v>
      </c>
      <c r="J102" s="89">
        <f t="shared" si="38"/>
        <v>0</v>
      </c>
      <c r="K102" s="89">
        <f t="shared" si="38"/>
        <v>0</v>
      </c>
      <c r="L102" s="89">
        <f t="shared" si="38"/>
        <v>0</v>
      </c>
      <c r="M102" s="89">
        <f t="shared" si="38"/>
        <v>0</v>
      </c>
      <c r="N102" s="89">
        <f t="shared" si="38"/>
        <v>0</v>
      </c>
      <c r="O102" s="89">
        <f t="shared" si="38"/>
        <v>0</v>
      </c>
      <c r="P102" s="89">
        <f t="shared" si="38"/>
        <v>0</v>
      </c>
      <c r="Q102" s="89">
        <f>IF(Q82&lt;0,Q82*-1,0)</f>
        <v>0</v>
      </c>
      <c r="R102" s="89">
        <f t="shared" si="38"/>
        <v>0</v>
      </c>
      <c r="S102" s="89">
        <f t="shared" si="38"/>
        <v>0</v>
      </c>
      <c r="T102" s="89">
        <f t="shared" si="38"/>
        <v>0</v>
      </c>
      <c r="U102" s="89">
        <f t="shared" si="38"/>
        <v>0</v>
      </c>
      <c r="V102" s="89">
        <f t="shared" si="38"/>
        <v>0</v>
      </c>
      <c r="W102" s="89">
        <f t="shared" si="38"/>
        <v>0</v>
      </c>
      <c r="X102" s="89">
        <f t="shared" si="38"/>
        <v>0</v>
      </c>
      <c r="Y102" s="89">
        <f t="shared" si="38"/>
        <v>0</v>
      </c>
      <c r="Z102" s="89">
        <f t="shared" si="38"/>
        <v>0</v>
      </c>
      <c r="AA102" s="89">
        <f t="shared" si="38"/>
        <v>0</v>
      </c>
      <c r="AB102" s="89">
        <f t="shared" si="38"/>
        <v>0</v>
      </c>
      <c r="AC102" s="89">
        <f t="shared" si="38"/>
        <v>0</v>
      </c>
      <c r="AD102" s="89">
        <f t="shared" si="38"/>
        <v>0</v>
      </c>
      <c r="AE102" s="89">
        <f t="shared" si="38"/>
        <v>0</v>
      </c>
      <c r="AF102" s="89">
        <f t="shared" si="38"/>
        <v>0</v>
      </c>
      <c r="AG102" s="66"/>
      <c r="AH102" s="48">
        <f t="shared" si="31"/>
        <v>0</v>
      </c>
      <c r="AI102" s="49">
        <f t="shared" si="32"/>
        <v>0</v>
      </c>
      <c r="BF102" s="81"/>
      <c r="BG102" s="82">
        <v>41.5</v>
      </c>
      <c r="BH102" s="82">
        <v>0</v>
      </c>
      <c r="BI102" s="82">
        <v>111</v>
      </c>
      <c r="BJ102" s="82">
        <v>12.3</v>
      </c>
      <c r="BK102" s="82">
        <v>0</v>
      </c>
      <c r="BL102" s="82">
        <v>36</v>
      </c>
    </row>
    <row r="103" spans="1:64" x14ac:dyDescent="0.25">
      <c r="A103" s="97" t="s">
        <v>127</v>
      </c>
      <c r="B103" s="89">
        <f>IF(B85&lt;0,B85*-1,0)</f>
        <v>0</v>
      </c>
      <c r="C103" s="89">
        <f>IF(C85&lt;0,C85*-1,0)</f>
        <v>0</v>
      </c>
      <c r="D103" s="89">
        <f>IF(D85&lt;0,D85*-1,0)</f>
        <v>0</v>
      </c>
      <c r="E103" s="89">
        <f t="shared" ref="E103:AF103" si="39">IF(E85&lt;0,E85*-1,0)</f>
        <v>0</v>
      </c>
      <c r="F103" s="89">
        <f t="shared" si="39"/>
        <v>0</v>
      </c>
      <c r="G103" s="89">
        <f t="shared" si="39"/>
        <v>0</v>
      </c>
      <c r="H103" s="89">
        <f t="shared" si="39"/>
        <v>0</v>
      </c>
      <c r="I103" s="89">
        <f t="shared" si="39"/>
        <v>0</v>
      </c>
      <c r="J103" s="89">
        <f t="shared" si="39"/>
        <v>0</v>
      </c>
      <c r="K103" s="89">
        <f t="shared" si="39"/>
        <v>0</v>
      </c>
      <c r="L103" s="89">
        <f t="shared" si="39"/>
        <v>0</v>
      </c>
      <c r="M103" s="89">
        <f t="shared" si="39"/>
        <v>0</v>
      </c>
      <c r="N103" s="89">
        <f t="shared" si="39"/>
        <v>0</v>
      </c>
      <c r="O103" s="89">
        <f t="shared" si="39"/>
        <v>0</v>
      </c>
      <c r="P103" s="89">
        <f t="shared" si="39"/>
        <v>0</v>
      </c>
      <c r="Q103" s="89">
        <f>IF(Q85&lt;0,Q85*-1,0)</f>
        <v>0</v>
      </c>
      <c r="R103" s="89">
        <f t="shared" si="39"/>
        <v>0</v>
      </c>
      <c r="S103" s="89">
        <f t="shared" si="39"/>
        <v>0</v>
      </c>
      <c r="T103" s="89">
        <f t="shared" si="39"/>
        <v>0</v>
      </c>
      <c r="U103" s="89">
        <f t="shared" si="39"/>
        <v>0</v>
      </c>
      <c r="V103" s="89">
        <f t="shared" si="39"/>
        <v>0</v>
      </c>
      <c r="W103" s="89">
        <f t="shared" si="39"/>
        <v>0</v>
      </c>
      <c r="X103" s="89">
        <f t="shared" si="39"/>
        <v>0</v>
      </c>
      <c r="Y103" s="89">
        <f t="shared" si="39"/>
        <v>0</v>
      </c>
      <c r="Z103" s="89">
        <f t="shared" si="39"/>
        <v>0</v>
      </c>
      <c r="AA103" s="89">
        <f t="shared" si="39"/>
        <v>0</v>
      </c>
      <c r="AB103" s="89">
        <f t="shared" si="39"/>
        <v>0</v>
      </c>
      <c r="AC103" s="89">
        <f t="shared" si="39"/>
        <v>0</v>
      </c>
      <c r="AD103" s="89">
        <f t="shared" si="39"/>
        <v>0</v>
      </c>
      <c r="AE103" s="89">
        <f t="shared" si="39"/>
        <v>0</v>
      </c>
      <c r="AF103" s="89">
        <f t="shared" si="39"/>
        <v>0</v>
      </c>
      <c r="AG103" s="111"/>
      <c r="AH103" s="48">
        <f t="shared" si="31"/>
        <v>0</v>
      </c>
      <c r="AI103" s="49">
        <f t="shared" si="32"/>
        <v>0</v>
      </c>
      <c r="BF103" s="81"/>
      <c r="BG103" s="82">
        <v>43.3</v>
      </c>
      <c r="BH103" s="82">
        <v>0</v>
      </c>
      <c r="BI103" s="82">
        <v>97.2</v>
      </c>
      <c r="BJ103" s="82">
        <v>13.6</v>
      </c>
      <c r="BK103" s="82">
        <v>0</v>
      </c>
      <c r="BL103" s="82">
        <v>33.200000000000003</v>
      </c>
    </row>
    <row r="104" spans="1:64" x14ac:dyDescent="0.25">
      <c r="A104" s="97" t="s">
        <v>128</v>
      </c>
      <c r="B104" s="89">
        <f>IF(B83&lt;0,B83*-1,0)</f>
        <v>0</v>
      </c>
      <c r="C104" s="89">
        <f>IF(C83&lt;0,C83*-1,0)</f>
        <v>0</v>
      </c>
      <c r="D104" s="89">
        <f>IF(D83&lt;0,D83*-1,0)</f>
        <v>0</v>
      </c>
      <c r="E104" s="89">
        <f t="shared" ref="E104:AF104" si="40">IF(E83&lt;0,E83*-1,0)</f>
        <v>0</v>
      </c>
      <c r="F104" s="89">
        <f t="shared" si="40"/>
        <v>0</v>
      </c>
      <c r="G104" s="89">
        <f t="shared" si="40"/>
        <v>0</v>
      </c>
      <c r="H104" s="89">
        <f t="shared" si="40"/>
        <v>0</v>
      </c>
      <c r="I104" s="89">
        <f t="shared" si="40"/>
        <v>0</v>
      </c>
      <c r="J104" s="89">
        <f t="shared" si="40"/>
        <v>0</v>
      </c>
      <c r="K104" s="89">
        <f t="shared" si="40"/>
        <v>0</v>
      </c>
      <c r="L104" s="89">
        <f t="shared" si="40"/>
        <v>0</v>
      </c>
      <c r="M104" s="89">
        <f t="shared" si="40"/>
        <v>0</v>
      </c>
      <c r="N104" s="89">
        <f t="shared" si="40"/>
        <v>0</v>
      </c>
      <c r="O104" s="89">
        <f t="shared" si="40"/>
        <v>0</v>
      </c>
      <c r="P104" s="89">
        <f t="shared" si="40"/>
        <v>0</v>
      </c>
      <c r="Q104" s="89">
        <f>IF(Q83&lt;0,Q83*-1,0)</f>
        <v>0</v>
      </c>
      <c r="R104" s="89">
        <f t="shared" si="40"/>
        <v>0</v>
      </c>
      <c r="S104" s="89">
        <f t="shared" si="40"/>
        <v>0</v>
      </c>
      <c r="T104" s="89">
        <f t="shared" si="40"/>
        <v>0</v>
      </c>
      <c r="U104" s="89">
        <f t="shared" si="40"/>
        <v>0</v>
      </c>
      <c r="V104" s="89">
        <f t="shared" si="40"/>
        <v>0</v>
      </c>
      <c r="W104" s="89">
        <f t="shared" si="40"/>
        <v>0</v>
      </c>
      <c r="X104" s="89">
        <f t="shared" si="40"/>
        <v>0</v>
      </c>
      <c r="Y104" s="89">
        <f t="shared" si="40"/>
        <v>0</v>
      </c>
      <c r="Z104" s="89">
        <f t="shared" si="40"/>
        <v>0</v>
      </c>
      <c r="AA104" s="89">
        <f t="shared" si="40"/>
        <v>0</v>
      </c>
      <c r="AB104" s="89">
        <f t="shared" si="40"/>
        <v>0</v>
      </c>
      <c r="AC104" s="89">
        <f t="shared" si="40"/>
        <v>0</v>
      </c>
      <c r="AD104" s="89">
        <f t="shared" si="40"/>
        <v>0</v>
      </c>
      <c r="AE104" s="89">
        <f t="shared" si="40"/>
        <v>0</v>
      </c>
      <c r="AF104" s="89">
        <f t="shared" si="40"/>
        <v>0</v>
      </c>
      <c r="AG104" s="111"/>
      <c r="AH104" s="48">
        <f t="shared" si="31"/>
        <v>0</v>
      </c>
      <c r="AI104" s="49">
        <f t="shared" si="32"/>
        <v>0</v>
      </c>
      <c r="BF104" s="81"/>
      <c r="BG104" s="82">
        <v>40.4</v>
      </c>
      <c r="BH104" s="82">
        <v>0</v>
      </c>
      <c r="BI104" s="82">
        <v>86.4</v>
      </c>
      <c r="BJ104" s="82">
        <v>14.5</v>
      </c>
      <c r="BK104" s="82">
        <v>0</v>
      </c>
      <c r="BL104" s="82">
        <v>32.799999999999997</v>
      </c>
    </row>
    <row r="105" spans="1:64" x14ac:dyDescent="0.25">
      <c r="A105" s="97" t="s">
        <v>104</v>
      </c>
      <c r="B105" s="89">
        <f>IF(B81&lt;0,B81*-1,0)</f>
        <v>0</v>
      </c>
      <c r="C105" s="89">
        <f>IF(C81&lt;0,C81*-1,0)</f>
        <v>0</v>
      </c>
      <c r="D105" s="89">
        <f>IF(D81&lt;0,D81*-1,0)</f>
        <v>0</v>
      </c>
      <c r="E105" s="89">
        <f t="shared" ref="E105:AF105" si="41">IF(E81&lt;0,E81*-1,0)</f>
        <v>0</v>
      </c>
      <c r="F105" s="89">
        <f t="shared" si="41"/>
        <v>0</v>
      </c>
      <c r="G105" s="89">
        <f t="shared" si="41"/>
        <v>0</v>
      </c>
      <c r="H105" s="89">
        <f t="shared" si="41"/>
        <v>0</v>
      </c>
      <c r="I105" s="89">
        <f t="shared" si="41"/>
        <v>0</v>
      </c>
      <c r="J105" s="89">
        <f t="shared" si="41"/>
        <v>0</v>
      </c>
      <c r="K105" s="89">
        <f t="shared" si="41"/>
        <v>0</v>
      </c>
      <c r="L105" s="89">
        <f t="shared" si="41"/>
        <v>0</v>
      </c>
      <c r="M105" s="89">
        <f t="shared" si="41"/>
        <v>0</v>
      </c>
      <c r="N105" s="89">
        <f t="shared" si="41"/>
        <v>0</v>
      </c>
      <c r="O105" s="89">
        <f t="shared" si="41"/>
        <v>0</v>
      </c>
      <c r="P105" s="89">
        <f t="shared" si="41"/>
        <v>0</v>
      </c>
      <c r="Q105" s="89">
        <f>IF(Q81&lt;0,Q81*-1,0)</f>
        <v>0</v>
      </c>
      <c r="R105" s="89">
        <f t="shared" si="41"/>
        <v>0</v>
      </c>
      <c r="S105" s="89">
        <f t="shared" si="41"/>
        <v>0</v>
      </c>
      <c r="T105" s="89">
        <f t="shared" si="41"/>
        <v>0</v>
      </c>
      <c r="U105" s="89">
        <f t="shared" si="41"/>
        <v>0</v>
      </c>
      <c r="V105" s="89">
        <f t="shared" si="41"/>
        <v>0</v>
      </c>
      <c r="W105" s="89">
        <f t="shared" si="41"/>
        <v>0</v>
      </c>
      <c r="X105" s="89">
        <f t="shared" si="41"/>
        <v>0</v>
      </c>
      <c r="Y105" s="89">
        <f t="shared" si="41"/>
        <v>0</v>
      </c>
      <c r="Z105" s="89">
        <f t="shared" si="41"/>
        <v>0</v>
      </c>
      <c r="AA105" s="89">
        <f t="shared" si="41"/>
        <v>0</v>
      </c>
      <c r="AB105" s="89">
        <f>IF(AB81&lt;0,AB81*-1,0)</f>
        <v>0</v>
      </c>
      <c r="AC105" s="89">
        <f t="shared" si="41"/>
        <v>0</v>
      </c>
      <c r="AD105" s="89">
        <f t="shared" si="41"/>
        <v>0</v>
      </c>
      <c r="AE105" s="89">
        <f t="shared" si="41"/>
        <v>0</v>
      </c>
      <c r="AF105" s="89">
        <f t="shared" si="41"/>
        <v>0</v>
      </c>
      <c r="AG105" s="111"/>
      <c r="AH105" s="48">
        <f t="shared" si="31"/>
        <v>0</v>
      </c>
      <c r="AI105" s="49">
        <f t="shared" si="32"/>
        <v>0</v>
      </c>
      <c r="BF105" s="81"/>
      <c r="BG105" s="82">
        <v>35.4</v>
      </c>
      <c r="BH105" s="82">
        <v>0</v>
      </c>
      <c r="BI105" s="82">
        <v>0</v>
      </c>
      <c r="BJ105" s="82">
        <v>15.4</v>
      </c>
      <c r="BK105" s="82">
        <v>0</v>
      </c>
      <c r="BL105" s="82">
        <v>35.299999999999997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1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1"/>
        <v>1</v>
      </c>
      <c r="AI106" s="49">
        <f t="shared" si="32"/>
        <v>0</v>
      </c>
      <c r="BG106" s="82">
        <v>31.2</v>
      </c>
      <c r="BH106" s="82">
        <v>0</v>
      </c>
      <c r="BI106" s="82">
        <v>50</v>
      </c>
      <c r="BJ106" s="82">
        <v>15.4</v>
      </c>
      <c r="BK106" s="82">
        <v>0</v>
      </c>
      <c r="BL106" s="82">
        <v>36.1</v>
      </c>
    </row>
    <row r="107" spans="1:64" ht="15.75" thickBot="1" x14ac:dyDescent="0.3">
      <c r="A107" s="112" t="s">
        <v>130</v>
      </c>
      <c r="B107" s="71">
        <f>SUM(B101:B106)</f>
        <v>0</v>
      </c>
      <c r="C107" s="71">
        <f>SUM(C101:C106)</f>
        <v>0</v>
      </c>
      <c r="D107" s="71">
        <f>SUM(D101:D106)</f>
        <v>0</v>
      </c>
      <c r="E107" s="71">
        <f t="shared" ref="E107:AF107" si="42">SUM(E101:E106)</f>
        <v>0</v>
      </c>
      <c r="F107" s="71">
        <f t="shared" si="42"/>
        <v>0</v>
      </c>
      <c r="G107" s="71">
        <f t="shared" si="42"/>
        <v>0</v>
      </c>
      <c r="H107" s="71">
        <f t="shared" si="42"/>
        <v>0</v>
      </c>
      <c r="I107" s="71">
        <f t="shared" si="42"/>
        <v>0</v>
      </c>
      <c r="J107" s="71">
        <f t="shared" si="42"/>
        <v>0</v>
      </c>
      <c r="K107" s="71">
        <f t="shared" si="42"/>
        <v>0</v>
      </c>
      <c r="L107" s="71">
        <f t="shared" si="42"/>
        <v>0</v>
      </c>
      <c r="M107" s="71">
        <f t="shared" si="42"/>
        <v>0</v>
      </c>
      <c r="N107" s="71">
        <f t="shared" si="42"/>
        <v>0</v>
      </c>
      <c r="O107" s="71">
        <f t="shared" si="42"/>
        <v>0</v>
      </c>
      <c r="P107" s="71">
        <f t="shared" si="42"/>
        <v>0</v>
      </c>
      <c r="Q107" s="71">
        <v>0</v>
      </c>
      <c r="R107" s="71">
        <f t="shared" si="42"/>
        <v>0</v>
      </c>
      <c r="S107" s="71">
        <f t="shared" si="42"/>
        <v>0</v>
      </c>
      <c r="T107" s="71">
        <f t="shared" si="42"/>
        <v>0</v>
      </c>
      <c r="U107" s="71">
        <f t="shared" si="42"/>
        <v>0</v>
      </c>
      <c r="V107" s="71">
        <f t="shared" si="42"/>
        <v>0</v>
      </c>
      <c r="W107" s="71">
        <f t="shared" si="42"/>
        <v>0</v>
      </c>
      <c r="X107" s="71">
        <f t="shared" si="42"/>
        <v>0</v>
      </c>
      <c r="Y107" s="71">
        <f t="shared" si="42"/>
        <v>0</v>
      </c>
      <c r="Z107" s="71">
        <f t="shared" si="42"/>
        <v>0</v>
      </c>
      <c r="AA107" s="71">
        <f t="shared" si="42"/>
        <v>0</v>
      </c>
      <c r="AB107" s="71">
        <f t="shared" si="42"/>
        <v>0</v>
      </c>
      <c r="AC107" s="71">
        <f t="shared" si="42"/>
        <v>0</v>
      </c>
      <c r="AD107" s="71">
        <f t="shared" si="42"/>
        <v>0</v>
      </c>
      <c r="AE107" s="71">
        <f t="shared" si="42"/>
        <v>0</v>
      </c>
      <c r="AF107" s="71">
        <f t="shared" si="42"/>
        <v>0</v>
      </c>
      <c r="AG107" s="101"/>
      <c r="AH107" s="48">
        <f t="shared" si="31"/>
        <v>0</v>
      </c>
      <c r="AI107" s="49">
        <f t="shared" si="32"/>
        <v>0</v>
      </c>
      <c r="AK107" s="51"/>
      <c r="BG107" s="82">
        <v>9.6999999999999993</v>
      </c>
      <c r="BH107" s="82">
        <v>0</v>
      </c>
      <c r="BI107" s="82">
        <v>0</v>
      </c>
      <c r="BJ107" s="82">
        <v>0</v>
      </c>
      <c r="BK107" s="82">
        <v>0</v>
      </c>
      <c r="BL107" s="82">
        <v>41.2</v>
      </c>
    </row>
    <row r="108" spans="1:64" ht="15.75" thickBot="1" x14ac:dyDescent="0.3">
      <c r="A108" s="87" t="s">
        <v>131</v>
      </c>
      <c r="B108" s="71">
        <f>B92-B107</f>
        <v>50.900000000000006</v>
      </c>
      <c r="C108" s="71">
        <f>C92-C107</f>
        <v>54.6</v>
      </c>
      <c r="D108" s="71">
        <f>D92-D107</f>
        <v>49.1</v>
      </c>
      <c r="E108" s="71">
        <f t="shared" ref="E108:AF108" si="43">E92-E107</f>
        <v>57.900000000000006</v>
      </c>
      <c r="F108" s="71">
        <f t="shared" si="43"/>
        <v>113</v>
      </c>
      <c r="G108" s="71">
        <f t="shared" si="43"/>
        <v>60.300000000000004</v>
      </c>
      <c r="H108" s="71">
        <f t="shared" si="43"/>
        <v>52.4</v>
      </c>
      <c r="I108" s="71">
        <f t="shared" si="43"/>
        <v>61.6</v>
      </c>
      <c r="J108" s="71">
        <f t="shared" si="43"/>
        <v>453.4</v>
      </c>
      <c r="K108" s="71">
        <f t="shared" si="43"/>
        <v>568.9</v>
      </c>
      <c r="L108" s="71">
        <f t="shared" si="43"/>
        <v>476.2</v>
      </c>
      <c r="M108" s="71">
        <f t="shared" si="43"/>
        <v>585.5</v>
      </c>
      <c r="N108" s="71">
        <f t="shared" si="43"/>
        <v>607.20000000000005</v>
      </c>
      <c r="O108" s="71">
        <f t="shared" si="43"/>
        <v>668.9</v>
      </c>
      <c r="P108" s="71">
        <f t="shared" si="43"/>
        <v>700.7</v>
      </c>
      <c r="Q108" s="71">
        <f>Q92-Q107</f>
        <v>699</v>
      </c>
      <c r="R108" s="71">
        <f t="shared" si="43"/>
        <v>726.80000000000007</v>
      </c>
      <c r="S108" s="71">
        <f t="shared" si="43"/>
        <v>757.3</v>
      </c>
      <c r="T108" s="71">
        <f t="shared" si="43"/>
        <v>805.6</v>
      </c>
      <c r="U108" s="71">
        <f t="shared" si="43"/>
        <v>680.9</v>
      </c>
      <c r="V108" s="71">
        <f t="shared" si="43"/>
        <v>606</v>
      </c>
      <c r="W108" s="71">
        <f t="shared" si="43"/>
        <v>614.10000000000014</v>
      </c>
      <c r="X108" s="71">
        <f t="shared" si="43"/>
        <v>540.20000000000005</v>
      </c>
      <c r="Y108" s="71">
        <f t="shared" si="43"/>
        <v>199</v>
      </c>
      <c r="Z108" s="71">
        <f t="shared" si="43"/>
        <v>200.8</v>
      </c>
      <c r="AA108" s="71">
        <f t="shared" si="43"/>
        <v>183.8</v>
      </c>
      <c r="AB108" s="71">
        <f t="shared" si="43"/>
        <v>187.3</v>
      </c>
      <c r="AC108" s="71">
        <f t="shared" si="43"/>
        <v>166.4</v>
      </c>
      <c r="AD108" s="71">
        <f t="shared" si="43"/>
        <v>174.10000000000002</v>
      </c>
      <c r="AE108" s="71">
        <f t="shared" si="43"/>
        <v>86.1</v>
      </c>
      <c r="AF108" s="71">
        <f t="shared" si="43"/>
        <v>132.70000000000002</v>
      </c>
      <c r="AG108" s="101"/>
      <c r="AH108" s="48">
        <f t="shared" si="31"/>
        <v>805.6</v>
      </c>
      <c r="AI108" s="49">
        <f t="shared" si="32"/>
        <v>49.1</v>
      </c>
    </row>
    <row r="109" spans="1:64" x14ac:dyDescent="0.25">
      <c r="A109" s="113" t="s">
        <v>132</v>
      </c>
      <c r="B109" s="114">
        <v>50.05</v>
      </c>
      <c r="C109" s="114">
        <v>50</v>
      </c>
      <c r="D109" s="114">
        <v>50</v>
      </c>
      <c r="E109" s="114">
        <v>49.963000000000001</v>
      </c>
      <c r="F109" s="114">
        <v>50.034999999999997</v>
      </c>
      <c r="G109" s="114">
        <v>49.996000000000002</v>
      </c>
      <c r="H109" s="114">
        <v>49.999000000000002</v>
      </c>
      <c r="I109" s="114">
        <v>50.021000000000001</v>
      </c>
      <c r="J109" s="114">
        <v>49.99</v>
      </c>
      <c r="K109" s="114">
        <v>49.978000000000002</v>
      </c>
      <c r="L109" s="114">
        <v>49.97</v>
      </c>
      <c r="M109" s="114">
        <v>49.968000000000004</v>
      </c>
      <c r="N109" s="114">
        <v>49.984000000000002</v>
      </c>
      <c r="O109" s="114">
        <v>50.036000000000001</v>
      </c>
      <c r="P109" s="114">
        <v>50.021000000000001</v>
      </c>
      <c r="Q109" s="114">
        <v>49.97</v>
      </c>
      <c r="R109" s="114">
        <v>50.023000000000003</v>
      </c>
      <c r="S109" s="114">
        <v>50.012</v>
      </c>
      <c r="T109" s="114">
        <v>50.052999999999997</v>
      </c>
      <c r="U109" s="114">
        <v>50.003999999999998</v>
      </c>
      <c r="V109" s="114">
        <v>50.040999999999997</v>
      </c>
      <c r="W109" s="114">
        <v>50.042000000000002</v>
      </c>
      <c r="X109" s="114">
        <v>50.017000000000003</v>
      </c>
      <c r="Y109" s="114">
        <v>49.984000000000002</v>
      </c>
      <c r="Z109" s="114">
        <v>49.923999999999999</v>
      </c>
      <c r="AA109" s="114">
        <v>49.96</v>
      </c>
      <c r="AB109" s="114">
        <v>50.023000000000003</v>
      </c>
      <c r="AC109" s="114">
        <v>50.012999999999998</v>
      </c>
      <c r="AD109" s="114">
        <v>49.996000000000002</v>
      </c>
      <c r="AE109" s="114">
        <v>50.05</v>
      </c>
      <c r="AF109" s="114">
        <v>50.02</v>
      </c>
      <c r="AG109" s="115"/>
      <c r="AH109" s="48">
        <f t="shared" si="31"/>
        <v>50.052999999999997</v>
      </c>
      <c r="AI109" s="49">
        <f t="shared" si="32"/>
        <v>49.923999999999999</v>
      </c>
    </row>
    <row r="110" spans="1:64" x14ac:dyDescent="0.25">
      <c r="A110" s="116" t="s">
        <v>133</v>
      </c>
      <c r="B110" s="76">
        <v>128.4</v>
      </c>
      <c r="C110" s="76">
        <v>128.4</v>
      </c>
      <c r="D110" s="76">
        <v>129.30000000000001</v>
      </c>
      <c r="E110" s="76">
        <v>128.9</v>
      </c>
      <c r="F110" s="76">
        <v>129</v>
      </c>
      <c r="G110" s="76">
        <v>126</v>
      </c>
      <c r="H110" s="76">
        <v>123.8</v>
      </c>
      <c r="I110" s="76">
        <v>123</v>
      </c>
      <c r="J110" s="76">
        <v>125</v>
      </c>
      <c r="K110" s="76">
        <v>123.6</v>
      </c>
      <c r="L110" s="76">
        <v>123.3</v>
      </c>
      <c r="M110" s="76">
        <v>122.7</v>
      </c>
      <c r="N110" s="76">
        <v>122.3</v>
      </c>
      <c r="O110" s="76">
        <v>120.2</v>
      </c>
      <c r="P110" s="76">
        <v>125.4</v>
      </c>
      <c r="Q110" s="76">
        <v>122</v>
      </c>
      <c r="R110" s="76">
        <v>122.4</v>
      </c>
      <c r="S110" s="76">
        <v>120</v>
      </c>
      <c r="T110" s="76">
        <v>124.2</v>
      </c>
      <c r="U110" s="76">
        <v>124.7</v>
      </c>
      <c r="V110" s="76">
        <v>124.1</v>
      </c>
      <c r="W110" s="76">
        <v>124.1</v>
      </c>
      <c r="X110" s="76">
        <v>125.8</v>
      </c>
      <c r="Y110" s="76">
        <v>126.5</v>
      </c>
      <c r="Z110" s="76">
        <v>125.6</v>
      </c>
      <c r="AA110" s="76">
        <v>125.2</v>
      </c>
      <c r="AB110" s="76">
        <v>127.1</v>
      </c>
      <c r="AC110" s="76">
        <v>126.6</v>
      </c>
      <c r="AD110" s="76">
        <v>126.6</v>
      </c>
      <c r="AE110" s="76">
        <v>126.1</v>
      </c>
      <c r="AF110" s="76">
        <v>127.4</v>
      </c>
      <c r="AG110" s="117"/>
      <c r="AH110" s="48">
        <f t="shared" si="31"/>
        <v>129.30000000000001</v>
      </c>
      <c r="AI110" s="49">
        <f t="shared" si="32"/>
        <v>120</v>
      </c>
    </row>
    <row r="111" spans="1:64" x14ac:dyDescent="0.25">
      <c r="A111" s="116" t="s">
        <v>134</v>
      </c>
      <c r="B111" s="76">
        <v>131.6</v>
      </c>
      <c r="C111" s="76">
        <v>131.6</v>
      </c>
      <c r="D111" s="76">
        <v>132.9</v>
      </c>
      <c r="E111" s="76">
        <v>132.69999999999999</v>
      </c>
      <c r="F111" s="76">
        <v>132.6</v>
      </c>
      <c r="G111" s="76">
        <v>130.4</v>
      </c>
      <c r="H111" s="76">
        <v>128.4</v>
      </c>
      <c r="I111" s="76">
        <v>127.5</v>
      </c>
      <c r="J111" s="76">
        <v>128.4</v>
      </c>
      <c r="K111" s="76">
        <v>126.9</v>
      </c>
      <c r="L111" s="76">
        <v>126.5</v>
      </c>
      <c r="M111" s="76">
        <v>126.1</v>
      </c>
      <c r="N111" s="76">
        <v>126.2</v>
      </c>
      <c r="O111" s="76">
        <v>124.1</v>
      </c>
      <c r="P111" s="76">
        <v>127.7</v>
      </c>
      <c r="Q111" s="76">
        <v>126</v>
      </c>
      <c r="R111" s="76">
        <v>125.8</v>
      </c>
      <c r="S111" s="76">
        <v>124.6</v>
      </c>
      <c r="T111" s="76">
        <v>127</v>
      </c>
      <c r="U111" s="76">
        <v>128</v>
      </c>
      <c r="V111" s="76">
        <v>127.4</v>
      </c>
      <c r="W111" s="76">
        <v>127.6</v>
      </c>
      <c r="X111" s="76">
        <v>129.30000000000001</v>
      </c>
      <c r="Y111" s="76">
        <v>128.9</v>
      </c>
      <c r="Z111" s="76">
        <v>128.30000000000001</v>
      </c>
      <c r="AA111" s="76">
        <v>127.8</v>
      </c>
      <c r="AB111" s="76">
        <v>129.69999999999999</v>
      </c>
      <c r="AC111" s="76">
        <v>129.6</v>
      </c>
      <c r="AD111" s="76">
        <v>129.9</v>
      </c>
      <c r="AE111" s="76">
        <v>130.9</v>
      </c>
      <c r="AF111" s="76">
        <v>131.1</v>
      </c>
      <c r="AG111" s="117"/>
      <c r="AH111" s="48">
        <f t="shared" si="31"/>
        <v>132.9</v>
      </c>
      <c r="AI111" s="49">
        <f t="shared" si="32"/>
        <v>124.1</v>
      </c>
    </row>
    <row r="112" spans="1:64" x14ac:dyDescent="0.25">
      <c r="A112" s="116" t="s">
        <v>135</v>
      </c>
      <c r="B112" s="76">
        <v>132.1</v>
      </c>
      <c r="C112" s="76">
        <v>132.1</v>
      </c>
      <c r="D112" s="76">
        <v>136.4</v>
      </c>
      <c r="E112" s="76">
        <v>136.4</v>
      </c>
      <c r="F112" s="76">
        <v>132.5</v>
      </c>
      <c r="G112" s="76">
        <v>137.30000000000001</v>
      </c>
      <c r="H112" s="76">
        <v>135.80000000000001</v>
      </c>
      <c r="I112" s="76">
        <v>132.4</v>
      </c>
      <c r="J112" s="76">
        <v>130.19999999999999</v>
      </c>
      <c r="K112" s="76">
        <v>129.69999999999999</v>
      </c>
      <c r="L112" s="76">
        <v>129.19999999999999</v>
      </c>
      <c r="M112" s="76">
        <v>130.1</v>
      </c>
      <c r="N112" s="76">
        <v>129.19999999999999</v>
      </c>
      <c r="O112" s="76">
        <v>126.5</v>
      </c>
      <c r="P112" s="76">
        <v>129.19999999999999</v>
      </c>
      <c r="Q112" s="76">
        <v>129</v>
      </c>
      <c r="R112" s="76">
        <v>128.69999999999999</v>
      </c>
      <c r="S112" s="76">
        <v>125.8</v>
      </c>
      <c r="T112" s="76">
        <v>127.5</v>
      </c>
      <c r="U112" s="76">
        <v>129.19999999999999</v>
      </c>
      <c r="V112" s="76">
        <v>128.5</v>
      </c>
      <c r="W112" s="76">
        <v>129</v>
      </c>
      <c r="X112" s="76">
        <v>132.30000000000001</v>
      </c>
      <c r="Y112" s="76">
        <v>130.1</v>
      </c>
      <c r="Z112" s="76">
        <v>128.30000000000001</v>
      </c>
      <c r="AA112" s="76">
        <v>128.30000000000001</v>
      </c>
      <c r="AB112" s="76">
        <v>130.6</v>
      </c>
      <c r="AC112" s="76">
        <v>131.1</v>
      </c>
      <c r="AD112" s="76">
        <v>130</v>
      </c>
      <c r="AE112" s="76">
        <v>130.19999999999999</v>
      </c>
      <c r="AF112" s="76">
        <v>131</v>
      </c>
      <c r="AG112" s="117"/>
      <c r="AH112" s="48">
        <f t="shared" si="31"/>
        <v>137.30000000000001</v>
      </c>
      <c r="AI112" s="49">
        <f t="shared" si="32"/>
        <v>125.8</v>
      </c>
    </row>
    <row r="113" spans="1:35" x14ac:dyDescent="0.25">
      <c r="A113" s="118" t="s">
        <v>136</v>
      </c>
      <c r="B113" s="76">
        <v>134.1</v>
      </c>
      <c r="C113" s="76">
        <v>134.1</v>
      </c>
      <c r="D113" s="76">
        <v>138.69999999999999</v>
      </c>
      <c r="E113" s="76">
        <v>137.80000000000001</v>
      </c>
      <c r="F113" s="76">
        <v>132</v>
      </c>
      <c r="G113" s="76">
        <v>138.19999999999999</v>
      </c>
      <c r="H113" s="76">
        <v>137.4</v>
      </c>
      <c r="I113" s="76">
        <v>135.4</v>
      </c>
      <c r="J113" s="76">
        <v>133.6</v>
      </c>
      <c r="K113" s="76">
        <v>132.9</v>
      </c>
      <c r="L113" s="76">
        <v>129.9</v>
      </c>
      <c r="M113" s="76">
        <v>131.30000000000001</v>
      </c>
      <c r="N113" s="76">
        <v>129.5</v>
      </c>
      <c r="O113" s="76">
        <v>127.6</v>
      </c>
      <c r="P113" s="76">
        <v>130.6</v>
      </c>
      <c r="Q113" s="76">
        <v>130</v>
      </c>
      <c r="R113" s="76">
        <v>128.80000000000001</v>
      </c>
      <c r="S113" s="76">
        <v>127</v>
      </c>
      <c r="T113" s="76">
        <v>126.9</v>
      </c>
      <c r="U113" s="76">
        <v>126.3</v>
      </c>
      <c r="V113" s="76">
        <v>129.9</v>
      </c>
      <c r="W113" s="76">
        <v>129.69999999999999</v>
      </c>
      <c r="X113" s="76">
        <v>133</v>
      </c>
      <c r="Y113" s="76">
        <v>130.1</v>
      </c>
      <c r="Z113" s="76">
        <v>128.19999999999999</v>
      </c>
      <c r="AA113" s="76">
        <v>127</v>
      </c>
      <c r="AB113" s="76">
        <v>130</v>
      </c>
      <c r="AC113" s="76">
        <v>130.5</v>
      </c>
      <c r="AD113" s="76">
        <v>130</v>
      </c>
      <c r="AE113" s="76">
        <v>129.9</v>
      </c>
      <c r="AF113" s="76">
        <v>131.19999999999999</v>
      </c>
      <c r="AG113" s="117"/>
      <c r="AH113" s="48">
        <f t="shared" si="31"/>
        <v>138.69999999999999</v>
      </c>
      <c r="AI113" s="49">
        <f t="shared" si="32"/>
        <v>126.3</v>
      </c>
    </row>
    <row r="114" spans="1:35" x14ac:dyDescent="0.25">
      <c r="A114" s="118" t="s">
        <v>137</v>
      </c>
      <c r="B114" s="119">
        <v>133.19999999999999</v>
      </c>
      <c r="C114" s="119">
        <v>133.19999999999999</v>
      </c>
      <c r="D114" s="119">
        <v>133.30000000000001</v>
      </c>
      <c r="E114" s="119">
        <v>133.69999999999999</v>
      </c>
      <c r="F114" s="119">
        <v>134.69999999999999</v>
      </c>
      <c r="G114" s="119">
        <v>133.19999999999999</v>
      </c>
      <c r="H114" s="119">
        <v>132.6</v>
      </c>
      <c r="I114" s="119">
        <v>134.30000000000001</v>
      </c>
      <c r="J114" s="119">
        <v>133.5</v>
      </c>
      <c r="K114" s="119">
        <v>131.4</v>
      </c>
      <c r="L114" s="119">
        <v>131.19999999999999</v>
      </c>
      <c r="M114" s="119">
        <v>131.4</v>
      </c>
      <c r="N114" s="119">
        <v>134.80000000000001</v>
      </c>
      <c r="O114" s="119">
        <v>129</v>
      </c>
      <c r="P114" s="119">
        <v>132.6</v>
      </c>
      <c r="Q114" s="119">
        <v>132.69999999999999</v>
      </c>
      <c r="R114" s="119">
        <v>132.1</v>
      </c>
      <c r="S114" s="119">
        <v>131.4</v>
      </c>
      <c r="T114" s="119">
        <v>132.19999999999999</v>
      </c>
      <c r="U114" s="119">
        <v>136.19999999999999</v>
      </c>
      <c r="V114" s="119">
        <v>133.4</v>
      </c>
      <c r="W114" s="119">
        <v>133.4</v>
      </c>
      <c r="X114" s="119">
        <v>133.4</v>
      </c>
      <c r="Y114" s="119">
        <v>132.69999999999999</v>
      </c>
      <c r="Z114" s="119">
        <v>134.80000000000001</v>
      </c>
      <c r="AA114" s="119">
        <v>133.80000000000001</v>
      </c>
      <c r="AB114" s="119">
        <v>136</v>
      </c>
      <c r="AC114" s="119">
        <v>130.69999999999999</v>
      </c>
      <c r="AD114" s="119">
        <v>133.4</v>
      </c>
      <c r="AE114" s="119">
        <v>129.30000000000001</v>
      </c>
      <c r="AF114" s="119">
        <v>133.80000000000001</v>
      </c>
      <c r="AG114" s="120"/>
      <c r="AH114" s="48">
        <f t="shared" si="31"/>
        <v>136.19999999999999</v>
      </c>
      <c r="AI114" s="49">
        <f t="shared" si="32"/>
        <v>129</v>
      </c>
    </row>
    <row r="115" spans="1:35" x14ac:dyDescent="0.25">
      <c r="A115" s="116" t="s">
        <v>138</v>
      </c>
      <c r="B115" s="76">
        <v>129.4</v>
      </c>
      <c r="C115" s="76">
        <v>129.4</v>
      </c>
      <c r="D115" s="76">
        <v>130.80000000000001</v>
      </c>
      <c r="E115" s="76">
        <v>130.80000000000001</v>
      </c>
      <c r="F115" s="76">
        <v>129.1</v>
      </c>
      <c r="G115" s="76">
        <v>133</v>
      </c>
      <c r="H115" s="76">
        <v>130.9</v>
      </c>
      <c r="I115" s="76">
        <v>124.3</v>
      </c>
      <c r="J115" s="76">
        <v>124.7</v>
      </c>
      <c r="K115" s="76">
        <v>126.8</v>
      </c>
      <c r="L115" s="76">
        <v>126.8</v>
      </c>
      <c r="M115" s="76">
        <v>125.6</v>
      </c>
      <c r="N115" s="76">
        <v>130.19999999999999</v>
      </c>
      <c r="O115" s="76">
        <v>123.9</v>
      </c>
      <c r="P115" s="76">
        <v>129.69999999999999</v>
      </c>
      <c r="Q115" s="76">
        <v>126</v>
      </c>
      <c r="R115" s="76">
        <v>122</v>
      </c>
      <c r="S115" s="76">
        <v>131.1</v>
      </c>
      <c r="T115" s="76">
        <v>125.5</v>
      </c>
      <c r="U115" s="76">
        <v>125.5</v>
      </c>
      <c r="V115" s="76">
        <v>121.5</v>
      </c>
      <c r="W115" s="76">
        <v>121.8</v>
      </c>
      <c r="X115" s="76">
        <v>128.5</v>
      </c>
      <c r="Y115" s="76">
        <v>134.1</v>
      </c>
      <c r="Z115" s="76">
        <v>134.80000000000001</v>
      </c>
      <c r="AA115" s="76">
        <v>134.4</v>
      </c>
      <c r="AB115" s="76">
        <v>132.80000000000001</v>
      </c>
      <c r="AC115" s="76">
        <v>134</v>
      </c>
      <c r="AD115" s="76">
        <v>131.1</v>
      </c>
      <c r="AE115" s="76">
        <v>130.9</v>
      </c>
      <c r="AF115" s="76">
        <v>130.6</v>
      </c>
      <c r="AG115" s="117"/>
      <c r="AH115" s="48">
        <f t="shared" si="31"/>
        <v>134.80000000000001</v>
      </c>
      <c r="AI115" s="49">
        <f t="shared" si="32"/>
        <v>121.5</v>
      </c>
    </row>
    <row r="116" spans="1:35" ht="15.75" thickBot="1" x14ac:dyDescent="0.3">
      <c r="A116" s="116" t="s">
        <v>139</v>
      </c>
      <c r="B116" s="105">
        <v>66.2</v>
      </c>
      <c r="C116" s="105">
        <v>66.2</v>
      </c>
      <c r="D116" s="105">
        <v>66.099999999999994</v>
      </c>
      <c r="E116" s="105">
        <v>66.2</v>
      </c>
      <c r="F116" s="105">
        <v>66.2</v>
      </c>
      <c r="G116" s="105">
        <v>64.8</v>
      </c>
      <c r="H116" s="105">
        <v>63.8</v>
      </c>
      <c r="I116" s="105">
        <v>63.4</v>
      </c>
      <c r="J116" s="105">
        <v>64.3</v>
      </c>
      <c r="K116" s="105">
        <v>63.8</v>
      </c>
      <c r="L116" s="105">
        <v>63.5</v>
      </c>
      <c r="M116" s="105">
        <v>63.1</v>
      </c>
      <c r="N116" s="105">
        <v>63.1</v>
      </c>
      <c r="O116" s="105">
        <v>62.1</v>
      </c>
      <c r="P116" s="105">
        <v>63.9</v>
      </c>
      <c r="Q116" s="105">
        <v>63.1</v>
      </c>
      <c r="R116" s="105">
        <v>63</v>
      </c>
      <c r="S116" s="105">
        <v>62.5</v>
      </c>
      <c r="T116" s="105">
        <v>63.9</v>
      </c>
      <c r="U116" s="105">
        <v>64.2</v>
      </c>
      <c r="V116" s="105">
        <v>64</v>
      </c>
      <c r="W116" s="105">
        <v>64</v>
      </c>
      <c r="X116" s="105">
        <v>64.900000000000006</v>
      </c>
      <c r="Y116" s="105">
        <v>65</v>
      </c>
      <c r="Z116" s="105">
        <v>64.8</v>
      </c>
      <c r="AA116" s="105">
        <v>64.599999999999994</v>
      </c>
      <c r="AB116" s="105">
        <v>65.099999999999994</v>
      </c>
      <c r="AC116" s="105">
        <v>65.099999999999994</v>
      </c>
      <c r="AD116" s="105">
        <v>65.3</v>
      </c>
      <c r="AE116" s="105">
        <v>65.7</v>
      </c>
      <c r="AF116" s="105">
        <v>65.599999999999994</v>
      </c>
      <c r="AG116" s="121"/>
      <c r="AH116" s="48">
        <f t="shared" si="31"/>
        <v>66.2</v>
      </c>
      <c r="AI116" s="49">
        <f t="shared" si="32"/>
        <v>62.1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1"/>
        <v>0</v>
      </c>
      <c r="AI117" s="49">
        <f t="shared" si="32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160.23999999999998</v>
      </c>
      <c r="C118" s="124">
        <f>SUM(C22,C28,C31:C32,C66,C68:C69,C71,C73,C119:C123,C155,C161,C167,C176,C178,C190,C197,C200:C201,C208,C210,C212,C216:C218,C220:C222,C227,C233:C234,C236:C238,C246,C251)</f>
        <v>127.94</v>
      </c>
      <c r="D118" s="124">
        <f>SUM(D22,D28,D31:D32,D66,D68:D69,D71,D73,D119:D123,D155,D161,D167,D176,D178,D190,D197,D200:D201,D208,D210,D212,D216:D218,D220:D222,D227,D233:D234,D236:D238,D246,D251)</f>
        <v>165.24000000000004</v>
      </c>
      <c r="E118" s="124">
        <f t="shared" ref="E118:O118" si="44">SUM(E22,E28,E31:E32,E66,E68:E69,E71,E73,E119:E123,E155,E161,E167,E176,E178,E190,E197,E200:E201,E208,E210,E212,E216:E218,E220:E222,E227,E233:E234,E236:E238,E246,E251)</f>
        <v>103.73999999999998</v>
      </c>
      <c r="F118" s="124">
        <f t="shared" si="44"/>
        <v>107.74000000000001</v>
      </c>
      <c r="G118" s="124">
        <f t="shared" si="44"/>
        <v>123.94</v>
      </c>
      <c r="H118" s="124">
        <f t="shared" si="44"/>
        <v>149.44</v>
      </c>
      <c r="I118" s="124">
        <f t="shared" si="44"/>
        <v>192.34</v>
      </c>
      <c r="J118" s="124">
        <f t="shared" si="44"/>
        <v>228.24</v>
      </c>
      <c r="K118" s="124">
        <f t="shared" si="44"/>
        <v>258.14</v>
      </c>
      <c r="L118" s="124">
        <f t="shared" si="44"/>
        <v>286.83999999999997</v>
      </c>
      <c r="M118" s="124">
        <f t="shared" si="44"/>
        <v>283.64</v>
      </c>
      <c r="N118" s="124">
        <f t="shared" si="44"/>
        <v>228.83999999999997</v>
      </c>
      <c r="O118" s="124">
        <f t="shared" si="44"/>
        <v>303.44</v>
      </c>
      <c r="P118" s="124">
        <v>42</v>
      </c>
      <c r="Q118" s="124">
        <v>42</v>
      </c>
      <c r="R118" s="124">
        <f t="shared" ref="R118:X118" si="45">SUM(R22,R28,R31:R32,R66,R68:R69,R71,R73,R119:R123,R155,R161,R167,R176,R178,R190,R197,R200:R201,R208,R210,R212,R216:R218,R220:R222,R227,R233:R234,R236:R238,R246,R251)</f>
        <v>278.54000000000002</v>
      </c>
      <c r="S118" s="124">
        <f t="shared" si="45"/>
        <v>288.54000000000002</v>
      </c>
      <c r="T118" s="124">
        <f t="shared" si="45"/>
        <v>290.93900000000002</v>
      </c>
      <c r="U118" s="124">
        <f t="shared" si="45"/>
        <v>326.23899999999998</v>
      </c>
      <c r="V118" s="124">
        <f t="shared" si="45"/>
        <v>287.73900000000003</v>
      </c>
      <c r="W118" s="124">
        <f t="shared" si="45"/>
        <v>284.93900000000002</v>
      </c>
      <c r="X118" s="124">
        <f t="shared" si="45"/>
        <v>294.74</v>
      </c>
      <c r="Y118" s="124">
        <f>SUM(Y20,Y26,Y37:Y38,Y66,Y68:Y69,Y71,Y73,Y119:Y123,Y148,Y154,Y160,Y169,Y171,Y183,Y190,Y193:Y194,Y201,Y203,Y205,Y209:Y211,Y213:Y215,Y220,Y226:Y227,Y229:Y231,Y239,Y244)</f>
        <v>318.39999999999998</v>
      </c>
      <c r="Z118" s="124">
        <f>SUM(Z20,Z26,Z37:Z38,Z66,Z68:Z69,Z71,Z73,Z119:Z123,Z148,Z154,Z160,Z169,Z171,Z183,Z190,Z193:Z194,Z201,Z203,Z205,Z209:Z211,Z213:Z215,Z220,Z226:Z227,Z229:Z231,Z239,Z244)</f>
        <v>368.6</v>
      </c>
      <c r="AA118" s="124">
        <f t="shared" ref="AA118:AF118" si="46">SUM(AA22,AA28,AA31:AA32,AA66,AA68:AA69,AA71,AA73,AA119:AA123,AA155,AA161,AA167,AA176,AA178,AA190,AA197,AA200:AA201,AA208,AA210,AA212,AA216:AA218,AA220:AA222,AA227,AA233:AA234,AA236:AA238,AA246,AA251)</f>
        <v>363.94</v>
      </c>
      <c r="AB118" s="124">
        <f t="shared" si="46"/>
        <v>324.33999999999997</v>
      </c>
      <c r="AC118" s="124">
        <f t="shared" si="46"/>
        <v>309.24</v>
      </c>
      <c r="AD118" s="124">
        <f t="shared" si="46"/>
        <v>276.24</v>
      </c>
      <c r="AE118" s="124">
        <f t="shared" si="46"/>
        <v>208.83999999999997</v>
      </c>
      <c r="AF118" s="124">
        <f t="shared" si="46"/>
        <v>173.44</v>
      </c>
      <c r="AG118" s="125"/>
      <c r="AH118" s="48">
        <f t="shared" si="31"/>
        <v>368.6</v>
      </c>
      <c r="AI118" s="49">
        <f t="shared" si="32"/>
        <v>42</v>
      </c>
    </row>
    <row r="119" spans="1:35" x14ac:dyDescent="0.25">
      <c r="A119" s="126" t="s">
        <v>142</v>
      </c>
      <c r="B119" s="127">
        <v>36.799999999999997</v>
      </c>
      <c r="C119" s="127">
        <v>33.1</v>
      </c>
      <c r="D119" s="127">
        <v>32.6</v>
      </c>
      <c r="E119" s="127">
        <v>23.4</v>
      </c>
      <c r="F119" s="127">
        <v>16.8</v>
      </c>
      <c r="G119" s="127">
        <v>12.6</v>
      </c>
      <c r="H119" s="127">
        <v>14.9</v>
      </c>
      <c r="I119" s="127">
        <v>13.7</v>
      </c>
      <c r="J119" s="127">
        <v>12.6</v>
      </c>
      <c r="K119" s="127">
        <v>13.3</v>
      </c>
      <c r="L119" s="127">
        <v>28</v>
      </c>
      <c r="M119" s="127">
        <v>24.2</v>
      </c>
      <c r="N119" s="127">
        <v>26.5</v>
      </c>
      <c r="O119" s="127">
        <v>22.5</v>
      </c>
      <c r="P119" s="127">
        <v>19.2</v>
      </c>
      <c r="Q119" s="127">
        <v>19.2</v>
      </c>
      <c r="R119" s="127">
        <v>12.8</v>
      </c>
      <c r="S119" s="127">
        <v>13.9</v>
      </c>
      <c r="T119" s="127">
        <v>18.100000000000001</v>
      </c>
      <c r="U119" s="127">
        <v>16.2</v>
      </c>
      <c r="V119" s="127">
        <v>11.4</v>
      </c>
      <c r="W119" s="127">
        <v>11</v>
      </c>
      <c r="X119" s="127">
        <v>19.600000000000001</v>
      </c>
      <c r="Y119" s="127">
        <v>29.6</v>
      </c>
      <c r="Z119" s="127">
        <v>35.5</v>
      </c>
      <c r="AA119" s="127">
        <v>35.700000000000003</v>
      </c>
      <c r="AB119" s="127">
        <v>32.4</v>
      </c>
      <c r="AC119" s="127">
        <v>34.799999999999997</v>
      </c>
      <c r="AD119" s="127">
        <v>35.1</v>
      </c>
      <c r="AE119" s="127">
        <v>32.1</v>
      </c>
      <c r="AF119" s="127">
        <v>31.1</v>
      </c>
      <c r="AG119" s="128">
        <v>75</v>
      </c>
      <c r="AH119" s="48">
        <f t="shared" si="31"/>
        <v>36.799999999999997</v>
      </c>
      <c r="AI119" s="49">
        <f t="shared" si="32"/>
        <v>11</v>
      </c>
    </row>
    <row r="120" spans="1:35" x14ac:dyDescent="0.25">
      <c r="A120" s="129" t="s">
        <v>143</v>
      </c>
      <c r="B120" s="130">
        <v>56.5</v>
      </c>
      <c r="C120" s="130">
        <v>53.6</v>
      </c>
      <c r="D120" s="130">
        <v>52.8</v>
      </c>
      <c r="E120" s="130">
        <v>41.3</v>
      </c>
      <c r="F120" s="130">
        <v>31.4</v>
      </c>
      <c r="G120" s="130">
        <v>25.3</v>
      </c>
      <c r="H120" s="130">
        <v>27.2</v>
      </c>
      <c r="I120" s="130">
        <v>18.3</v>
      </c>
      <c r="J120" s="130">
        <v>13.9</v>
      </c>
      <c r="K120" s="130">
        <v>14.2</v>
      </c>
      <c r="L120" s="130">
        <v>34.1</v>
      </c>
      <c r="M120" s="130">
        <v>28.2</v>
      </c>
      <c r="N120" s="130">
        <v>27.1</v>
      </c>
      <c r="O120" s="130">
        <v>29.1</v>
      </c>
      <c r="P120" s="130">
        <v>28.3</v>
      </c>
      <c r="Q120" s="130">
        <v>28.3</v>
      </c>
      <c r="R120" s="130">
        <v>17.5</v>
      </c>
      <c r="S120" s="130">
        <v>13.5</v>
      </c>
      <c r="T120" s="130">
        <v>21.1</v>
      </c>
      <c r="U120" s="130">
        <v>16</v>
      </c>
      <c r="V120" s="130">
        <v>10.8</v>
      </c>
      <c r="W120" s="130">
        <v>10.3</v>
      </c>
      <c r="X120" s="130">
        <v>26.9</v>
      </c>
      <c r="Y120" s="130">
        <v>41</v>
      </c>
      <c r="Z120" s="130">
        <v>47.8</v>
      </c>
      <c r="AA120" s="130">
        <v>48</v>
      </c>
      <c r="AB120" s="130">
        <v>45.3</v>
      </c>
      <c r="AC120" s="130">
        <v>49.6</v>
      </c>
      <c r="AD120" s="130">
        <v>51</v>
      </c>
      <c r="AE120" s="130">
        <v>50.6</v>
      </c>
      <c r="AF120" s="130">
        <v>50.7</v>
      </c>
      <c r="AG120" s="128">
        <v>240</v>
      </c>
      <c r="AH120" s="48">
        <f t="shared" si="31"/>
        <v>56.5</v>
      </c>
      <c r="AI120" s="49">
        <f t="shared" si="32"/>
        <v>10.3</v>
      </c>
    </row>
    <row r="121" spans="1:35" x14ac:dyDescent="0.25">
      <c r="A121" s="129" t="s">
        <v>144</v>
      </c>
      <c r="B121" s="130">
        <v>-79</v>
      </c>
      <c r="C121" s="130">
        <v>-96</v>
      </c>
      <c r="D121" s="130">
        <v>-92</v>
      </c>
      <c r="E121" s="130">
        <f>-46.9-52.8</f>
        <v>-99.699999999999989</v>
      </c>
      <c r="F121" s="130">
        <f>-44.3-49.8</f>
        <v>-94.1</v>
      </c>
      <c r="G121" s="130">
        <f>-35.5-38.6</f>
        <v>-74.099999999999994</v>
      </c>
      <c r="H121" s="130">
        <f>-36.2-38.4</f>
        <v>-74.599999999999994</v>
      </c>
      <c r="I121" s="130">
        <f>-27.6-30.8</f>
        <v>-58.400000000000006</v>
      </c>
      <c r="J121" s="130">
        <f>-4.5-6</f>
        <v>-10.5</v>
      </c>
      <c r="K121" s="130">
        <v>-2.8</v>
      </c>
      <c r="L121" s="130">
        <v>-15.3</v>
      </c>
      <c r="M121" s="130">
        <v>-11.8</v>
      </c>
      <c r="N121" s="130">
        <v>-35</v>
      </c>
      <c r="O121" s="130">
        <v>-9</v>
      </c>
      <c r="P121" s="130">
        <v>-8</v>
      </c>
      <c r="Q121" s="130">
        <v>-14</v>
      </c>
      <c r="R121" s="130">
        <v>-10.5</v>
      </c>
      <c r="S121" s="130">
        <v>-6</v>
      </c>
      <c r="T121" s="130">
        <v>-14.5</v>
      </c>
      <c r="U121" s="130">
        <v>13</v>
      </c>
      <c r="V121" s="130">
        <v>-2</v>
      </c>
      <c r="W121" s="130">
        <v>-3.2</v>
      </c>
      <c r="X121" s="130">
        <v>0</v>
      </c>
      <c r="Y121" s="130">
        <v>-14</v>
      </c>
      <c r="Z121" s="130">
        <v>-6</v>
      </c>
      <c r="AA121" s="130">
        <v>-9</v>
      </c>
      <c r="AB121" s="130">
        <f>-10-16</f>
        <v>-26</v>
      </c>
      <c r="AC121" s="130">
        <f>-13.6-21.1</f>
        <v>-34.700000000000003</v>
      </c>
      <c r="AD121" s="130">
        <f>-23.8-31</f>
        <v>-54.8</v>
      </c>
      <c r="AE121" s="130">
        <f>-36.7-45.4</f>
        <v>-82.1</v>
      </c>
      <c r="AF121" s="130">
        <f>-45.7-53.8</f>
        <v>-99.5</v>
      </c>
      <c r="AG121" s="128">
        <v>240</v>
      </c>
      <c r="AH121" s="48">
        <f t="shared" si="31"/>
        <v>13</v>
      </c>
      <c r="AI121" s="49">
        <f t="shared" si="32"/>
        <v>-99.699999999999989</v>
      </c>
    </row>
    <row r="122" spans="1:35" ht="15.75" thickBot="1" x14ac:dyDescent="0.3">
      <c r="A122" s="129" t="s">
        <v>145</v>
      </c>
      <c r="B122" s="130">
        <v>21.1</v>
      </c>
      <c r="C122" s="130">
        <v>18.600000000000001</v>
      </c>
      <c r="D122" s="130">
        <v>25.4</v>
      </c>
      <c r="E122" s="130">
        <v>6.6</v>
      </c>
      <c r="F122" s="130">
        <v>9.6</v>
      </c>
      <c r="G122" s="130">
        <v>-4</v>
      </c>
      <c r="H122" s="130">
        <v>-2.7</v>
      </c>
      <c r="I122" s="130">
        <v>9.1</v>
      </c>
      <c r="J122" s="130">
        <v>1.5</v>
      </c>
      <c r="K122" s="130">
        <v>2.9</v>
      </c>
      <c r="L122" s="130">
        <v>3.7</v>
      </c>
      <c r="M122" s="130">
        <v>8.1</v>
      </c>
      <c r="N122" s="130">
        <v>2</v>
      </c>
      <c r="O122" s="130">
        <v>8.5</v>
      </c>
      <c r="P122" s="130">
        <v>20.9</v>
      </c>
      <c r="Q122" s="130">
        <v>8</v>
      </c>
      <c r="R122" s="130">
        <v>9.5</v>
      </c>
      <c r="S122" s="130">
        <v>9.5</v>
      </c>
      <c r="T122" s="130">
        <v>17.7</v>
      </c>
      <c r="U122" s="130">
        <v>27</v>
      </c>
      <c r="V122" s="130">
        <v>12.3</v>
      </c>
      <c r="W122" s="130">
        <v>13.1</v>
      </c>
      <c r="X122" s="130">
        <v>12.6</v>
      </c>
      <c r="Y122" s="130">
        <v>19</v>
      </c>
      <c r="Z122" s="130">
        <v>31.5</v>
      </c>
      <c r="AA122" s="130">
        <v>49</v>
      </c>
      <c r="AB122" s="130">
        <v>51.1</v>
      </c>
      <c r="AC122" s="130">
        <v>51.6</v>
      </c>
      <c r="AD122" s="130">
        <v>51.5</v>
      </c>
      <c r="AE122" s="130">
        <v>48.5</v>
      </c>
      <c r="AF122" s="130">
        <v>48.8</v>
      </c>
      <c r="AG122" s="128">
        <v>60</v>
      </c>
      <c r="AH122" s="48">
        <f t="shared" si="31"/>
        <v>51.6</v>
      </c>
      <c r="AI122" s="49">
        <f t="shared" si="32"/>
        <v>-4</v>
      </c>
    </row>
    <row r="123" spans="1:35" x14ac:dyDescent="0.25">
      <c r="A123" s="126" t="s">
        <v>146</v>
      </c>
      <c r="B123" s="131">
        <v>7.7</v>
      </c>
      <c r="C123" s="131">
        <v>1.5</v>
      </c>
      <c r="D123" s="131">
        <v>29.3</v>
      </c>
      <c r="E123" s="131">
        <v>16.5</v>
      </c>
      <c r="F123" s="131">
        <v>28.4</v>
      </c>
      <c r="G123" s="131">
        <v>48.5</v>
      </c>
      <c r="H123" s="131">
        <v>69.099999999999994</v>
      </c>
      <c r="I123" s="131">
        <v>92.9</v>
      </c>
      <c r="J123" s="131">
        <v>93.4</v>
      </c>
      <c r="K123" s="131">
        <f>113.2</f>
        <v>113.2</v>
      </c>
      <c r="L123" s="131">
        <v>117.6</v>
      </c>
      <c r="M123" s="131">
        <v>114.4</v>
      </c>
      <c r="N123" s="131">
        <v>84.8</v>
      </c>
      <c r="O123" s="131">
        <v>130.4</v>
      </c>
      <c r="P123" s="131">
        <v>116</v>
      </c>
      <c r="Q123" s="131">
        <v>114</v>
      </c>
      <c r="R123" s="131">
        <v>122.5</v>
      </c>
      <c r="S123" s="131">
        <v>131.69999999999999</v>
      </c>
      <c r="T123" s="131">
        <v>122.5</v>
      </c>
      <c r="U123" s="131">
        <v>132</v>
      </c>
      <c r="V123" s="131">
        <v>136.30000000000001</v>
      </c>
      <c r="W123" s="131">
        <v>139.19999999999999</v>
      </c>
      <c r="X123" s="131">
        <v>121.9</v>
      </c>
      <c r="Y123" s="131">
        <v>112</v>
      </c>
      <c r="Z123" s="131">
        <v>129</v>
      </c>
      <c r="AA123" s="131">
        <v>127</v>
      </c>
      <c r="AB123" s="131">
        <v>108.4</v>
      </c>
      <c r="AC123" s="131">
        <v>95.2</v>
      </c>
      <c r="AD123" s="131">
        <v>80.7</v>
      </c>
      <c r="AE123" s="131">
        <v>41.3</v>
      </c>
      <c r="AF123" s="131">
        <v>24.8</v>
      </c>
      <c r="AG123" s="132">
        <v>120</v>
      </c>
      <c r="AH123" s="48">
        <f t="shared" si="31"/>
        <v>139.19999999999999</v>
      </c>
      <c r="AI123" s="49">
        <f t="shared" si="32"/>
        <v>1.5</v>
      </c>
    </row>
    <row r="124" spans="1:35" x14ac:dyDescent="0.25">
      <c r="A124" s="129" t="s">
        <v>147</v>
      </c>
      <c r="B124" s="131">
        <v>22.1</v>
      </c>
      <c r="C124" s="131">
        <v>25.3</v>
      </c>
      <c r="D124" s="131">
        <v>14.1</v>
      </c>
      <c r="E124" s="131">
        <v>39.4</v>
      </c>
      <c r="F124" s="131">
        <v>46.1</v>
      </c>
      <c r="G124" s="131">
        <v>56.6</v>
      </c>
      <c r="H124" s="131">
        <v>66.3</v>
      </c>
      <c r="I124" s="131">
        <v>76.8</v>
      </c>
      <c r="J124" s="131">
        <v>77.7</v>
      </c>
      <c r="K124" s="131">
        <v>86.4</v>
      </c>
      <c r="L124" s="131">
        <v>88.2</v>
      </c>
      <c r="M124" s="131">
        <v>85.2</v>
      </c>
      <c r="N124" s="131">
        <v>71.099999999999994</v>
      </c>
      <c r="O124" s="131">
        <v>91.9</v>
      </c>
      <c r="P124" s="131">
        <v>84.9</v>
      </c>
      <c r="Q124" s="131">
        <v>84</v>
      </c>
      <c r="R124" s="131">
        <v>86.5</v>
      </c>
      <c r="S124" s="131">
        <v>90.8</v>
      </c>
      <c r="T124" s="131">
        <v>87.9</v>
      </c>
      <c r="U124" s="131">
        <v>92</v>
      </c>
      <c r="V124" s="131">
        <v>95</v>
      </c>
      <c r="W124" s="131">
        <v>100.1</v>
      </c>
      <c r="X124" s="131">
        <v>91.7</v>
      </c>
      <c r="Y124" s="131">
        <v>88</v>
      </c>
      <c r="Z124" s="131">
        <v>95</v>
      </c>
      <c r="AA124" s="131">
        <v>94</v>
      </c>
      <c r="AB124" s="131">
        <v>86.3</v>
      </c>
      <c r="AC124" s="131">
        <v>80.099999999999994</v>
      </c>
      <c r="AD124" s="131">
        <v>72.8</v>
      </c>
      <c r="AE124" s="131">
        <v>52.8</v>
      </c>
      <c r="AF124" s="131">
        <v>43.5</v>
      </c>
      <c r="AG124" s="132"/>
      <c r="AH124" s="48">
        <f t="shared" si="31"/>
        <v>100.1</v>
      </c>
      <c r="AI124" s="49">
        <f t="shared" si="32"/>
        <v>14.1</v>
      </c>
    </row>
    <row r="125" spans="1:35" x14ac:dyDescent="0.25">
      <c r="A125" s="129" t="s">
        <v>148</v>
      </c>
      <c r="B125" s="131">
        <v>-35.5</v>
      </c>
      <c r="C125" s="131">
        <v>-23.8</v>
      </c>
      <c r="D125" s="131">
        <v>-29.9</v>
      </c>
      <c r="E125" s="131">
        <v>10</v>
      </c>
      <c r="F125" s="131">
        <v>21.3</v>
      </c>
      <c r="G125" s="131">
        <v>26.5</v>
      </c>
      <c r="H125" s="131">
        <v>30.5</v>
      </c>
      <c r="I125" s="131">
        <v>33.799999999999997</v>
      </c>
      <c r="J125" s="131">
        <v>10.6</v>
      </c>
      <c r="K125" s="131">
        <v>13.5</v>
      </c>
      <c r="L125" s="131">
        <v>0.3</v>
      </c>
      <c r="M125" s="131">
        <v>-4.4000000000000004</v>
      </c>
      <c r="N125" s="131">
        <v>28.2</v>
      </c>
      <c r="O125" s="131">
        <v>-2.8</v>
      </c>
      <c r="P125" s="131">
        <v>-9.1</v>
      </c>
      <c r="Q125" s="131">
        <v>-8</v>
      </c>
      <c r="R125" s="131">
        <v>5.8</v>
      </c>
      <c r="S125" s="131">
        <v>7.3</v>
      </c>
      <c r="T125" s="131">
        <v>-3.5</v>
      </c>
      <c r="U125" s="131">
        <v>-4</v>
      </c>
      <c r="V125" s="131">
        <v>-2</v>
      </c>
      <c r="W125" s="131">
        <v>13.9</v>
      </c>
      <c r="X125" s="131">
        <v>-8.5</v>
      </c>
      <c r="Y125" s="131">
        <v>-19</v>
      </c>
      <c r="Z125" s="131">
        <v>-32</v>
      </c>
      <c r="AA125" s="131">
        <v>-38</v>
      </c>
      <c r="AB125" s="131">
        <v>-30.8</v>
      </c>
      <c r="AC125" s="131">
        <v>-33.799999999999997</v>
      </c>
      <c r="AD125" s="131">
        <v>-26.1</v>
      </c>
      <c r="AE125" s="131">
        <v>-18.2</v>
      </c>
      <c r="AF125" s="131">
        <v>-10.6</v>
      </c>
      <c r="AG125" s="132"/>
      <c r="AH125" s="48">
        <f t="shared" si="31"/>
        <v>33.799999999999997</v>
      </c>
      <c r="AI125" s="49">
        <f t="shared" si="32"/>
        <v>-38</v>
      </c>
    </row>
    <row r="126" spans="1:35" ht="15.75" thickBot="1" x14ac:dyDescent="0.3">
      <c r="A126" s="129" t="s">
        <v>149</v>
      </c>
      <c r="B126" s="131">
        <v>27.7</v>
      </c>
      <c r="C126" s="131">
        <v>27.9</v>
      </c>
      <c r="D126" s="131">
        <v>18.600000000000001</v>
      </c>
      <c r="E126" s="131">
        <v>47</v>
      </c>
      <c r="F126" s="131">
        <v>48.1</v>
      </c>
      <c r="G126" s="131">
        <v>64.3</v>
      </c>
      <c r="H126" s="131">
        <v>77.7</v>
      </c>
      <c r="I126" s="131">
        <v>84.2</v>
      </c>
      <c r="J126" s="131">
        <v>80.599999999999994</v>
      </c>
      <c r="K126" s="131">
        <v>93.2</v>
      </c>
      <c r="L126" s="131">
        <v>84.2</v>
      </c>
      <c r="M126" s="131">
        <v>92.9</v>
      </c>
      <c r="N126" s="131">
        <v>77.2</v>
      </c>
      <c r="O126" s="131">
        <v>95</v>
      </c>
      <c r="P126" s="131">
        <v>91.4</v>
      </c>
      <c r="Q126" s="131">
        <v>91</v>
      </c>
      <c r="R126" s="131">
        <v>92.6</v>
      </c>
      <c r="S126" s="131">
        <v>100.4</v>
      </c>
      <c r="T126" s="131">
        <v>97.7</v>
      </c>
      <c r="U126" s="131">
        <v>97</v>
      </c>
      <c r="V126" s="131">
        <v>100</v>
      </c>
      <c r="W126" s="131">
        <v>100.4</v>
      </c>
      <c r="X126" s="131">
        <v>87.1</v>
      </c>
      <c r="Y126" s="131">
        <v>79</v>
      </c>
      <c r="Z126" s="131">
        <v>85</v>
      </c>
      <c r="AA126" s="131">
        <v>80</v>
      </c>
      <c r="AB126" s="131">
        <v>72.2</v>
      </c>
      <c r="AC126" s="131">
        <v>70</v>
      </c>
      <c r="AD126" s="131">
        <v>64</v>
      </c>
      <c r="AE126" s="131">
        <v>41.4</v>
      </c>
      <c r="AF126" s="131">
        <v>42.3</v>
      </c>
      <c r="AG126" s="128"/>
      <c r="AH126" s="48">
        <f>MAX(B126:AF126)</f>
        <v>100.4</v>
      </c>
      <c r="AI126" s="49">
        <f>MIN(B126:AF126)</f>
        <v>18.600000000000001</v>
      </c>
    </row>
    <row r="127" spans="1:35" x14ac:dyDescent="0.25">
      <c r="A127" s="126" t="s">
        <v>150</v>
      </c>
      <c r="B127" s="131">
        <v>-123.8</v>
      </c>
      <c r="C127" s="131">
        <v>-120.6</v>
      </c>
      <c r="D127" s="131">
        <v>-81.900000000000006</v>
      </c>
      <c r="E127" s="131">
        <v>-92.7</v>
      </c>
      <c r="F127" s="131">
        <v>-108.7</v>
      </c>
      <c r="G127" s="131">
        <v>-85.2</v>
      </c>
      <c r="H127" s="131">
        <v>-97.4</v>
      </c>
      <c r="I127" s="131">
        <v>-109.9</v>
      </c>
      <c r="J127" s="131">
        <v>5.7</v>
      </c>
      <c r="K127" s="131">
        <v>14.5</v>
      </c>
      <c r="L127" s="131">
        <v>-57.3</v>
      </c>
      <c r="M127" s="131">
        <v>14.9</v>
      </c>
      <c r="N127" s="131">
        <v>4.2</v>
      </c>
      <c r="O127" s="131">
        <v>19.100000000000001</v>
      </c>
      <c r="P127" s="131">
        <v>17.3</v>
      </c>
      <c r="Q127" s="131">
        <v>18</v>
      </c>
      <c r="R127" s="131">
        <v>17.2</v>
      </c>
      <c r="S127" s="131">
        <v>31.4</v>
      </c>
      <c r="T127" s="131">
        <v>33.799999999999997</v>
      </c>
      <c r="U127" s="131">
        <v>-18</v>
      </c>
      <c r="V127" s="131">
        <v>-46</v>
      </c>
      <c r="W127" s="131">
        <v>-63.2</v>
      </c>
      <c r="X127" s="131">
        <v>-41.7</v>
      </c>
      <c r="Y127" s="131">
        <v>-129</v>
      </c>
      <c r="Z127" s="131">
        <v>-142</v>
      </c>
      <c r="AA127" s="131">
        <v>-155</v>
      </c>
      <c r="AB127" s="131">
        <v>-156</v>
      </c>
      <c r="AC127" s="131">
        <v>-158.1</v>
      </c>
      <c r="AD127" s="131">
        <v>-153</v>
      </c>
      <c r="AE127" s="131">
        <v>-150</v>
      </c>
      <c r="AF127" s="131">
        <v>-134.19999999999999</v>
      </c>
      <c r="AG127" s="128"/>
      <c r="AH127" s="48">
        <f>MAX(B127:AF127)</f>
        <v>33.799999999999997</v>
      </c>
      <c r="AI127" s="49">
        <f>MIN(B127:AF127)</f>
        <v>-158.1</v>
      </c>
    </row>
    <row r="128" spans="1:35" x14ac:dyDescent="0.25">
      <c r="A128" s="129" t="s">
        <v>151</v>
      </c>
      <c r="B128" s="119">
        <v>14.5</v>
      </c>
      <c r="C128" s="119">
        <v>31.5</v>
      </c>
      <c r="D128" s="119">
        <v>62.1</v>
      </c>
      <c r="E128" s="119">
        <v>43.6</v>
      </c>
      <c r="F128" s="119">
        <v>-2.1</v>
      </c>
      <c r="G128" s="119">
        <v>62.5</v>
      </c>
      <c r="H128" s="119">
        <v>52.2</v>
      </c>
      <c r="I128" s="119">
        <v>17.8</v>
      </c>
      <c r="J128" s="119">
        <v>63</v>
      </c>
      <c r="K128" s="119">
        <v>57.8</v>
      </c>
      <c r="L128" s="119">
        <v>36.6</v>
      </c>
      <c r="M128" s="119">
        <v>34.9</v>
      </c>
      <c r="N128" s="119">
        <v>35.5</v>
      </c>
      <c r="O128" s="119">
        <v>38.299999999999997</v>
      </c>
      <c r="P128" s="119">
        <v>36.700000000000003</v>
      </c>
      <c r="Q128" s="119">
        <v>44</v>
      </c>
      <c r="R128" s="119">
        <v>36.6</v>
      </c>
      <c r="S128" s="119">
        <v>22.5</v>
      </c>
      <c r="T128" s="119">
        <v>26</v>
      </c>
      <c r="U128" s="119">
        <v>3.9</v>
      </c>
      <c r="V128" s="119">
        <v>-5.2</v>
      </c>
      <c r="W128" s="119">
        <v>-9.1</v>
      </c>
      <c r="X128" s="119">
        <v>10.1</v>
      </c>
      <c r="Y128" s="119">
        <v>1.2</v>
      </c>
      <c r="Z128" s="119">
        <v>-16</v>
      </c>
      <c r="AA128" s="119">
        <v>-17</v>
      </c>
      <c r="AB128" s="119">
        <v>-15.5</v>
      </c>
      <c r="AC128" s="119">
        <v>-14.7</v>
      </c>
      <c r="AD128" s="119">
        <v>-19.8</v>
      </c>
      <c r="AE128" s="119">
        <v>-20.9</v>
      </c>
      <c r="AF128" s="119">
        <v>-12.7</v>
      </c>
      <c r="AG128" s="128"/>
      <c r="AH128" s="48">
        <f>MAX(B128:AF128)</f>
        <v>63</v>
      </c>
      <c r="AI128" s="49">
        <f>MIN(B128:AF128)</f>
        <v>-20.9</v>
      </c>
    </row>
    <row r="129" spans="1:37" x14ac:dyDescent="0.25">
      <c r="A129" s="129" t="s">
        <v>152</v>
      </c>
      <c r="B129" s="119">
        <v>57</v>
      </c>
      <c r="C129" s="119">
        <v>35.5</v>
      </c>
      <c r="D129" s="119">
        <v>20.3</v>
      </c>
      <c r="E129" s="119">
        <v>19.100000000000001</v>
      </c>
      <c r="F129" s="119">
        <v>40.6</v>
      </c>
      <c r="G129" s="119">
        <v>-26.6</v>
      </c>
      <c r="H129" s="119">
        <v>-11.6</v>
      </c>
      <c r="I129" s="119">
        <v>8.8000000000000007</v>
      </c>
      <c r="J129" s="119">
        <v>4.0999999999999996</v>
      </c>
      <c r="K129" s="119">
        <v>18.600000000000001</v>
      </c>
      <c r="L129" s="119">
        <v>34</v>
      </c>
      <c r="M129" s="119">
        <v>-7.2</v>
      </c>
      <c r="N129" s="119">
        <v>34.9</v>
      </c>
      <c r="O129" s="119">
        <v>52.1</v>
      </c>
      <c r="P129" s="119">
        <v>37</v>
      </c>
      <c r="Q129" s="119">
        <v>37</v>
      </c>
      <c r="R129" s="119">
        <v>28.8</v>
      </c>
      <c r="S129" s="119">
        <v>30.1</v>
      </c>
      <c r="T129" s="119">
        <v>34</v>
      </c>
      <c r="U129" s="119">
        <v>68</v>
      </c>
      <c r="V129" s="119">
        <v>59</v>
      </c>
      <c r="W129" s="119">
        <v>55</v>
      </c>
      <c r="X129" s="119">
        <v>31.7</v>
      </c>
      <c r="Y129" s="119">
        <v>63.2</v>
      </c>
      <c r="Z129" s="119">
        <v>79</v>
      </c>
      <c r="AA129" s="119">
        <v>81</v>
      </c>
      <c r="AB129" s="119">
        <v>91.4</v>
      </c>
      <c r="AC129" s="119">
        <v>88.6</v>
      </c>
      <c r="AD129" s="119">
        <v>89.3</v>
      </c>
      <c r="AE129" s="119">
        <v>92.3</v>
      </c>
      <c r="AF129" s="119">
        <v>81.2</v>
      </c>
      <c r="AG129" s="128"/>
      <c r="AH129" s="48">
        <f>MAX(B129:AF129)</f>
        <v>92.3</v>
      </c>
      <c r="AI129" s="49">
        <f>MIN(B129:AF129)</f>
        <v>-26.6</v>
      </c>
    </row>
    <row r="130" spans="1:37" ht="15.75" thickBot="1" x14ac:dyDescent="0.3">
      <c r="A130" s="129" t="s">
        <v>153</v>
      </c>
      <c r="B130" s="119">
        <v>69.099999999999994</v>
      </c>
      <c r="C130" s="119">
        <v>46.1</v>
      </c>
      <c r="D130" s="119">
        <v>30</v>
      </c>
      <c r="E130" s="119">
        <v>33.299999999999997</v>
      </c>
      <c r="F130" s="119">
        <v>64.400000000000006</v>
      </c>
      <c r="G130" s="119">
        <v>-22.3</v>
      </c>
      <c r="H130" s="119">
        <v>-10.4</v>
      </c>
      <c r="I130" s="119">
        <v>14</v>
      </c>
      <c r="J130" s="119">
        <v>5.7</v>
      </c>
      <c r="K130" s="119">
        <v>20.100000000000001</v>
      </c>
      <c r="L130" s="119">
        <v>40</v>
      </c>
      <c r="M130" s="119">
        <v>-3</v>
      </c>
      <c r="N130" s="119">
        <v>58</v>
      </c>
      <c r="O130" s="119">
        <v>68</v>
      </c>
      <c r="P130" s="119">
        <v>45.5</v>
      </c>
      <c r="Q130" s="119">
        <v>45.5</v>
      </c>
      <c r="R130" s="119">
        <v>38.6</v>
      </c>
      <c r="S130" s="119">
        <v>79.099999999999994</v>
      </c>
      <c r="T130" s="119">
        <v>81.8</v>
      </c>
      <c r="U130" s="119">
        <v>75</v>
      </c>
      <c r="V130" s="119">
        <v>69</v>
      </c>
      <c r="W130" s="119">
        <v>65.400000000000006</v>
      </c>
      <c r="X130" s="119">
        <v>41.6</v>
      </c>
      <c r="Y130" s="119">
        <v>74</v>
      </c>
      <c r="Z130" s="119">
        <v>89</v>
      </c>
      <c r="AA130" s="119">
        <v>92</v>
      </c>
      <c r="AB130" s="119">
        <v>93.2</v>
      </c>
      <c r="AC130" s="119">
        <v>95.4</v>
      </c>
      <c r="AD130" s="119">
        <v>99.7</v>
      </c>
      <c r="AE130" s="119">
        <v>103.2</v>
      </c>
      <c r="AF130" s="119">
        <v>93.9</v>
      </c>
      <c r="AG130" s="128"/>
      <c r="AH130" s="48">
        <f>MAX(B130:AF130)</f>
        <v>103.2</v>
      </c>
      <c r="AI130" s="49">
        <f>MIN(B130:AF130)</f>
        <v>-22.3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1983.5</v>
      </c>
      <c r="C132" s="137">
        <v>1983.35</v>
      </c>
      <c r="D132" s="137">
        <v>1983.52</v>
      </c>
      <c r="E132" s="137">
        <v>1983.62</v>
      </c>
      <c r="F132" s="137">
        <v>1983.7</v>
      </c>
      <c r="G132" s="137"/>
      <c r="H132" s="137"/>
      <c r="I132" s="137">
        <v>1983.63</v>
      </c>
      <c r="J132" s="137"/>
      <c r="K132" s="137"/>
      <c r="L132" s="137"/>
      <c r="M132" s="137">
        <v>1984.05</v>
      </c>
      <c r="N132" s="137">
        <v>1984.5</v>
      </c>
      <c r="O132" s="137">
        <v>1984.85</v>
      </c>
      <c r="P132" s="137">
        <v>1985.25</v>
      </c>
      <c r="Q132" s="137">
        <v>1985.55</v>
      </c>
      <c r="R132" s="137">
        <v>1985.85</v>
      </c>
      <c r="S132" s="137">
        <v>1986.13</v>
      </c>
      <c r="T132" s="137">
        <v>1986.45</v>
      </c>
      <c r="U132" s="137">
        <v>1986.6</v>
      </c>
      <c r="V132" s="137">
        <v>1986.7</v>
      </c>
      <c r="W132" s="137"/>
      <c r="X132" s="137">
        <v>1986.65</v>
      </c>
      <c r="Y132" s="137"/>
      <c r="Z132" s="137">
        <v>1986.4</v>
      </c>
      <c r="AA132" s="137"/>
      <c r="AB132" s="137">
        <v>1985.77</v>
      </c>
      <c r="AC132" s="137"/>
      <c r="AD132" s="137">
        <v>1985.2</v>
      </c>
      <c r="AE132" s="137">
        <v>1984.6</v>
      </c>
      <c r="AF132" s="138">
        <v>1984.13</v>
      </c>
      <c r="AG132" s="139"/>
      <c r="AH132" s="48"/>
      <c r="AI132" s="49"/>
    </row>
    <row r="133" spans="1:37" x14ac:dyDescent="0.25">
      <c r="A133" s="136" t="s">
        <v>156</v>
      </c>
      <c r="B133" s="140">
        <v>521.34</v>
      </c>
      <c r="C133" s="140">
        <v>520.9</v>
      </c>
      <c r="D133" s="140">
        <v>520.53</v>
      </c>
      <c r="E133" s="140">
        <v>520.39</v>
      </c>
      <c r="F133" s="140">
        <v>520.57000000000005</v>
      </c>
      <c r="G133" s="140"/>
      <c r="H133" s="140"/>
      <c r="I133" s="140">
        <v>521.05999999999995</v>
      </c>
      <c r="J133" s="140"/>
      <c r="K133" s="140"/>
      <c r="L133" s="140"/>
      <c r="M133" s="140">
        <v>521.4</v>
      </c>
      <c r="N133" s="140">
        <v>521.62</v>
      </c>
      <c r="O133" s="140">
        <v>521.88</v>
      </c>
      <c r="P133" s="140">
        <v>522.08000000000004</v>
      </c>
      <c r="Q133" s="140">
        <v>522.12</v>
      </c>
      <c r="R133" s="140">
        <v>522.16999999999996</v>
      </c>
      <c r="S133" s="140">
        <v>522.17999999999995</v>
      </c>
      <c r="T133" s="140">
        <v>522.15</v>
      </c>
      <c r="U133" s="140">
        <v>522.11</v>
      </c>
      <c r="V133" s="140">
        <v>522.11</v>
      </c>
      <c r="W133" s="140"/>
      <c r="X133" s="140">
        <v>522.28</v>
      </c>
      <c r="Y133" s="140"/>
      <c r="Z133" s="140">
        <v>522.42999999999995</v>
      </c>
      <c r="AA133" s="140"/>
      <c r="AB133" s="140">
        <v>522.44000000000005</v>
      </c>
      <c r="AC133" s="140"/>
      <c r="AD133" s="140">
        <v>522.44000000000005</v>
      </c>
      <c r="AE133" s="140">
        <v>522.44000000000005</v>
      </c>
      <c r="AF133" s="141">
        <v>522.4</v>
      </c>
      <c r="AG133" s="139"/>
      <c r="AH133" s="48"/>
      <c r="AI133" s="49"/>
    </row>
    <row r="134" spans="1:37" x14ac:dyDescent="0.25">
      <c r="A134" s="136" t="s">
        <v>157</v>
      </c>
      <c r="B134" s="140">
        <v>622.78</v>
      </c>
      <c r="C134" s="140">
        <v>622.71</v>
      </c>
      <c r="D134" s="140">
        <v>622.72</v>
      </c>
      <c r="E134" s="140">
        <v>622.84</v>
      </c>
      <c r="F134" s="140">
        <v>623.27</v>
      </c>
      <c r="G134" s="140">
        <v>623.6</v>
      </c>
      <c r="H134" s="140"/>
      <c r="I134" s="140">
        <v>624</v>
      </c>
      <c r="J134" s="140"/>
      <c r="K134" s="140">
        <v>624.38</v>
      </c>
      <c r="L134" s="140"/>
      <c r="M134" s="140">
        <v>624.62</v>
      </c>
      <c r="N134" s="140">
        <v>624.54999999999995</v>
      </c>
      <c r="O134" s="140">
        <v>624.51</v>
      </c>
      <c r="P134" s="140">
        <v>624.29999999999995</v>
      </c>
      <c r="Q134" s="140">
        <v>624.04999999999995</v>
      </c>
      <c r="R134" s="140">
        <v>623.86</v>
      </c>
      <c r="S134" s="140">
        <v>623.57000000000005</v>
      </c>
      <c r="T134" s="140">
        <v>623.57000000000005</v>
      </c>
      <c r="U134" s="140">
        <v>623.48</v>
      </c>
      <c r="V134" s="140">
        <v>623.45000000000005</v>
      </c>
      <c r="W134" s="140"/>
      <c r="X134" s="140">
        <v>623.47</v>
      </c>
      <c r="Y134" s="140"/>
      <c r="Z134" s="140">
        <v>623.47</v>
      </c>
      <c r="AA134" s="140"/>
      <c r="AB134" s="140">
        <v>623.47</v>
      </c>
      <c r="AC134" s="140"/>
      <c r="AD134" s="140">
        <v>623.54999999999995</v>
      </c>
      <c r="AE134" s="140"/>
      <c r="AF134" s="141">
        <v>623.66999999999996</v>
      </c>
      <c r="AG134" s="139"/>
      <c r="AH134" s="48"/>
      <c r="AI134" s="49"/>
    </row>
    <row r="135" spans="1:37" x14ac:dyDescent="0.25">
      <c r="A135" s="136" t="s">
        <v>158</v>
      </c>
      <c r="B135" s="140">
        <v>336.89</v>
      </c>
      <c r="C135" s="140">
        <v>336.85</v>
      </c>
      <c r="D135" s="140">
        <v>336.72</v>
      </c>
      <c r="E135" s="140">
        <v>336.58</v>
      </c>
      <c r="F135" s="140">
        <v>336.49</v>
      </c>
      <c r="G135" s="140"/>
      <c r="H135" s="140"/>
      <c r="I135" s="140">
        <v>51.1</v>
      </c>
      <c r="J135" s="140"/>
      <c r="K135" s="140"/>
      <c r="L135" s="140"/>
      <c r="M135" s="140">
        <v>336.77</v>
      </c>
      <c r="N135" s="140">
        <v>336.78</v>
      </c>
      <c r="O135" s="140">
        <v>336.76</v>
      </c>
      <c r="P135" s="140">
        <v>336.67</v>
      </c>
      <c r="Q135" s="140">
        <v>336.52</v>
      </c>
      <c r="R135" s="140">
        <v>336.27</v>
      </c>
      <c r="S135" s="140">
        <v>336.15</v>
      </c>
      <c r="T135" s="140">
        <v>336.22</v>
      </c>
      <c r="U135" s="140">
        <v>336.32</v>
      </c>
      <c r="V135" s="140">
        <v>336.38</v>
      </c>
      <c r="W135" s="140"/>
      <c r="X135" s="140">
        <v>336.44</v>
      </c>
      <c r="Y135" s="140"/>
      <c r="Z135" s="140">
        <v>336.3</v>
      </c>
      <c r="AA135" s="140"/>
      <c r="AB135" s="140">
        <v>336.24</v>
      </c>
      <c r="AC135" s="140"/>
      <c r="AD135" s="140">
        <v>336.13</v>
      </c>
      <c r="AE135" s="140">
        <v>335.94</v>
      </c>
      <c r="AF135" s="141">
        <v>335.73</v>
      </c>
      <c r="AG135" s="139"/>
      <c r="AH135" s="48"/>
      <c r="AI135" s="49"/>
    </row>
    <row r="136" spans="1:37" x14ac:dyDescent="0.25">
      <c r="A136" s="136" t="s">
        <v>159</v>
      </c>
      <c r="B136" s="140">
        <v>884.7</v>
      </c>
      <c r="C136" s="140">
        <v>885</v>
      </c>
      <c r="D136" s="140">
        <v>885.1</v>
      </c>
      <c r="E136" s="140" t="s">
        <v>285</v>
      </c>
      <c r="F136" s="140">
        <v>885.6</v>
      </c>
      <c r="G136" s="140"/>
      <c r="H136" s="140"/>
      <c r="I136" s="140">
        <v>10.1</v>
      </c>
      <c r="J136" s="140"/>
      <c r="K136" s="140"/>
      <c r="L136" s="140"/>
      <c r="M136" s="140">
        <v>886.4</v>
      </c>
      <c r="N136" s="140"/>
      <c r="O136" s="140">
        <v>886.6</v>
      </c>
      <c r="P136" s="140">
        <v>886.6</v>
      </c>
      <c r="Q136" s="140">
        <v>886.4</v>
      </c>
      <c r="R136" s="140">
        <v>886.3</v>
      </c>
      <c r="S136" s="140">
        <v>886.2</v>
      </c>
      <c r="T136" s="140">
        <v>885</v>
      </c>
      <c r="U136" s="140">
        <v>884</v>
      </c>
      <c r="V136" s="140">
        <v>883</v>
      </c>
      <c r="W136" s="140"/>
      <c r="X136" s="140">
        <v>882.7</v>
      </c>
      <c r="Y136" s="140"/>
      <c r="Z136" s="140">
        <v>884.2</v>
      </c>
      <c r="AA136" s="140"/>
      <c r="AB136" s="140">
        <v>884.5</v>
      </c>
      <c r="AC136" s="140"/>
      <c r="AD136" s="140">
        <v>884.6</v>
      </c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>
        <v>1495.05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>
        <v>1494.85</v>
      </c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7">SUM(B139:B243)</f>
        <v>0</v>
      </c>
      <c r="C244" s="161">
        <f t="shared" si="47"/>
        <v>0</v>
      </c>
      <c r="D244" s="161">
        <f t="shared" si="47"/>
        <v>0</v>
      </c>
      <c r="E244" s="161">
        <f t="shared" si="47"/>
        <v>0</v>
      </c>
      <c r="F244" s="161">
        <f t="shared" si="47"/>
        <v>0</v>
      </c>
      <c r="G244" s="161">
        <f t="shared" si="47"/>
        <v>0</v>
      </c>
      <c r="H244" s="161">
        <f t="shared" si="47"/>
        <v>0</v>
      </c>
      <c r="I244" s="161">
        <f t="shared" si="47"/>
        <v>0</v>
      </c>
      <c r="J244" s="161">
        <f t="shared" si="47"/>
        <v>0</v>
      </c>
      <c r="K244" s="161">
        <f t="shared" si="47"/>
        <v>0</v>
      </c>
      <c r="L244" s="161">
        <f t="shared" si="47"/>
        <v>0</v>
      </c>
      <c r="M244" s="161">
        <f t="shared" si="47"/>
        <v>0</v>
      </c>
      <c r="N244" s="161">
        <f t="shared" si="47"/>
        <v>0</v>
      </c>
      <c r="O244" s="161">
        <f t="shared" si="47"/>
        <v>0</v>
      </c>
      <c r="P244" s="161">
        <f t="shared" si="47"/>
        <v>0</v>
      </c>
      <c r="Q244" s="161">
        <f t="shared" si="47"/>
        <v>0</v>
      </c>
      <c r="R244" s="161">
        <f t="shared" si="47"/>
        <v>0</v>
      </c>
      <c r="S244" s="161">
        <f t="shared" si="47"/>
        <v>0</v>
      </c>
      <c r="T244" s="161">
        <f t="shared" si="47"/>
        <v>0</v>
      </c>
      <c r="U244" s="161">
        <f t="shared" si="47"/>
        <v>0</v>
      </c>
      <c r="V244" s="161">
        <f t="shared" si="47"/>
        <v>0</v>
      </c>
      <c r="W244" s="161">
        <f t="shared" si="47"/>
        <v>0</v>
      </c>
      <c r="X244" s="161">
        <f t="shared" si="47"/>
        <v>0</v>
      </c>
      <c r="Y244" s="161">
        <f t="shared" si="47"/>
        <v>0</v>
      </c>
      <c r="Z244" s="161">
        <f t="shared" si="47"/>
        <v>0</v>
      </c>
      <c r="AA244" s="161">
        <f t="shared" si="47"/>
        <v>0</v>
      </c>
      <c r="AB244" s="161">
        <f t="shared" si="47"/>
        <v>0</v>
      </c>
      <c r="AC244" s="161">
        <f t="shared" si="47"/>
        <v>0</v>
      </c>
      <c r="AD244" s="161">
        <f t="shared" si="47"/>
        <v>0</v>
      </c>
      <c r="AE244" s="161">
        <f t="shared" si="47"/>
        <v>0</v>
      </c>
      <c r="AF244" s="162">
        <f t="shared" si="47"/>
        <v>0</v>
      </c>
      <c r="AG244" s="163">
        <f t="shared" si="4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8">AF246</f>
        <v>0.3</v>
      </c>
      <c r="C246" s="166">
        <v>0.3</v>
      </c>
      <c r="D246" s="166">
        <f t="shared" ref="D246:S251" si="49">C246</f>
        <v>0.3</v>
      </c>
      <c r="E246" s="166">
        <f t="shared" si="49"/>
        <v>0.3</v>
      </c>
      <c r="F246" s="166">
        <f t="shared" si="49"/>
        <v>0.3</v>
      </c>
      <c r="G246" s="166">
        <f t="shared" si="49"/>
        <v>0.3</v>
      </c>
      <c r="H246" s="166">
        <f t="shared" si="49"/>
        <v>0.3</v>
      </c>
      <c r="I246" s="166">
        <f t="shared" si="49"/>
        <v>0.3</v>
      </c>
      <c r="J246" s="166">
        <f t="shared" si="49"/>
        <v>0.3</v>
      </c>
      <c r="K246" s="166">
        <f t="shared" si="49"/>
        <v>0.3</v>
      </c>
      <c r="L246" s="166">
        <f t="shared" si="49"/>
        <v>0.3</v>
      </c>
      <c r="M246" s="166">
        <f t="shared" si="49"/>
        <v>0.3</v>
      </c>
      <c r="N246" s="166">
        <f t="shared" si="49"/>
        <v>0.3</v>
      </c>
      <c r="O246" s="166">
        <f t="shared" si="49"/>
        <v>0.3</v>
      </c>
      <c r="P246" s="166">
        <f t="shared" si="49"/>
        <v>0.3</v>
      </c>
      <c r="Q246" s="166">
        <f t="shared" si="49"/>
        <v>0.3</v>
      </c>
      <c r="R246" s="166">
        <f t="shared" si="49"/>
        <v>0.3</v>
      </c>
      <c r="S246" s="166">
        <f t="shared" si="49"/>
        <v>0.3</v>
      </c>
      <c r="T246" s="166">
        <f t="shared" ref="T246:AF251" si="50">S246</f>
        <v>0.3</v>
      </c>
      <c r="U246" s="166">
        <f t="shared" si="50"/>
        <v>0.3</v>
      </c>
      <c r="V246" s="166">
        <f t="shared" si="50"/>
        <v>0.3</v>
      </c>
      <c r="W246" s="166">
        <f t="shared" si="50"/>
        <v>0.3</v>
      </c>
      <c r="X246" s="166">
        <f t="shared" si="50"/>
        <v>0.3</v>
      </c>
      <c r="Y246" s="166">
        <f t="shared" si="50"/>
        <v>0.3</v>
      </c>
      <c r="Z246" s="166">
        <f t="shared" si="50"/>
        <v>0.3</v>
      </c>
      <c r="AA246" s="166">
        <f t="shared" si="50"/>
        <v>0.3</v>
      </c>
      <c r="AB246" s="166">
        <f t="shared" si="50"/>
        <v>0.3</v>
      </c>
      <c r="AC246" s="166">
        <f t="shared" si="50"/>
        <v>0.3</v>
      </c>
      <c r="AD246" s="166">
        <f t="shared" si="50"/>
        <v>0.3</v>
      </c>
      <c r="AE246" s="166">
        <f t="shared" si="50"/>
        <v>0.3</v>
      </c>
      <c r="AF246" s="166">
        <f t="shared" si="50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8"/>
        <v>0.4</v>
      </c>
      <c r="C247" s="152">
        <v>0.4</v>
      </c>
      <c r="D247" s="152">
        <f t="shared" si="49"/>
        <v>0.4</v>
      </c>
      <c r="E247" s="152">
        <f t="shared" si="49"/>
        <v>0.4</v>
      </c>
      <c r="F247" s="152">
        <f t="shared" si="49"/>
        <v>0.4</v>
      </c>
      <c r="G247" s="152">
        <f t="shared" si="49"/>
        <v>0.4</v>
      </c>
      <c r="H247" s="152">
        <f t="shared" si="49"/>
        <v>0.4</v>
      </c>
      <c r="I247" s="152">
        <f t="shared" si="49"/>
        <v>0.4</v>
      </c>
      <c r="J247" s="152">
        <f t="shared" si="49"/>
        <v>0.4</v>
      </c>
      <c r="K247" s="152">
        <f t="shared" si="49"/>
        <v>0.4</v>
      </c>
      <c r="L247" s="152">
        <f t="shared" si="49"/>
        <v>0.4</v>
      </c>
      <c r="M247" s="152">
        <f t="shared" si="49"/>
        <v>0.4</v>
      </c>
      <c r="N247" s="152">
        <f t="shared" si="49"/>
        <v>0.4</v>
      </c>
      <c r="O247" s="152">
        <f t="shared" si="49"/>
        <v>0.4</v>
      </c>
      <c r="P247" s="152">
        <f t="shared" si="49"/>
        <v>0.4</v>
      </c>
      <c r="Q247" s="152">
        <f t="shared" si="49"/>
        <v>0.4</v>
      </c>
      <c r="R247" s="152">
        <f t="shared" si="49"/>
        <v>0.4</v>
      </c>
      <c r="S247" s="152">
        <f t="shared" si="49"/>
        <v>0.4</v>
      </c>
      <c r="T247" s="152">
        <f t="shared" si="50"/>
        <v>0.4</v>
      </c>
      <c r="U247" s="152">
        <f t="shared" si="50"/>
        <v>0.4</v>
      </c>
      <c r="V247" s="152">
        <f t="shared" si="50"/>
        <v>0.4</v>
      </c>
      <c r="W247" s="152">
        <f t="shared" si="50"/>
        <v>0.4</v>
      </c>
      <c r="X247" s="152">
        <f t="shared" si="50"/>
        <v>0.4</v>
      </c>
      <c r="Y247" s="152">
        <f t="shared" si="50"/>
        <v>0.4</v>
      </c>
      <c r="Z247" s="152">
        <f t="shared" si="50"/>
        <v>0.4</v>
      </c>
      <c r="AA247" s="152">
        <f t="shared" si="50"/>
        <v>0.4</v>
      </c>
      <c r="AB247" s="152">
        <f t="shared" si="50"/>
        <v>0.4</v>
      </c>
      <c r="AC247" s="152">
        <f t="shared" si="50"/>
        <v>0.4</v>
      </c>
      <c r="AD247" s="152">
        <f t="shared" si="50"/>
        <v>0.4</v>
      </c>
      <c r="AE247" s="152">
        <f t="shared" si="50"/>
        <v>0.4</v>
      </c>
      <c r="AF247" s="152">
        <f t="shared" si="50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8"/>
        <v>1.5</v>
      </c>
      <c r="C248" s="152">
        <v>1.5</v>
      </c>
      <c r="D248" s="152">
        <f t="shared" si="49"/>
        <v>1.5</v>
      </c>
      <c r="E248" s="152">
        <f t="shared" si="49"/>
        <v>1.5</v>
      </c>
      <c r="F248" s="152">
        <f t="shared" si="49"/>
        <v>1.5</v>
      </c>
      <c r="G248" s="152">
        <f t="shared" si="49"/>
        <v>1.5</v>
      </c>
      <c r="H248" s="152">
        <f t="shared" si="49"/>
        <v>1.5</v>
      </c>
      <c r="I248" s="152">
        <f t="shared" si="49"/>
        <v>1.5</v>
      </c>
      <c r="J248" s="152">
        <f t="shared" si="49"/>
        <v>1.5</v>
      </c>
      <c r="K248" s="152">
        <f t="shared" si="49"/>
        <v>1.5</v>
      </c>
      <c r="L248" s="152">
        <f t="shared" si="49"/>
        <v>1.5</v>
      </c>
      <c r="M248" s="152">
        <f t="shared" si="49"/>
        <v>1.5</v>
      </c>
      <c r="N248" s="152">
        <f t="shared" si="49"/>
        <v>1.5</v>
      </c>
      <c r="O248" s="152">
        <f t="shared" si="49"/>
        <v>1.5</v>
      </c>
      <c r="P248" s="152">
        <f t="shared" si="49"/>
        <v>1.5</v>
      </c>
      <c r="Q248" s="152">
        <f t="shared" si="49"/>
        <v>1.5</v>
      </c>
      <c r="R248" s="152">
        <f t="shared" si="49"/>
        <v>1.5</v>
      </c>
      <c r="S248" s="152">
        <f t="shared" si="49"/>
        <v>1.5</v>
      </c>
      <c r="T248" s="152">
        <f t="shared" si="50"/>
        <v>1.5</v>
      </c>
      <c r="U248" s="152">
        <f t="shared" si="50"/>
        <v>1.5</v>
      </c>
      <c r="V248" s="152">
        <f t="shared" si="50"/>
        <v>1.5</v>
      </c>
      <c r="W248" s="152">
        <f t="shared" si="50"/>
        <v>1.5</v>
      </c>
      <c r="X248" s="152">
        <f t="shared" si="50"/>
        <v>1.5</v>
      </c>
      <c r="Y248" s="152">
        <f t="shared" si="50"/>
        <v>1.5</v>
      </c>
      <c r="Z248" s="152">
        <f t="shared" si="50"/>
        <v>1.5</v>
      </c>
      <c r="AA248" s="152">
        <f t="shared" si="50"/>
        <v>1.5</v>
      </c>
      <c r="AB248" s="152">
        <f t="shared" si="50"/>
        <v>1.5</v>
      </c>
      <c r="AC248" s="152">
        <f t="shared" si="50"/>
        <v>1.5</v>
      </c>
      <c r="AD248" s="152">
        <f t="shared" si="50"/>
        <v>1.5</v>
      </c>
      <c r="AE248" s="152">
        <f t="shared" si="50"/>
        <v>1.5</v>
      </c>
      <c r="AF248" s="152">
        <f t="shared" si="50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8"/>
        <v>0.3</v>
      </c>
      <c r="C249" s="152">
        <v>0.3</v>
      </c>
      <c r="D249" s="152">
        <f t="shared" si="49"/>
        <v>0.3</v>
      </c>
      <c r="E249" s="152">
        <f t="shared" si="49"/>
        <v>0.3</v>
      </c>
      <c r="F249" s="152">
        <f t="shared" si="49"/>
        <v>0.3</v>
      </c>
      <c r="G249" s="152">
        <f t="shared" si="49"/>
        <v>0.3</v>
      </c>
      <c r="H249" s="152">
        <f t="shared" si="49"/>
        <v>0.3</v>
      </c>
      <c r="I249" s="152">
        <f t="shared" si="49"/>
        <v>0.3</v>
      </c>
      <c r="J249" s="152">
        <f t="shared" si="49"/>
        <v>0.3</v>
      </c>
      <c r="K249" s="152">
        <f t="shared" si="49"/>
        <v>0.3</v>
      </c>
      <c r="L249" s="152">
        <f t="shared" si="49"/>
        <v>0.3</v>
      </c>
      <c r="M249" s="152">
        <f t="shared" si="49"/>
        <v>0.3</v>
      </c>
      <c r="N249" s="152">
        <f t="shared" si="49"/>
        <v>0.3</v>
      </c>
      <c r="O249" s="152">
        <f t="shared" si="49"/>
        <v>0.3</v>
      </c>
      <c r="P249" s="152">
        <f t="shared" si="49"/>
        <v>0.3</v>
      </c>
      <c r="Q249" s="152">
        <f t="shared" si="49"/>
        <v>0.3</v>
      </c>
      <c r="R249" s="152">
        <f t="shared" si="49"/>
        <v>0.3</v>
      </c>
      <c r="S249" s="152">
        <f t="shared" si="49"/>
        <v>0.3</v>
      </c>
      <c r="T249" s="152">
        <f t="shared" si="50"/>
        <v>0.3</v>
      </c>
      <c r="U249" s="152">
        <f t="shared" si="50"/>
        <v>0.3</v>
      </c>
      <c r="V249" s="152">
        <f t="shared" si="50"/>
        <v>0.3</v>
      </c>
      <c r="W249" s="152">
        <f t="shared" si="50"/>
        <v>0.3</v>
      </c>
      <c r="X249" s="152">
        <f t="shared" si="50"/>
        <v>0.3</v>
      </c>
      <c r="Y249" s="152">
        <f t="shared" si="50"/>
        <v>0.3</v>
      </c>
      <c r="Z249" s="152">
        <f t="shared" si="50"/>
        <v>0.3</v>
      </c>
      <c r="AA249" s="152">
        <f t="shared" si="50"/>
        <v>0.3</v>
      </c>
      <c r="AB249" s="152">
        <f t="shared" si="50"/>
        <v>0.3</v>
      </c>
      <c r="AC249" s="152">
        <f t="shared" si="50"/>
        <v>0.3</v>
      </c>
      <c r="AD249" s="152">
        <f t="shared" si="50"/>
        <v>0.3</v>
      </c>
      <c r="AE249" s="152">
        <f t="shared" si="50"/>
        <v>0.3</v>
      </c>
      <c r="AF249" s="152">
        <f t="shared" si="50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50"/>
        <v>0.4</v>
      </c>
      <c r="U250" s="152">
        <f t="shared" si="50"/>
        <v>0.4</v>
      </c>
      <c r="V250" s="152">
        <f t="shared" si="50"/>
        <v>0.4</v>
      </c>
      <c r="W250" s="152">
        <f t="shared" si="50"/>
        <v>0.4</v>
      </c>
      <c r="X250" s="152">
        <f t="shared" si="50"/>
        <v>0.4</v>
      </c>
      <c r="Y250" s="152">
        <f t="shared" si="50"/>
        <v>0.4</v>
      </c>
      <c r="Z250" s="152">
        <f t="shared" si="50"/>
        <v>0.4</v>
      </c>
      <c r="AA250" s="152">
        <f t="shared" si="50"/>
        <v>0.4</v>
      </c>
      <c r="AB250" s="152">
        <f t="shared" si="50"/>
        <v>0.4</v>
      </c>
      <c r="AC250" s="152">
        <f t="shared" si="50"/>
        <v>0.4</v>
      </c>
      <c r="AD250" s="152">
        <f t="shared" si="50"/>
        <v>0.4</v>
      </c>
      <c r="AE250" s="152">
        <f t="shared" si="50"/>
        <v>0.4</v>
      </c>
      <c r="AF250" s="152">
        <f t="shared" si="50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8"/>
        <v>0.64</v>
      </c>
      <c r="C251" s="157">
        <v>0.64</v>
      </c>
      <c r="D251" s="157">
        <f t="shared" si="49"/>
        <v>0.64</v>
      </c>
      <c r="E251" s="157">
        <f t="shared" si="49"/>
        <v>0.64</v>
      </c>
      <c r="F251" s="157">
        <f t="shared" si="49"/>
        <v>0.64</v>
      </c>
      <c r="G251" s="157">
        <f t="shared" si="49"/>
        <v>0.64</v>
      </c>
      <c r="H251" s="157">
        <f t="shared" si="49"/>
        <v>0.64</v>
      </c>
      <c r="I251" s="157">
        <f t="shared" si="49"/>
        <v>0.64</v>
      </c>
      <c r="J251" s="157">
        <f t="shared" si="49"/>
        <v>0.64</v>
      </c>
      <c r="K251" s="157">
        <f t="shared" si="49"/>
        <v>0.64</v>
      </c>
      <c r="L251" s="157">
        <f t="shared" si="49"/>
        <v>0.64</v>
      </c>
      <c r="M251" s="157">
        <f t="shared" si="49"/>
        <v>0.64</v>
      </c>
      <c r="N251" s="157">
        <f t="shared" si="49"/>
        <v>0.64</v>
      </c>
      <c r="O251" s="157">
        <f t="shared" si="49"/>
        <v>0.64</v>
      </c>
      <c r="P251" s="157">
        <f t="shared" si="49"/>
        <v>0.64</v>
      </c>
      <c r="Q251" s="157">
        <f t="shared" si="49"/>
        <v>0.64</v>
      </c>
      <c r="R251" s="157">
        <f t="shared" si="49"/>
        <v>0.64</v>
      </c>
      <c r="S251" s="157">
        <f t="shared" si="49"/>
        <v>0.64</v>
      </c>
      <c r="T251" s="157">
        <f t="shared" si="50"/>
        <v>0.64</v>
      </c>
      <c r="U251" s="157">
        <f t="shared" si="50"/>
        <v>0.64</v>
      </c>
      <c r="V251" s="157">
        <f t="shared" si="50"/>
        <v>0.64</v>
      </c>
      <c r="W251" s="157">
        <f t="shared" si="50"/>
        <v>0.64</v>
      </c>
      <c r="X251" s="157">
        <f t="shared" si="50"/>
        <v>0.64</v>
      </c>
      <c r="Y251" s="157">
        <f t="shared" si="50"/>
        <v>0.64</v>
      </c>
      <c r="Z251" s="157">
        <f t="shared" si="50"/>
        <v>0.64</v>
      </c>
      <c r="AA251" s="157">
        <f t="shared" si="50"/>
        <v>0.64</v>
      </c>
      <c r="AB251" s="157">
        <f t="shared" si="50"/>
        <v>0.64</v>
      </c>
      <c r="AC251" s="157">
        <f t="shared" si="50"/>
        <v>0.64</v>
      </c>
      <c r="AD251" s="157">
        <f t="shared" si="50"/>
        <v>0.64</v>
      </c>
      <c r="AE251" s="157">
        <f t="shared" si="50"/>
        <v>0.64</v>
      </c>
      <c r="AF251" s="157">
        <f t="shared" si="50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1">SUM(B246:B251)</f>
        <v>3.54</v>
      </c>
      <c r="C252" s="161">
        <f t="shared" si="51"/>
        <v>3.54</v>
      </c>
      <c r="D252" s="161">
        <f t="shared" si="51"/>
        <v>3.54</v>
      </c>
      <c r="E252" s="161">
        <f t="shared" si="51"/>
        <v>3.54</v>
      </c>
      <c r="F252" s="161">
        <f t="shared" si="51"/>
        <v>3.54</v>
      </c>
      <c r="G252" s="161">
        <f t="shared" si="51"/>
        <v>3.54</v>
      </c>
      <c r="H252" s="161">
        <f t="shared" si="51"/>
        <v>3.54</v>
      </c>
      <c r="I252" s="161">
        <f t="shared" si="51"/>
        <v>3.54</v>
      </c>
      <c r="J252" s="161">
        <f t="shared" si="51"/>
        <v>3.54</v>
      </c>
      <c r="K252" s="161">
        <f t="shared" si="51"/>
        <v>3.54</v>
      </c>
      <c r="L252" s="161">
        <f t="shared" si="51"/>
        <v>3.54</v>
      </c>
      <c r="M252" s="161">
        <f t="shared" si="51"/>
        <v>3.54</v>
      </c>
      <c r="N252" s="161">
        <f t="shared" si="51"/>
        <v>3.54</v>
      </c>
      <c r="O252" s="161">
        <f t="shared" si="51"/>
        <v>3.54</v>
      </c>
      <c r="P252" s="161">
        <f t="shared" si="51"/>
        <v>3.54</v>
      </c>
      <c r="Q252" s="161">
        <f t="shared" si="51"/>
        <v>3.54</v>
      </c>
      <c r="R252" s="161">
        <f t="shared" si="51"/>
        <v>3.54</v>
      </c>
      <c r="S252" s="161">
        <f t="shared" si="51"/>
        <v>3.54</v>
      </c>
      <c r="T252" s="161">
        <f t="shared" si="51"/>
        <v>3.54</v>
      </c>
      <c r="U252" s="161">
        <f t="shared" si="51"/>
        <v>3.54</v>
      </c>
      <c r="V252" s="161">
        <f t="shared" si="51"/>
        <v>3.54</v>
      </c>
      <c r="W252" s="161">
        <f t="shared" si="51"/>
        <v>3.54</v>
      </c>
      <c r="X252" s="161">
        <f t="shared" si="51"/>
        <v>3.54</v>
      </c>
      <c r="Y252" s="161">
        <f t="shared" si="51"/>
        <v>3.54</v>
      </c>
      <c r="Z252" s="161">
        <f t="shared" si="51"/>
        <v>3.54</v>
      </c>
      <c r="AA252" s="161">
        <f t="shared" si="51"/>
        <v>3.54</v>
      </c>
      <c r="AB252" s="161">
        <f t="shared" si="51"/>
        <v>3.54</v>
      </c>
      <c r="AC252" s="161">
        <f t="shared" si="51"/>
        <v>3.54</v>
      </c>
      <c r="AD252" s="161">
        <f t="shared" si="51"/>
        <v>3.54</v>
      </c>
      <c r="AE252" s="161">
        <f t="shared" si="51"/>
        <v>3.54</v>
      </c>
      <c r="AF252" s="161">
        <f t="shared" si="51"/>
        <v>3.54</v>
      </c>
      <c r="AG252" s="171">
        <f t="shared" si="5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1538.97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2080/10/6)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4" type="noConversion"/>
  <conditionalFormatting sqref="A11:A130">
    <cfRule type="expression" dxfId="3962" priority="89">
      <formula>$AH11=0</formula>
    </cfRule>
  </conditionalFormatting>
  <conditionalFormatting sqref="A132:A253">
    <cfRule type="expression" dxfId="3961" priority="90">
      <formula>$AH132=0</formula>
    </cfRule>
  </conditionalFormatting>
  <conditionalFormatting sqref="B8">
    <cfRule type="expression" dxfId="3960" priority="144">
      <formula>AND(C$9&gt;=14/24,C$9&lt;20/24)</formula>
    </cfRule>
    <cfRule type="expression" dxfId="3959" priority="145">
      <formula>AND(C$9&gt;=8/24,C$9&lt;14/24)</formula>
    </cfRule>
    <cfRule type="expression" dxfId="3958" priority="146">
      <formula>C$9&lt;8/24</formula>
    </cfRule>
    <cfRule type="expression" dxfId="3957" priority="147">
      <formula>C$9&gt;=20/24</formula>
    </cfRule>
  </conditionalFormatting>
  <conditionalFormatting sqref="B11:W52 X20:AF52 B59:D74 E68:F74 E69:AF74 B77:AF99 B9:AF10 B101:AF117 B119:AF137 B244:AF244 B246:B252">
    <cfRule type="expression" dxfId="3956" priority="41">
      <formula>B$9&gt;=20/24</formula>
    </cfRule>
  </conditionalFormatting>
  <conditionalFormatting sqref="B9:AF10 B11:W52 X20:AF52 B59:D74 E68:F74 E69:AF74 B77:AF99 B101:AF117 B119:AF137 B244:AF244 B246:B252">
    <cfRule type="expression" dxfId="3955" priority="42">
      <formula>AND(B$9&gt;=14/24,B$9&lt;20/24)</formula>
    </cfRule>
    <cfRule type="expression" dxfId="3954" priority="43">
      <formula>AND(B$9&gt;=8/24,B$9&lt;14/24)</formula>
    </cfRule>
    <cfRule type="expression" dxfId="3953" priority="44">
      <formula>B$9&lt;8/24</formula>
    </cfRule>
  </conditionalFormatting>
  <conditionalFormatting sqref="B53:AF57">
    <cfRule type="expression" dxfId="3952" priority="53">
      <formula>B$9&lt;8/24</formula>
    </cfRule>
  </conditionalFormatting>
  <conditionalFormatting sqref="D246:AF252">
    <cfRule type="expression" dxfId="3951" priority="129">
      <formula>D$9&gt;=20/24</formula>
    </cfRule>
    <cfRule type="expression" dxfId="3950" priority="130">
      <formula>AND(D$9&gt;=14/24,D$9&lt;20/24)</formula>
    </cfRule>
    <cfRule type="expression" dxfId="3949" priority="131">
      <formula>AND(D$9&gt;=8/24,D$9&lt;14/24)</formula>
    </cfRule>
    <cfRule type="expression" dxfId="3948" priority="132">
      <formula>D$9&lt;8/24</formula>
    </cfRule>
  </conditionalFormatting>
  <conditionalFormatting sqref="E63:I67 J64:J67 K66:K67">
    <cfRule type="expression" dxfId="3947" priority="54">
      <formula>E$9&gt;=20/24</formula>
    </cfRule>
    <cfRule type="expression" dxfId="3946" priority="55">
      <formula>AND(E$9&gt;=14/24,E$9&lt;20/24)</formula>
    </cfRule>
    <cfRule type="expression" dxfId="3945" priority="56">
      <formula>AND(E$9&gt;=8/24,E$9&lt;14/24)</formula>
    </cfRule>
    <cfRule type="expression" dxfId="3944" priority="57">
      <formula>E$9&lt;8/24</formula>
    </cfRule>
  </conditionalFormatting>
  <conditionalFormatting sqref="E68:K68">
    <cfRule type="expression" dxfId="3943" priority="49">
      <formula>E$9&gt;=20/24</formula>
    </cfRule>
    <cfRule type="expression" dxfId="3942" priority="50">
      <formula>AND(E$9&gt;=14/24,E$9&lt;20/24)</formula>
    </cfRule>
    <cfRule type="expression" dxfId="3941" priority="51">
      <formula>AND(E$9&gt;=8/24,E$9&lt;14/24)</formula>
    </cfRule>
    <cfRule type="expression" dxfId="3940" priority="52">
      <formula>E$9&lt;8/24</formula>
    </cfRule>
  </conditionalFormatting>
  <conditionalFormatting sqref="E11:W55 B11:D80 X20:AD55 AE20:AF80 AC56:AD57 AA57:AB57 U57:Z61 R57:T78 E57:Q80 AA58:AD61 AG62 U62:AD78 N74:AF74 U77:U79 AA77:AA79 R79:AD80 AG80">
    <cfRule type="expression" dxfId="3939" priority="40">
      <formula>B11&gt;$AG11</formula>
    </cfRule>
  </conditionalFormatting>
  <conditionalFormatting sqref="E56:AB56">
    <cfRule type="expression" dxfId="3938" priority="45">
      <formula>E56&gt;$AG56</formula>
    </cfRule>
  </conditionalFormatting>
  <conditionalFormatting sqref="E53:AF55 B53:D57">
    <cfRule type="expression" dxfId="3937" priority="37">
      <formula>B$9&gt;=20/24</formula>
    </cfRule>
    <cfRule type="expression" dxfId="3936" priority="38">
      <formula>AND(B$9&gt;=14/24,B$9&lt;20/24)</formula>
    </cfRule>
    <cfRule type="expression" dxfId="3935" priority="39">
      <formula>AND(B$9&gt;=8/24,B$9&lt;14/24)</formula>
    </cfRule>
  </conditionalFormatting>
  <conditionalFormatting sqref="E56:AF57">
    <cfRule type="expression" dxfId="3934" priority="46">
      <formula>E$9&gt;=20/24</formula>
    </cfRule>
    <cfRule type="expression" dxfId="3933" priority="47">
      <formula>AND(E$9&gt;=14/24,E$9&lt;20/24)</formula>
    </cfRule>
    <cfRule type="expression" dxfId="3932" priority="48">
      <formula>AND(E$9&gt;=8/24,E$9&lt;14/24)</formula>
    </cfRule>
  </conditionalFormatting>
  <conditionalFormatting sqref="E59:AF62">
    <cfRule type="expression" dxfId="3931" priority="67">
      <formula>E$9&gt;=20/24</formula>
    </cfRule>
    <cfRule type="expression" dxfId="3930" priority="68">
      <formula>AND(E$9&gt;=14/24,E$9&lt;20/24)</formula>
    </cfRule>
    <cfRule type="expression" dxfId="3929" priority="69">
      <formula>AND(E$9&gt;=8/24,E$9&lt;14/24)</formula>
    </cfRule>
    <cfRule type="expression" dxfId="3928" priority="70">
      <formula>E$9&lt;8/24</formula>
    </cfRule>
  </conditionalFormatting>
  <conditionalFormatting sqref="F63:L65">
    <cfRule type="expression" dxfId="3927" priority="81">
      <formula>F$9&gt;=20/24</formula>
    </cfRule>
    <cfRule type="expression" dxfId="3926" priority="82">
      <formula>AND(F$9&gt;=14/24,F$9&lt;20/24)</formula>
    </cfRule>
    <cfRule type="expression" dxfId="3925" priority="83">
      <formula>AND(F$9&gt;=8/24,F$9&lt;14/24)</formula>
    </cfRule>
    <cfRule type="expression" dxfId="3924" priority="84">
      <formula>F$9&lt;8/24</formula>
    </cfRule>
  </conditionalFormatting>
  <conditionalFormatting sqref="L68:AA68">
    <cfRule type="expression" dxfId="3923" priority="77">
      <formula>L$9&gt;=20/24</formula>
    </cfRule>
    <cfRule type="expression" dxfId="3922" priority="78">
      <formula>AND(L$9&gt;=14/24,L$9&lt;20/24)</formula>
    </cfRule>
    <cfRule type="expression" dxfId="3921" priority="79">
      <formula>AND(L$9&gt;=8/24,L$9&lt;14/24)</formula>
    </cfRule>
    <cfRule type="expression" dxfId="3920" priority="80">
      <formula>L$9&lt;8/24</formula>
    </cfRule>
  </conditionalFormatting>
  <conditionalFormatting sqref="M8 S8 AB8">
    <cfRule type="expression" dxfId="3919" priority="136">
      <formula>AND(N$9&gt;=14/24,N$9&lt;20/24)</formula>
    </cfRule>
    <cfRule type="expression" dxfId="3918" priority="137">
      <formula>AND(N$9&gt;=8/24,N$9&lt;14/24)</formula>
    </cfRule>
    <cfRule type="expression" dxfId="3917" priority="138">
      <formula>N$9&lt;8/24</formula>
    </cfRule>
  </conditionalFormatting>
  <conditionalFormatting sqref="M63:W67 X66:AA67">
    <cfRule type="expression" dxfId="3916" priority="85">
      <formula>M$9&gt;=20/24</formula>
    </cfRule>
    <cfRule type="expression" dxfId="3915" priority="86">
      <formula>AND(M$9&gt;=14/24,M$9&lt;20/24)</formula>
    </cfRule>
    <cfRule type="expression" dxfId="3914" priority="87">
      <formula>AND(M$9&gt;=8/24,M$9&lt;14/24)</formula>
    </cfRule>
    <cfRule type="expression" dxfId="3913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912" priority="135">
      <formula>N$9&gt;=20/24</formula>
    </cfRule>
  </conditionalFormatting>
  <conditionalFormatting sqref="S8">
    <cfRule type="expression" dxfId="3911" priority="122">
      <formula>U$9&gt;=20/24</formula>
    </cfRule>
    <cfRule type="expression" dxfId="3910" priority="123">
      <formula>AND(U$9&gt;=14/24,U$9&lt;20/24)</formula>
    </cfRule>
    <cfRule type="expression" dxfId="3909" priority="124">
      <formula>AND(U$9&gt;=8/24,U$9&lt;14/24)</formula>
    </cfRule>
    <cfRule type="expression" dxfId="3908" priority="125">
      <formula>U$9&lt;8/24</formula>
    </cfRule>
  </conditionalFormatting>
  <conditionalFormatting sqref="U63:AF68">
    <cfRule type="expression" dxfId="3907" priority="71">
      <formula>U$9&gt;=20/24</formula>
    </cfRule>
    <cfRule type="expression" dxfId="3906" priority="72">
      <formula>AND(U$9&gt;=14/24,U$9&lt;20/24)</formula>
    </cfRule>
    <cfRule type="expression" dxfId="3905" priority="73">
      <formula>AND(U$9&gt;=8/24,U$9&lt;14/24)</formula>
    </cfRule>
    <cfRule type="expression" dxfId="3904" priority="74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X11:AF19">
    <cfRule type="expression" dxfId="3903" priority="58">
      <formula>X11&gt;$AG11</formula>
    </cfRule>
    <cfRule type="expression" dxfId="3902" priority="59">
      <formula>X$9&gt;=20/24</formula>
    </cfRule>
    <cfRule type="expression" dxfId="3901" priority="60">
      <formula>AND(X$9&gt;=14/24,X$9&lt;20/24)</formula>
    </cfRule>
    <cfRule type="expression" dxfId="3900" priority="61">
      <formula>AND(X$9&gt;=8/24,X$9&lt;14/24)</formula>
    </cfRule>
    <cfRule type="expression" dxfId="3899" priority="62">
      <formula>X$9&lt;8/24</formula>
    </cfRule>
  </conditionalFormatting>
  <conditionalFormatting sqref="AB8">
    <cfRule type="expression" dxfId="3898" priority="118">
      <formula>AD$9&gt;=20/24</formula>
    </cfRule>
    <cfRule type="expression" dxfId="3897" priority="119">
      <formula>AND(AD$9&gt;=14/24,AD$9&lt;20/24)</formula>
    </cfRule>
    <cfRule type="expression" dxfId="3896" priority="120">
      <formula>AND(AD$9&gt;=8/24,AD$9&lt;14/24)</formula>
    </cfRule>
    <cfRule type="expression" dxfId="3895" priority="121">
      <formula>AD$9&lt;8/24</formula>
    </cfRule>
  </conditionalFormatting>
  <conditionalFormatting sqref="AG58">
    <cfRule type="expression" dxfId="3894" priority="113">
      <formula>AG58&gt;$AG58</formula>
    </cfRule>
  </conditionalFormatting>
  <conditionalFormatting sqref="AG62">
    <cfRule type="expression" dxfId="3893" priority="96">
      <formula>AG$9&gt;=20/24</formula>
    </cfRule>
    <cfRule type="expression" dxfId="3892" priority="97">
      <formula>AND(AG$9&gt;=14/24,AG$9&lt;20/24)</formula>
    </cfRule>
    <cfRule type="expression" dxfId="3891" priority="98">
      <formula>AND(AG$9&gt;=8/24,AG$9&lt;14/24)</formula>
    </cfRule>
    <cfRule type="expression" dxfId="3890" priority="99">
      <formula>AG$9&lt;8/24</formula>
    </cfRule>
  </conditionalFormatting>
  <conditionalFormatting sqref="AG75:AG76">
    <cfRule type="expression" dxfId="3889" priority="91">
      <formula>AG75&gt;$AG75</formula>
    </cfRule>
  </conditionalFormatting>
  <conditionalFormatting sqref="AG80">
    <cfRule type="expression" dxfId="3888" priority="92">
      <formula>AG$9&gt;=20/24</formula>
    </cfRule>
    <cfRule type="expression" dxfId="3887" priority="93">
      <formula>AND(AG$9&gt;=14/24,AG$9&lt;20/24)</formula>
    </cfRule>
    <cfRule type="expression" dxfId="3886" priority="94">
      <formula>AND(AG$9&gt;=8/24,AG$9&lt;14/24)</formula>
    </cfRule>
    <cfRule type="expression" dxfId="3885" priority="95">
      <formula>AG$9&lt;8/24</formula>
    </cfRule>
  </conditionalFormatting>
  <conditionalFormatting sqref="AG97">
    <cfRule type="expression" dxfId="3884" priority="114">
      <formula>AG$9&gt;=20/24</formula>
    </cfRule>
    <cfRule type="expression" dxfId="3883" priority="115">
      <formula>AND(AG$9&gt;=14/24,AG$9&lt;20/24)</formula>
    </cfRule>
    <cfRule type="expression" dxfId="3882" priority="116">
      <formula>AND(AG$9&gt;=8/24,AG$9&lt;14/24)</formula>
    </cfRule>
    <cfRule type="expression" dxfId="3881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880" priority="139">
      <formula>AJ$9&gt;=20/24</formula>
    </cfRule>
    <cfRule type="expression" dxfId="3879" priority="140">
      <formula>AND(AJ$9&gt;=14/24,AJ$9&lt;20/24)</formula>
    </cfRule>
    <cfRule type="expression" dxfId="3878" priority="141">
      <formula>AND(AJ$9&gt;=8/24,AJ$9&lt;14/24)</formula>
    </cfRule>
    <cfRule type="expression" dxfId="3877" priority="142">
      <formula>AJ$9&lt;8/24</formula>
    </cfRule>
  </conditionalFormatting>
  <conditionalFormatting sqref="AL88:AN88 AL94:AN94">
    <cfRule type="expression" dxfId="3876" priority="106">
      <formula>AL$9&gt;=20/24</formula>
    </cfRule>
    <cfRule type="expression" dxfId="3875" priority="107">
      <formula>AND(AL$9&gt;=14/24,AL$9&lt;20/24)</formula>
    </cfRule>
    <cfRule type="expression" dxfId="3874" priority="108">
      <formula>AND(AL$9&gt;=8/24,AL$9&lt;14/24)</formula>
    </cfRule>
    <cfRule type="expression" dxfId="3873" priority="109">
      <formula>AL$9&lt;8/24</formula>
    </cfRule>
  </conditionalFormatting>
  <conditionalFormatting sqref="AM15:AM21 AN16:AR21">
    <cfRule type="expression" dxfId="3872" priority="13">
      <formula>AX$9&gt;=20/24</formula>
    </cfRule>
    <cfRule type="expression" dxfId="3871" priority="14">
      <formula>AND(AX$9&gt;=14/24,AX$9&lt;20/24)</formula>
    </cfRule>
    <cfRule type="expression" dxfId="3870" priority="15">
      <formula>AND(AX$9&gt;=8/24,AX$9&lt;14/24)</formula>
    </cfRule>
    <cfRule type="expression" dxfId="3869" priority="16">
      <formula>AX$9&lt;8/24</formula>
    </cfRule>
  </conditionalFormatting>
  <conditionalFormatting sqref="AN89:AN92">
    <cfRule type="expression" dxfId="3868" priority="102">
      <formula>AN$9&gt;=20/24</formula>
    </cfRule>
    <cfRule type="expression" dxfId="3867" priority="103">
      <formula>AND(AN$9&gt;=14/24,AN$9&lt;20/24)</formula>
    </cfRule>
    <cfRule type="expression" dxfId="3866" priority="104">
      <formula>AND(AN$9&gt;=8/24,AN$9&lt;14/24)</formula>
    </cfRule>
    <cfRule type="expression" dxfId="3865" priority="105">
      <formula>AN$9&lt;8/24</formula>
    </cfRule>
  </conditionalFormatting>
  <conditionalFormatting sqref="AN15:AR15">
    <cfRule type="expression" dxfId="3864" priority="1">
      <formula>U$9&gt;=20/24</formula>
    </cfRule>
    <cfRule type="expression" dxfId="3863" priority="2">
      <formula>AND(U$9&gt;=14/24,U$9&lt;20/24)</formula>
    </cfRule>
    <cfRule type="expression" dxfId="3862" priority="3">
      <formula>AND(U$9&gt;=8/24,U$9&lt;14/24)</formula>
    </cfRule>
    <cfRule type="expression" dxfId="3861" priority="4">
      <formula>U$9&lt;8/24</formula>
    </cfRule>
  </conditionalFormatting>
  <conditionalFormatting sqref="AS15">
    <cfRule type="expression" dxfId="3860" priority="9">
      <formula>AA$9&gt;=20/24</formula>
    </cfRule>
    <cfRule type="expression" dxfId="3859" priority="10">
      <formula>AND(AA$9&gt;=14/24,AA$9&lt;20/24)</formula>
    </cfRule>
    <cfRule type="expression" dxfId="3858" priority="11">
      <formula>AND(AA$9&gt;=8/24,AA$9&lt;14/24)</formula>
    </cfRule>
    <cfRule type="expression" dxfId="3857" priority="12">
      <formula>AA$9&lt;8/24</formula>
    </cfRule>
  </conditionalFormatting>
  <conditionalFormatting sqref="AS16:AS21">
    <cfRule type="expression" dxfId="3856" priority="17">
      <formula>BE$9&gt;=20/24</formula>
    </cfRule>
    <cfRule type="expression" dxfId="3855" priority="18">
      <formula>AND(BE$9&gt;=14/24,BE$9&lt;20/24)</formula>
    </cfRule>
    <cfRule type="expression" dxfId="3854" priority="19">
      <formula>AND(BE$9&gt;=8/24,BE$9&lt;14/24)</formula>
    </cfRule>
    <cfRule type="expression" dxfId="3853" priority="20">
      <formula>BE$9&lt;8/24</formula>
    </cfRule>
  </conditionalFormatting>
  <conditionalFormatting sqref="AT15 AX15:BJ15">
    <cfRule type="expression" dxfId="3852" priority="21">
      <formula>AC$9&gt;=20/24</formula>
    </cfRule>
    <cfRule type="expression" dxfId="3851" priority="22">
      <formula>AND(AC$9&gt;=14/24,AC$9&lt;20/24)</formula>
    </cfRule>
    <cfRule type="expression" dxfId="3850" priority="23">
      <formula>AND(AC$9&gt;=8/24,AC$9&lt;14/24)</formula>
    </cfRule>
    <cfRule type="expression" dxfId="3849" priority="24">
      <formula>AC$9&lt;8/24</formula>
    </cfRule>
  </conditionalFormatting>
  <conditionalFormatting sqref="AT16:AT21">
    <cfRule type="expression" dxfId="3848" priority="25">
      <formula>BG$9&gt;=20/24</formula>
    </cfRule>
    <cfRule type="expression" dxfId="3847" priority="26">
      <formula>AND(BG$9&gt;=14/24,BG$9&lt;20/24)</formula>
    </cfRule>
    <cfRule type="expression" dxfId="3846" priority="27">
      <formula>AND(BG$9&gt;=8/24,BG$9&lt;14/24)</formula>
    </cfRule>
    <cfRule type="expression" dxfId="3845" priority="28">
      <formula>BG$9&lt;8/24</formula>
    </cfRule>
  </conditionalFormatting>
  <conditionalFormatting sqref="AU15:AV15">
    <cfRule type="expression" dxfId="3844" priority="29">
      <formula>AE$9&gt;=20/24</formula>
    </cfRule>
    <cfRule type="expression" dxfId="3843" priority="30">
      <formula>AND(AE$9&gt;=14/24,AE$9&lt;20/24)</formula>
    </cfRule>
    <cfRule type="expression" dxfId="3842" priority="31">
      <formula>AND(AE$9&gt;=8/24,AE$9&lt;14/24)</formula>
    </cfRule>
    <cfRule type="expression" dxfId="3841" priority="32">
      <formula>AE$9&lt;8/24</formula>
    </cfRule>
  </conditionalFormatting>
  <conditionalFormatting sqref="AU16:BJ21">
    <cfRule type="expression" dxfId="3840" priority="33">
      <formula>BI$9&gt;=20/24</formula>
    </cfRule>
    <cfRule type="expression" dxfId="3839" priority="34">
      <formula>AND(BI$9&gt;=14/24,BI$9&lt;20/24)</formula>
    </cfRule>
    <cfRule type="expression" dxfId="3838" priority="35">
      <formula>AND(BI$9&gt;=8/24,BI$9&lt;14/24)</formula>
    </cfRule>
    <cfRule type="expression" dxfId="3837" priority="36">
      <formula>BI$9&lt;8/24</formula>
    </cfRule>
  </conditionalFormatting>
  <conditionalFormatting sqref="AW15">
    <cfRule type="expression" dxfId="3836" priority="5">
      <formula>B$9&gt;=20/24</formula>
    </cfRule>
    <cfRule type="expression" dxfId="3835" priority="6">
      <formula>AND(B$9&gt;=14/24,B$9&lt;20/24)</formula>
    </cfRule>
    <cfRule type="expression" dxfId="3834" priority="7">
      <formula>AND(B$9&gt;=8/24,B$9&lt;14/24)</formula>
    </cfRule>
    <cfRule type="expression" dxfId="383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2A77-0733-445E-B134-C0B65489BF48}">
  <sheetPr codeName="Sheet7"/>
  <dimension ref="A1:CJ294"/>
  <sheetViews>
    <sheetView zoomScale="106" workbookViewId="0">
      <pane xSplit="1" ySplit="10" topLeftCell="B6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2080/10/7</v>
      </c>
      <c r="C4" s="187"/>
      <c r="D4" s="187"/>
      <c r="E4" s="188" t="str">
        <f ca="1">"2080/"&amp;"10/"&amp;INT(MID(CELL("filename",G6),FIND("]",CELL("filename",G6))+1,200))</f>
        <v>2080/10/7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148.80000000000001</v>
      </c>
      <c r="C5" s="30">
        <f t="shared" si="0"/>
        <v>26</v>
      </c>
      <c r="D5" s="30">
        <f t="shared" si="0"/>
        <v>57.8</v>
      </c>
      <c r="E5" s="30">
        <f t="shared" si="0"/>
        <v>58</v>
      </c>
      <c r="F5" s="30">
        <f t="shared" si="0"/>
        <v>32</v>
      </c>
      <c r="G5" s="30">
        <f t="shared" si="0"/>
        <v>39.6</v>
      </c>
      <c r="H5" s="30">
        <f t="shared" si="0"/>
        <v>45</v>
      </c>
      <c r="I5" s="30">
        <f t="shared" si="0"/>
        <v>438</v>
      </c>
      <c r="J5" s="30">
        <f t="shared" si="0"/>
        <v>468</v>
      </c>
      <c r="K5" s="30">
        <f t="shared" si="0"/>
        <v>549.9</v>
      </c>
      <c r="L5" s="30">
        <f t="shared" si="0"/>
        <v>528.5</v>
      </c>
      <c r="M5" s="30">
        <f t="shared" si="0"/>
        <v>625.20000000000005</v>
      </c>
      <c r="N5" s="30">
        <f t="shared" si="0"/>
        <v>642.79999999999995</v>
      </c>
      <c r="O5" s="30">
        <f t="shared" si="0"/>
        <v>718.30000000000007</v>
      </c>
      <c r="P5" s="30">
        <f t="shared" si="0"/>
        <v>708</v>
      </c>
      <c r="Q5" s="30">
        <f t="shared" si="0"/>
        <v>711.59999999999991</v>
      </c>
      <c r="R5" s="30">
        <f t="shared" si="0"/>
        <v>764.4</v>
      </c>
      <c r="S5" s="30">
        <f t="shared" si="0"/>
        <v>717.2</v>
      </c>
      <c r="T5" s="30">
        <f t="shared" si="0"/>
        <v>633.30000000000007</v>
      </c>
      <c r="U5" s="30">
        <f t="shared" si="0"/>
        <v>633.30000000000007</v>
      </c>
      <c r="V5" s="30">
        <f t="shared" si="0"/>
        <v>595.80000000000007</v>
      </c>
      <c r="W5" s="30">
        <f t="shared" si="0"/>
        <v>388.70000000000005</v>
      </c>
      <c r="X5" s="30">
        <f t="shared" si="0"/>
        <v>89.1</v>
      </c>
      <c r="Y5" s="30">
        <f t="shared" si="0"/>
        <v>85.5</v>
      </c>
      <c r="Z5" s="30">
        <f t="shared" si="0"/>
        <v>69.199999999999989</v>
      </c>
      <c r="AA5" s="30">
        <f t="shared" si="0"/>
        <v>102.1</v>
      </c>
      <c r="AB5" s="30">
        <f t="shared" si="0"/>
        <v>33</v>
      </c>
      <c r="AC5" s="30">
        <f t="shared" si="0"/>
        <v>36</v>
      </c>
      <c r="AD5" s="30">
        <f t="shared" si="0"/>
        <v>0</v>
      </c>
      <c r="AE5" s="30">
        <f t="shared" si="0"/>
        <v>5</v>
      </c>
      <c r="AF5" s="30">
        <f>B92</f>
        <v>148.80000000000001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1535MW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Load=1233</v>
      </c>
      <c r="B7" s="35">
        <f t="shared" ref="B7:AF7" si="1">B100</f>
        <v>1639.0400000000002</v>
      </c>
      <c r="C7" s="35">
        <f t="shared" si="1"/>
        <v>1624.74</v>
      </c>
      <c r="D7" s="35">
        <f t="shared" si="1"/>
        <v>1439.2400000000002</v>
      </c>
      <c r="E7" s="35">
        <f t="shared" si="1"/>
        <v>1233.0400000000002</v>
      </c>
      <c r="F7" s="35">
        <f t="shared" si="1"/>
        <v>1241.0400000000002</v>
      </c>
      <c r="G7" s="35">
        <f t="shared" si="1"/>
        <v>1278.2400000000002</v>
      </c>
      <c r="H7" s="35">
        <f t="shared" si="1"/>
        <v>1312.24</v>
      </c>
      <c r="I7" s="35">
        <f t="shared" si="1"/>
        <v>1259.8400000000001</v>
      </c>
      <c r="J7" s="35">
        <f t="shared" si="1"/>
        <v>1395.0400000000002</v>
      </c>
      <c r="K7" s="35">
        <f t="shared" si="1"/>
        <v>1473.14</v>
      </c>
      <c r="L7" s="35">
        <f t="shared" si="1"/>
        <v>1519.94</v>
      </c>
      <c r="M7" s="35">
        <f t="shared" si="1"/>
        <v>1505.54</v>
      </c>
      <c r="N7" s="35">
        <f t="shared" si="1"/>
        <v>1535.44</v>
      </c>
      <c r="O7" s="35">
        <f t="shared" si="1"/>
        <v>1586.54</v>
      </c>
      <c r="P7" s="35">
        <f t="shared" si="1"/>
        <v>1626.8400000000001</v>
      </c>
      <c r="Q7" s="35">
        <f t="shared" si="1"/>
        <v>1617.2400000000002</v>
      </c>
      <c r="R7" s="35">
        <f t="shared" si="1"/>
        <v>1648.04</v>
      </c>
      <c r="S7" s="35">
        <f t="shared" si="1"/>
        <v>1650.83</v>
      </c>
      <c r="T7" s="35">
        <f t="shared" si="1"/>
        <v>1624.529</v>
      </c>
      <c r="U7" s="35">
        <f t="shared" si="1"/>
        <v>1586.8290000000002</v>
      </c>
      <c r="V7" s="35">
        <f t="shared" si="1"/>
        <v>1498.529</v>
      </c>
      <c r="W7" s="35">
        <f t="shared" si="1"/>
        <v>1470.4290000000001</v>
      </c>
      <c r="X7" s="35">
        <f t="shared" si="1"/>
        <v>1266.4290000000001</v>
      </c>
      <c r="Y7" s="35">
        <f t="shared" si="1"/>
        <v>1324.99</v>
      </c>
      <c r="Z7" s="35">
        <f t="shared" si="1"/>
        <v>1318.5399999999997</v>
      </c>
      <c r="AA7" s="35">
        <f t="shared" si="1"/>
        <v>1760.44</v>
      </c>
      <c r="AB7" s="35">
        <f t="shared" si="1"/>
        <v>1709.28</v>
      </c>
      <c r="AC7" s="35">
        <f t="shared" si="1"/>
        <v>1479.6800000000003</v>
      </c>
      <c r="AD7" s="35">
        <f t="shared" si="1"/>
        <v>1488.9800000000002</v>
      </c>
      <c r="AE7" s="35">
        <f t="shared" si="1"/>
        <v>1423.38</v>
      </c>
      <c r="AF7" s="35">
        <f t="shared" si="1"/>
        <v>1357.38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1709.28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1709.28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28.7</v>
      </c>
      <c r="C11" s="46">
        <v>28.7</v>
      </c>
      <c r="D11" s="46">
        <v>25.9</v>
      </c>
      <c r="E11" s="46">
        <v>25.9</v>
      </c>
      <c r="F11" s="46">
        <v>25.3</v>
      </c>
      <c r="G11" s="46">
        <v>22</v>
      </c>
      <c r="H11" s="46">
        <v>20.7</v>
      </c>
      <c r="I11" s="46">
        <v>20.7</v>
      </c>
      <c r="J11" s="46">
        <v>20.7</v>
      </c>
      <c r="K11" s="46">
        <v>25.9</v>
      </c>
      <c r="L11" s="46">
        <v>25.9</v>
      </c>
      <c r="M11" s="46">
        <v>25.9</v>
      </c>
      <c r="N11" s="46">
        <v>24.9</v>
      </c>
      <c r="O11" s="46">
        <v>24.9</v>
      </c>
      <c r="P11" s="46">
        <v>24.9</v>
      </c>
      <c r="Q11" s="46">
        <v>24.9</v>
      </c>
      <c r="R11" s="46">
        <v>24.9</v>
      </c>
      <c r="S11" s="46">
        <v>23.8</v>
      </c>
      <c r="T11" s="46">
        <v>27.4</v>
      </c>
      <c r="U11" s="46">
        <v>27.4</v>
      </c>
      <c r="V11" s="46">
        <v>24.7</v>
      </c>
      <c r="W11" s="46">
        <v>24.7</v>
      </c>
      <c r="X11" s="46">
        <v>24.7</v>
      </c>
      <c r="Y11" s="46">
        <v>23.5</v>
      </c>
      <c r="Z11" s="46">
        <v>23.5</v>
      </c>
      <c r="AA11" s="46">
        <v>23.5</v>
      </c>
      <c r="AB11" s="46">
        <v>25.3</v>
      </c>
      <c r="AC11" s="46">
        <v>25.3</v>
      </c>
      <c r="AD11" s="46">
        <v>25.3</v>
      </c>
      <c r="AE11" s="46">
        <v>25.3</v>
      </c>
      <c r="AF11" s="46">
        <v>25.3</v>
      </c>
      <c r="AG11" s="47">
        <v>86</v>
      </c>
      <c r="AH11" s="48">
        <f t="shared" ref="AH11:AH16" si="2">MAX(B11:AF11)</f>
        <v>28.7</v>
      </c>
      <c r="AI11" s="49">
        <f t="shared" ref="AI11:AI16" si="3">MIN(B11:AF11)</f>
        <v>20.7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11.2</v>
      </c>
      <c r="C12" s="46">
        <v>11.2</v>
      </c>
      <c r="D12" s="46">
        <v>11.2</v>
      </c>
      <c r="E12" s="46">
        <v>11.2</v>
      </c>
      <c r="F12" s="46">
        <v>11.2</v>
      </c>
      <c r="G12" s="46">
        <v>11.2</v>
      </c>
      <c r="H12" s="46">
        <v>11.2</v>
      </c>
      <c r="I12" s="46">
        <v>11.2</v>
      </c>
      <c r="J12" s="46">
        <v>11.2</v>
      </c>
      <c r="K12" s="46">
        <v>11.2</v>
      </c>
      <c r="L12" s="46">
        <v>11.2</v>
      </c>
      <c r="M12" s="46">
        <v>11.2</v>
      </c>
      <c r="N12" s="46">
        <v>11.2</v>
      </c>
      <c r="O12" s="46">
        <v>11.2</v>
      </c>
      <c r="P12" s="46">
        <v>11.2</v>
      </c>
      <c r="Q12" s="46">
        <v>11.2</v>
      </c>
      <c r="R12" s="46">
        <v>11.2</v>
      </c>
      <c r="S12" s="46">
        <v>11.2</v>
      </c>
      <c r="T12" s="46">
        <v>11.2</v>
      </c>
      <c r="U12" s="46">
        <v>11.2</v>
      </c>
      <c r="V12" s="46">
        <v>11.2</v>
      </c>
      <c r="W12" s="46">
        <v>11.2</v>
      </c>
      <c r="X12" s="46">
        <v>11.2</v>
      </c>
      <c r="Y12" s="46">
        <v>11.2</v>
      </c>
      <c r="Z12" s="46">
        <v>11.25</v>
      </c>
      <c r="AA12" s="46">
        <v>11.25</v>
      </c>
      <c r="AB12" s="46">
        <v>11.25</v>
      </c>
      <c r="AC12" s="46">
        <v>11.25</v>
      </c>
      <c r="AD12" s="46">
        <v>11.25</v>
      </c>
      <c r="AE12" s="46">
        <v>11.25</v>
      </c>
      <c r="AF12" s="46">
        <v>11.25</v>
      </c>
      <c r="AG12" s="50">
        <v>54</v>
      </c>
      <c r="AH12" s="48">
        <f t="shared" si="2"/>
        <v>11.25</v>
      </c>
      <c r="AI12" s="49">
        <f t="shared" si="3"/>
        <v>11.2</v>
      </c>
      <c r="AK12" s="51"/>
      <c r="AL12" s="52" t="str">
        <f ca="1">MID(CELL("filename",C7),FIND("]",CELL("filename",C7))+1,600)</f>
        <v>07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19.8</v>
      </c>
      <c r="C13" s="46">
        <v>19.8</v>
      </c>
      <c r="D13" s="46">
        <v>19.8</v>
      </c>
      <c r="E13" s="46">
        <v>19.8</v>
      </c>
      <c r="F13" s="46">
        <v>18</v>
      </c>
      <c r="G13" s="46">
        <v>18</v>
      </c>
      <c r="H13" s="46">
        <v>18</v>
      </c>
      <c r="I13" s="46">
        <v>18</v>
      </c>
      <c r="J13" s="46">
        <v>18</v>
      </c>
      <c r="K13" s="46">
        <v>18</v>
      </c>
      <c r="L13" s="46">
        <v>18</v>
      </c>
      <c r="M13" s="46">
        <v>18</v>
      </c>
      <c r="N13" s="46">
        <v>18</v>
      </c>
      <c r="O13" s="46">
        <v>18</v>
      </c>
      <c r="P13" s="46">
        <v>18</v>
      </c>
      <c r="Q13" s="46">
        <v>18</v>
      </c>
      <c r="R13" s="46">
        <v>18</v>
      </c>
      <c r="S13" s="46">
        <v>16</v>
      </c>
      <c r="T13" s="46">
        <v>16</v>
      </c>
      <c r="U13" s="46">
        <v>16</v>
      </c>
      <c r="V13" s="46">
        <v>16</v>
      </c>
      <c r="W13" s="46">
        <v>16</v>
      </c>
      <c r="X13" s="46">
        <v>16</v>
      </c>
      <c r="Y13" s="46">
        <v>16</v>
      </c>
      <c r="Z13" s="46">
        <v>19.899999999999999</v>
      </c>
      <c r="AA13" s="46">
        <v>19.899999999999999</v>
      </c>
      <c r="AB13" s="46">
        <v>19.899999999999999</v>
      </c>
      <c r="AC13" s="46">
        <v>19.899999999999999</v>
      </c>
      <c r="AD13" s="46">
        <v>19.899999999999999</v>
      </c>
      <c r="AE13" s="46">
        <v>19.899999999999999</v>
      </c>
      <c r="AF13" s="46">
        <v>19.899999999999999</v>
      </c>
      <c r="AG13" s="50">
        <v>54</v>
      </c>
      <c r="AH13" s="48">
        <f t="shared" si="2"/>
        <v>19.899999999999999</v>
      </c>
      <c r="AI13" s="49">
        <f t="shared" si="3"/>
        <v>16</v>
      </c>
      <c r="AK13" s="51"/>
      <c r="AL13" s="52" t="str">
        <f ca="1">"Daily Load Curve(Excluding of Export) of Nepal ("&amp;A4&amp;" "&amp;B4&amp;")"</f>
        <v>Daily Load Curve(Excluding of Export) of Nepal (Nepali Date: 2080/10/7)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53">
        <v>50.2</v>
      </c>
      <c r="C15" s="53">
        <v>50.2</v>
      </c>
      <c r="D15" s="53">
        <v>50.2</v>
      </c>
      <c r="E15" s="53">
        <v>50.2</v>
      </c>
      <c r="F15" s="53">
        <v>50.2</v>
      </c>
      <c r="G15" s="53">
        <v>50.2</v>
      </c>
      <c r="H15" s="53">
        <v>50.2</v>
      </c>
      <c r="I15" s="53">
        <v>50.2</v>
      </c>
      <c r="J15" s="53">
        <v>50.2</v>
      </c>
      <c r="K15" s="53">
        <v>50.2</v>
      </c>
      <c r="L15" s="53">
        <v>50.2</v>
      </c>
      <c r="M15" s="53">
        <v>50.2</v>
      </c>
      <c r="N15" s="53">
        <v>50.2</v>
      </c>
      <c r="O15" s="53">
        <v>50.2</v>
      </c>
      <c r="P15" s="53">
        <v>50.2</v>
      </c>
      <c r="Q15" s="53">
        <v>50.2</v>
      </c>
      <c r="R15" s="53">
        <v>50.2</v>
      </c>
      <c r="S15" s="46">
        <v>50.3</v>
      </c>
      <c r="T15" s="46">
        <v>50.3</v>
      </c>
      <c r="U15" s="46">
        <v>50.3</v>
      </c>
      <c r="V15" s="46">
        <v>50.3</v>
      </c>
      <c r="W15" s="46">
        <v>50.3</v>
      </c>
      <c r="X15" s="53">
        <v>50.3</v>
      </c>
      <c r="Y15" s="53">
        <v>50.4</v>
      </c>
      <c r="Z15" s="53">
        <v>50.4</v>
      </c>
      <c r="AA15" s="53">
        <v>50.4</v>
      </c>
      <c r="AB15" s="53">
        <v>50.4</v>
      </c>
      <c r="AC15" s="53">
        <v>50.4</v>
      </c>
      <c r="AD15" s="53">
        <v>50.4</v>
      </c>
      <c r="AE15" s="53">
        <v>50.4</v>
      </c>
      <c r="AF15" s="53">
        <v>50.4</v>
      </c>
      <c r="AG15" s="50">
        <v>50</v>
      </c>
      <c r="AH15" s="48">
        <f t="shared" si="2"/>
        <v>50.4</v>
      </c>
      <c r="AI15" s="49">
        <f t="shared" si="3"/>
        <v>50.2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592.10000000000014</v>
      </c>
      <c r="AN16" s="59">
        <f t="shared" si="4"/>
        <v>592.10000000000014</v>
      </c>
      <c r="AO16" s="59">
        <f t="shared" si="4"/>
        <v>584.40000000000009</v>
      </c>
      <c r="AP16" s="59">
        <f t="shared" si="4"/>
        <v>584.40000000000009</v>
      </c>
      <c r="AQ16" s="59">
        <f t="shared" si="4"/>
        <v>580.10000000000014</v>
      </c>
      <c r="AR16" s="59">
        <f t="shared" si="4"/>
        <v>576.80000000000018</v>
      </c>
      <c r="AS16" s="59">
        <f>I58</f>
        <v>577.00000000000011</v>
      </c>
      <c r="AT16" s="59">
        <f>K58</f>
        <v>580.70000000000005</v>
      </c>
      <c r="AU16" s="59">
        <f t="shared" ref="AU16:BD16" si="5">M58</f>
        <v>580.70000000000005</v>
      </c>
      <c r="AV16" s="59">
        <f t="shared" si="5"/>
        <v>579.70000000000005</v>
      </c>
      <c r="AW16" s="59">
        <f t="shared" si="5"/>
        <v>579.70000000000005</v>
      </c>
      <c r="AX16" s="59">
        <f t="shared" si="5"/>
        <v>579.70000000000005</v>
      </c>
      <c r="AY16" s="59">
        <f t="shared" si="5"/>
        <v>579.70000000000005</v>
      </c>
      <c r="AZ16" s="59">
        <f t="shared" si="5"/>
        <v>579.70000000000005</v>
      </c>
      <c r="BA16" s="59">
        <f t="shared" si="5"/>
        <v>557.19000000000005</v>
      </c>
      <c r="BB16" s="59">
        <f t="shared" si="5"/>
        <v>562.29</v>
      </c>
      <c r="BC16" s="59">
        <f t="shared" si="5"/>
        <v>562.29</v>
      </c>
      <c r="BD16" s="59">
        <f t="shared" si="5"/>
        <v>573.79000000000008</v>
      </c>
      <c r="BE16" s="60">
        <f>X58</f>
        <v>580.29</v>
      </c>
      <c r="BF16" s="60">
        <f>Z58</f>
        <v>583.13999999999987</v>
      </c>
      <c r="BG16" s="60">
        <f>AB58</f>
        <v>584.94000000000005</v>
      </c>
      <c r="BH16" s="60">
        <f>AD58</f>
        <v>584.94000000000005</v>
      </c>
      <c r="BI16" s="60">
        <f>AE58</f>
        <v>584.94000000000005</v>
      </c>
      <c r="BJ16" s="60">
        <f>AF58</f>
        <v>584.94000000000005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16.899999999999999</v>
      </c>
      <c r="C17" s="46">
        <v>16.899999999999999</v>
      </c>
      <c r="D17" s="46">
        <v>16.899999999999999</v>
      </c>
      <c r="E17" s="46">
        <v>16.899999999999999</v>
      </c>
      <c r="F17" s="46">
        <v>16.899999999999999</v>
      </c>
      <c r="G17" s="46">
        <v>16.899999999999999</v>
      </c>
      <c r="H17" s="46">
        <v>16.899999999999999</v>
      </c>
      <c r="I17" s="46">
        <v>16.899999999999999</v>
      </c>
      <c r="J17" s="46">
        <v>16.899999999999999</v>
      </c>
      <c r="K17" s="46">
        <v>16.899999999999999</v>
      </c>
      <c r="L17" s="46">
        <v>16.899999999999999</v>
      </c>
      <c r="M17" s="46">
        <v>16.899999999999999</v>
      </c>
      <c r="N17" s="46">
        <v>16.899999999999999</v>
      </c>
      <c r="O17" s="46">
        <v>16.899999999999999</v>
      </c>
      <c r="P17" s="46">
        <v>16.899999999999999</v>
      </c>
      <c r="Q17" s="46">
        <v>16.899999999999999</v>
      </c>
      <c r="R17" s="46">
        <v>16.899999999999999</v>
      </c>
      <c r="S17" s="46">
        <v>16.899999999999999</v>
      </c>
      <c r="T17" s="46">
        <v>16.899999999999999</v>
      </c>
      <c r="U17" s="46">
        <v>16.899999999999999</v>
      </c>
      <c r="V17" s="46">
        <v>16.899999999999999</v>
      </c>
      <c r="W17" s="46">
        <v>16.899999999999999</v>
      </c>
      <c r="X17" s="46">
        <v>16.899999999999999</v>
      </c>
      <c r="Y17" s="46">
        <v>16.899999999999999</v>
      </c>
      <c r="Z17" s="46">
        <v>16.899999999999999</v>
      </c>
      <c r="AA17" s="46">
        <v>16.899999999999999</v>
      </c>
      <c r="AB17" s="46">
        <v>16.899999999999999</v>
      </c>
      <c r="AC17" s="46">
        <v>16.899999999999999</v>
      </c>
      <c r="AD17" s="46">
        <v>16.899999999999999</v>
      </c>
      <c r="AE17" s="46">
        <v>16.899999999999999</v>
      </c>
      <c r="AF17" s="46">
        <v>16.899999999999999</v>
      </c>
      <c r="AG17" s="50">
        <v>44</v>
      </c>
      <c r="AH17" s="48">
        <f>MAX(B17:AG17)</f>
        <v>44</v>
      </c>
      <c r="AI17" s="49">
        <f>MIN(B17:AG17)</f>
        <v>16.899999999999999</v>
      </c>
      <c r="AK17" s="51"/>
      <c r="AL17" s="54" t="s">
        <v>27</v>
      </c>
      <c r="AM17" s="59">
        <f t="shared" ref="AM17:AR17" si="6">B62</f>
        <v>216.20000000000002</v>
      </c>
      <c r="AN17" s="59">
        <f t="shared" si="6"/>
        <v>203.9</v>
      </c>
      <c r="AO17" s="59">
        <f t="shared" si="6"/>
        <v>192.4</v>
      </c>
      <c r="AP17" s="59">
        <f t="shared" si="6"/>
        <v>178</v>
      </c>
      <c r="AQ17" s="59">
        <f t="shared" si="6"/>
        <v>197.6</v>
      </c>
      <c r="AR17" s="59">
        <f t="shared" si="6"/>
        <v>230.8</v>
      </c>
      <c r="AS17" s="59">
        <f>I62</f>
        <v>272.2</v>
      </c>
      <c r="AT17" s="59">
        <f>K62</f>
        <v>43.5</v>
      </c>
      <c r="AU17" s="59">
        <f t="shared" ref="AU17:BD17" si="7">M62</f>
        <v>41.6</v>
      </c>
      <c r="AV17" s="59">
        <f t="shared" si="7"/>
        <v>41</v>
      </c>
      <c r="AW17" s="59">
        <f t="shared" si="7"/>
        <v>41</v>
      </c>
      <c r="AX17" s="59">
        <f t="shared" si="7"/>
        <v>40.4</v>
      </c>
      <c r="AY17" s="59">
        <f t="shared" si="7"/>
        <v>41.1</v>
      </c>
      <c r="AZ17" s="59">
        <f t="shared" si="7"/>
        <v>41.4</v>
      </c>
      <c r="BA17" s="59">
        <f t="shared" si="7"/>
        <v>41</v>
      </c>
      <c r="BB17" s="59">
        <f t="shared" si="7"/>
        <v>40.4</v>
      </c>
      <c r="BC17" s="59">
        <f t="shared" si="7"/>
        <v>90.6</v>
      </c>
      <c r="BD17" s="59">
        <f t="shared" si="7"/>
        <v>90.5</v>
      </c>
      <c r="BE17" s="60">
        <f>X62</f>
        <v>100</v>
      </c>
      <c r="BF17" s="60">
        <f>Z62</f>
        <v>322.39999999999998</v>
      </c>
      <c r="BG17" s="60">
        <f>AB62</f>
        <v>419.4</v>
      </c>
      <c r="BH17" s="60">
        <f>AD62</f>
        <v>449.4</v>
      </c>
      <c r="BI17" s="60">
        <f>AE62</f>
        <v>383.4</v>
      </c>
      <c r="BJ17" s="60">
        <f>AF62</f>
        <v>312.39999999999998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20</v>
      </c>
      <c r="C18" s="46">
        <v>20</v>
      </c>
      <c r="D18" s="46">
        <v>18</v>
      </c>
      <c r="E18" s="46">
        <v>18</v>
      </c>
      <c r="F18" s="46">
        <v>18</v>
      </c>
      <c r="G18" s="46">
        <v>18</v>
      </c>
      <c r="H18" s="46">
        <v>18</v>
      </c>
      <c r="I18" s="46">
        <v>18</v>
      </c>
      <c r="J18" s="46">
        <v>18</v>
      </c>
      <c r="K18" s="46">
        <v>18</v>
      </c>
      <c r="L18" s="46">
        <v>18</v>
      </c>
      <c r="M18" s="46">
        <v>18</v>
      </c>
      <c r="N18" s="46">
        <v>18</v>
      </c>
      <c r="O18" s="46">
        <v>18</v>
      </c>
      <c r="P18" s="46">
        <v>18</v>
      </c>
      <c r="Q18" s="46">
        <v>18</v>
      </c>
      <c r="R18" s="46">
        <v>18</v>
      </c>
      <c r="S18" s="46">
        <v>11</v>
      </c>
      <c r="T18" s="46">
        <v>12.5</v>
      </c>
      <c r="U18" s="46">
        <v>12.5</v>
      </c>
      <c r="V18" s="46">
        <v>20</v>
      </c>
      <c r="W18" s="46">
        <v>20</v>
      </c>
      <c r="X18" s="46">
        <v>20</v>
      </c>
      <c r="Y18" s="46">
        <v>20</v>
      </c>
      <c r="Z18" s="46">
        <v>20</v>
      </c>
      <c r="AA18" s="46">
        <v>20</v>
      </c>
      <c r="AB18" s="46">
        <v>20</v>
      </c>
      <c r="AC18" s="46">
        <v>20</v>
      </c>
      <c r="AD18" s="46">
        <v>20</v>
      </c>
      <c r="AE18" s="46">
        <v>20</v>
      </c>
      <c r="AF18" s="46">
        <v>20</v>
      </c>
      <c r="AG18" s="50">
        <v>42</v>
      </c>
      <c r="AH18" s="48">
        <f t="shared" ref="AH18:AH81" si="8">MAX(B18:AF18)</f>
        <v>20</v>
      </c>
      <c r="AI18" s="49">
        <f t="shared" ref="AI18:AI81" si="9">MIN(B18:AF18)</f>
        <v>11</v>
      </c>
      <c r="AK18" s="51"/>
      <c r="AL18" s="54" t="s">
        <v>29</v>
      </c>
      <c r="AM18" s="59">
        <f t="shared" ref="AM18:AR18" si="10">B76</f>
        <v>320.54000000000008</v>
      </c>
      <c r="AN18" s="59">
        <f t="shared" si="10"/>
        <v>318.54000000000008</v>
      </c>
      <c r="AO18" s="59">
        <f t="shared" si="10"/>
        <v>336.44000000000005</v>
      </c>
      <c r="AP18" s="59">
        <f t="shared" si="10"/>
        <v>312.84000000000003</v>
      </c>
      <c r="AQ18" s="59">
        <f t="shared" si="10"/>
        <v>305.34000000000003</v>
      </c>
      <c r="AR18" s="59">
        <f t="shared" si="10"/>
        <v>338.64000000000004</v>
      </c>
      <c r="AS18" s="59">
        <f>I76</f>
        <v>365.64000000000004</v>
      </c>
      <c r="AT18" s="59">
        <f>K76</f>
        <v>380.94000000000005</v>
      </c>
      <c r="AU18" s="59">
        <f t="shared" ref="AU18:BD18" si="11">M76</f>
        <v>354.74</v>
      </c>
      <c r="AV18" s="59">
        <f t="shared" si="11"/>
        <v>289.53999999999996</v>
      </c>
      <c r="AW18" s="59">
        <f t="shared" si="11"/>
        <v>323.03999999999996</v>
      </c>
      <c r="AX18" s="59">
        <f t="shared" si="11"/>
        <v>288.44000000000005</v>
      </c>
      <c r="AY18" s="59">
        <f t="shared" si="11"/>
        <v>288.44000000000005</v>
      </c>
      <c r="AZ18" s="59">
        <f t="shared" si="11"/>
        <v>315.34000000000003</v>
      </c>
      <c r="BA18" s="59">
        <f t="shared" si="11"/>
        <v>288.24000000000007</v>
      </c>
      <c r="BB18" s="59">
        <f t="shared" si="11"/>
        <v>304.63900000000007</v>
      </c>
      <c r="BC18" s="59">
        <f t="shared" si="11"/>
        <v>300.63900000000007</v>
      </c>
      <c r="BD18" s="59">
        <f t="shared" si="11"/>
        <v>200.93899999999999</v>
      </c>
      <c r="BE18" s="60">
        <f>X76</f>
        <v>199.43899999999999</v>
      </c>
      <c r="BF18" s="60">
        <f>Z76</f>
        <v>316.10000000000002</v>
      </c>
      <c r="BG18" s="60">
        <f>AB76</f>
        <v>337.84000000000003</v>
      </c>
      <c r="BH18" s="60">
        <f>AD76</f>
        <v>318.64000000000004</v>
      </c>
      <c r="BI18" s="60">
        <f>AE76</f>
        <v>355.04</v>
      </c>
      <c r="BJ18" s="60">
        <f>AF76</f>
        <v>355.04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28</v>
      </c>
      <c r="C19" s="46">
        <v>28</v>
      </c>
      <c r="D19" s="46">
        <v>27.3</v>
      </c>
      <c r="E19" s="46">
        <v>27.3</v>
      </c>
      <c r="F19" s="46">
        <v>27.3</v>
      </c>
      <c r="G19" s="46">
        <v>27.3</v>
      </c>
      <c r="H19" s="46">
        <v>27.3</v>
      </c>
      <c r="I19" s="46">
        <v>27.3</v>
      </c>
      <c r="J19" s="46">
        <v>27.3</v>
      </c>
      <c r="K19" s="46">
        <v>27.3</v>
      </c>
      <c r="L19" s="46">
        <v>27.3</v>
      </c>
      <c r="M19" s="46">
        <v>27.3</v>
      </c>
      <c r="N19" s="46">
        <v>27.3</v>
      </c>
      <c r="O19" s="46">
        <v>27.3</v>
      </c>
      <c r="P19" s="46">
        <v>27.3</v>
      </c>
      <c r="Q19" s="46">
        <v>27.3</v>
      </c>
      <c r="R19" s="46">
        <v>27.3</v>
      </c>
      <c r="S19" s="46">
        <v>20.6</v>
      </c>
      <c r="T19" s="46">
        <v>20.6</v>
      </c>
      <c r="U19" s="46">
        <v>20.6</v>
      </c>
      <c r="V19" s="46">
        <v>21.1</v>
      </c>
      <c r="W19" s="46">
        <v>21.1</v>
      </c>
      <c r="X19" s="46">
        <v>21.2</v>
      </c>
      <c r="Y19" s="46">
        <v>21.2</v>
      </c>
      <c r="Z19" s="46">
        <v>21.2</v>
      </c>
      <c r="AA19" s="46">
        <v>21.2</v>
      </c>
      <c r="AB19" s="46">
        <v>21.2</v>
      </c>
      <c r="AC19" s="46">
        <v>21.2</v>
      </c>
      <c r="AD19" s="46">
        <v>21.2</v>
      </c>
      <c r="AE19" s="46">
        <v>21.2</v>
      </c>
      <c r="AF19" s="46">
        <v>21.2</v>
      </c>
      <c r="AG19" s="50">
        <v>38.46</v>
      </c>
      <c r="AH19" s="48">
        <f t="shared" si="8"/>
        <v>28</v>
      </c>
      <c r="AI19" s="49">
        <f t="shared" si="9"/>
        <v>20.6</v>
      </c>
      <c r="AK19" s="51"/>
      <c r="AL19" s="54" t="s">
        <v>31</v>
      </c>
      <c r="AM19" s="59">
        <f t="shared" ref="AM19:AR19" si="12">B92</f>
        <v>148.80000000000001</v>
      </c>
      <c r="AN19" s="59">
        <f t="shared" si="12"/>
        <v>148.80000000000001</v>
      </c>
      <c r="AO19" s="59">
        <f t="shared" si="12"/>
        <v>26</v>
      </c>
      <c r="AP19" s="59">
        <f t="shared" si="12"/>
        <v>57.8</v>
      </c>
      <c r="AQ19" s="59">
        <f t="shared" si="12"/>
        <v>58</v>
      </c>
      <c r="AR19" s="59">
        <f t="shared" si="12"/>
        <v>32</v>
      </c>
      <c r="AS19" s="59">
        <f>I92</f>
        <v>45</v>
      </c>
      <c r="AT19" s="59">
        <f>K92</f>
        <v>468</v>
      </c>
      <c r="AU19" s="59">
        <f t="shared" ref="AU19:BD19" si="13">M92</f>
        <v>528.5</v>
      </c>
      <c r="AV19" s="59">
        <f t="shared" si="13"/>
        <v>625.20000000000005</v>
      </c>
      <c r="AW19" s="59">
        <f t="shared" si="13"/>
        <v>642.79999999999995</v>
      </c>
      <c r="AX19" s="59">
        <f t="shared" si="13"/>
        <v>718.30000000000007</v>
      </c>
      <c r="AY19" s="59">
        <f t="shared" si="13"/>
        <v>708</v>
      </c>
      <c r="AZ19" s="59">
        <f t="shared" si="13"/>
        <v>711.59999999999991</v>
      </c>
      <c r="BA19" s="59">
        <f t="shared" si="13"/>
        <v>764.4</v>
      </c>
      <c r="BB19" s="59">
        <f t="shared" si="13"/>
        <v>717.2</v>
      </c>
      <c r="BC19" s="59">
        <f t="shared" si="13"/>
        <v>633.30000000000007</v>
      </c>
      <c r="BD19" s="59">
        <f t="shared" si="13"/>
        <v>633.30000000000007</v>
      </c>
      <c r="BE19" s="60">
        <f>X92</f>
        <v>388.70000000000005</v>
      </c>
      <c r="BF19" s="60">
        <f>Z92</f>
        <v>85.5</v>
      </c>
      <c r="BG19" s="60">
        <f>AB92</f>
        <v>102.1</v>
      </c>
      <c r="BH19" s="60">
        <f>AD92</f>
        <v>36</v>
      </c>
      <c r="BI19" s="60">
        <f>AE92</f>
        <v>0</v>
      </c>
      <c r="BJ19" s="60">
        <f>AF92</f>
        <v>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18</v>
      </c>
      <c r="C20" s="46">
        <v>18</v>
      </c>
      <c r="D20" s="46">
        <v>18</v>
      </c>
      <c r="E20" s="46">
        <v>18</v>
      </c>
      <c r="F20" s="46">
        <v>18</v>
      </c>
      <c r="G20" s="46">
        <v>18</v>
      </c>
      <c r="H20" s="46">
        <v>18</v>
      </c>
      <c r="I20" s="46">
        <v>18</v>
      </c>
      <c r="J20" s="46">
        <v>18</v>
      </c>
      <c r="K20" s="46">
        <v>18</v>
      </c>
      <c r="L20" s="46">
        <v>18</v>
      </c>
      <c r="M20" s="46">
        <v>18</v>
      </c>
      <c r="N20" s="46">
        <v>18</v>
      </c>
      <c r="O20" s="46">
        <v>18</v>
      </c>
      <c r="P20" s="46">
        <v>18</v>
      </c>
      <c r="Q20" s="46">
        <v>18</v>
      </c>
      <c r="R20" s="46">
        <v>18</v>
      </c>
      <c r="S20" s="46">
        <v>17.3</v>
      </c>
      <c r="T20" s="46">
        <v>17.3</v>
      </c>
      <c r="U20" s="46">
        <v>17.3</v>
      </c>
      <c r="V20" s="46">
        <v>17.3</v>
      </c>
      <c r="W20" s="46">
        <v>17.3</v>
      </c>
      <c r="X20" s="46">
        <v>17.600000000000001</v>
      </c>
      <c r="Y20" s="46">
        <v>17.600000000000001</v>
      </c>
      <c r="Z20" s="46">
        <v>17.600000000000001</v>
      </c>
      <c r="AA20" s="46">
        <v>17.600000000000001</v>
      </c>
      <c r="AB20" s="46">
        <v>17.600000000000001</v>
      </c>
      <c r="AC20" s="46">
        <v>17.600000000000001</v>
      </c>
      <c r="AD20" s="46">
        <v>17.600000000000001</v>
      </c>
      <c r="AE20" s="46">
        <v>17.600000000000001</v>
      </c>
      <c r="AF20" s="46">
        <v>17.600000000000001</v>
      </c>
      <c r="AG20" s="50">
        <v>38.46</v>
      </c>
      <c r="AH20" s="48">
        <f t="shared" si="8"/>
        <v>18</v>
      </c>
      <c r="AI20" s="49">
        <f t="shared" si="9"/>
        <v>17.3</v>
      </c>
      <c r="AK20" s="51"/>
      <c r="AL20" s="54" t="s">
        <v>33</v>
      </c>
      <c r="AM20" s="59">
        <f t="shared" ref="AM20:AR20" si="14">B80</f>
        <v>61.4</v>
      </c>
      <c r="AN20" s="59">
        <f t="shared" si="14"/>
        <v>61.4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16.100000000000001</v>
      </c>
      <c r="BG20" s="60">
        <f>AB80</f>
        <v>15.000000000000002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300</v>
      </c>
      <c r="AN21" s="59">
        <f t="shared" si="16"/>
        <v>300</v>
      </c>
      <c r="AO21" s="59">
        <f t="shared" si="16"/>
        <v>300</v>
      </c>
      <c r="AP21" s="59">
        <f t="shared" si="16"/>
        <v>100</v>
      </c>
      <c r="AQ21" s="59">
        <f t="shared" si="16"/>
        <v>100</v>
      </c>
      <c r="AR21" s="59">
        <f t="shared" si="16"/>
        <v>100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250</v>
      </c>
      <c r="BH21" s="60">
        <f>AD98</f>
        <v>100</v>
      </c>
      <c r="BI21" s="60">
        <f>AE98</f>
        <v>100</v>
      </c>
      <c r="BJ21" s="60">
        <f>AF98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12.7</v>
      </c>
      <c r="C22" s="46">
        <v>12.7</v>
      </c>
      <c r="D22" s="46">
        <v>10.5</v>
      </c>
      <c r="E22" s="46">
        <v>10.5</v>
      </c>
      <c r="F22" s="46">
        <v>10.5</v>
      </c>
      <c r="G22" s="46">
        <v>10.5</v>
      </c>
      <c r="H22" s="46">
        <v>10.5</v>
      </c>
      <c r="I22" s="46">
        <v>12</v>
      </c>
      <c r="J22" s="46">
        <v>12</v>
      </c>
      <c r="K22" s="46">
        <v>10.5</v>
      </c>
      <c r="L22" s="46">
        <v>10.5</v>
      </c>
      <c r="M22" s="46">
        <v>10.5</v>
      </c>
      <c r="N22" s="46">
        <v>10.5</v>
      </c>
      <c r="O22" s="46">
        <v>10.5</v>
      </c>
      <c r="P22" s="46">
        <v>10.5</v>
      </c>
      <c r="Q22" s="46">
        <v>10.5</v>
      </c>
      <c r="R22" s="46">
        <v>10.5</v>
      </c>
      <c r="S22" s="46">
        <v>9.6</v>
      </c>
      <c r="T22" s="46">
        <v>9.6</v>
      </c>
      <c r="U22" s="46">
        <v>9.6</v>
      </c>
      <c r="V22" s="46">
        <v>9.6</v>
      </c>
      <c r="W22" s="46">
        <v>9.6</v>
      </c>
      <c r="X22" s="46">
        <v>9.6</v>
      </c>
      <c r="Y22" s="46">
        <v>9.6</v>
      </c>
      <c r="Z22" s="46">
        <v>9.6</v>
      </c>
      <c r="AA22" s="46">
        <v>9.6</v>
      </c>
      <c r="AB22" s="46">
        <v>9.6</v>
      </c>
      <c r="AC22" s="46">
        <v>9.6</v>
      </c>
      <c r="AD22" s="46">
        <v>9.6</v>
      </c>
      <c r="AE22" s="46">
        <v>9.6</v>
      </c>
      <c r="AF22" s="46">
        <v>9.6</v>
      </c>
      <c r="AG22" s="61">
        <v>30</v>
      </c>
      <c r="AH22" s="48">
        <f t="shared" si="8"/>
        <v>12.7</v>
      </c>
      <c r="AI22" s="49">
        <f t="shared" si="9"/>
        <v>9.6</v>
      </c>
      <c r="AK22" s="51"/>
      <c r="AL22" s="62" t="s">
        <v>37</v>
      </c>
      <c r="AM22" s="63">
        <f t="shared" ref="AM22:BJ22" si="18">SUM(AM16:AM21)</f>
        <v>1639.0400000000002</v>
      </c>
      <c r="AN22" s="63">
        <f t="shared" si="18"/>
        <v>1624.7400000000002</v>
      </c>
      <c r="AO22" s="63">
        <f t="shared" si="18"/>
        <v>1439.2400000000002</v>
      </c>
      <c r="AP22" s="63">
        <f t="shared" si="18"/>
        <v>1233.0400000000002</v>
      </c>
      <c r="AQ22" s="63">
        <f t="shared" si="18"/>
        <v>1241.0400000000002</v>
      </c>
      <c r="AR22" s="63">
        <f t="shared" si="18"/>
        <v>1278.2400000000002</v>
      </c>
      <c r="AS22" s="63">
        <f t="shared" si="18"/>
        <v>1259.8400000000001</v>
      </c>
      <c r="AT22" s="63">
        <f t="shared" si="18"/>
        <v>1473.14</v>
      </c>
      <c r="AU22" s="63">
        <f t="shared" si="18"/>
        <v>1505.54</v>
      </c>
      <c r="AV22" s="63">
        <f t="shared" si="18"/>
        <v>1535.44</v>
      </c>
      <c r="AW22" s="63">
        <f t="shared" si="18"/>
        <v>1586.54</v>
      </c>
      <c r="AX22" s="63">
        <f t="shared" si="18"/>
        <v>1626.8400000000001</v>
      </c>
      <c r="AY22" s="63">
        <f t="shared" si="18"/>
        <v>1617.2400000000002</v>
      </c>
      <c r="AZ22" s="63">
        <f t="shared" si="18"/>
        <v>1648.04</v>
      </c>
      <c r="BA22" s="63">
        <f t="shared" si="18"/>
        <v>1650.83</v>
      </c>
      <c r="BB22" s="63">
        <f t="shared" si="18"/>
        <v>1624.529</v>
      </c>
      <c r="BC22" s="63">
        <f t="shared" si="18"/>
        <v>1586.8290000000002</v>
      </c>
      <c r="BD22" s="63">
        <f t="shared" si="18"/>
        <v>1498.529</v>
      </c>
      <c r="BE22" s="63">
        <f t="shared" si="18"/>
        <v>1268.4290000000001</v>
      </c>
      <c r="BF22" s="63">
        <f t="shared" si="18"/>
        <v>1323.2399999999998</v>
      </c>
      <c r="BG22" s="63">
        <f t="shared" si="18"/>
        <v>1709.28</v>
      </c>
      <c r="BH22" s="63">
        <f t="shared" si="18"/>
        <v>1488.9800000000002</v>
      </c>
      <c r="BI22" s="63">
        <f t="shared" si="18"/>
        <v>1423.38</v>
      </c>
      <c r="BJ22" s="63">
        <f t="shared" si="18"/>
        <v>1357.38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8.1</v>
      </c>
      <c r="C23" s="46">
        <v>8.1</v>
      </c>
      <c r="D23" s="46">
        <v>8.1</v>
      </c>
      <c r="E23" s="46">
        <v>8.1</v>
      </c>
      <c r="F23" s="46">
        <v>8.1</v>
      </c>
      <c r="G23" s="46">
        <v>8.1</v>
      </c>
      <c r="H23" s="46">
        <v>8.1</v>
      </c>
      <c r="I23" s="46">
        <v>8.1</v>
      </c>
      <c r="J23" s="46">
        <v>8.1</v>
      </c>
      <c r="K23" s="46">
        <v>8.1</v>
      </c>
      <c r="L23" s="46">
        <v>8.1</v>
      </c>
      <c r="M23" s="46">
        <v>8.1</v>
      </c>
      <c r="N23" s="46">
        <v>8.1</v>
      </c>
      <c r="O23" s="46">
        <v>8.1</v>
      </c>
      <c r="P23" s="46">
        <v>8.1</v>
      </c>
      <c r="Q23" s="46">
        <v>8.1</v>
      </c>
      <c r="R23" s="46">
        <v>8.1</v>
      </c>
      <c r="S23" s="46">
        <v>8</v>
      </c>
      <c r="T23" s="46">
        <v>8</v>
      </c>
      <c r="U23" s="46">
        <v>8</v>
      </c>
      <c r="V23" s="46">
        <v>8</v>
      </c>
      <c r="W23" s="46">
        <v>8</v>
      </c>
      <c r="X23" s="46">
        <v>7.6</v>
      </c>
      <c r="Y23" s="46">
        <v>7.6</v>
      </c>
      <c r="Z23" s="46">
        <v>7.6</v>
      </c>
      <c r="AA23" s="46">
        <v>7.6</v>
      </c>
      <c r="AB23" s="46">
        <v>7.6</v>
      </c>
      <c r="AC23" s="46">
        <v>7.6</v>
      </c>
      <c r="AD23" s="46">
        <v>7.6</v>
      </c>
      <c r="AE23" s="46">
        <v>7.6</v>
      </c>
      <c r="AF23" s="46">
        <v>7.6</v>
      </c>
      <c r="AG23" s="50">
        <v>24.2</v>
      </c>
      <c r="AH23" s="48">
        <f t="shared" si="8"/>
        <v>8.1</v>
      </c>
      <c r="AI23" s="49">
        <f t="shared" si="9"/>
        <v>7.6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-2</v>
      </c>
      <c r="BF23" s="63">
        <f>Z107*-1</f>
        <v>-4.7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8.1999999999999993</v>
      </c>
      <c r="C24" s="46">
        <v>8.1999999999999993</v>
      </c>
      <c r="D24" s="46">
        <v>8.1999999999999993</v>
      </c>
      <c r="E24" s="46">
        <v>8.1999999999999993</v>
      </c>
      <c r="F24" s="46">
        <v>8.1999999999999993</v>
      </c>
      <c r="G24" s="46">
        <v>8.1999999999999993</v>
      </c>
      <c r="H24" s="46">
        <v>8.1999999999999993</v>
      </c>
      <c r="I24" s="46">
        <v>8.1999999999999993</v>
      </c>
      <c r="J24" s="46">
        <v>8.1999999999999993</v>
      </c>
      <c r="K24" s="46">
        <v>8.1999999999999993</v>
      </c>
      <c r="L24" s="46">
        <v>8.1999999999999993</v>
      </c>
      <c r="M24" s="46">
        <v>8.1999999999999993</v>
      </c>
      <c r="N24" s="46">
        <v>8.1999999999999993</v>
      </c>
      <c r="O24" s="46">
        <v>8.1999999999999993</v>
      </c>
      <c r="P24" s="46">
        <v>8.1999999999999993</v>
      </c>
      <c r="Q24" s="46">
        <v>8.1999999999999993</v>
      </c>
      <c r="R24" s="46">
        <v>8.1999999999999993</v>
      </c>
      <c r="S24" s="46">
        <v>7.8</v>
      </c>
      <c r="T24" s="46">
        <v>7.8</v>
      </c>
      <c r="U24" s="46">
        <v>7.8</v>
      </c>
      <c r="V24" s="46">
        <v>7.8</v>
      </c>
      <c r="W24" s="46">
        <v>7.8</v>
      </c>
      <c r="X24" s="46">
        <v>7.5</v>
      </c>
      <c r="Y24" s="46">
        <v>7.5</v>
      </c>
      <c r="Z24" s="46">
        <v>7.5</v>
      </c>
      <c r="AA24" s="46">
        <v>7.5</v>
      </c>
      <c r="AB24" s="46">
        <v>7.5</v>
      </c>
      <c r="AC24" s="46">
        <v>7.5</v>
      </c>
      <c r="AD24" s="46">
        <v>7.5</v>
      </c>
      <c r="AE24" s="46">
        <v>7.5</v>
      </c>
      <c r="AF24" s="46">
        <v>7.5</v>
      </c>
      <c r="AG24" s="50">
        <v>28</v>
      </c>
      <c r="AH24" s="48">
        <f t="shared" si="8"/>
        <v>8.1999999999999993</v>
      </c>
      <c r="AI24" s="49">
        <f t="shared" si="9"/>
        <v>7.5</v>
      </c>
      <c r="AK24" s="51"/>
      <c r="AL24" s="62" t="s">
        <v>41</v>
      </c>
      <c r="AM24" s="63">
        <f t="shared" ref="AM24:BJ24" si="21">AM22+AM23</f>
        <v>1639.0400000000002</v>
      </c>
      <c r="AN24" s="63">
        <f t="shared" si="21"/>
        <v>1624.7400000000002</v>
      </c>
      <c r="AO24" s="63">
        <f t="shared" si="21"/>
        <v>1439.2400000000002</v>
      </c>
      <c r="AP24" s="63">
        <f t="shared" si="21"/>
        <v>1233.0400000000002</v>
      </c>
      <c r="AQ24" s="63">
        <f t="shared" si="21"/>
        <v>1241.0400000000002</v>
      </c>
      <c r="AR24" s="63">
        <f t="shared" si="21"/>
        <v>1278.2400000000002</v>
      </c>
      <c r="AS24" s="63">
        <f t="shared" si="21"/>
        <v>1259.8400000000001</v>
      </c>
      <c r="AT24" s="63">
        <f t="shared" si="21"/>
        <v>1473.14</v>
      </c>
      <c r="AU24" s="63">
        <f t="shared" si="21"/>
        <v>1505.54</v>
      </c>
      <c r="AV24" s="63">
        <f t="shared" si="21"/>
        <v>1535.44</v>
      </c>
      <c r="AW24" s="63">
        <f t="shared" si="21"/>
        <v>1586.54</v>
      </c>
      <c r="AX24" s="63">
        <f t="shared" si="21"/>
        <v>1626.8400000000001</v>
      </c>
      <c r="AY24" s="63">
        <f t="shared" si="21"/>
        <v>1617.2400000000002</v>
      </c>
      <c r="AZ24" s="63">
        <f t="shared" si="21"/>
        <v>1648.04</v>
      </c>
      <c r="BA24" s="63">
        <f t="shared" si="21"/>
        <v>1650.83</v>
      </c>
      <c r="BB24" s="63">
        <f t="shared" si="21"/>
        <v>1624.529</v>
      </c>
      <c r="BC24" s="63">
        <f t="shared" si="21"/>
        <v>1586.8290000000002</v>
      </c>
      <c r="BD24" s="63">
        <f t="shared" si="21"/>
        <v>1498.529</v>
      </c>
      <c r="BE24" s="63">
        <f t="shared" si="21"/>
        <v>1266.4290000000001</v>
      </c>
      <c r="BF24" s="63">
        <f t="shared" si="21"/>
        <v>1318.5399999999997</v>
      </c>
      <c r="BG24" s="63">
        <f t="shared" si="21"/>
        <v>1709.28</v>
      </c>
      <c r="BH24" s="63">
        <f t="shared" si="21"/>
        <v>1488.9800000000002</v>
      </c>
      <c r="BI24" s="63">
        <f t="shared" si="21"/>
        <v>1423.38</v>
      </c>
      <c r="BJ24" s="63">
        <f t="shared" si="21"/>
        <v>1357.38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11.4</v>
      </c>
      <c r="C25" s="46">
        <v>11.4</v>
      </c>
      <c r="D25" s="46">
        <v>11.4</v>
      </c>
      <c r="E25" s="46">
        <v>11.4</v>
      </c>
      <c r="F25" s="46">
        <v>11.4</v>
      </c>
      <c r="G25" s="46">
        <v>11.4</v>
      </c>
      <c r="H25" s="46">
        <v>11.4</v>
      </c>
      <c r="I25" s="46">
        <v>11.4</v>
      </c>
      <c r="J25" s="46">
        <v>11.4</v>
      </c>
      <c r="K25" s="46">
        <v>11.4</v>
      </c>
      <c r="L25" s="46">
        <v>11.4</v>
      </c>
      <c r="M25" s="46">
        <v>11.4</v>
      </c>
      <c r="N25" s="46">
        <v>11.4</v>
      </c>
      <c r="O25" s="46">
        <v>11.4</v>
      </c>
      <c r="P25" s="46">
        <v>11.4</v>
      </c>
      <c r="Q25" s="46">
        <v>11.4</v>
      </c>
      <c r="R25" s="46">
        <v>11.4</v>
      </c>
      <c r="S25" s="46">
        <v>7.8</v>
      </c>
      <c r="T25" s="46">
        <v>7.8</v>
      </c>
      <c r="U25" s="46">
        <v>7.8</v>
      </c>
      <c r="V25" s="46">
        <v>7.8</v>
      </c>
      <c r="W25" s="46">
        <v>7.8</v>
      </c>
      <c r="X25" s="46">
        <v>9</v>
      </c>
      <c r="Y25" s="46">
        <v>9</v>
      </c>
      <c r="Z25" s="46">
        <v>9</v>
      </c>
      <c r="AA25" s="46">
        <v>9</v>
      </c>
      <c r="AB25" s="46">
        <v>9</v>
      </c>
      <c r="AC25" s="46">
        <v>9</v>
      </c>
      <c r="AD25" s="46">
        <v>9</v>
      </c>
      <c r="AE25" s="46">
        <v>9</v>
      </c>
      <c r="AF25" s="46">
        <v>9</v>
      </c>
      <c r="AG25" s="61">
        <v>30</v>
      </c>
      <c r="AH25" s="48">
        <f t="shared" si="8"/>
        <v>11.4</v>
      </c>
      <c r="AI25" s="49">
        <f t="shared" si="9"/>
        <v>7.8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13.1</v>
      </c>
      <c r="C26" s="46">
        <v>13.1</v>
      </c>
      <c r="D26" s="46">
        <v>13.1</v>
      </c>
      <c r="E26" s="46">
        <v>13.1</v>
      </c>
      <c r="F26" s="46">
        <v>13.1</v>
      </c>
      <c r="G26" s="46">
        <v>13.1</v>
      </c>
      <c r="H26" s="46">
        <v>13.1</v>
      </c>
      <c r="I26" s="46">
        <v>13.1</v>
      </c>
      <c r="J26" s="46">
        <v>13.1</v>
      </c>
      <c r="K26" s="46">
        <v>13.1</v>
      </c>
      <c r="L26" s="46">
        <v>13.1</v>
      </c>
      <c r="M26" s="46">
        <v>13.1</v>
      </c>
      <c r="N26" s="46">
        <v>13.1</v>
      </c>
      <c r="O26" s="46">
        <v>13.1</v>
      </c>
      <c r="P26" s="46">
        <v>13.1</v>
      </c>
      <c r="Q26" s="46">
        <v>13.1</v>
      </c>
      <c r="R26" s="46">
        <v>13.1</v>
      </c>
      <c r="S26" s="46">
        <v>9</v>
      </c>
      <c r="T26" s="46">
        <v>9</v>
      </c>
      <c r="U26" s="46">
        <v>9</v>
      </c>
      <c r="V26" s="46">
        <v>9</v>
      </c>
      <c r="W26" s="46">
        <v>9</v>
      </c>
      <c r="X26" s="46">
        <v>13</v>
      </c>
      <c r="Y26" s="46">
        <v>13</v>
      </c>
      <c r="Z26" s="46">
        <v>13</v>
      </c>
      <c r="AA26" s="46">
        <v>13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13.1</v>
      </c>
      <c r="AI26" s="49">
        <f t="shared" si="9"/>
        <v>9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14.1</v>
      </c>
      <c r="C29" s="46">
        <v>14.1</v>
      </c>
      <c r="D29" s="46">
        <v>14.1</v>
      </c>
      <c r="E29" s="46">
        <v>14.1</v>
      </c>
      <c r="F29" s="46">
        <v>12.2</v>
      </c>
      <c r="G29" s="46">
        <v>12.2</v>
      </c>
      <c r="H29" s="46">
        <v>12.2</v>
      </c>
      <c r="I29" s="46">
        <v>12.2</v>
      </c>
      <c r="J29" s="46">
        <v>12.2</v>
      </c>
      <c r="K29" s="46">
        <v>12.2</v>
      </c>
      <c r="L29" s="46">
        <v>12.2</v>
      </c>
      <c r="M29" s="46">
        <v>12.2</v>
      </c>
      <c r="N29" s="46">
        <v>12.2</v>
      </c>
      <c r="O29" s="46">
        <v>12.2</v>
      </c>
      <c r="P29" s="46">
        <v>12.2</v>
      </c>
      <c r="Q29" s="46">
        <v>12.2</v>
      </c>
      <c r="R29" s="46">
        <v>12.2</v>
      </c>
      <c r="S29" s="46">
        <v>9.8000000000000007</v>
      </c>
      <c r="T29" s="46">
        <v>9.8000000000000007</v>
      </c>
      <c r="U29" s="46">
        <v>9.8000000000000007</v>
      </c>
      <c r="V29" s="46">
        <v>9.8000000000000007</v>
      </c>
      <c r="W29" s="46">
        <v>9.8000000000000007</v>
      </c>
      <c r="X29" s="46">
        <v>11.7</v>
      </c>
      <c r="Y29" s="46">
        <v>11.7</v>
      </c>
      <c r="Z29" s="46">
        <v>11.7</v>
      </c>
      <c r="AA29" s="46">
        <v>11.7</v>
      </c>
      <c r="AB29" s="46">
        <v>11.7</v>
      </c>
      <c r="AC29" s="46">
        <v>11.7</v>
      </c>
      <c r="AD29" s="46">
        <v>11.7</v>
      </c>
      <c r="AE29" s="46">
        <v>11.7</v>
      </c>
      <c r="AF29" s="46">
        <v>11.7</v>
      </c>
      <c r="AG29" s="50">
        <v>25</v>
      </c>
      <c r="AH29" s="48">
        <f t="shared" si="8"/>
        <v>14.1</v>
      </c>
      <c r="AI29" s="49">
        <f t="shared" si="9"/>
        <v>9.8000000000000007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6.1</v>
      </c>
      <c r="C30" s="46">
        <v>6.1</v>
      </c>
      <c r="D30" s="46">
        <v>6.1</v>
      </c>
      <c r="E30" s="46">
        <v>6.1</v>
      </c>
      <c r="F30" s="46">
        <v>6.1</v>
      </c>
      <c r="G30" s="46">
        <v>6.1</v>
      </c>
      <c r="H30" s="46">
        <v>6.1</v>
      </c>
      <c r="I30" s="46">
        <v>6.1</v>
      </c>
      <c r="J30" s="46">
        <v>6.1</v>
      </c>
      <c r="K30" s="46">
        <v>6.1</v>
      </c>
      <c r="L30" s="46">
        <v>6.1</v>
      </c>
      <c r="M30" s="46">
        <v>6.1</v>
      </c>
      <c r="N30" s="46">
        <v>6.1</v>
      </c>
      <c r="O30" s="46">
        <v>6.1</v>
      </c>
      <c r="P30" s="46">
        <v>6.1</v>
      </c>
      <c r="Q30" s="46">
        <v>6.1</v>
      </c>
      <c r="R30" s="46">
        <v>6.1</v>
      </c>
      <c r="S30" s="46">
        <v>6</v>
      </c>
      <c r="T30" s="46">
        <v>6</v>
      </c>
      <c r="U30" s="46">
        <v>6</v>
      </c>
      <c r="V30" s="46">
        <v>6</v>
      </c>
      <c r="W30" s="46">
        <v>6</v>
      </c>
      <c r="X30" s="46">
        <v>6</v>
      </c>
      <c r="Y30" s="46">
        <v>6</v>
      </c>
      <c r="Z30" s="46">
        <v>6</v>
      </c>
      <c r="AA30" s="46">
        <v>6</v>
      </c>
      <c r="AB30" s="46">
        <v>6</v>
      </c>
      <c r="AC30" s="46">
        <v>6</v>
      </c>
      <c r="AD30" s="46">
        <v>6</v>
      </c>
      <c r="AE30" s="46">
        <v>6</v>
      </c>
      <c r="AF30" s="46">
        <v>6</v>
      </c>
      <c r="AG30" s="50">
        <v>23.5</v>
      </c>
      <c r="AH30" s="48">
        <f t="shared" si="8"/>
        <v>6.1</v>
      </c>
      <c r="AI30" s="49">
        <f t="shared" si="9"/>
        <v>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11</v>
      </c>
      <c r="C34" s="46">
        <v>11</v>
      </c>
      <c r="D34" s="46">
        <v>11</v>
      </c>
      <c r="E34" s="46">
        <v>11</v>
      </c>
      <c r="F34" s="46">
        <v>11</v>
      </c>
      <c r="G34" s="46">
        <v>11</v>
      </c>
      <c r="H34" s="46">
        <v>11</v>
      </c>
      <c r="I34" s="46">
        <v>11</v>
      </c>
      <c r="J34" s="46">
        <v>11</v>
      </c>
      <c r="K34" s="46">
        <v>11</v>
      </c>
      <c r="L34" s="46">
        <v>11</v>
      </c>
      <c r="M34" s="46">
        <v>11</v>
      </c>
      <c r="N34" s="46">
        <v>11</v>
      </c>
      <c r="O34" s="46">
        <v>11</v>
      </c>
      <c r="P34" s="46">
        <v>11</v>
      </c>
      <c r="Q34" s="46">
        <v>11</v>
      </c>
      <c r="R34" s="46">
        <v>11</v>
      </c>
      <c r="S34" s="46">
        <v>15.8</v>
      </c>
      <c r="T34" s="46">
        <v>15.8</v>
      </c>
      <c r="U34" s="46">
        <v>15.8</v>
      </c>
      <c r="V34" s="46">
        <v>22</v>
      </c>
      <c r="W34" s="46">
        <v>22</v>
      </c>
      <c r="X34" s="46">
        <v>21.7</v>
      </c>
      <c r="Y34" s="46">
        <v>21.7</v>
      </c>
      <c r="Z34" s="46">
        <v>21.7</v>
      </c>
      <c r="AA34" s="46">
        <v>21.7</v>
      </c>
      <c r="AB34" s="46">
        <v>21.7</v>
      </c>
      <c r="AC34" s="46">
        <v>21.7</v>
      </c>
      <c r="AD34" s="46">
        <v>21.7</v>
      </c>
      <c r="AE34" s="46">
        <v>21.7</v>
      </c>
      <c r="AF34" s="46">
        <v>21.7</v>
      </c>
      <c r="AG34" s="50">
        <v>22</v>
      </c>
      <c r="AH34" s="48">
        <f t="shared" si="8"/>
        <v>22</v>
      </c>
      <c r="AI34" s="49">
        <f t="shared" si="9"/>
        <v>11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18.3</v>
      </c>
      <c r="C35" s="46">
        <v>18.3</v>
      </c>
      <c r="D35" s="46">
        <v>18.3</v>
      </c>
      <c r="E35" s="46">
        <v>18.3</v>
      </c>
      <c r="F35" s="46">
        <v>18.3</v>
      </c>
      <c r="G35" s="46">
        <v>18.3</v>
      </c>
      <c r="H35" s="46">
        <v>18.3</v>
      </c>
      <c r="I35" s="46">
        <v>18.3</v>
      </c>
      <c r="J35" s="46">
        <v>18.3</v>
      </c>
      <c r="K35" s="46">
        <v>18.3</v>
      </c>
      <c r="L35" s="46">
        <v>18.3</v>
      </c>
      <c r="M35" s="46">
        <v>18.3</v>
      </c>
      <c r="N35" s="46">
        <v>18.3</v>
      </c>
      <c r="O35" s="46">
        <v>18.3</v>
      </c>
      <c r="P35" s="46">
        <v>18.3</v>
      </c>
      <c r="Q35" s="46">
        <v>18.3</v>
      </c>
      <c r="R35" s="46">
        <v>18.3</v>
      </c>
      <c r="S35" s="46">
        <v>18.3</v>
      </c>
      <c r="T35" s="46">
        <v>18.3</v>
      </c>
      <c r="U35" s="46">
        <v>18.3</v>
      </c>
      <c r="V35" s="46">
        <v>18.3</v>
      </c>
      <c r="W35" s="46">
        <v>18.3</v>
      </c>
      <c r="X35" s="46">
        <v>18.3</v>
      </c>
      <c r="Y35" s="46">
        <v>18.3</v>
      </c>
      <c r="Z35" s="46">
        <v>18.3</v>
      </c>
      <c r="AA35" s="46">
        <v>18.3</v>
      </c>
      <c r="AB35" s="46">
        <v>18.3</v>
      </c>
      <c r="AC35" s="46">
        <v>18.3</v>
      </c>
      <c r="AD35" s="46">
        <v>18.3</v>
      </c>
      <c r="AE35" s="46">
        <v>18.3</v>
      </c>
      <c r="AF35" s="46">
        <v>18.3</v>
      </c>
      <c r="AG35" s="50">
        <v>20</v>
      </c>
      <c r="AH35" s="48">
        <f t="shared" si="8"/>
        <v>18.3</v>
      </c>
      <c r="AI35" s="49">
        <f t="shared" si="9"/>
        <v>18.3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10.6</v>
      </c>
      <c r="C37" s="46">
        <v>10.6</v>
      </c>
      <c r="D37" s="46">
        <v>10.6</v>
      </c>
      <c r="E37" s="46">
        <v>10.6</v>
      </c>
      <c r="F37" s="46">
        <v>10.6</v>
      </c>
      <c r="G37" s="46">
        <v>10.6</v>
      </c>
      <c r="H37" s="46">
        <v>10.6</v>
      </c>
      <c r="I37" s="46">
        <v>10.6</v>
      </c>
      <c r="J37" s="46">
        <v>10.6</v>
      </c>
      <c r="K37" s="46">
        <v>10.6</v>
      </c>
      <c r="L37" s="46">
        <v>10.6</v>
      </c>
      <c r="M37" s="46">
        <v>10.6</v>
      </c>
      <c r="N37" s="46">
        <v>10.6</v>
      </c>
      <c r="O37" s="46">
        <v>10.6</v>
      </c>
      <c r="P37" s="46">
        <v>10.6</v>
      </c>
      <c r="Q37" s="46">
        <v>10.6</v>
      </c>
      <c r="R37" s="46">
        <v>10.6</v>
      </c>
      <c r="S37" s="46">
        <v>10.6</v>
      </c>
      <c r="T37" s="46">
        <v>10.6</v>
      </c>
      <c r="U37" s="46">
        <v>10.6</v>
      </c>
      <c r="V37" s="46">
        <v>10.6</v>
      </c>
      <c r="W37" s="46">
        <v>10.6</v>
      </c>
      <c r="X37" s="46">
        <v>10.6</v>
      </c>
      <c r="Y37" s="46">
        <v>10.6</v>
      </c>
      <c r="Z37" s="46">
        <v>10.6</v>
      </c>
      <c r="AA37" s="46">
        <v>10.6</v>
      </c>
      <c r="AB37" s="46">
        <v>10.6</v>
      </c>
      <c r="AC37" s="46">
        <v>10.6</v>
      </c>
      <c r="AD37" s="46">
        <v>10.6</v>
      </c>
      <c r="AE37" s="46">
        <v>10.6</v>
      </c>
      <c r="AF37" s="46">
        <v>10.6</v>
      </c>
      <c r="AG37" s="50">
        <v>18</v>
      </c>
      <c r="AH37" s="48">
        <f t="shared" si="8"/>
        <v>10.6</v>
      </c>
      <c r="AI37" s="49">
        <f t="shared" si="9"/>
        <v>10.6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5.0999999999999996</v>
      </c>
      <c r="C38" s="46">
        <v>5.0999999999999996</v>
      </c>
      <c r="D38" s="46">
        <v>5.0999999999999996</v>
      </c>
      <c r="E38" s="46">
        <v>5.0999999999999996</v>
      </c>
      <c r="F38" s="46">
        <v>5.0999999999999996</v>
      </c>
      <c r="G38" s="46">
        <v>5.0999999999999996</v>
      </c>
      <c r="H38" s="46">
        <v>5.0999999999999996</v>
      </c>
      <c r="I38" s="46">
        <v>5.0999999999999996</v>
      </c>
      <c r="J38" s="46">
        <v>5.0999999999999996</v>
      </c>
      <c r="K38" s="46">
        <v>5.0999999999999996</v>
      </c>
      <c r="L38" s="46">
        <v>5.0999999999999996</v>
      </c>
      <c r="M38" s="46">
        <v>5.0999999999999996</v>
      </c>
      <c r="N38" s="46">
        <v>5.0999999999999996</v>
      </c>
      <c r="O38" s="46">
        <v>5.0999999999999996</v>
      </c>
      <c r="P38" s="46">
        <v>5.0999999999999996</v>
      </c>
      <c r="Q38" s="46">
        <v>5.0999999999999996</v>
      </c>
      <c r="R38" s="46">
        <v>5.0999999999999996</v>
      </c>
      <c r="S38" s="46">
        <v>6.7</v>
      </c>
      <c r="T38" s="46">
        <v>6.7</v>
      </c>
      <c r="U38" s="46">
        <v>6.7</v>
      </c>
      <c r="V38" s="46">
        <v>6.7</v>
      </c>
      <c r="W38" s="46">
        <v>6.7</v>
      </c>
      <c r="X38" s="46">
        <v>6.7</v>
      </c>
      <c r="Y38" s="46">
        <v>6.7</v>
      </c>
      <c r="Z38" s="46">
        <v>6.7</v>
      </c>
      <c r="AA38" s="46">
        <v>6.7</v>
      </c>
      <c r="AB38" s="46">
        <v>6.7</v>
      </c>
      <c r="AC38" s="46">
        <v>6.7</v>
      </c>
      <c r="AD38" s="46">
        <v>6.7</v>
      </c>
      <c r="AE38" s="46">
        <v>6.7</v>
      </c>
      <c r="AF38" s="46">
        <v>6.7</v>
      </c>
      <c r="AG38" s="50">
        <v>14.9</v>
      </c>
      <c r="AH38" s="48">
        <f t="shared" si="8"/>
        <v>6.7</v>
      </c>
      <c r="AI38" s="49">
        <f t="shared" si="9"/>
        <v>5.0999999999999996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5</v>
      </c>
      <c r="C41" s="46">
        <v>5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6">
        <v>5</v>
      </c>
      <c r="K41" s="46">
        <v>5</v>
      </c>
      <c r="L41" s="46">
        <v>5</v>
      </c>
      <c r="M41" s="46">
        <v>5</v>
      </c>
      <c r="N41" s="46">
        <v>5</v>
      </c>
      <c r="O41" s="46">
        <v>5</v>
      </c>
      <c r="P41" s="46">
        <v>5</v>
      </c>
      <c r="Q41" s="46">
        <v>5</v>
      </c>
      <c r="R41" s="46">
        <v>5</v>
      </c>
      <c r="S41" s="46">
        <v>5</v>
      </c>
      <c r="T41" s="46">
        <v>5</v>
      </c>
      <c r="U41" s="46">
        <v>5</v>
      </c>
      <c r="V41" s="46">
        <v>5</v>
      </c>
      <c r="W41" s="46">
        <v>5</v>
      </c>
      <c r="X41" s="46">
        <v>5</v>
      </c>
      <c r="Y41" s="46">
        <v>5</v>
      </c>
      <c r="Z41" s="46">
        <v>5</v>
      </c>
      <c r="AA41" s="46">
        <v>5</v>
      </c>
      <c r="AB41" s="46">
        <v>5</v>
      </c>
      <c r="AC41" s="46">
        <v>5</v>
      </c>
      <c r="AD41" s="46">
        <v>5</v>
      </c>
      <c r="AE41" s="46">
        <v>5</v>
      </c>
      <c r="AF41" s="46">
        <v>5</v>
      </c>
      <c r="AG41" s="50">
        <v>14.9</v>
      </c>
      <c r="AH41" s="48">
        <f t="shared" si="8"/>
        <v>5</v>
      </c>
      <c r="AI41" s="49">
        <f t="shared" si="9"/>
        <v>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12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61">
        <v>11.88</v>
      </c>
      <c r="AH48" s="48">
        <f t="shared" si="8"/>
        <v>6</v>
      </c>
      <c r="AI48" s="49">
        <f t="shared" si="9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</v>
      </c>
      <c r="C50" s="46">
        <v>1.8</v>
      </c>
      <c r="D50" s="46">
        <v>1.8</v>
      </c>
      <c r="E50" s="46">
        <v>1.8</v>
      </c>
      <c r="F50" s="46">
        <v>1.8</v>
      </c>
      <c r="G50" s="46">
        <v>1.8</v>
      </c>
      <c r="H50" s="46">
        <v>1.8</v>
      </c>
      <c r="I50" s="46">
        <v>1.8</v>
      </c>
      <c r="J50" s="46">
        <v>1.8</v>
      </c>
      <c r="K50" s="46">
        <v>1.8</v>
      </c>
      <c r="L50" s="46">
        <v>1.8</v>
      </c>
      <c r="M50" s="46">
        <v>1.8</v>
      </c>
      <c r="N50" s="46">
        <v>1.8</v>
      </c>
      <c r="O50" s="46">
        <v>1.8</v>
      </c>
      <c r="P50" s="46">
        <v>1.8</v>
      </c>
      <c r="Q50" s="46">
        <v>1.8</v>
      </c>
      <c r="R50" s="46">
        <v>1.8</v>
      </c>
      <c r="S50" s="46">
        <v>1.89</v>
      </c>
      <c r="T50" s="46">
        <v>1.89</v>
      </c>
      <c r="U50" s="46">
        <v>1.89</v>
      </c>
      <c r="V50" s="46">
        <v>1.89</v>
      </c>
      <c r="W50" s="46">
        <v>1.89</v>
      </c>
      <c r="X50" s="46">
        <v>1.89</v>
      </c>
      <c r="Y50" s="46">
        <v>1.89</v>
      </c>
      <c r="Z50" s="46">
        <v>1.89</v>
      </c>
      <c r="AA50" s="46">
        <v>1.89</v>
      </c>
      <c r="AB50" s="46">
        <v>1.89</v>
      </c>
      <c r="AC50" s="46">
        <v>1.89</v>
      </c>
      <c r="AD50" s="46">
        <v>1.89</v>
      </c>
      <c r="AE50" s="46">
        <v>1.89</v>
      </c>
      <c r="AF50" s="46">
        <v>1.89</v>
      </c>
      <c r="AG50" s="66">
        <v>11</v>
      </c>
      <c r="AH50" s="48">
        <f t="shared" si="8"/>
        <v>1.89</v>
      </c>
      <c r="AI50" s="49">
        <f t="shared" si="9"/>
        <v>1.8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f>25.1+38.2</f>
        <v>63.300000000000004</v>
      </c>
      <c r="C57" s="68">
        <v>63.8</v>
      </c>
      <c r="D57" s="68">
        <f>25.8+38.5</f>
        <v>64.3</v>
      </c>
      <c r="E57" s="68"/>
      <c r="F57" s="68"/>
      <c r="G57" s="68"/>
      <c r="H57" s="68"/>
      <c r="I57" s="68"/>
      <c r="J57" s="68"/>
      <c r="K57" s="53"/>
      <c r="L57" s="53"/>
      <c r="M57" s="53"/>
      <c r="N57" s="53"/>
      <c r="O57" s="53"/>
      <c r="P57" s="53"/>
      <c r="Q57" s="53"/>
      <c r="R57" s="53"/>
      <c r="S57" s="53">
        <v>83.5</v>
      </c>
      <c r="T57" s="53">
        <v>78.5</v>
      </c>
      <c r="U57" s="53">
        <f>28.9+54.5</f>
        <v>83.4</v>
      </c>
      <c r="V57" s="53">
        <v>85.8</v>
      </c>
      <c r="W57" s="53">
        <v>79.2</v>
      </c>
      <c r="X57" s="53">
        <v>79.2</v>
      </c>
      <c r="Y57" s="53">
        <v>69.2</v>
      </c>
      <c r="Z57" s="53">
        <v>66.900000000000006</v>
      </c>
      <c r="AA57" s="68">
        <v>63.7</v>
      </c>
      <c r="AB57" s="68">
        <v>55</v>
      </c>
      <c r="AC57" s="68">
        <v>55</v>
      </c>
      <c r="AD57" s="68">
        <v>60</v>
      </c>
      <c r="AE57" s="68">
        <v>65</v>
      </c>
      <c r="AF57" s="68">
        <v>65</v>
      </c>
      <c r="AG57" s="66">
        <v>240</v>
      </c>
      <c r="AH57" s="48">
        <f t="shared" si="8"/>
        <v>85.8</v>
      </c>
      <c r="AI57" s="49">
        <f t="shared" si="9"/>
        <v>55</v>
      </c>
      <c r="AK57" s="51"/>
    </row>
    <row r="58" spans="1:88" ht="15.75" thickBot="1" x14ac:dyDescent="0.3">
      <c r="A58" s="70" t="s">
        <v>75</v>
      </c>
      <c r="B58" s="71">
        <f>SUM(B11:B56)</f>
        <v>592.10000000000014</v>
      </c>
      <c r="C58" s="71">
        <f>SUM(C11:C56)</f>
        <v>592.10000000000014</v>
      </c>
      <c r="D58" s="71">
        <f>SUM(D11:D56)</f>
        <v>584.40000000000009</v>
      </c>
      <c r="E58" s="71">
        <f t="shared" ref="E58:AB58" si="22">SUM(E11:E56)</f>
        <v>584.40000000000009</v>
      </c>
      <c r="F58" s="71">
        <f t="shared" si="22"/>
        <v>580.10000000000014</v>
      </c>
      <c r="G58" s="71">
        <f t="shared" si="22"/>
        <v>576.80000000000018</v>
      </c>
      <c r="H58" s="71">
        <f t="shared" si="22"/>
        <v>575.50000000000011</v>
      </c>
      <c r="I58" s="71">
        <f t="shared" si="22"/>
        <v>577.00000000000011</v>
      </c>
      <c r="J58" s="71">
        <f t="shared" si="22"/>
        <v>577.00000000000011</v>
      </c>
      <c r="K58" s="71">
        <f t="shared" si="22"/>
        <v>580.70000000000005</v>
      </c>
      <c r="L58" s="71">
        <f t="shared" si="22"/>
        <v>580.70000000000005</v>
      </c>
      <c r="M58" s="71">
        <f t="shared" si="22"/>
        <v>580.70000000000005</v>
      </c>
      <c r="N58" s="71">
        <f t="shared" si="22"/>
        <v>579.70000000000005</v>
      </c>
      <c r="O58" s="71">
        <f t="shared" si="22"/>
        <v>579.70000000000005</v>
      </c>
      <c r="P58" s="71">
        <f t="shared" si="22"/>
        <v>579.70000000000005</v>
      </c>
      <c r="Q58" s="71">
        <f t="shared" si="22"/>
        <v>579.70000000000005</v>
      </c>
      <c r="R58" s="71">
        <f t="shared" si="22"/>
        <v>579.70000000000005</v>
      </c>
      <c r="S58" s="71">
        <f t="shared" si="22"/>
        <v>557.19000000000005</v>
      </c>
      <c r="T58" s="71">
        <f t="shared" si="22"/>
        <v>562.29</v>
      </c>
      <c r="U58" s="71">
        <f t="shared" si="22"/>
        <v>562.29</v>
      </c>
      <c r="V58" s="71">
        <f t="shared" si="22"/>
        <v>573.79000000000008</v>
      </c>
      <c r="W58" s="71">
        <f t="shared" si="22"/>
        <v>573.79000000000008</v>
      </c>
      <c r="X58" s="71">
        <f t="shared" si="22"/>
        <v>580.29</v>
      </c>
      <c r="Y58" s="71">
        <f>SUM(Y11:Y56)</f>
        <v>579.19000000000005</v>
      </c>
      <c r="Z58" s="71">
        <f t="shared" si="22"/>
        <v>583.13999999999987</v>
      </c>
      <c r="AA58" s="71">
        <f>SUM(AA11:AA56)</f>
        <v>583.13999999999987</v>
      </c>
      <c r="AB58" s="71">
        <f t="shared" si="22"/>
        <v>584.94000000000005</v>
      </c>
      <c r="AC58" s="71">
        <f>SUM(AC11:AC56)</f>
        <v>584.94000000000005</v>
      </c>
      <c r="AD58" s="71">
        <f>SUM(AD11:AD56)</f>
        <v>584.94000000000005</v>
      </c>
      <c r="AE58" s="71">
        <f>SUM(AE11:AE56)</f>
        <v>584.94000000000005</v>
      </c>
      <c r="AF58" s="71">
        <f>SUM(AF11:AF56)</f>
        <v>584.94000000000005</v>
      </c>
      <c r="AG58" s="72">
        <f>SUM(AG14:AG56)</f>
        <v>1042.4000000000001</v>
      </c>
      <c r="AH58" s="48">
        <f t="shared" si="8"/>
        <v>592.10000000000014</v>
      </c>
      <c r="AI58" s="49">
        <f t="shared" si="9"/>
        <v>557.19000000000005</v>
      </c>
      <c r="AK58" s="51"/>
    </row>
    <row r="59" spans="1:88" x14ac:dyDescent="0.25">
      <c r="A59" s="73" t="s">
        <v>76</v>
      </c>
      <c r="B59" s="46">
        <v>160</v>
      </c>
      <c r="C59" s="46">
        <v>150</v>
      </c>
      <c r="D59" s="46">
        <v>142</v>
      </c>
      <c r="E59" s="46">
        <v>128</v>
      </c>
      <c r="F59" s="46">
        <v>150</v>
      </c>
      <c r="G59" s="46">
        <v>185</v>
      </c>
      <c r="H59" s="46">
        <v>200</v>
      </c>
      <c r="I59" s="46">
        <v>228</v>
      </c>
      <c r="J59" s="46">
        <v>0</v>
      </c>
      <c r="K59" s="46">
        <v>0</v>
      </c>
      <c r="L59" s="46">
        <v>0</v>
      </c>
      <c r="M59" s="46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50.3</v>
      </c>
      <c r="V59" s="74">
        <v>50.4</v>
      </c>
      <c r="W59" s="46">
        <v>60.5</v>
      </c>
      <c r="X59" s="46">
        <v>60.4</v>
      </c>
      <c r="Y59" s="46">
        <v>283.5</v>
      </c>
      <c r="Z59" s="46">
        <v>283</v>
      </c>
      <c r="AA59" s="46">
        <v>400</v>
      </c>
      <c r="AB59" s="46">
        <v>380</v>
      </c>
      <c r="AC59" s="46">
        <v>410</v>
      </c>
      <c r="AD59" s="46">
        <v>410</v>
      </c>
      <c r="AE59" s="46">
        <v>344</v>
      </c>
      <c r="AF59" s="46">
        <v>273</v>
      </c>
      <c r="AG59" s="61">
        <v>456</v>
      </c>
      <c r="AH59" s="48">
        <f t="shared" si="8"/>
        <v>410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44.8</v>
      </c>
      <c r="C60" s="76">
        <v>42.5</v>
      </c>
      <c r="D60" s="76">
        <v>39</v>
      </c>
      <c r="E60" s="76">
        <v>38.6</v>
      </c>
      <c r="F60" s="76">
        <v>36.200000000000003</v>
      </c>
      <c r="G60" s="76">
        <v>34.4</v>
      </c>
      <c r="H60" s="76">
        <v>34.6</v>
      </c>
      <c r="I60" s="76">
        <v>32.799999999999997</v>
      </c>
      <c r="J60" s="76">
        <v>32</v>
      </c>
      <c r="K60" s="76">
        <v>32</v>
      </c>
      <c r="L60" s="76">
        <v>31.3</v>
      </c>
      <c r="M60" s="76">
        <v>30.2</v>
      </c>
      <c r="N60" s="76">
        <v>29.6</v>
      </c>
      <c r="O60" s="76">
        <v>29.6</v>
      </c>
      <c r="P60" s="76">
        <v>29</v>
      </c>
      <c r="Q60" s="76">
        <v>29.7</v>
      </c>
      <c r="R60" s="76">
        <v>30</v>
      </c>
      <c r="S60" s="76">
        <v>29.6</v>
      </c>
      <c r="T60" s="76">
        <v>29</v>
      </c>
      <c r="U60" s="76">
        <v>28.8</v>
      </c>
      <c r="V60" s="76">
        <v>28.7</v>
      </c>
      <c r="W60" s="76">
        <v>28.6</v>
      </c>
      <c r="X60" s="76">
        <v>28</v>
      </c>
      <c r="Y60" s="76">
        <v>28.2</v>
      </c>
      <c r="Z60" s="76">
        <v>28</v>
      </c>
      <c r="AA60" s="76">
        <v>28</v>
      </c>
      <c r="AB60" s="76">
        <v>28</v>
      </c>
      <c r="AC60" s="76">
        <v>28</v>
      </c>
      <c r="AD60" s="76">
        <v>28</v>
      </c>
      <c r="AE60" s="76">
        <v>28</v>
      </c>
      <c r="AF60" s="76">
        <v>28</v>
      </c>
      <c r="AG60" s="66">
        <v>60</v>
      </c>
      <c r="AH60" s="48">
        <f t="shared" si="8"/>
        <v>44.8</v>
      </c>
      <c r="AI60" s="49">
        <f t="shared" si="9"/>
        <v>28</v>
      </c>
      <c r="AK60" s="51"/>
    </row>
    <row r="61" spans="1:88" ht="15.75" thickBot="1" x14ac:dyDescent="0.3">
      <c r="A61" s="77" t="s">
        <v>78</v>
      </c>
      <c r="B61" s="78">
        <v>11.4</v>
      </c>
      <c r="C61" s="78">
        <v>11.4</v>
      </c>
      <c r="D61" s="78">
        <v>11.4</v>
      </c>
      <c r="E61" s="78">
        <v>11.4</v>
      </c>
      <c r="F61" s="78">
        <v>11.4</v>
      </c>
      <c r="G61" s="78">
        <v>11.4</v>
      </c>
      <c r="H61" s="78">
        <v>11.4</v>
      </c>
      <c r="I61" s="78">
        <v>11.4</v>
      </c>
      <c r="J61" s="78">
        <v>11.4</v>
      </c>
      <c r="K61" s="78">
        <v>11.5</v>
      </c>
      <c r="L61" s="78">
        <v>11.5</v>
      </c>
      <c r="M61" s="78">
        <v>11.4</v>
      </c>
      <c r="N61" s="78">
        <v>11.4</v>
      </c>
      <c r="O61" s="78">
        <v>11.4</v>
      </c>
      <c r="P61" s="78">
        <v>11.4</v>
      </c>
      <c r="Q61" s="78">
        <v>11.4</v>
      </c>
      <c r="R61" s="78">
        <v>11.4</v>
      </c>
      <c r="S61" s="78">
        <v>11.4</v>
      </c>
      <c r="T61" s="78">
        <v>11.4</v>
      </c>
      <c r="U61" s="78">
        <v>11.5</v>
      </c>
      <c r="V61" s="78">
        <v>11.4</v>
      </c>
      <c r="W61" s="78">
        <v>11.5</v>
      </c>
      <c r="X61" s="78">
        <v>11.6</v>
      </c>
      <c r="Y61" s="78">
        <v>11.4</v>
      </c>
      <c r="Z61" s="78">
        <v>11.4</v>
      </c>
      <c r="AA61" s="78">
        <v>11.4</v>
      </c>
      <c r="AB61" s="78">
        <v>11.4</v>
      </c>
      <c r="AC61" s="78">
        <v>11.4</v>
      </c>
      <c r="AD61" s="78">
        <v>11.4</v>
      </c>
      <c r="AE61" s="78">
        <v>11.4</v>
      </c>
      <c r="AF61" s="78">
        <v>11.4</v>
      </c>
      <c r="AG61" s="79">
        <v>22.1</v>
      </c>
      <c r="AH61" s="48">
        <f t="shared" si="8"/>
        <v>11.6</v>
      </c>
      <c r="AI61" s="49">
        <f t="shared" si="9"/>
        <v>11.4</v>
      </c>
      <c r="AK61" s="51"/>
    </row>
    <row r="62" spans="1:88" ht="15.75" thickBot="1" x14ac:dyDescent="0.3">
      <c r="A62" s="80" t="s">
        <v>79</v>
      </c>
      <c r="B62" s="71">
        <f>SUM(B59:B61)</f>
        <v>216.20000000000002</v>
      </c>
      <c r="C62" s="71">
        <f>SUM(C59:C61)</f>
        <v>203.9</v>
      </c>
      <c r="D62" s="71">
        <f>SUM(D59:D61)</f>
        <v>192.4</v>
      </c>
      <c r="E62" s="71">
        <f t="shared" ref="E62:AG62" si="23">SUM(E59:E61)</f>
        <v>178</v>
      </c>
      <c r="F62" s="71">
        <f t="shared" si="23"/>
        <v>197.6</v>
      </c>
      <c r="G62" s="71">
        <f t="shared" si="23"/>
        <v>230.8</v>
      </c>
      <c r="H62" s="71">
        <f t="shared" si="23"/>
        <v>246</v>
      </c>
      <c r="I62" s="71">
        <f t="shared" si="23"/>
        <v>272.2</v>
      </c>
      <c r="J62" s="71">
        <f t="shared" si="23"/>
        <v>43.4</v>
      </c>
      <c r="K62" s="71">
        <f t="shared" si="23"/>
        <v>43.5</v>
      </c>
      <c r="L62" s="71">
        <f t="shared" si="23"/>
        <v>42.8</v>
      </c>
      <c r="M62" s="71">
        <f t="shared" si="23"/>
        <v>41.6</v>
      </c>
      <c r="N62" s="71">
        <f t="shared" si="23"/>
        <v>41</v>
      </c>
      <c r="O62" s="71">
        <f t="shared" si="23"/>
        <v>41</v>
      </c>
      <c r="P62" s="71">
        <f t="shared" si="23"/>
        <v>40.4</v>
      </c>
      <c r="Q62" s="71">
        <f t="shared" si="23"/>
        <v>41.1</v>
      </c>
      <c r="R62" s="71">
        <f t="shared" si="23"/>
        <v>41.4</v>
      </c>
      <c r="S62" s="71">
        <f t="shared" si="23"/>
        <v>41</v>
      </c>
      <c r="T62" s="71">
        <f t="shared" si="23"/>
        <v>40.4</v>
      </c>
      <c r="U62" s="71">
        <f t="shared" si="23"/>
        <v>90.6</v>
      </c>
      <c r="V62" s="71">
        <f t="shared" si="23"/>
        <v>90.5</v>
      </c>
      <c r="W62" s="71">
        <f t="shared" si="23"/>
        <v>100.6</v>
      </c>
      <c r="X62" s="71">
        <f t="shared" si="23"/>
        <v>100</v>
      </c>
      <c r="Y62" s="71">
        <f>SUM(Y59:Y61)</f>
        <v>323.09999999999997</v>
      </c>
      <c r="Z62" s="71">
        <f t="shared" si="23"/>
        <v>322.39999999999998</v>
      </c>
      <c r="AA62" s="71">
        <f>SUM(AA59:AA61)</f>
        <v>439.4</v>
      </c>
      <c r="AB62" s="71">
        <f t="shared" si="23"/>
        <v>419.4</v>
      </c>
      <c r="AC62" s="71">
        <f>SUM(AC59:AC61)</f>
        <v>449.4</v>
      </c>
      <c r="AD62" s="71">
        <f>SUM(AD59:AD61)</f>
        <v>449.4</v>
      </c>
      <c r="AE62" s="71">
        <f>SUM(AE59:AE61)</f>
        <v>383.4</v>
      </c>
      <c r="AF62" s="71">
        <f>SUM(AF59:AF61)</f>
        <v>312.39999999999998</v>
      </c>
      <c r="AG62" s="72">
        <f t="shared" si="23"/>
        <v>538.1</v>
      </c>
      <c r="AH62" s="48">
        <f t="shared" si="8"/>
        <v>449.4</v>
      </c>
      <c r="AI62" s="49">
        <f t="shared" si="9"/>
        <v>40.4</v>
      </c>
      <c r="AK62" s="51"/>
    </row>
    <row r="63" spans="1:88" x14ac:dyDescent="0.25">
      <c r="A63" s="45" t="s">
        <v>80</v>
      </c>
      <c r="B63" s="46">
        <v>92.9</v>
      </c>
      <c r="C63" s="46">
        <v>92.9</v>
      </c>
      <c r="D63" s="46">
        <v>112</v>
      </c>
      <c r="E63" s="46">
        <v>116.4</v>
      </c>
      <c r="F63" s="46">
        <v>110</v>
      </c>
      <c r="G63" s="46">
        <v>131</v>
      </c>
      <c r="H63" s="46">
        <v>131.19999999999999</v>
      </c>
      <c r="I63" s="46">
        <v>120</v>
      </c>
      <c r="J63" s="46">
        <v>105</v>
      </c>
      <c r="K63" s="46">
        <v>144</v>
      </c>
      <c r="L63" s="46">
        <v>144</v>
      </c>
      <c r="M63" s="46">
        <v>144</v>
      </c>
      <c r="N63" s="46">
        <v>80</v>
      </c>
      <c r="O63" s="46">
        <v>80</v>
      </c>
      <c r="P63" s="46">
        <v>70.3</v>
      </c>
      <c r="Q63" s="46">
        <v>70.3</v>
      </c>
      <c r="R63" s="46">
        <v>97.1</v>
      </c>
      <c r="S63" s="46">
        <v>97</v>
      </c>
      <c r="T63" s="46">
        <v>110</v>
      </c>
      <c r="U63" s="46">
        <v>94.4</v>
      </c>
      <c r="V63" s="46">
        <v>61</v>
      </c>
      <c r="W63" s="46">
        <v>60.4</v>
      </c>
      <c r="X63" s="46">
        <v>60</v>
      </c>
      <c r="Y63" s="46">
        <v>90.3</v>
      </c>
      <c r="Z63" s="46">
        <v>108.3</v>
      </c>
      <c r="AA63" s="46">
        <v>131.1</v>
      </c>
      <c r="AB63" s="46">
        <v>110</v>
      </c>
      <c r="AC63" s="46">
        <v>100</v>
      </c>
      <c r="AD63" s="46">
        <v>120</v>
      </c>
      <c r="AE63" s="46">
        <v>120</v>
      </c>
      <c r="AF63" s="46">
        <v>120</v>
      </c>
      <c r="AG63" s="61">
        <v>144</v>
      </c>
      <c r="AH63" s="48">
        <f t="shared" si="8"/>
        <v>144</v>
      </c>
      <c r="AI63" s="49">
        <f t="shared" si="9"/>
        <v>60</v>
      </c>
      <c r="AK63" s="51"/>
    </row>
    <row r="64" spans="1:88" x14ac:dyDescent="0.25">
      <c r="A64" s="65" t="s">
        <v>81</v>
      </c>
      <c r="B64" s="46">
        <v>46.1</v>
      </c>
      <c r="C64" s="46">
        <v>46.1</v>
      </c>
      <c r="D64" s="46">
        <v>45.6</v>
      </c>
      <c r="E64" s="76">
        <v>46.3</v>
      </c>
      <c r="F64" s="76">
        <v>45.5</v>
      </c>
      <c r="G64" s="76">
        <v>46</v>
      </c>
      <c r="H64" s="76">
        <v>60.6</v>
      </c>
      <c r="I64" s="76">
        <v>60</v>
      </c>
      <c r="J64" s="76">
        <v>60</v>
      </c>
      <c r="K64" s="76">
        <v>70</v>
      </c>
      <c r="L64" s="76">
        <v>65.099999999999994</v>
      </c>
      <c r="M64" s="76">
        <v>64.099999999999994</v>
      </c>
      <c r="N64" s="76">
        <v>46.7</v>
      </c>
      <c r="O64" s="76">
        <v>69</v>
      </c>
      <c r="P64" s="76">
        <v>47.9</v>
      </c>
      <c r="Q64" s="76">
        <v>47.9</v>
      </c>
      <c r="R64" s="76">
        <v>48</v>
      </c>
      <c r="S64" s="76">
        <v>44</v>
      </c>
      <c r="T64" s="76">
        <v>45.1</v>
      </c>
      <c r="U64" s="76">
        <v>46.8</v>
      </c>
      <c r="V64" s="76">
        <v>23.3</v>
      </c>
      <c r="W64" s="46">
        <v>23.5</v>
      </c>
      <c r="X64" s="46">
        <v>24</v>
      </c>
      <c r="Y64" s="46">
        <v>46.7</v>
      </c>
      <c r="Z64" s="46">
        <v>46.6</v>
      </c>
      <c r="AA64" s="46">
        <v>68</v>
      </c>
      <c r="AB64" s="46">
        <v>45.9</v>
      </c>
      <c r="AC64" s="46">
        <v>45.9</v>
      </c>
      <c r="AD64" s="46">
        <v>45.9</v>
      </c>
      <c r="AE64" s="46">
        <v>60</v>
      </c>
      <c r="AF64" s="46">
        <v>60</v>
      </c>
      <c r="AG64" s="66">
        <v>70</v>
      </c>
      <c r="AH64" s="48">
        <f t="shared" si="8"/>
        <v>70</v>
      </c>
      <c r="AI64" s="49">
        <f t="shared" si="9"/>
        <v>23.3</v>
      </c>
      <c r="AK64" s="51"/>
    </row>
    <row r="65" spans="1:75" x14ac:dyDescent="0.25">
      <c r="A65" s="65" t="s">
        <v>82</v>
      </c>
      <c r="B65" s="46">
        <v>66.2</v>
      </c>
      <c r="C65" s="46">
        <v>66.2</v>
      </c>
      <c r="D65" s="46">
        <v>66.8</v>
      </c>
      <c r="E65" s="76">
        <v>48.5</v>
      </c>
      <c r="F65" s="76">
        <v>48.2</v>
      </c>
      <c r="G65" s="76">
        <v>50</v>
      </c>
      <c r="H65" s="76">
        <v>49.6</v>
      </c>
      <c r="I65" s="76">
        <v>69</v>
      </c>
      <c r="J65" s="76">
        <v>55</v>
      </c>
      <c r="K65" s="76">
        <v>50.3</v>
      </c>
      <c r="L65" s="76">
        <v>51.2</v>
      </c>
      <c r="M65" s="76">
        <v>51.2</v>
      </c>
      <c r="N65" s="76">
        <v>33.799999999999997</v>
      </c>
      <c r="O65" s="76">
        <v>45</v>
      </c>
      <c r="P65" s="76">
        <v>33.9</v>
      </c>
      <c r="Q65" s="76">
        <v>33.9</v>
      </c>
      <c r="R65" s="76">
        <v>33.9</v>
      </c>
      <c r="S65" s="76">
        <v>33.299999999999997</v>
      </c>
      <c r="T65" s="76">
        <v>33.700000000000003</v>
      </c>
      <c r="U65" s="76">
        <v>46.5</v>
      </c>
      <c r="V65" s="76">
        <v>16</v>
      </c>
      <c r="W65" s="46">
        <v>15.8</v>
      </c>
      <c r="X65" s="46">
        <v>15.8</v>
      </c>
      <c r="Y65" s="46">
        <v>59.9</v>
      </c>
      <c r="Z65" s="46">
        <v>60.2</v>
      </c>
      <c r="AA65" s="46">
        <v>62.4</v>
      </c>
      <c r="AB65" s="46">
        <v>51.4</v>
      </c>
      <c r="AC65" s="46">
        <v>51.4</v>
      </c>
      <c r="AD65" s="46">
        <v>51.4</v>
      </c>
      <c r="AE65" s="46">
        <v>51.4</v>
      </c>
      <c r="AF65" s="46">
        <v>51.4</v>
      </c>
      <c r="AG65" s="66">
        <v>69</v>
      </c>
      <c r="AH65" s="48">
        <f t="shared" si="8"/>
        <v>69</v>
      </c>
      <c r="AI65" s="49">
        <f t="shared" si="9"/>
        <v>15.8</v>
      </c>
      <c r="AK65" s="51"/>
    </row>
    <row r="66" spans="1:75" x14ac:dyDescent="0.25">
      <c r="A66" s="65" t="s">
        <v>83</v>
      </c>
      <c r="B66" s="46">
        <v>60</v>
      </c>
      <c r="C66" s="46">
        <v>60</v>
      </c>
      <c r="D66" s="46">
        <v>58.7</v>
      </c>
      <c r="E66" s="76">
        <v>58.4</v>
      </c>
      <c r="F66" s="76">
        <v>58.4</v>
      </c>
      <c r="G66" s="76">
        <v>58.4</v>
      </c>
      <c r="H66" s="76">
        <v>58.4</v>
      </c>
      <c r="I66" s="76">
        <v>58.4</v>
      </c>
      <c r="J66" s="76">
        <v>58.4</v>
      </c>
      <c r="K66" s="68">
        <v>58.4</v>
      </c>
      <c r="L66" s="68">
        <v>28</v>
      </c>
      <c r="M66" s="76">
        <v>30</v>
      </c>
      <c r="N66" s="76">
        <v>60.7</v>
      </c>
      <c r="O66" s="76">
        <v>60.7</v>
      </c>
      <c r="P66" s="76">
        <v>60.4</v>
      </c>
      <c r="Q66" s="76">
        <v>60.4</v>
      </c>
      <c r="R66" s="76">
        <v>60.4</v>
      </c>
      <c r="S66" s="76">
        <v>60.4</v>
      </c>
      <c r="T66" s="76">
        <v>60</v>
      </c>
      <c r="U66" s="76">
        <v>60</v>
      </c>
      <c r="V66" s="76">
        <v>60.4</v>
      </c>
      <c r="W66" s="46">
        <v>60.9</v>
      </c>
      <c r="X66" s="46">
        <v>60.4</v>
      </c>
      <c r="Y66" s="46">
        <v>60.4</v>
      </c>
      <c r="Z66" s="46">
        <v>60.7</v>
      </c>
      <c r="AA66" s="46">
        <v>60.1</v>
      </c>
      <c r="AB66" s="46">
        <v>60.4</v>
      </c>
      <c r="AC66" s="46">
        <v>60.4</v>
      </c>
      <c r="AD66" s="46">
        <v>60.7</v>
      </c>
      <c r="AE66" s="46">
        <v>60</v>
      </c>
      <c r="AF66" s="46">
        <v>60</v>
      </c>
      <c r="AG66" s="66">
        <v>60</v>
      </c>
      <c r="AH66" s="48">
        <f t="shared" si="8"/>
        <v>60.9</v>
      </c>
      <c r="AI66" s="49">
        <f t="shared" si="9"/>
        <v>28</v>
      </c>
      <c r="AK66" s="51"/>
    </row>
    <row r="67" spans="1:75" x14ac:dyDescent="0.25">
      <c r="A67" s="65" t="s">
        <v>84</v>
      </c>
      <c r="B67" s="46">
        <v>10.1</v>
      </c>
      <c r="C67" s="46">
        <v>10.1</v>
      </c>
      <c r="D67" s="46">
        <v>10.1</v>
      </c>
      <c r="E67" s="76">
        <v>0</v>
      </c>
      <c r="F67" s="76">
        <v>0</v>
      </c>
      <c r="G67" s="76">
        <v>10</v>
      </c>
      <c r="H67" s="76">
        <v>10.1</v>
      </c>
      <c r="I67" s="76">
        <v>15</v>
      </c>
      <c r="J67" s="76">
        <v>15</v>
      </c>
      <c r="K67" s="76">
        <v>15</v>
      </c>
      <c r="L67" s="68">
        <v>15</v>
      </c>
      <c r="M67" s="76">
        <v>23.6</v>
      </c>
      <c r="N67" s="76">
        <v>23.6</v>
      </c>
      <c r="O67" s="76">
        <v>23.6</v>
      </c>
      <c r="P67" s="76">
        <v>28</v>
      </c>
      <c r="Q67" s="76">
        <v>28</v>
      </c>
      <c r="R67" s="76">
        <v>28</v>
      </c>
      <c r="S67" s="76">
        <v>10.3</v>
      </c>
      <c r="T67" s="76">
        <v>10.4</v>
      </c>
      <c r="U67" s="76">
        <v>10.4</v>
      </c>
      <c r="V67" s="76">
        <v>0</v>
      </c>
      <c r="W67" s="46">
        <v>0</v>
      </c>
      <c r="X67" s="46">
        <v>0</v>
      </c>
      <c r="Y67" s="46">
        <v>0</v>
      </c>
      <c r="Z67" s="46">
        <v>0</v>
      </c>
      <c r="AA67" s="46">
        <v>0</v>
      </c>
      <c r="AB67" s="46">
        <v>29.5</v>
      </c>
      <c r="AC67" s="46">
        <v>23</v>
      </c>
      <c r="AD67" s="46">
        <v>0</v>
      </c>
      <c r="AE67" s="46">
        <v>23</v>
      </c>
      <c r="AF67" s="46">
        <v>23</v>
      </c>
      <c r="AG67" s="66">
        <v>30</v>
      </c>
      <c r="AH67" s="48">
        <f t="shared" si="8"/>
        <v>29.5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76">
        <v>0.9</v>
      </c>
      <c r="N68" s="76">
        <v>2.9</v>
      </c>
      <c r="O68" s="76">
        <v>2.9</v>
      </c>
      <c r="P68" s="76">
        <v>6</v>
      </c>
      <c r="Q68" s="76">
        <v>6</v>
      </c>
      <c r="R68" s="76">
        <v>6</v>
      </c>
      <c r="S68" s="76">
        <v>6.8</v>
      </c>
      <c r="T68" s="76">
        <v>6.8</v>
      </c>
      <c r="U68" s="76">
        <v>4.0999999999999996</v>
      </c>
      <c r="V68" s="76">
        <v>1.8</v>
      </c>
      <c r="W68" s="46">
        <v>1.2</v>
      </c>
      <c r="X68" s="46">
        <v>0.6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6.8</v>
      </c>
      <c r="AI68" s="49">
        <f t="shared" si="9"/>
        <v>0</v>
      </c>
      <c r="AK68" s="51"/>
      <c r="AY68" s="1" t="s">
        <v>86</v>
      </c>
      <c r="AZ68" s="82">
        <f>ROUND(C81,0)</f>
        <v>29</v>
      </c>
      <c r="BA68" s="81">
        <f t="shared" ref="BA68:BD72" si="24">D81</f>
        <v>26</v>
      </c>
      <c r="BB68" s="81">
        <f t="shared" si="24"/>
        <v>21</v>
      </c>
      <c r="BC68" s="81">
        <f t="shared" si="24"/>
        <v>22</v>
      </c>
      <c r="BD68" s="81">
        <f t="shared" si="24"/>
        <v>12</v>
      </c>
      <c r="BE68" s="82">
        <f>I81</f>
        <v>12</v>
      </c>
      <c r="BF68" s="82">
        <f>K81</f>
        <v>25</v>
      </c>
      <c r="BG68" s="82">
        <f t="shared" ref="BG68:BN72" si="25">M81</f>
        <v>62.9</v>
      </c>
      <c r="BH68" s="82">
        <f t="shared" si="25"/>
        <v>60.3</v>
      </c>
      <c r="BI68" s="82">
        <f t="shared" si="25"/>
        <v>67</v>
      </c>
      <c r="BJ68" s="82">
        <f t="shared" si="25"/>
        <v>64.7</v>
      </c>
      <c r="BK68" s="82">
        <f t="shared" si="25"/>
        <v>72</v>
      </c>
      <c r="BL68" s="82">
        <f t="shared" si="25"/>
        <v>54</v>
      </c>
      <c r="BM68" s="82">
        <f t="shared" si="25"/>
        <v>71.900000000000006</v>
      </c>
      <c r="BN68" s="82">
        <f t="shared" si="25"/>
        <v>65.2</v>
      </c>
      <c r="BO68" s="82">
        <f t="shared" ref="BO68:BP72" si="26">U81</f>
        <v>30</v>
      </c>
      <c r="BP68" s="82">
        <f t="shared" si="26"/>
        <v>30</v>
      </c>
      <c r="BQ68" s="82">
        <f>X81</f>
        <v>-2</v>
      </c>
      <c r="BR68" s="82">
        <f>Z81</f>
        <v>-4.7</v>
      </c>
      <c r="BS68" s="81">
        <f>AB81</f>
        <v>25.7</v>
      </c>
      <c r="BT68" s="81">
        <f t="shared" ref="BT68:BV72" si="27">AD81</f>
        <v>0</v>
      </c>
      <c r="BU68" s="81">
        <f t="shared" si="27"/>
        <v>-15</v>
      </c>
      <c r="BV68" s="81">
        <f t="shared" si="27"/>
        <v>-12</v>
      </c>
      <c r="BW68" s="81">
        <f>B81</f>
        <v>28.8</v>
      </c>
    </row>
    <row r="69" spans="1:75" x14ac:dyDescent="0.25">
      <c r="A69" s="65" t="s">
        <v>87</v>
      </c>
      <c r="B69" s="76">
        <v>13.1</v>
      </c>
      <c r="C69" s="76">
        <v>13.1</v>
      </c>
      <c r="D69" s="76">
        <v>13.1</v>
      </c>
      <c r="E69" s="76">
        <v>13.1</v>
      </c>
      <c r="F69" s="76">
        <v>13.1</v>
      </c>
      <c r="G69" s="76">
        <v>13.1</v>
      </c>
      <c r="H69" s="76">
        <v>13.1</v>
      </c>
      <c r="I69" s="76">
        <v>13.1</v>
      </c>
      <c r="J69" s="76">
        <v>13.1</v>
      </c>
      <c r="K69" s="76">
        <v>13.1</v>
      </c>
      <c r="L69" s="76">
        <v>13.1</v>
      </c>
      <c r="M69" s="76">
        <v>13.5</v>
      </c>
      <c r="N69" s="76">
        <v>13.5</v>
      </c>
      <c r="O69" s="76">
        <v>13.5</v>
      </c>
      <c r="P69" s="76">
        <v>13.5</v>
      </c>
      <c r="Q69" s="76">
        <v>13.5</v>
      </c>
      <c r="R69" s="76">
        <v>13.5</v>
      </c>
      <c r="S69" s="76">
        <v>11.4</v>
      </c>
      <c r="T69" s="76">
        <v>13.3</v>
      </c>
      <c r="U69" s="76">
        <v>13.1</v>
      </c>
      <c r="V69" s="76">
        <v>13.1</v>
      </c>
      <c r="W69" s="76">
        <v>13.1</v>
      </c>
      <c r="X69" s="76">
        <v>13.3</v>
      </c>
      <c r="Y69" s="76">
        <v>13.3</v>
      </c>
      <c r="Z69" s="76">
        <v>13.3</v>
      </c>
      <c r="AA69" s="76">
        <v>13.2</v>
      </c>
      <c r="AB69" s="76">
        <v>13.2</v>
      </c>
      <c r="AC69" s="76">
        <v>13.2</v>
      </c>
      <c r="AD69" s="76">
        <v>13.2</v>
      </c>
      <c r="AE69" s="76">
        <v>13.2</v>
      </c>
      <c r="AF69" s="76">
        <v>13.2</v>
      </c>
      <c r="AG69" s="66">
        <v>24</v>
      </c>
      <c r="AH69" s="48">
        <f t="shared" si="8"/>
        <v>13.5</v>
      </c>
      <c r="AI69" s="49">
        <f t="shared" si="9"/>
        <v>11.4</v>
      </c>
      <c r="AK69" s="51"/>
      <c r="AY69" s="1" t="s">
        <v>88</v>
      </c>
      <c r="AZ69" s="82">
        <f>ROUND(C82,0)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I82</f>
        <v>0</v>
      </c>
      <c r="BF69" s="82">
        <f>K82</f>
        <v>0</v>
      </c>
      <c r="BG69" s="82">
        <f t="shared" si="25"/>
        <v>0</v>
      </c>
      <c r="BH69" s="82">
        <f t="shared" si="25"/>
        <v>55</v>
      </c>
      <c r="BI69" s="82">
        <f t="shared" si="25"/>
        <v>90</v>
      </c>
      <c r="BJ69" s="82">
        <f t="shared" si="25"/>
        <v>103.7</v>
      </c>
      <c r="BK69" s="82">
        <f t="shared" si="25"/>
        <v>97</v>
      </c>
      <c r="BL69" s="82">
        <f t="shared" si="25"/>
        <v>90.4</v>
      </c>
      <c r="BM69" s="82">
        <f t="shared" si="25"/>
        <v>102.4</v>
      </c>
      <c r="BN69" s="82">
        <f t="shared" si="25"/>
        <v>110.7</v>
      </c>
      <c r="BO69" s="82">
        <f t="shared" si="26"/>
        <v>104.6</v>
      </c>
      <c r="BP69" s="82">
        <f t="shared" si="26"/>
        <v>104.6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120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I83</f>
        <v>0</v>
      </c>
      <c r="BF70" s="82">
        <f>K83</f>
        <v>240</v>
      </c>
      <c r="BG70" s="82">
        <f t="shared" si="25"/>
        <v>260</v>
      </c>
      <c r="BH70" s="82">
        <f t="shared" si="25"/>
        <v>287.5</v>
      </c>
      <c r="BI70" s="82">
        <f t="shared" si="25"/>
        <v>267</v>
      </c>
      <c r="BJ70" s="82">
        <f t="shared" si="25"/>
        <v>318.39999999999998</v>
      </c>
      <c r="BK70" s="82">
        <f t="shared" si="25"/>
        <v>313</v>
      </c>
      <c r="BL70" s="82">
        <f t="shared" si="25"/>
        <v>326</v>
      </c>
      <c r="BM70" s="82">
        <f t="shared" si="25"/>
        <v>329</v>
      </c>
      <c r="BN70" s="82">
        <f t="shared" si="25"/>
        <v>302</v>
      </c>
      <c r="BO70" s="82">
        <f t="shared" si="26"/>
        <v>262</v>
      </c>
      <c r="BP70" s="82">
        <f t="shared" si="26"/>
        <v>262</v>
      </c>
      <c r="BQ70" s="82">
        <f>X83</f>
        <v>211.2</v>
      </c>
      <c r="BR70" s="82">
        <f>Z83</f>
        <v>40</v>
      </c>
      <c r="BS70" s="81">
        <f>AB83</f>
        <v>33</v>
      </c>
      <c r="BT70" s="81">
        <f t="shared" si="27"/>
        <v>36</v>
      </c>
      <c r="BU70" s="81">
        <f t="shared" si="27"/>
        <v>0</v>
      </c>
      <c r="BV70" s="81">
        <f t="shared" si="27"/>
        <v>5</v>
      </c>
      <c r="BW70" s="81">
        <f>B83</f>
        <v>120</v>
      </c>
    </row>
    <row r="71" spans="1:75" s="83" customFormat="1" x14ac:dyDescent="0.25">
      <c r="A71" s="65" t="s">
        <v>91</v>
      </c>
      <c r="B71" s="76">
        <v>10.3</v>
      </c>
      <c r="C71" s="76">
        <v>10.3</v>
      </c>
      <c r="D71" s="76">
        <v>10.3</v>
      </c>
      <c r="E71" s="76">
        <v>10.3</v>
      </c>
      <c r="F71" s="76">
        <v>10.3</v>
      </c>
      <c r="G71" s="76">
        <v>10.3</v>
      </c>
      <c r="H71" s="76">
        <v>10.3</v>
      </c>
      <c r="I71" s="76">
        <v>10.3</v>
      </c>
      <c r="J71" s="76">
        <v>10.3</v>
      </c>
      <c r="K71" s="76">
        <v>10.3</v>
      </c>
      <c r="L71" s="76">
        <v>10.3</v>
      </c>
      <c r="M71" s="76">
        <v>10.7</v>
      </c>
      <c r="N71" s="76">
        <v>10.4</v>
      </c>
      <c r="O71" s="76">
        <v>10.4</v>
      </c>
      <c r="P71" s="76">
        <v>10.8</v>
      </c>
      <c r="Q71" s="76">
        <v>10.8</v>
      </c>
      <c r="R71" s="76">
        <v>10.8</v>
      </c>
      <c r="S71" s="76">
        <v>10.1</v>
      </c>
      <c r="T71" s="76">
        <v>10.3</v>
      </c>
      <c r="U71" s="76">
        <v>10.3</v>
      </c>
      <c r="V71" s="76">
        <v>10.3</v>
      </c>
      <c r="W71" s="76">
        <v>10.3</v>
      </c>
      <c r="X71" s="76">
        <v>10.3</v>
      </c>
      <c r="Y71" s="76">
        <v>10.199999999999999</v>
      </c>
      <c r="Z71" s="76">
        <v>8.6</v>
      </c>
      <c r="AA71" s="76">
        <v>8.8000000000000007</v>
      </c>
      <c r="AB71" s="76">
        <v>8.8000000000000007</v>
      </c>
      <c r="AC71" s="76">
        <v>8.8000000000000007</v>
      </c>
      <c r="AD71" s="76">
        <v>8.8000000000000007</v>
      </c>
      <c r="AE71" s="76">
        <v>8.8000000000000007</v>
      </c>
      <c r="AF71" s="76">
        <v>8.8000000000000007</v>
      </c>
      <c r="AG71" s="66">
        <v>14.1</v>
      </c>
      <c r="AH71" s="48">
        <f t="shared" si="8"/>
        <v>10.8</v>
      </c>
      <c r="AI71" s="49">
        <f t="shared" si="9"/>
        <v>8.6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4"/>
        <v>0</v>
      </c>
      <c r="BB71" s="81">
        <f t="shared" si="24"/>
        <v>0</v>
      </c>
      <c r="BC71" s="81">
        <f t="shared" si="24"/>
        <v>0</v>
      </c>
      <c r="BD71" s="81">
        <f t="shared" si="24"/>
        <v>0</v>
      </c>
      <c r="BE71" s="82">
        <f>I84</f>
        <v>0</v>
      </c>
      <c r="BF71" s="82">
        <f>K84</f>
        <v>51</v>
      </c>
      <c r="BG71" s="82">
        <f t="shared" si="25"/>
        <v>49.1</v>
      </c>
      <c r="BH71" s="82">
        <f t="shared" si="25"/>
        <v>51.2</v>
      </c>
      <c r="BI71" s="82">
        <f t="shared" si="25"/>
        <v>50</v>
      </c>
      <c r="BJ71" s="82">
        <f t="shared" si="25"/>
        <v>52.2</v>
      </c>
      <c r="BK71" s="82">
        <f t="shared" si="25"/>
        <v>49</v>
      </c>
      <c r="BL71" s="82">
        <f t="shared" si="25"/>
        <v>50</v>
      </c>
      <c r="BM71" s="82">
        <f t="shared" si="25"/>
        <v>50.1</v>
      </c>
      <c r="BN71" s="82">
        <f t="shared" si="25"/>
        <v>46.9</v>
      </c>
      <c r="BO71" s="82">
        <f t="shared" si="26"/>
        <v>48.6</v>
      </c>
      <c r="BP71" s="82">
        <f t="shared" si="26"/>
        <v>48.6</v>
      </c>
      <c r="BQ71" s="82">
        <f>X84</f>
        <v>52</v>
      </c>
      <c r="BR71" s="82">
        <f>Z84</f>
        <v>0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11.8</v>
      </c>
      <c r="C72" s="76">
        <v>11.8</v>
      </c>
      <c r="D72" s="76">
        <v>11.8</v>
      </c>
      <c r="E72" s="76">
        <v>11.8</v>
      </c>
      <c r="F72" s="76">
        <v>11.8</v>
      </c>
      <c r="G72" s="76">
        <v>11.8</v>
      </c>
      <c r="H72" s="76">
        <v>11.8</v>
      </c>
      <c r="I72" s="76">
        <v>11.8</v>
      </c>
      <c r="J72" s="76">
        <v>11.8</v>
      </c>
      <c r="K72" s="76">
        <v>11.8</v>
      </c>
      <c r="L72" s="76">
        <v>11.8</v>
      </c>
      <c r="M72" s="76">
        <v>8.6999999999999993</v>
      </c>
      <c r="N72" s="76">
        <v>9.9</v>
      </c>
      <c r="O72" s="76">
        <v>9.9</v>
      </c>
      <c r="P72" s="76">
        <v>9.6</v>
      </c>
      <c r="Q72" s="76">
        <v>9.6</v>
      </c>
      <c r="R72" s="76">
        <v>9.6</v>
      </c>
      <c r="S72" s="76">
        <v>6.9</v>
      </c>
      <c r="T72" s="76">
        <v>6.9989999999999997</v>
      </c>
      <c r="U72" s="76">
        <v>6.9989999999999997</v>
      </c>
      <c r="V72" s="76">
        <v>6.9989999999999997</v>
      </c>
      <c r="W72" s="76">
        <v>6.9989999999999997</v>
      </c>
      <c r="X72" s="76">
        <v>6.9989999999999997</v>
      </c>
      <c r="Y72" s="76">
        <v>3.6</v>
      </c>
      <c r="Z72" s="76">
        <v>8.4</v>
      </c>
      <c r="AA72" s="76">
        <v>10.6</v>
      </c>
      <c r="AB72" s="76">
        <v>10.6</v>
      </c>
      <c r="AC72" s="76">
        <v>10.6</v>
      </c>
      <c r="AD72" s="76">
        <v>10.6</v>
      </c>
      <c r="AE72" s="76">
        <v>10.6</v>
      </c>
      <c r="AF72" s="76">
        <v>10.6</v>
      </c>
      <c r="AG72" s="66">
        <v>14</v>
      </c>
      <c r="AH72" s="48">
        <f t="shared" si="8"/>
        <v>11.8</v>
      </c>
      <c r="AI72" s="49">
        <f t="shared" si="9"/>
        <v>3.6</v>
      </c>
      <c r="AK72" s="51"/>
      <c r="AY72" s="1" t="s">
        <v>94</v>
      </c>
      <c r="AZ72" s="82">
        <f>ROUND(C85,0)</f>
        <v>0</v>
      </c>
      <c r="BA72" s="81">
        <f t="shared" si="24"/>
        <v>0</v>
      </c>
      <c r="BB72" s="81">
        <f t="shared" si="24"/>
        <v>0</v>
      </c>
      <c r="BC72" s="81">
        <f t="shared" si="24"/>
        <v>0</v>
      </c>
      <c r="BD72" s="81">
        <f t="shared" si="24"/>
        <v>0</v>
      </c>
      <c r="BE72" s="82">
        <f>I85</f>
        <v>0</v>
      </c>
      <c r="BF72" s="82">
        <f>K85</f>
        <v>110.3</v>
      </c>
      <c r="BG72" s="82">
        <f t="shared" si="25"/>
        <v>116.4</v>
      </c>
      <c r="BH72" s="82">
        <f t="shared" si="25"/>
        <v>120.7</v>
      </c>
      <c r="BI72" s="82">
        <f t="shared" si="25"/>
        <v>136</v>
      </c>
      <c r="BJ72" s="82">
        <f t="shared" si="25"/>
        <v>133.1</v>
      </c>
      <c r="BK72" s="82">
        <f t="shared" si="25"/>
        <v>128</v>
      </c>
      <c r="BL72" s="82">
        <f t="shared" si="25"/>
        <v>138.19999999999999</v>
      </c>
      <c r="BM72" s="82">
        <f t="shared" si="25"/>
        <v>160.5</v>
      </c>
      <c r="BN72" s="82">
        <f t="shared" si="25"/>
        <v>137.19999999999999</v>
      </c>
      <c r="BO72" s="82">
        <f t="shared" si="26"/>
        <v>142.69999999999999</v>
      </c>
      <c r="BP72" s="82">
        <f t="shared" si="26"/>
        <v>142.69999999999999</v>
      </c>
      <c r="BQ72" s="82">
        <f>X85</f>
        <v>83.9</v>
      </c>
      <c r="BR72" s="82">
        <f>Z85</f>
        <v>0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36.799999999999997</v>
      </c>
      <c r="BC73" s="82">
        <f>F91</f>
        <v>36</v>
      </c>
      <c r="BD73" s="82">
        <f>G91</f>
        <v>20</v>
      </c>
      <c r="BE73" s="82">
        <f>I91</f>
        <v>33</v>
      </c>
      <c r="BF73" s="82">
        <f>K91</f>
        <v>41.7</v>
      </c>
      <c r="BG73" s="82">
        <f t="shared" ref="BG73:BP73" si="28">M91</f>
        <v>40.1</v>
      </c>
      <c r="BH73" s="82">
        <f t="shared" si="28"/>
        <v>50.5</v>
      </c>
      <c r="BI73" s="82">
        <f t="shared" si="28"/>
        <v>32.799999999999997</v>
      </c>
      <c r="BJ73" s="82">
        <f t="shared" si="28"/>
        <v>46.2</v>
      </c>
      <c r="BK73" s="82">
        <f t="shared" si="28"/>
        <v>49</v>
      </c>
      <c r="BL73" s="82">
        <f t="shared" si="28"/>
        <v>53</v>
      </c>
      <c r="BM73" s="82">
        <f t="shared" si="28"/>
        <v>50.5</v>
      </c>
      <c r="BN73" s="82">
        <f t="shared" si="28"/>
        <v>55.2</v>
      </c>
      <c r="BO73" s="82">
        <f t="shared" si="28"/>
        <v>45.4</v>
      </c>
      <c r="BP73" s="82">
        <f t="shared" si="28"/>
        <v>45.4</v>
      </c>
      <c r="BQ73" s="82">
        <f>X91</f>
        <v>41.6</v>
      </c>
      <c r="BR73" s="82">
        <f>Z91</f>
        <v>45.5</v>
      </c>
      <c r="BS73" s="82">
        <f>AB91</f>
        <v>43.4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0</v>
      </c>
    </row>
    <row r="74" spans="1:75" x14ac:dyDescent="0.25">
      <c r="A74" s="65" t="s">
        <v>97</v>
      </c>
      <c r="B74" s="76">
        <v>2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66">
        <v>6.2</v>
      </c>
      <c r="AH74" s="48">
        <f t="shared" si="8"/>
        <v>2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5.5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9">VALUE(AZ68)</f>
        <v>29</v>
      </c>
      <c r="BA75" s="82">
        <f t="shared" si="29"/>
        <v>26</v>
      </c>
      <c r="BB75" s="82">
        <f t="shared" si="29"/>
        <v>21</v>
      </c>
      <c r="BC75" s="82">
        <f t="shared" si="29"/>
        <v>22</v>
      </c>
      <c r="BD75" s="82">
        <f t="shared" si="29"/>
        <v>12</v>
      </c>
      <c r="BE75" s="82">
        <f t="shared" si="29"/>
        <v>12</v>
      </c>
      <c r="BF75" s="82">
        <f t="shared" si="29"/>
        <v>25</v>
      </c>
      <c r="BG75" s="82">
        <f t="shared" si="29"/>
        <v>62.9</v>
      </c>
      <c r="BH75" s="82">
        <f t="shared" si="29"/>
        <v>60.3</v>
      </c>
      <c r="BI75" s="82">
        <f t="shared" si="29"/>
        <v>67</v>
      </c>
      <c r="BJ75" s="82">
        <f t="shared" si="29"/>
        <v>64.7</v>
      </c>
      <c r="BK75" s="82">
        <f t="shared" si="29"/>
        <v>72</v>
      </c>
      <c r="BL75" s="82">
        <f t="shared" si="29"/>
        <v>54</v>
      </c>
      <c r="BM75" s="82">
        <f t="shared" si="29"/>
        <v>71.900000000000006</v>
      </c>
      <c r="BN75" s="82">
        <f t="shared" si="29"/>
        <v>65.2</v>
      </c>
      <c r="BO75" s="82">
        <f t="shared" si="29"/>
        <v>30</v>
      </c>
      <c r="BP75" s="82">
        <f t="shared" si="29"/>
        <v>30</v>
      </c>
      <c r="BQ75" s="82">
        <f t="shared" si="29"/>
        <v>-2</v>
      </c>
      <c r="BR75" s="82">
        <f t="shared" si="29"/>
        <v>-4.7</v>
      </c>
      <c r="BS75" s="82">
        <f t="shared" si="29"/>
        <v>25.7</v>
      </c>
      <c r="BT75" s="82">
        <f t="shared" si="29"/>
        <v>0</v>
      </c>
      <c r="BU75" s="82">
        <f t="shared" si="29"/>
        <v>-15</v>
      </c>
      <c r="BV75" s="82">
        <f t="shared" si="29"/>
        <v>-12</v>
      </c>
      <c r="BW75" s="82">
        <f t="shared" si="29"/>
        <v>28.8</v>
      </c>
    </row>
    <row r="76" spans="1:75" ht="15.75" thickBot="1" x14ac:dyDescent="0.3">
      <c r="A76" s="87" t="s">
        <v>99</v>
      </c>
      <c r="B76" s="71">
        <f>SUM(B63:B75)</f>
        <v>320.54000000000008</v>
      </c>
      <c r="C76" s="71">
        <f>SUM(C63:C75)</f>
        <v>318.54000000000008</v>
      </c>
      <c r="D76" s="71">
        <f>SUM(D63:D75)</f>
        <v>336.44000000000005</v>
      </c>
      <c r="E76" s="71">
        <f t="shared" ref="E76:AG76" si="30">SUM(E63:E75)</f>
        <v>312.84000000000003</v>
      </c>
      <c r="F76" s="71">
        <f t="shared" si="30"/>
        <v>305.34000000000003</v>
      </c>
      <c r="G76" s="71">
        <f t="shared" si="30"/>
        <v>338.64000000000004</v>
      </c>
      <c r="H76" s="71">
        <f t="shared" si="30"/>
        <v>353.14000000000004</v>
      </c>
      <c r="I76" s="71">
        <f t="shared" si="30"/>
        <v>365.64000000000004</v>
      </c>
      <c r="J76" s="71">
        <f t="shared" si="30"/>
        <v>336.64000000000004</v>
      </c>
      <c r="K76" s="71">
        <f t="shared" si="30"/>
        <v>380.94000000000005</v>
      </c>
      <c r="L76" s="71">
        <f t="shared" si="30"/>
        <v>346.54000000000008</v>
      </c>
      <c r="M76" s="71">
        <f t="shared" si="30"/>
        <v>354.74</v>
      </c>
      <c r="N76" s="71">
        <f t="shared" si="30"/>
        <v>289.53999999999996</v>
      </c>
      <c r="O76" s="71">
        <f t="shared" si="30"/>
        <v>323.03999999999996</v>
      </c>
      <c r="P76" s="71">
        <f t="shared" si="30"/>
        <v>288.44000000000005</v>
      </c>
      <c r="Q76" s="71">
        <f t="shared" si="30"/>
        <v>288.44000000000005</v>
      </c>
      <c r="R76" s="71">
        <f t="shared" si="30"/>
        <v>315.34000000000003</v>
      </c>
      <c r="S76" s="71">
        <f t="shared" si="30"/>
        <v>288.24000000000007</v>
      </c>
      <c r="T76" s="71">
        <f t="shared" si="30"/>
        <v>304.63900000000007</v>
      </c>
      <c r="U76" s="71">
        <f t="shared" si="30"/>
        <v>300.63900000000007</v>
      </c>
      <c r="V76" s="71">
        <f t="shared" si="30"/>
        <v>200.93899999999999</v>
      </c>
      <c r="W76" s="71">
        <f t="shared" si="30"/>
        <v>200.23899999999998</v>
      </c>
      <c r="X76" s="71">
        <f t="shared" si="30"/>
        <v>199.43899999999999</v>
      </c>
      <c r="Y76" s="71">
        <f t="shared" si="30"/>
        <v>292.40000000000003</v>
      </c>
      <c r="Z76" s="71">
        <f t="shared" si="30"/>
        <v>316.10000000000002</v>
      </c>
      <c r="AA76" s="71">
        <f>SUM(AA63:AA75)</f>
        <v>364.20000000000005</v>
      </c>
      <c r="AB76" s="71">
        <f t="shared" si="30"/>
        <v>337.84000000000003</v>
      </c>
      <c r="AC76" s="71">
        <f>SUM(AC63:AC75)</f>
        <v>321.34000000000003</v>
      </c>
      <c r="AD76" s="71">
        <f>SUM(AD63:AD75)</f>
        <v>318.64000000000004</v>
      </c>
      <c r="AE76" s="71">
        <f>SUM(AE63:AE75)</f>
        <v>355.04</v>
      </c>
      <c r="AF76" s="71">
        <f>SUM(AF63:AF75)</f>
        <v>355.04</v>
      </c>
      <c r="AG76" s="72">
        <f t="shared" si="30"/>
        <v>489.91</v>
      </c>
      <c r="AH76" s="48">
        <f t="shared" si="8"/>
        <v>380.94000000000005</v>
      </c>
      <c r="AI76" s="49">
        <f t="shared" si="9"/>
        <v>199.43899999999999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0</v>
      </c>
      <c r="BG76" s="82">
        <f t="shared" si="29"/>
        <v>0</v>
      </c>
      <c r="BH76" s="82">
        <f t="shared" si="29"/>
        <v>55</v>
      </c>
      <c r="BI76" s="82">
        <f t="shared" si="29"/>
        <v>90</v>
      </c>
      <c r="BJ76" s="82">
        <f t="shared" si="29"/>
        <v>103.7</v>
      </c>
      <c r="BK76" s="82">
        <f t="shared" si="29"/>
        <v>97</v>
      </c>
      <c r="BL76" s="82">
        <f t="shared" si="29"/>
        <v>90.4</v>
      </c>
      <c r="BM76" s="82">
        <f t="shared" si="29"/>
        <v>102.4</v>
      </c>
      <c r="BN76" s="82">
        <f t="shared" si="29"/>
        <v>110.7</v>
      </c>
      <c r="BO76" s="82">
        <f t="shared" si="29"/>
        <v>104.6</v>
      </c>
      <c r="BP76" s="82">
        <f t="shared" si="29"/>
        <v>104.6</v>
      </c>
      <c r="BQ76" s="82">
        <f t="shared" si="29"/>
        <v>0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>
        <v>39.5</v>
      </c>
      <c r="C77" s="46">
        <v>39.5</v>
      </c>
      <c r="D77" s="46">
        <v>0</v>
      </c>
      <c r="E77" s="46"/>
      <c r="F77" s="46"/>
      <c r="G77" s="46"/>
      <c r="H77" s="46"/>
      <c r="I77" s="46"/>
      <c r="J77" s="46"/>
      <c r="K77" s="46"/>
      <c r="L77" s="46"/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/>
      <c r="U77" s="46">
        <v>0</v>
      </c>
      <c r="V77" s="46"/>
      <c r="W77" s="46"/>
      <c r="X77" s="46"/>
      <c r="Y77" s="46">
        <v>29.5</v>
      </c>
      <c r="Z77" s="46">
        <v>9.8000000000000007</v>
      </c>
      <c r="AA77" s="46">
        <v>9.8000000000000007</v>
      </c>
      <c r="AB77" s="46">
        <v>9.8000000000000007</v>
      </c>
      <c r="AC77" s="46">
        <v>0</v>
      </c>
      <c r="AD77" s="46">
        <v>0</v>
      </c>
      <c r="AE77" s="46">
        <v>0</v>
      </c>
      <c r="AF77" s="46">
        <v>0</v>
      </c>
      <c r="AG77" s="61">
        <v>60</v>
      </c>
      <c r="AH77" s="48">
        <f t="shared" si="8"/>
        <v>39.5</v>
      </c>
      <c r="AI77" s="49">
        <f t="shared" si="9"/>
        <v>0</v>
      </c>
      <c r="AK77" s="51"/>
      <c r="AZ77" s="82">
        <f t="shared" si="29"/>
        <v>120</v>
      </c>
      <c r="BA77" s="82">
        <f t="shared" si="29"/>
        <v>0</v>
      </c>
      <c r="BB77" s="82">
        <f t="shared" si="29"/>
        <v>0</v>
      </c>
      <c r="BC77" s="82">
        <f t="shared" si="29"/>
        <v>0</v>
      </c>
      <c r="BD77" s="82">
        <f t="shared" si="29"/>
        <v>0</v>
      </c>
      <c r="BE77" s="82">
        <f t="shared" si="29"/>
        <v>0</v>
      </c>
      <c r="BF77" s="82">
        <f t="shared" si="29"/>
        <v>240</v>
      </c>
      <c r="BG77" s="82">
        <f t="shared" si="29"/>
        <v>260</v>
      </c>
      <c r="BH77" s="82">
        <f t="shared" si="29"/>
        <v>287.5</v>
      </c>
      <c r="BI77" s="82">
        <f t="shared" si="29"/>
        <v>267</v>
      </c>
      <c r="BJ77" s="82">
        <f t="shared" si="29"/>
        <v>318.39999999999998</v>
      </c>
      <c r="BK77" s="82">
        <f t="shared" si="29"/>
        <v>313</v>
      </c>
      <c r="BL77" s="82">
        <f t="shared" si="29"/>
        <v>326</v>
      </c>
      <c r="BM77" s="82">
        <f t="shared" si="29"/>
        <v>329</v>
      </c>
      <c r="BN77" s="82">
        <f t="shared" si="29"/>
        <v>302</v>
      </c>
      <c r="BO77" s="82">
        <f t="shared" si="29"/>
        <v>262</v>
      </c>
      <c r="BP77" s="82">
        <f t="shared" si="29"/>
        <v>262</v>
      </c>
      <c r="BQ77" s="82">
        <f t="shared" si="29"/>
        <v>211.2</v>
      </c>
      <c r="BR77" s="82">
        <f t="shared" si="29"/>
        <v>40</v>
      </c>
      <c r="BS77" s="82">
        <f t="shared" si="29"/>
        <v>33</v>
      </c>
      <c r="BT77" s="82">
        <f t="shared" si="29"/>
        <v>36</v>
      </c>
      <c r="BU77" s="82">
        <f t="shared" si="29"/>
        <v>0</v>
      </c>
      <c r="BV77" s="82">
        <f t="shared" si="29"/>
        <v>5</v>
      </c>
      <c r="BW77" s="82">
        <f t="shared" si="29"/>
        <v>120</v>
      </c>
    </row>
    <row r="78" spans="1:75" x14ac:dyDescent="0.25">
      <c r="A78" s="65" t="s">
        <v>101</v>
      </c>
      <c r="B78" s="76">
        <v>16</v>
      </c>
      <c r="C78" s="76">
        <v>16</v>
      </c>
      <c r="D78" s="76">
        <v>0</v>
      </c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/>
      <c r="U78" s="76">
        <v>0</v>
      </c>
      <c r="V78" s="76"/>
      <c r="W78" s="76"/>
      <c r="X78" s="76"/>
      <c r="Y78" s="76">
        <v>11.5</v>
      </c>
      <c r="Z78" s="76">
        <v>4.5999999999999996</v>
      </c>
      <c r="AA78" s="76">
        <v>3.8</v>
      </c>
      <c r="AB78" s="76">
        <v>3.8</v>
      </c>
      <c r="AC78" s="76">
        <v>0</v>
      </c>
      <c r="AD78" s="76">
        <v>0</v>
      </c>
      <c r="AE78" s="76">
        <v>0</v>
      </c>
      <c r="AF78" s="76">
        <v>0</v>
      </c>
      <c r="AG78" s="66">
        <v>32</v>
      </c>
      <c r="AH78" s="48">
        <f t="shared" si="8"/>
        <v>16</v>
      </c>
      <c r="AI78" s="49">
        <f t="shared" si="9"/>
        <v>0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51</v>
      </c>
      <c r="BG78" s="82">
        <f t="shared" si="29"/>
        <v>49.1</v>
      </c>
      <c r="BH78" s="82">
        <f t="shared" si="29"/>
        <v>51.2</v>
      </c>
      <c r="BI78" s="82">
        <f t="shared" si="29"/>
        <v>50</v>
      </c>
      <c r="BJ78" s="82">
        <f t="shared" si="29"/>
        <v>52.2</v>
      </c>
      <c r="BK78" s="82">
        <f t="shared" si="29"/>
        <v>49</v>
      </c>
      <c r="BL78" s="82">
        <f t="shared" si="29"/>
        <v>50</v>
      </c>
      <c r="BM78" s="82">
        <f t="shared" si="29"/>
        <v>50.1</v>
      </c>
      <c r="BN78" s="82">
        <f t="shared" si="29"/>
        <v>46.9</v>
      </c>
      <c r="BO78" s="82">
        <f t="shared" si="29"/>
        <v>48.6</v>
      </c>
      <c r="BP78" s="82">
        <f t="shared" si="29"/>
        <v>48.6</v>
      </c>
      <c r="BQ78" s="82">
        <f t="shared" si="29"/>
        <v>52</v>
      </c>
      <c r="BR78" s="82">
        <f t="shared" si="29"/>
        <v>0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>
        <v>5.9</v>
      </c>
      <c r="C79" s="78">
        <v>5.9</v>
      </c>
      <c r="D79" s="78">
        <v>0</v>
      </c>
      <c r="E79" s="78"/>
      <c r="F79" s="78"/>
      <c r="G79" s="78"/>
      <c r="H79" s="78"/>
      <c r="I79" s="78"/>
      <c r="J79" s="78"/>
      <c r="K79" s="78"/>
      <c r="L79" s="78"/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/>
      <c r="U79" s="78">
        <v>0</v>
      </c>
      <c r="V79" s="78"/>
      <c r="W79" s="78"/>
      <c r="X79" s="78"/>
      <c r="Y79" s="78">
        <v>4.2</v>
      </c>
      <c r="Z79" s="78">
        <v>1.7</v>
      </c>
      <c r="AA79" s="78">
        <v>1.4</v>
      </c>
      <c r="AB79" s="78">
        <v>1.4</v>
      </c>
      <c r="AC79" s="78">
        <v>0</v>
      </c>
      <c r="AD79" s="78">
        <v>0</v>
      </c>
      <c r="AE79" s="78">
        <v>0</v>
      </c>
      <c r="AF79" s="78">
        <v>0</v>
      </c>
      <c r="AG79" s="79">
        <v>14</v>
      </c>
      <c r="AH79" s="48">
        <f t="shared" si="8"/>
        <v>5.9</v>
      </c>
      <c r="AI79" s="49">
        <f t="shared" si="9"/>
        <v>0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110.3</v>
      </c>
      <c r="BG79" s="82">
        <f t="shared" si="29"/>
        <v>116.4</v>
      </c>
      <c r="BH79" s="82">
        <f t="shared" si="29"/>
        <v>120.7</v>
      </c>
      <c r="BI79" s="82">
        <f t="shared" si="29"/>
        <v>136</v>
      </c>
      <c r="BJ79" s="82">
        <f t="shared" si="29"/>
        <v>133.1</v>
      </c>
      <c r="BK79" s="82">
        <f t="shared" si="29"/>
        <v>128</v>
      </c>
      <c r="BL79" s="82">
        <f t="shared" si="29"/>
        <v>138.19999999999999</v>
      </c>
      <c r="BM79" s="82">
        <f t="shared" si="29"/>
        <v>160.5</v>
      </c>
      <c r="BN79" s="82">
        <f t="shared" si="29"/>
        <v>137.19999999999999</v>
      </c>
      <c r="BO79" s="82">
        <f t="shared" si="29"/>
        <v>142.69999999999999</v>
      </c>
      <c r="BP79" s="82">
        <f t="shared" si="29"/>
        <v>142.69999999999999</v>
      </c>
      <c r="BQ79" s="82">
        <f t="shared" si="29"/>
        <v>83.9</v>
      </c>
      <c r="BR79" s="82">
        <f t="shared" si="29"/>
        <v>0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>B77+B78+B79</f>
        <v>61.4</v>
      </c>
      <c r="C80" s="71">
        <f>C77+C78+C79</f>
        <v>61.4</v>
      </c>
      <c r="D80" s="71">
        <f>D77+D78+D79</f>
        <v>0</v>
      </c>
      <c r="E80" s="71">
        <f t="shared" ref="E80:AB80" si="31">E77+E78+E79</f>
        <v>0</v>
      </c>
      <c r="F80" s="71">
        <f t="shared" si="31"/>
        <v>0</v>
      </c>
      <c r="G80" s="71">
        <f t="shared" si="31"/>
        <v>0</v>
      </c>
      <c r="H80" s="71">
        <f t="shared" si="31"/>
        <v>0</v>
      </c>
      <c r="I80" s="71">
        <f t="shared" si="31"/>
        <v>0</v>
      </c>
      <c r="J80" s="71">
        <f t="shared" si="31"/>
        <v>0</v>
      </c>
      <c r="K80" s="71">
        <f t="shared" si="31"/>
        <v>0</v>
      </c>
      <c r="L80" s="71">
        <f t="shared" si="31"/>
        <v>0</v>
      </c>
      <c r="M80" s="71">
        <f t="shared" si="31"/>
        <v>0</v>
      </c>
      <c r="N80" s="71">
        <f t="shared" si="31"/>
        <v>0</v>
      </c>
      <c r="O80" s="71">
        <f t="shared" si="31"/>
        <v>0</v>
      </c>
      <c r="P80" s="71">
        <f t="shared" si="31"/>
        <v>0</v>
      </c>
      <c r="Q80" s="71">
        <f t="shared" si="31"/>
        <v>0</v>
      </c>
      <c r="R80" s="71">
        <f t="shared" si="31"/>
        <v>0</v>
      </c>
      <c r="S80" s="71">
        <f t="shared" si="31"/>
        <v>0</v>
      </c>
      <c r="T80" s="71">
        <f t="shared" si="31"/>
        <v>0</v>
      </c>
      <c r="U80" s="71">
        <f t="shared" si="31"/>
        <v>0</v>
      </c>
      <c r="V80" s="71">
        <f t="shared" si="31"/>
        <v>0</v>
      </c>
      <c r="W80" s="71">
        <f t="shared" si="31"/>
        <v>0</v>
      </c>
      <c r="X80" s="71">
        <f t="shared" si="31"/>
        <v>0</v>
      </c>
      <c r="Y80" s="71">
        <f t="shared" si="31"/>
        <v>45.2</v>
      </c>
      <c r="Z80" s="71">
        <f t="shared" si="31"/>
        <v>16.100000000000001</v>
      </c>
      <c r="AA80" s="71">
        <f>AA77+AA78+AA79</f>
        <v>15.000000000000002</v>
      </c>
      <c r="AB80" s="71">
        <f t="shared" si="31"/>
        <v>15.000000000000002</v>
      </c>
      <c r="AC80" s="71">
        <f>AC77+AC78+AC79</f>
        <v>0</v>
      </c>
      <c r="AD80" s="71">
        <f>AD77+AD78+AD79</f>
        <v>0</v>
      </c>
      <c r="AE80" s="71">
        <f>AE77+AE78+AE79</f>
        <v>0</v>
      </c>
      <c r="AF80" s="71">
        <f>AF77+AF78+AF79</f>
        <v>0</v>
      </c>
      <c r="AG80" s="72">
        <f>SUM(AG77:AG79)</f>
        <v>106</v>
      </c>
      <c r="AH80" s="48">
        <f t="shared" si="8"/>
        <v>61.4</v>
      </c>
      <c r="AI80" s="49">
        <f t="shared" si="9"/>
        <v>0</v>
      </c>
      <c r="AK80" s="51"/>
      <c r="AZ80" s="82">
        <f t="shared" si="29"/>
        <v>0</v>
      </c>
      <c r="BA80" s="82">
        <f t="shared" si="29"/>
        <v>0</v>
      </c>
      <c r="BB80" s="82">
        <f t="shared" si="29"/>
        <v>36.799999999999997</v>
      </c>
      <c r="BC80" s="82">
        <f t="shared" si="29"/>
        <v>36</v>
      </c>
      <c r="BD80" s="82">
        <f t="shared" si="29"/>
        <v>20</v>
      </c>
      <c r="BE80" s="82">
        <f t="shared" si="29"/>
        <v>33</v>
      </c>
      <c r="BF80" s="82">
        <f t="shared" si="29"/>
        <v>41.7</v>
      </c>
      <c r="BG80" s="82">
        <f t="shared" si="29"/>
        <v>40.1</v>
      </c>
      <c r="BH80" s="82">
        <f t="shared" si="29"/>
        <v>50.5</v>
      </c>
      <c r="BI80" s="82">
        <f t="shared" si="29"/>
        <v>32.799999999999997</v>
      </c>
      <c r="BJ80" s="82">
        <f t="shared" si="29"/>
        <v>46.2</v>
      </c>
      <c r="BK80" s="82">
        <f t="shared" si="29"/>
        <v>49</v>
      </c>
      <c r="BL80" s="82">
        <f t="shared" si="29"/>
        <v>53</v>
      </c>
      <c r="BM80" s="82">
        <f t="shared" si="29"/>
        <v>50.5</v>
      </c>
      <c r="BN80" s="82">
        <f t="shared" si="29"/>
        <v>55.2</v>
      </c>
      <c r="BO80" s="82">
        <f t="shared" si="29"/>
        <v>45.4</v>
      </c>
      <c r="BP80" s="82">
        <f t="shared" si="29"/>
        <v>45.4</v>
      </c>
      <c r="BQ80" s="82">
        <f t="shared" si="29"/>
        <v>41.6</v>
      </c>
      <c r="BR80" s="82">
        <f t="shared" si="29"/>
        <v>45.5</v>
      </c>
      <c r="BS80" s="82">
        <f t="shared" si="29"/>
        <v>43.4</v>
      </c>
      <c r="BT80" s="82">
        <f t="shared" si="29"/>
        <v>0</v>
      </c>
      <c r="BU80" s="82">
        <f t="shared" si="29"/>
        <v>0</v>
      </c>
      <c r="BV80" s="82">
        <f t="shared" si="29"/>
        <v>0</v>
      </c>
      <c r="BW80" s="82">
        <f t="shared" si="29"/>
        <v>0</v>
      </c>
    </row>
    <row r="81" spans="1:64" x14ac:dyDescent="0.25">
      <c r="A81" s="45" t="s">
        <v>104</v>
      </c>
      <c r="B81" s="46">
        <v>28.8</v>
      </c>
      <c r="C81" s="46">
        <v>28.8</v>
      </c>
      <c r="D81" s="46">
        <v>26</v>
      </c>
      <c r="E81" s="46">
        <v>21</v>
      </c>
      <c r="F81" s="46">
        <v>22</v>
      </c>
      <c r="G81" s="46">
        <v>12</v>
      </c>
      <c r="H81" s="46">
        <v>10</v>
      </c>
      <c r="I81" s="46">
        <v>12</v>
      </c>
      <c r="J81" s="46">
        <v>30</v>
      </c>
      <c r="K81" s="46">
        <v>25</v>
      </c>
      <c r="L81" s="46">
        <v>61.2</v>
      </c>
      <c r="M81" s="46">
        <v>62.9</v>
      </c>
      <c r="N81" s="46">
        <v>60.3</v>
      </c>
      <c r="O81" s="46">
        <v>67</v>
      </c>
      <c r="P81" s="46">
        <v>64.7</v>
      </c>
      <c r="Q81" s="46">
        <v>72</v>
      </c>
      <c r="R81" s="46">
        <v>54</v>
      </c>
      <c r="S81" s="46">
        <v>71.900000000000006</v>
      </c>
      <c r="T81" s="46">
        <v>65.2</v>
      </c>
      <c r="U81" s="46">
        <v>30</v>
      </c>
      <c r="V81" s="46">
        <v>30</v>
      </c>
      <c r="W81" s="46">
        <v>0</v>
      </c>
      <c r="X81" s="46">
        <v>-2</v>
      </c>
      <c r="Y81" s="46">
        <v>-4</v>
      </c>
      <c r="Z81" s="46">
        <v>-4.7</v>
      </c>
      <c r="AA81" s="46">
        <v>-10.5</v>
      </c>
      <c r="AB81" s="46">
        <v>25.7</v>
      </c>
      <c r="AC81" s="46">
        <v>-9</v>
      </c>
      <c r="AD81" s="46">
        <v>0</v>
      </c>
      <c r="AE81" s="46">
        <v>-15</v>
      </c>
      <c r="AF81" s="46">
        <v>-12</v>
      </c>
      <c r="AG81" s="61"/>
      <c r="AH81" s="48">
        <f t="shared" si="8"/>
        <v>72</v>
      </c>
      <c r="AI81" s="49">
        <f t="shared" si="9"/>
        <v>-15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>
        <v>0</v>
      </c>
      <c r="N82" s="76">
        <v>55</v>
      </c>
      <c r="O82" s="76">
        <v>90</v>
      </c>
      <c r="P82" s="76">
        <v>103.7</v>
      </c>
      <c r="Q82" s="76">
        <v>97</v>
      </c>
      <c r="R82" s="76">
        <v>90.4</v>
      </c>
      <c r="S82" s="76">
        <v>102.4</v>
      </c>
      <c r="T82" s="76">
        <v>110.7</v>
      </c>
      <c r="U82" s="76">
        <v>104.6</v>
      </c>
      <c r="V82" s="76">
        <v>104.6</v>
      </c>
      <c r="W82" s="76">
        <v>88.2</v>
      </c>
      <c r="X82" s="76">
        <v>0</v>
      </c>
      <c r="Y82" s="76">
        <v>0</v>
      </c>
      <c r="Z82" s="76">
        <v>0</v>
      </c>
      <c r="AA82" s="76">
        <v>0</v>
      </c>
      <c r="AB82" s="76"/>
      <c r="AC82" s="76"/>
      <c r="AD82" s="76"/>
      <c r="AE82" s="76"/>
      <c r="AF82" s="76"/>
      <c r="AG82" s="66"/>
      <c r="AH82" s="48">
        <f t="shared" ref="AH82:AH125" si="32">MAX(B82:AF82)</f>
        <v>110.7</v>
      </c>
      <c r="AI82" s="49">
        <f t="shared" ref="AI82:AI125" si="33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120</v>
      </c>
      <c r="C83" s="76">
        <v>120</v>
      </c>
      <c r="D83" s="76">
        <v>0</v>
      </c>
      <c r="E83" s="76">
        <v>0</v>
      </c>
      <c r="F83" s="76"/>
      <c r="G83" s="76"/>
      <c r="H83" s="76">
        <v>-2</v>
      </c>
      <c r="I83" s="76"/>
      <c r="J83" s="76">
        <v>220</v>
      </c>
      <c r="K83" s="76">
        <v>240</v>
      </c>
      <c r="L83" s="76">
        <v>269</v>
      </c>
      <c r="M83" s="76">
        <v>260</v>
      </c>
      <c r="N83" s="76">
        <v>287.5</v>
      </c>
      <c r="O83" s="76">
        <v>267</v>
      </c>
      <c r="P83" s="76">
        <v>318.39999999999998</v>
      </c>
      <c r="Q83" s="76">
        <v>313</v>
      </c>
      <c r="R83" s="76">
        <v>326</v>
      </c>
      <c r="S83" s="76">
        <v>329</v>
      </c>
      <c r="T83" s="76">
        <v>302</v>
      </c>
      <c r="U83" s="76">
        <v>262</v>
      </c>
      <c r="V83" s="76">
        <v>262</v>
      </c>
      <c r="W83" s="76">
        <v>289</v>
      </c>
      <c r="X83" s="76">
        <v>211.2</v>
      </c>
      <c r="Y83" s="76">
        <v>47</v>
      </c>
      <c r="Z83" s="76">
        <v>40</v>
      </c>
      <c r="AA83" s="76">
        <v>28.4</v>
      </c>
      <c r="AB83" s="76">
        <v>33</v>
      </c>
      <c r="AC83" s="76">
        <v>33</v>
      </c>
      <c r="AD83" s="76">
        <v>36</v>
      </c>
      <c r="AE83" s="76">
        <v>0</v>
      </c>
      <c r="AF83" s="76">
        <v>5</v>
      </c>
      <c r="AG83" s="88"/>
      <c r="AH83" s="48">
        <f t="shared" si="32"/>
        <v>329</v>
      </c>
      <c r="AI83" s="49">
        <f t="shared" si="33"/>
        <v>-2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89">
        <v>0</v>
      </c>
      <c r="C84" s="89">
        <v>0</v>
      </c>
      <c r="D84" s="89">
        <v>0</v>
      </c>
      <c r="E84" s="89"/>
      <c r="F84" s="89"/>
      <c r="G84" s="89"/>
      <c r="H84" s="89"/>
      <c r="I84" s="89"/>
      <c r="J84" s="89">
        <v>39</v>
      </c>
      <c r="K84" s="89">
        <v>51</v>
      </c>
      <c r="L84" s="89">
        <v>48</v>
      </c>
      <c r="M84" s="89">
        <v>49.1</v>
      </c>
      <c r="N84" s="89">
        <v>51.2</v>
      </c>
      <c r="O84" s="89">
        <v>50</v>
      </c>
      <c r="P84" s="89">
        <v>52.2</v>
      </c>
      <c r="Q84" s="89">
        <v>49</v>
      </c>
      <c r="R84" s="89">
        <v>50</v>
      </c>
      <c r="S84" s="89">
        <v>50.1</v>
      </c>
      <c r="T84" s="89">
        <v>46.9</v>
      </c>
      <c r="U84" s="89">
        <v>48.6</v>
      </c>
      <c r="V84" s="89">
        <v>48.6</v>
      </c>
      <c r="W84" s="89">
        <v>54.2</v>
      </c>
      <c r="X84" s="89">
        <v>52</v>
      </c>
      <c r="Y84" s="89">
        <v>0</v>
      </c>
      <c r="Z84" s="89">
        <v>0</v>
      </c>
      <c r="AA84" s="89">
        <v>0</v>
      </c>
      <c r="AB84" s="89"/>
      <c r="AC84" s="89"/>
      <c r="AD84" s="89"/>
      <c r="AE84" s="89"/>
      <c r="AF84" s="89"/>
      <c r="AG84" s="88"/>
      <c r="AH84" s="48">
        <f t="shared" si="32"/>
        <v>54.2</v>
      </c>
      <c r="AI84" s="49">
        <f t="shared" si="33"/>
        <v>0</v>
      </c>
      <c r="AK84" s="51"/>
      <c r="AY84" s="82"/>
      <c r="BF84" s="81"/>
      <c r="BG84" s="82">
        <f t="array" ref="BG84:BL107">TRANSPOSE(AZ68:BW73)</f>
        <v>29</v>
      </c>
      <c r="BH84" s="82">
        <v>0</v>
      </c>
      <c r="BI84" s="82">
        <v>120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/>
      <c r="F85" s="46"/>
      <c r="G85" s="46"/>
      <c r="H85" s="46"/>
      <c r="I85" s="46"/>
      <c r="J85" s="46">
        <v>116</v>
      </c>
      <c r="K85" s="46">
        <v>110.3</v>
      </c>
      <c r="L85" s="46">
        <v>128.5</v>
      </c>
      <c r="M85" s="46">
        <v>116.4</v>
      </c>
      <c r="N85" s="46">
        <v>120.7</v>
      </c>
      <c r="O85" s="46">
        <v>136</v>
      </c>
      <c r="P85" s="46">
        <v>133.1</v>
      </c>
      <c r="Q85" s="46">
        <v>128</v>
      </c>
      <c r="R85" s="46">
        <v>138.19999999999999</v>
      </c>
      <c r="S85" s="46">
        <v>160.5</v>
      </c>
      <c r="T85" s="46">
        <v>137.19999999999999</v>
      </c>
      <c r="U85" s="46">
        <v>142.69999999999999</v>
      </c>
      <c r="V85" s="46">
        <v>142.69999999999999</v>
      </c>
      <c r="W85" s="46">
        <v>117.2</v>
      </c>
      <c r="X85" s="46">
        <v>83.9</v>
      </c>
      <c r="Y85" s="46">
        <v>0</v>
      </c>
      <c r="Z85" s="46">
        <v>0</v>
      </c>
      <c r="AA85" s="46">
        <v>0</v>
      </c>
      <c r="AB85" s="46"/>
      <c r="AC85" s="46"/>
      <c r="AD85" s="46"/>
      <c r="AE85" s="46"/>
      <c r="AF85" s="46"/>
      <c r="AG85" s="88"/>
      <c r="AH85" s="48">
        <f t="shared" si="32"/>
        <v>160.5</v>
      </c>
      <c r="AI85" s="49">
        <f t="shared" si="33"/>
        <v>0</v>
      </c>
      <c r="AK85" s="51"/>
      <c r="AY85" s="82"/>
      <c r="BF85" s="81"/>
      <c r="BG85" s="82">
        <v>26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2"/>
        <v>0</v>
      </c>
      <c r="AI86" s="49">
        <f t="shared" si="33"/>
        <v>0</v>
      </c>
      <c r="AK86" s="51"/>
      <c r="AY86" s="82"/>
      <c r="BF86" s="81"/>
      <c r="BG86" s="82">
        <v>21</v>
      </c>
      <c r="BH86" s="82">
        <v>0</v>
      </c>
      <c r="BI86" s="82">
        <v>0</v>
      </c>
      <c r="BJ86" s="82">
        <v>0</v>
      </c>
      <c r="BK86" s="82">
        <v>0</v>
      </c>
      <c r="BL86" s="82">
        <v>36.799999999999997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2"/>
        <v>0</v>
      </c>
      <c r="AI87" s="49">
        <f t="shared" si="33"/>
        <v>0</v>
      </c>
      <c r="AK87" s="51"/>
      <c r="AL87" s="91" t="s">
        <v>111</v>
      </c>
      <c r="AM87" s="91"/>
      <c r="AY87" s="82"/>
      <c r="BF87" s="82"/>
      <c r="BG87" s="82">
        <v>22</v>
      </c>
      <c r="BH87" s="82">
        <v>0</v>
      </c>
      <c r="BI87" s="82">
        <v>0</v>
      </c>
      <c r="BJ87" s="82">
        <v>0</v>
      </c>
      <c r="BK87" s="82">
        <v>0</v>
      </c>
      <c r="BL87" s="82">
        <v>36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2"/>
        <v>0</v>
      </c>
      <c r="AI88" s="49">
        <f t="shared" si="33"/>
        <v>0</v>
      </c>
      <c r="AK88" s="92"/>
      <c r="AL88" s="93"/>
      <c r="AM88" s="93"/>
      <c r="AN88" s="94"/>
      <c r="AY88" s="82"/>
      <c r="BF88" s="82"/>
      <c r="BG88" s="82">
        <v>12</v>
      </c>
      <c r="BH88" s="82">
        <v>0</v>
      </c>
      <c r="BI88" s="82">
        <v>0</v>
      </c>
      <c r="BJ88" s="82">
        <v>0</v>
      </c>
      <c r="BK88" s="82">
        <v>0</v>
      </c>
      <c r="BL88" s="82">
        <v>20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2"/>
        <v>0</v>
      </c>
      <c r="AI89" s="49">
        <f t="shared" si="33"/>
        <v>0</v>
      </c>
      <c r="AK89" s="95" t="s">
        <v>114</v>
      </c>
      <c r="AL89" s="76"/>
      <c r="AM89" s="89"/>
      <c r="AN89" s="96"/>
      <c r="AY89" s="82"/>
      <c r="BF89" s="82"/>
      <c r="BG89" s="82">
        <v>12</v>
      </c>
      <c r="BH89" s="82">
        <v>0</v>
      </c>
      <c r="BI89" s="82">
        <v>0</v>
      </c>
      <c r="BJ89" s="82">
        <v>0</v>
      </c>
      <c r="BK89" s="82">
        <v>0</v>
      </c>
      <c r="BL89" s="82">
        <v>33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2"/>
        <v>0</v>
      </c>
      <c r="AI90" s="49">
        <f t="shared" si="33"/>
        <v>0</v>
      </c>
      <c r="AK90" s="95" t="s">
        <v>116</v>
      </c>
      <c r="AL90" s="89"/>
      <c r="AM90" s="89"/>
      <c r="AN90" s="96"/>
      <c r="AY90" s="82"/>
      <c r="BF90" s="82"/>
      <c r="BG90" s="82">
        <v>25</v>
      </c>
      <c r="BH90" s="82">
        <v>0</v>
      </c>
      <c r="BI90" s="82">
        <v>240</v>
      </c>
      <c r="BJ90" s="82">
        <v>51</v>
      </c>
      <c r="BK90" s="82">
        <v>110.3</v>
      </c>
      <c r="BL90" s="82">
        <v>41.7</v>
      </c>
    </row>
    <row r="91" spans="1:64" ht="15.75" thickBot="1" x14ac:dyDescent="0.3">
      <c r="A91" s="97" t="s">
        <v>117</v>
      </c>
      <c r="B91" s="90"/>
      <c r="C91" s="90"/>
      <c r="D91" s="90"/>
      <c r="E91" s="90">
        <v>36.799999999999997</v>
      </c>
      <c r="F91" s="90">
        <v>36</v>
      </c>
      <c r="G91" s="90">
        <v>20</v>
      </c>
      <c r="H91" s="90">
        <v>29.6</v>
      </c>
      <c r="I91" s="90">
        <v>33</v>
      </c>
      <c r="J91" s="90">
        <v>33</v>
      </c>
      <c r="K91" s="90">
        <v>41.7</v>
      </c>
      <c r="L91" s="90">
        <v>43.2</v>
      </c>
      <c r="M91" s="90">
        <v>40.1</v>
      </c>
      <c r="N91" s="90">
        <v>50.5</v>
      </c>
      <c r="O91" s="90">
        <v>32.799999999999997</v>
      </c>
      <c r="P91" s="90">
        <v>46.2</v>
      </c>
      <c r="Q91" s="90">
        <v>49</v>
      </c>
      <c r="R91" s="90">
        <v>53</v>
      </c>
      <c r="S91" s="90">
        <v>50.5</v>
      </c>
      <c r="T91" s="90">
        <v>55.2</v>
      </c>
      <c r="U91" s="90">
        <v>45.4</v>
      </c>
      <c r="V91" s="90">
        <v>45.4</v>
      </c>
      <c r="W91" s="90">
        <v>47.2</v>
      </c>
      <c r="X91" s="90">
        <v>41.6</v>
      </c>
      <c r="Y91" s="90">
        <v>42.1</v>
      </c>
      <c r="Z91" s="90">
        <v>45.5</v>
      </c>
      <c r="AA91" s="90">
        <v>40.799999999999997</v>
      </c>
      <c r="AB91" s="90">
        <v>43.4</v>
      </c>
      <c r="AC91" s="90">
        <v>0</v>
      </c>
      <c r="AD91" s="90">
        <v>0</v>
      </c>
      <c r="AE91" s="90">
        <v>0</v>
      </c>
      <c r="AF91" s="90">
        <v>0</v>
      </c>
      <c r="AG91" s="98"/>
      <c r="AH91" s="48">
        <f t="shared" si="32"/>
        <v>55.2</v>
      </c>
      <c r="AI91" s="49">
        <f t="shared" si="33"/>
        <v>0</v>
      </c>
      <c r="AK91" s="99"/>
      <c r="AL91" s="46"/>
      <c r="AM91" s="46"/>
      <c r="AN91" s="100"/>
      <c r="AY91" s="82"/>
      <c r="BF91" s="82"/>
      <c r="BG91" s="82">
        <v>62.9</v>
      </c>
      <c r="BH91" s="82">
        <v>0</v>
      </c>
      <c r="BI91" s="82">
        <v>260</v>
      </c>
      <c r="BJ91" s="82">
        <v>49.1</v>
      </c>
      <c r="BK91" s="82">
        <v>116.4</v>
      </c>
      <c r="BL91" s="82">
        <v>40.1</v>
      </c>
    </row>
    <row r="92" spans="1:64" ht="15.75" thickBot="1" x14ac:dyDescent="0.3">
      <c r="A92" s="87" t="s">
        <v>118</v>
      </c>
      <c r="B92" s="71">
        <f t="shared" ref="B92:AB92" si="34">SUMIF(B81:B91,"&gt;0")</f>
        <v>148.80000000000001</v>
      </c>
      <c r="C92" s="71">
        <f t="shared" si="34"/>
        <v>148.80000000000001</v>
      </c>
      <c r="D92" s="71">
        <f t="shared" si="34"/>
        <v>26</v>
      </c>
      <c r="E92" s="71">
        <f t="shared" si="34"/>
        <v>57.8</v>
      </c>
      <c r="F92" s="71">
        <f t="shared" si="34"/>
        <v>58</v>
      </c>
      <c r="G92" s="71">
        <f t="shared" si="34"/>
        <v>32</v>
      </c>
      <c r="H92" s="71">
        <f t="shared" si="34"/>
        <v>39.6</v>
      </c>
      <c r="I92" s="71">
        <f t="shared" si="34"/>
        <v>45</v>
      </c>
      <c r="J92" s="71">
        <f t="shared" si="34"/>
        <v>438</v>
      </c>
      <c r="K92" s="71">
        <f t="shared" si="34"/>
        <v>468</v>
      </c>
      <c r="L92" s="71">
        <f t="shared" si="34"/>
        <v>549.9</v>
      </c>
      <c r="M92" s="71">
        <f t="shared" si="34"/>
        <v>528.5</v>
      </c>
      <c r="N92" s="71">
        <f t="shared" si="34"/>
        <v>625.20000000000005</v>
      </c>
      <c r="O92" s="71">
        <f t="shared" si="34"/>
        <v>642.79999999999995</v>
      </c>
      <c r="P92" s="71">
        <f t="shared" si="34"/>
        <v>718.30000000000007</v>
      </c>
      <c r="Q92" s="71">
        <f t="shared" si="34"/>
        <v>708</v>
      </c>
      <c r="R92" s="71">
        <f t="shared" si="34"/>
        <v>711.59999999999991</v>
      </c>
      <c r="S92" s="71">
        <f t="shared" si="34"/>
        <v>764.4</v>
      </c>
      <c r="T92" s="71">
        <f t="shared" si="34"/>
        <v>717.2</v>
      </c>
      <c r="U92" s="71">
        <f t="shared" si="34"/>
        <v>633.30000000000007</v>
      </c>
      <c r="V92" s="71">
        <f>SUMIF(V81:V91,"&gt;0")</f>
        <v>633.30000000000007</v>
      </c>
      <c r="W92" s="71">
        <f t="shared" si="34"/>
        <v>595.80000000000007</v>
      </c>
      <c r="X92" s="71">
        <f t="shared" si="34"/>
        <v>388.70000000000005</v>
      </c>
      <c r="Y92" s="71">
        <f t="shared" si="34"/>
        <v>89.1</v>
      </c>
      <c r="Z92" s="71">
        <f t="shared" si="34"/>
        <v>85.5</v>
      </c>
      <c r="AA92" s="71">
        <f>SUMIF(AA81:AA91,"&gt;0")</f>
        <v>69.199999999999989</v>
      </c>
      <c r="AB92" s="71">
        <f t="shared" si="34"/>
        <v>102.1</v>
      </c>
      <c r="AC92" s="71">
        <f>SUMIF(AC81:AC91,"&gt;0")</f>
        <v>33</v>
      </c>
      <c r="AD92" s="71">
        <f>SUMIF(AD81:AD91,"&gt;0")</f>
        <v>36</v>
      </c>
      <c r="AE92" s="71">
        <f>SUMIF(AE81:AE91,"&gt;0")</f>
        <v>0</v>
      </c>
      <c r="AF92" s="71">
        <f>SUMIF(AF81:AF91,"&gt;0")</f>
        <v>5</v>
      </c>
      <c r="AG92" s="101">
        <f>SUM(AG81:AG91)</f>
        <v>0</v>
      </c>
      <c r="AH92" s="48">
        <f t="shared" si="32"/>
        <v>764.4</v>
      </c>
      <c r="AI92" s="49">
        <f t="shared" si="33"/>
        <v>0</v>
      </c>
      <c r="AK92" s="99"/>
      <c r="AL92" s="90"/>
      <c r="AM92" s="102"/>
      <c r="AN92" s="202"/>
      <c r="AY92" s="82"/>
      <c r="BF92" s="82"/>
      <c r="BG92" s="82">
        <v>60.3</v>
      </c>
      <c r="BH92" s="82">
        <v>55</v>
      </c>
      <c r="BI92" s="82">
        <v>287.5</v>
      </c>
      <c r="BJ92" s="82">
        <v>51.2</v>
      </c>
      <c r="BK92" s="82">
        <v>120.7</v>
      </c>
      <c r="BL92" s="82">
        <v>50.5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2"/>
        <v>0</v>
      </c>
      <c r="AI93" s="49">
        <f t="shared" si="33"/>
        <v>0</v>
      </c>
      <c r="AK93" s="99"/>
      <c r="AL93" s="90"/>
      <c r="AM93" s="90"/>
      <c r="AN93" s="203"/>
      <c r="BF93" s="82"/>
      <c r="BG93" s="82">
        <v>67</v>
      </c>
      <c r="BH93" s="82">
        <v>90</v>
      </c>
      <c r="BI93" s="82">
        <v>267</v>
      </c>
      <c r="BJ93" s="82">
        <v>50</v>
      </c>
      <c r="BK93" s="82">
        <v>136</v>
      </c>
      <c r="BL93" s="82">
        <v>32.799999999999997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2"/>
        <v>0</v>
      </c>
      <c r="AI94" s="49">
        <f t="shared" si="33"/>
        <v>0</v>
      </c>
      <c r="AK94" s="104"/>
      <c r="AL94" s="105"/>
      <c r="AM94" s="105"/>
      <c r="AN94" s="106"/>
      <c r="BF94" s="82"/>
      <c r="BG94" s="82">
        <v>64.7</v>
      </c>
      <c r="BH94" s="82">
        <v>103.7</v>
      </c>
      <c r="BI94" s="82">
        <v>318.39999999999998</v>
      </c>
      <c r="BJ94" s="82">
        <v>52.2</v>
      </c>
      <c r="BK94" s="82">
        <v>133.1</v>
      </c>
      <c r="BL94" s="82">
        <v>46.2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2"/>
        <v>0</v>
      </c>
      <c r="AI95" s="49">
        <f t="shared" si="33"/>
        <v>0</v>
      </c>
      <c r="BF95" s="82"/>
      <c r="BG95" s="82">
        <v>72</v>
      </c>
      <c r="BH95" s="82">
        <v>97</v>
      </c>
      <c r="BI95" s="82">
        <v>313</v>
      </c>
      <c r="BJ95" s="82">
        <v>49</v>
      </c>
      <c r="BK95" s="82">
        <v>128</v>
      </c>
      <c r="BL95" s="82">
        <v>49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2"/>
        <v>0</v>
      </c>
      <c r="AI96" s="49">
        <f t="shared" si="33"/>
        <v>0</v>
      </c>
      <c r="BF96" s="82"/>
      <c r="BG96" s="82">
        <v>54</v>
      </c>
      <c r="BH96" s="82">
        <v>90.4</v>
      </c>
      <c r="BI96" s="82">
        <v>326</v>
      </c>
      <c r="BJ96" s="82">
        <v>50</v>
      </c>
      <c r="BK96" s="82">
        <v>138.19999999999999</v>
      </c>
      <c r="BL96" s="82">
        <v>53</v>
      </c>
    </row>
    <row r="97" spans="1:64" ht="15.75" thickBot="1" x14ac:dyDescent="0.3">
      <c r="A97" s="87" t="s">
        <v>123</v>
      </c>
      <c r="B97" s="108">
        <f t="shared" ref="B97:AG97" si="35">B58+B62+B80+B76+B92+B96</f>
        <v>1339.0400000000002</v>
      </c>
      <c r="C97" s="108">
        <f t="shared" si="35"/>
        <v>1324.74</v>
      </c>
      <c r="D97" s="108">
        <f t="shared" si="35"/>
        <v>1139.2400000000002</v>
      </c>
      <c r="E97" s="108">
        <f t="shared" si="35"/>
        <v>1133.0400000000002</v>
      </c>
      <c r="F97" s="108">
        <f t="shared" si="35"/>
        <v>1141.0400000000002</v>
      </c>
      <c r="G97" s="108">
        <f t="shared" si="35"/>
        <v>1178.2400000000002</v>
      </c>
      <c r="H97" s="108">
        <f t="shared" si="35"/>
        <v>1214.24</v>
      </c>
      <c r="I97" s="108">
        <f t="shared" si="35"/>
        <v>1259.8400000000001</v>
      </c>
      <c r="J97" s="108">
        <f t="shared" si="35"/>
        <v>1395.0400000000002</v>
      </c>
      <c r="K97" s="108">
        <f t="shared" si="35"/>
        <v>1473.14</v>
      </c>
      <c r="L97" s="108">
        <f t="shared" si="35"/>
        <v>1519.94</v>
      </c>
      <c r="M97" s="108">
        <f t="shared" si="35"/>
        <v>1505.54</v>
      </c>
      <c r="N97" s="108">
        <f t="shared" si="35"/>
        <v>1535.44</v>
      </c>
      <c r="O97" s="108">
        <f t="shared" si="35"/>
        <v>1586.54</v>
      </c>
      <c r="P97" s="108">
        <f t="shared" si="35"/>
        <v>1626.8400000000001</v>
      </c>
      <c r="Q97" s="108">
        <f t="shared" si="35"/>
        <v>1617.2400000000002</v>
      </c>
      <c r="R97" s="108">
        <f t="shared" si="35"/>
        <v>1648.04</v>
      </c>
      <c r="S97" s="108">
        <f t="shared" si="35"/>
        <v>1650.83</v>
      </c>
      <c r="T97" s="108">
        <f t="shared" si="35"/>
        <v>1624.529</v>
      </c>
      <c r="U97" s="108">
        <f t="shared" si="35"/>
        <v>1586.8290000000002</v>
      </c>
      <c r="V97" s="108">
        <f t="shared" si="35"/>
        <v>1498.529</v>
      </c>
      <c r="W97" s="108">
        <f t="shared" si="35"/>
        <v>1470.4290000000001</v>
      </c>
      <c r="X97" s="108">
        <f t="shared" si="35"/>
        <v>1268.4290000000001</v>
      </c>
      <c r="Y97" s="108">
        <f t="shared" si="35"/>
        <v>1328.99</v>
      </c>
      <c r="Z97" s="108">
        <f t="shared" si="35"/>
        <v>1323.2399999999998</v>
      </c>
      <c r="AA97" s="108">
        <f>AA58+AA62+AA80+AA76+AA92+AA96</f>
        <v>1470.94</v>
      </c>
      <c r="AB97" s="108">
        <f t="shared" si="35"/>
        <v>1459.28</v>
      </c>
      <c r="AC97" s="108">
        <f>AC58+AC62+AC80+AC76+AC92+AC96</f>
        <v>1388.6800000000003</v>
      </c>
      <c r="AD97" s="108">
        <f>AD58+AD62+AD80+AD76+AD92+AD96</f>
        <v>1388.9800000000002</v>
      </c>
      <c r="AE97" s="108">
        <f>AE58+AE62+AE80+AE76+AE92+AE96</f>
        <v>1323.38</v>
      </c>
      <c r="AF97" s="108">
        <f>AF58+AF62+AF80+AF76+AF92+AF96</f>
        <v>1257.3800000000001</v>
      </c>
      <c r="AG97" s="72">
        <f t="shared" si="35"/>
        <v>2231.81</v>
      </c>
      <c r="AH97" s="48">
        <f t="shared" si="32"/>
        <v>1650.83</v>
      </c>
      <c r="AI97" s="49">
        <f t="shared" si="33"/>
        <v>1133.0400000000002</v>
      </c>
      <c r="BF97" s="82"/>
      <c r="BG97" s="82">
        <v>71.900000000000006</v>
      </c>
      <c r="BH97" s="82">
        <v>102.4</v>
      </c>
      <c r="BI97" s="82">
        <v>329</v>
      </c>
      <c r="BJ97" s="82">
        <v>50.1</v>
      </c>
      <c r="BK97" s="82">
        <v>160.5</v>
      </c>
      <c r="BL97" s="82">
        <v>50.5</v>
      </c>
    </row>
    <row r="98" spans="1:64" ht="15.75" thickBot="1" x14ac:dyDescent="0.3">
      <c r="A98" s="109" t="s">
        <v>124</v>
      </c>
      <c r="B98" s="110">
        <v>300</v>
      </c>
      <c r="C98" s="110">
        <v>300</v>
      </c>
      <c r="D98" s="110">
        <v>300</v>
      </c>
      <c r="E98" s="110">
        <v>100</v>
      </c>
      <c r="F98" s="110">
        <v>100</v>
      </c>
      <c r="G98" s="110">
        <v>100</v>
      </c>
      <c r="H98" s="110">
        <v>100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>
        <v>300</v>
      </c>
      <c r="AB98" s="110">
        <v>250</v>
      </c>
      <c r="AC98" s="110">
        <v>100</v>
      </c>
      <c r="AD98" s="110">
        <v>100</v>
      </c>
      <c r="AE98" s="110">
        <v>100</v>
      </c>
      <c r="AF98" s="110">
        <v>100</v>
      </c>
      <c r="AG98" s="101"/>
      <c r="AH98" s="48">
        <f t="shared" si="32"/>
        <v>300</v>
      </c>
      <c r="AI98" s="49">
        <f t="shared" si="33"/>
        <v>100</v>
      </c>
      <c r="BF98" s="82"/>
      <c r="BG98" s="82">
        <v>65.2</v>
      </c>
      <c r="BH98" s="82">
        <v>110.7</v>
      </c>
      <c r="BI98" s="82">
        <v>302</v>
      </c>
      <c r="BJ98" s="82">
        <v>46.9</v>
      </c>
      <c r="BK98" s="82">
        <v>137.19999999999999</v>
      </c>
      <c r="BL98" s="82">
        <v>55.2</v>
      </c>
    </row>
    <row r="99" spans="1:64" ht="15.75" thickBot="1" x14ac:dyDescent="0.3">
      <c r="A99" s="87" t="s">
        <v>125</v>
      </c>
      <c r="B99" s="108">
        <f t="shared" ref="B99:AB99" si="36">B97+B98</f>
        <v>1639.0400000000002</v>
      </c>
      <c r="C99" s="108">
        <f t="shared" si="36"/>
        <v>1624.74</v>
      </c>
      <c r="D99" s="108">
        <f t="shared" si="36"/>
        <v>1439.2400000000002</v>
      </c>
      <c r="E99" s="108">
        <f t="shared" si="36"/>
        <v>1233.0400000000002</v>
      </c>
      <c r="F99" s="108">
        <f t="shared" si="36"/>
        <v>1241.0400000000002</v>
      </c>
      <c r="G99" s="108">
        <f t="shared" si="36"/>
        <v>1278.2400000000002</v>
      </c>
      <c r="H99" s="108">
        <f t="shared" si="36"/>
        <v>1314.24</v>
      </c>
      <c r="I99" s="108">
        <f t="shared" si="36"/>
        <v>1259.8400000000001</v>
      </c>
      <c r="J99" s="108">
        <f t="shared" si="36"/>
        <v>1395.0400000000002</v>
      </c>
      <c r="K99" s="108">
        <f t="shared" si="36"/>
        <v>1473.14</v>
      </c>
      <c r="L99" s="108">
        <f t="shared" si="36"/>
        <v>1519.94</v>
      </c>
      <c r="M99" s="108">
        <f t="shared" si="36"/>
        <v>1505.54</v>
      </c>
      <c r="N99" s="108">
        <f t="shared" si="36"/>
        <v>1535.44</v>
      </c>
      <c r="O99" s="108">
        <f t="shared" si="36"/>
        <v>1586.54</v>
      </c>
      <c r="P99" s="108">
        <f t="shared" si="36"/>
        <v>1626.8400000000001</v>
      </c>
      <c r="Q99" s="108">
        <f t="shared" si="36"/>
        <v>1617.2400000000002</v>
      </c>
      <c r="R99" s="108">
        <f t="shared" si="36"/>
        <v>1648.04</v>
      </c>
      <c r="S99" s="108">
        <f t="shared" si="36"/>
        <v>1650.83</v>
      </c>
      <c r="T99" s="108">
        <f t="shared" si="36"/>
        <v>1624.529</v>
      </c>
      <c r="U99" s="108">
        <f t="shared" si="36"/>
        <v>1586.8290000000002</v>
      </c>
      <c r="V99" s="108">
        <f t="shared" si="36"/>
        <v>1498.529</v>
      </c>
      <c r="W99" s="108">
        <f t="shared" si="36"/>
        <v>1470.4290000000001</v>
      </c>
      <c r="X99" s="108">
        <f t="shared" si="36"/>
        <v>1268.4290000000001</v>
      </c>
      <c r="Y99" s="108">
        <f t="shared" si="36"/>
        <v>1328.99</v>
      </c>
      <c r="Z99" s="108">
        <f t="shared" si="36"/>
        <v>1323.2399999999998</v>
      </c>
      <c r="AA99" s="108">
        <f>AA97+AA98</f>
        <v>1770.94</v>
      </c>
      <c r="AB99" s="108">
        <f t="shared" si="36"/>
        <v>1709.28</v>
      </c>
      <c r="AC99" s="108">
        <f>AC97+AC98</f>
        <v>1488.6800000000003</v>
      </c>
      <c r="AD99" s="108">
        <f>AD97+AD98</f>
        <v>1488.9800000000002</v>
      </c>
      <c r="AE99" s="108">
        <f>AE97+AE98</f>
        <v>1423.38</v>
      </c>
      <c r="AF99" s="108">
        <f>AF97+AF98</f>
        <v>1357.38</v>
      </c>
      <c r="AG99" s="101">
        <f>AG96+AG92+AG80+AG76+AG58+AG98</f>
        <v>1693.71</v>
      </c>
      <c r="AH99" s="48">
        <f t="shared" si="32"/>
        <v>1770.94</v>
      </c>
      <c r="AI99" s="49">
        <f t="shared" si="33"/>
        <v>1233.0400000000002</v>
      </c>
      <c r="BF99" s="82"/>
      <c r="BG99" s="82">
        <v>30</v>
      </c>
      <c r="BH99" s="82">
        <v>104.6</v>
      </c>
      <c r="BI99" s="82">
        <v>262</v>
      </c>
      <c r="BJ99" s="82">
        <v>48.6</v>
      </c>
      <c r="BK99" s="82">
        <v>142.69999999999999</v>
      </c>
      <c r="BL99" s="82">
        <v>45.4</v>
      </c>
    </row>
    <row r="100" spans="1:64" ht="15.75" thickBot="1" x14ac:dyDescent="0.3">
      <c r="A100" s="87" t="s">
        <v>126</v>
      </c>
      <c r="B100" s="108">
        <f t="shared" ref="B100:AB100" si="37">B99-(B107)</f>
        <v>1639.0400000000002</v>
      </c>
      <c r="C100" s="108">
        <f t="shared" si="37"/>
        <v>1624.74</v>
      </c>
      <c r="D100" s="108">
        <f t="shared" si="37"/>
        <v>1439.2400000000002</v>
      </c>
      <c r="E100" s="108">
        <f t="shared" si="37"/>
        <v>1233.0400000000002</v>
      </c>
      <c r="F100" s="108">
        <f t="shared" si="37"/>
        <v>1241.0400000000002</v>
      </c>
      <c r="G100" s="108">
        <f t="shared" si="37"/>
        <v>1278.2400000000002</v>
      </c>
      <c r="H100" s="108">
        <f t="shared" si="37"/>
        <v>1312.24</v>
      </c>
      <c r="I100" s="108">
        <f t="shared" si="37"/>
        <v>1259.8400000000001</v>
      </c>
      <c r="J100" s="108">
        <f t="shared" si="37"/>
        <v>1395.0400000000002</v>
      </c>
      <c r="K100" s="108">
        <f t="shared" si="37"/>
        <v>1473.14</v>
      </c>
      <c r="L100" s="108">
        <f t="shared" si="37"/>
        <v>1519.94</v>
      </c>
      <c r="M100" s="108">
        <f t="shared" si="37"/>
        <v>1505.54</v>
      </c>
      <c r="N100" s="108">
        <f t="shared" si="37"/>
        <v>1535.44</v>
      </c>
      <c r="O100" s="108">
        <f t="shared" si="37"/>
        <v>1586.54</v>
      </c>
      <c r="P100" s="108">
        <f t="shared" si="37"/>
        <v>1626.8400000000001</v>
      </c>
      <c r="Q100" s="108">
        <f t="shared" si="37"/>
        <v>1617.2400000000002</v>
      </c>
      <c r="R100" s="108">
        <f t="shared" si="37"/>
        <v>1648.04</v>
      </c>
      <c r="S100" s="108">
        <f t="shared" si="37"/>
        <v>1650.83</v>
      </c>
      <c r="T100" s="108">
        <f t="shared" si="37"/>
        <v>1624.529</v>
      </c>
      <c r="U100" s="108">
        <f t="shared" si="37"/>
        <v>1586.8290000000002</v>
      </c>
      <c r="V100" s="108">
        <f t="shared" si="37"/>
        <v>1498.529</v>
      </c>
      <c r="W100" s="108">
        <f t="shared" si="37"/>
        <v>1470.4290000000001</v>
      </c>
      <c r="X100" s="108">
        <f t="shared" si="37"/>
        <v>1266.4290000000001</v>
      </c>
      <c r="Y100" s="108">
        <f t="shared" si="37"/>
        <v>1324.99</v>
      </c>
      <c r="Z100" s="108">
        <f t="shared" si="37"/>
        <v>1318.5399999999997</v>
      </c>
      <c r="AA100" s="108">
        <f>AA99-(AA107)</f>
        <v>1760.44</v>
      </c>
      <c r="AB100" s="108">
        <f t="shared" si="37"/>
        <v>1709.28</v>
      </c>
      <c r="AC100" s="108">
        <f>AC99-(AC107)</f>
        <v>1479.6800000000003</v>
      </c>
      <c r="AD100" s="108">
        <f>AD99-(AD107)</f>
        <v>1488.9800000000002</v>
      </c>
      <c r="AE100" s="108">
        <f>AE99-(AE107)</f>
        <v>1423.38</v>
      </c>
      <c r="AF100" s="108">
        <f>AF99-(AF107)</f>
        <v>1357.38</v>
      </c>
      <c r="AG100" s="101"/>
      <c r="AH100" s="48">
        <f t="shared" si="32"/>
        <v>1760.44</v>
      </c>
      <c r="AI100" s="49">
        <f t="shared" si="33"/>
        <v>1233.0400000000002</v>
      </c>
      <c r="BF100" s="82"/>
      <c r="BG100" s="82">
        <v>30</v>
      </c>
      <c r="BH100" s="82">
        <v>104.6</v>
      </c>
      <c r="BI100" s="82">
        <v>262</v>
      </c>
      <c r="BJ100" s="82">
        <v>48.6</v>
      </c>
      <c r="BK100" s="82">
        <v>142.69999999999999</v>
      </c>
      <c r="BL100" s="82">
        <v>45.4</v>
      </c>
    </row>
    <row r="101" spans="1:64" x14ac:dyDescent="0.25">
      <c r="A101" s="45" t="s">
        <v>107</v>
      </c>
      <c r="B101" s="89">
        <f t="shared" ref="B101:AB101" si="38">IF(B84&lt;0,B84*-1,0)</f>
        <v>0</v>
      </c>
      <c r="C101" s="89">
        <f t="shared" si="38"/>
        <v>0</v>
      </c>
      <c r="D101" s="89">
        <f t="shared" si="38"/>
        <v>0</v>
      </c>
      <c r="E101" s="89">
        <f t="shared" si="38"/>
        <v>0</v>
      </c>
      <c r="F101" s="89">
        <f t="shared" si="38"/>
        <v>0</v>
      </c>
      <c r="G101" s="89">
        <f t="shared" si="38"/>
        <v>0</v>
      </c>
      <c r="H101" s="89">
        <f t="shared" si="38"/>
        <v>0</v>
      </c>
      <c r="I101" s="89">
        <f t="shared" si="38"/>
        <v>0</v>
      </c>
      <c r="J101" s="89">
        <f t="shared" si="38"/>
        <v>0</v>
      </c>
      <c r="K101" s="89">
        <f t="shared" si="38"/>
        <v>0</v>
      </c>
      <c r="L101" s="89">
        <f t="shared" si="38"/>
        <v>0</v>
      </c>
      <c r="M101" s="89">
        <f t="shared" si="38"/>
        <v>0</v>
      </c>
      <c r="N101" s="89">
        <f t="shared" si="38"/>
        <v>0</v>
      </c>
      <c r="O101" s="89">
        <f t="shared" si="38"/>
        <v>0</v>
      </c>
      <c r="P101" s="89">
        <f t="shared" si="38"/>
        <v>0</v>
      </c>
      <c r="Q101" s="89">
        <f t="shared" si="38"/>
        <v>0</v>
      </c>
      <c r="R101" s="89">
        <f t="shared" si="38"/>
        <v>0</v>
      </c>
      <c r="S101" s="89">
        <f t="shared" si="38"/>
        <v>0</v>
      </c>
      <c r="T101" s="89">
        <f t="shared" si="38"/>
        <v>0</v>
      </c>
      <c r="U101" s="89">
        <f>IF(U84&lt;0,U84*-1,0)</f>
        <v>0</v>
      </c>
      <c r="V101" s="89">
        <f>IF(V84&lt;0,V84*-1,0)</f>
        <v>0</v>
      </c>
      <c r="W101" s="89">
        <f t="shared" si="38"/>
        <v>0</v>
      </c>
      <c r="X101" s="89">
        <f t="shared" si="38"/>
        <v>0</v>
      </c>
      <c r="Y101" s="89">
        <f t="shared" si="38"/>
        <v>0</v>
      </c>
      <c r="Z101" s="89">
        <f t="shared" si="38"/>
        <v>0</v>
      </c>
      <c r="AA101" s="89">
        <f>IF(AA84&lt;0,AA84*-1,0)</f>
        <v>0</v>
      </c>
      <c r="AB101" s="89">
        <f t="shared" si="38"/>
        <v>0</v>
      </c>
      <c r="AC101" s="89">
        <f>IF(AC84&lt;0,AC84*-1,0)</f>
        <v>0</v>
      </c>
      <c r="AD101" s="89">
        <f>IF(AD84&lt;0,AD84*-1,0)</f>
        <v>0</v>
      </c>
      <c r="AE101" s="89">
        <f>IF(AE84&lt;0,AE84*-1,0)</f>
        <v>0</v>
      </c>
      <c r="AF101" s="89">
        <f>IF(AF84&lt;0,AF84*-1,0)</f>
        <v>0</v>
      </c>
      <c r="AG101" s="61"/>
      <c r="AH101" s="48">
        <f t="shared" si="32"/>
        <v>0</v>
      </c>
      <c r="AI101" s="49">
        <f t="shared" si="33"/>
        <v>0</v>
      </c>
      <c r="BF101" s="81"/>
      <c r="BG101" s="82">
        <v>-2</v>
      </c>
      <c r="BH101" s="82">
        <v>0</v>
      </c>
      <c r="BI101" s="82">
        <v>211.2</v>
      </c>
      <c r="BJ101" s="82">
        <v>52</v>
      </c>
      <c r="BK101" s="82">
        <v>83.9</v>
      </c>
      <c r="BL101" s="82">
        <v>41.6</v>
      </c>
    </row>
    <row r="102" spans="1:64" x14ac:dyDescent="0.25">
      <c r="A102" s="65" t="s">
        <v>105</v>
      </c>
      <c r="B102" s="89">
        <f t="shared" ref="B102:AB102" si="39">IF(B82&lt;0,B82*-1,0)</f>
        <v>0</v>
      </c>
      <c r="C102" s="89">
        <f t="shared" si="39"/>
        <v>0</v>
      </c>
      <c r="D102" s="89">
        <f t="shared" si="39"/>
        <v>0</v>
      </c>
      <c r="E102" s="89">
        <f t="shared" si="39"/>
        <v>0</v>
      </c>
      <c r="F102" s="89">
        <f t="shared" si="39"/>
        <v>0</v>
      </c>
      <c r="G102" s="89">
        <f t="shared" si="39"/>
        <v>0</v>
      </c>
      <c r="H102" s="89">
        <f t="shared" si="39"/>
        <v>0</v>
      </c>
      <c r="I102" s="89">
        <f t="shared" si="39"/>
        <v>0</v>
      </c>
      <c r="J102" s="89">
        <f t="shared" si="39"/>
        <v>0</v>
      </c>
      <c r="K102" s="89">
        <f t="shared" si="39"/>
        <v>0</v>
      </c>
      <c r="L102" s="89">
        <f t="shared" si="39"/>
        <v>0</v>
      </c>
      <c r="M102" s="89">
        <f t="shared" si="39"/>
        <v>0</v>
      </c>
      <c r="N102" s="89">
        <f t="shared" si="39"/>
        <v>0</v>
      </c>
      <c r="O102" s="89">
        <f t="shared" si="39"/>
        <v>0</v>
      </c>
      <c r="P102" s="89">
        <f t="shared" si="39"/>
        <v>0</v>
      </c>
      <c r="Q102" s="89">
        <f t="shared" si="39"/>
        <v>0</v>
      </c>
      <c r="R102" s="89">
        <f t="shared" si="39"/>
        <v>0</v>
      </c>
      <c r="S102" s="89">
        <f t="shared" si="39"/>
        <v>0</v>
      </c>
      <c r="T102" s="89">
        <f t="shared" si="39"/>
        <v>0</v>
      </c>
      <c r="U102" s="89">
        <f>IF(U82&lt;0,U82*-1,0)</f>
        <v>0</v>
      </c>
      <c r="V102" s="89">
        <f>IF(V82&lt;0,V82*-1,0)</f>
        <v>0</v>
      </c>
      <c r="W102" s="89">
        <f t="shared" si="39"/>
        <v>0</v>
      </c>
      <c r="X102" s="89">
        <f t="shared" si="39"/>
        <v>0</v>
      </c>
      <c r="Y102" s="89">
        <f t="shared" si="39"/>
        <v>0</v>
      </c>
      <c r="Z102" s="89">
        <f t="shared" si="39"/>
        <v>0</v>
      </c>
      <c r="AA102" s="89">
        <f>IF(AA82&lt;0,AA82*-1,0)</f>
        <v>0</v>
      </c>
      <c r="AB102" s="89">
        <f t="shared" si="39"/>
        <v>0</v>
      </c>
      <c r="AC102" s="89">
        <f>IF(AC82&lt;0,AC82*-1,0)</f>
        <v>0</v>
      </c>
      <c r="AD102" s="89">
        <f>IF(AD82&lt;0,AD82*-1,0)</f>
        <v>0</v>
      </c>
      <c r="AE102" s="89">
        <f>IF(AE82&lt;0,AE82*-1,0)</f>
        <v>0</v>
      </c>
      <c r="AF102" s="89">
        <f>IF(AF82&lt;0,AF82*-1,0)</f>
        <v>0</v>
      </c>
      <c r="AG102" s="66"/>
      <c r="AH102" s="48">
        <f t="shared" si="32"/>
        <v>0</v>
      </c>
      <c r="AI102" s="49">
        <f t="shared" si="33"/>
        <v>0</v>
      </c>
      <c r="BF102" s="81"/>
      <c r="BG102" s="82">
        <v>-4.7</v>
      </c>
      <c r="BH102" s="82">
        <v>0</v>
      </c>
      <c r="BI102" s="82">
        <v>40</v>
      </c>
      <c r="BJ102" s="82">
        <v>0</v>
      </c>
      <c r="BK102" s="82">
        <v>0</v>
      </c>
      <c r="BL102" s="82">
        <v>45.5</v>
      </c>
    </row>
    <row r="103" spans="1:64" x14ac:dyDescent="0.25">
      <c r="A103" s="97" t="s">
        <v>127</v>
      </c>
      <c r="B103" s="89">
        <f t="shared" ref="B103:AB103" si="40">IF(B85&lt;0,B85*-1,0)</f>
        <v>0</v>
      </c>
      <c r="C103" s="89">
        <f t="shared" si="40"/>
        <v>0</v>
      </c>
      <c r="D103" s="89">
        <f t="shared" si="40"/>
        <v>0</v>
      </c>
      <c r="E103" s="89">
        <f t="shared" si="40"/>
        <v>0</v>
      </c>
      <c r="F103" s="89">
        <f t="shared" si="40"/>
        <v>0</v>
      </c>
      <c r="G103" s="89">
        <f t="shared" si="40"/>
        <v>0</v>
      </c>
      <c r="H103" s="89">
        <f t="shared" si="40"/>
        <v>0</v>
      </c>
      <c r="I103" s="89">
        <f t="shared" si="40"/>
        <v>0</v>
      </c>
      <c r="J103" s="89">
        <f t="shared" si="40"/>
        <v>0</v>
      </c>
      <c r="K103" s="89">
        <f t="shared" si="40"/>
        <v>0</v>
      </c>
      <c r="L103" s="89">
        <f t="shared" si="40"/>
        <v>0</v>
      </c>
      <c r="M103" s="89">
        <f t="shared" si="40"/>
        <v>0</v>
      </c>
      <c r="N103" s="89">
        <f t="shared" si="40"/>
        <v>0</v>
      </c>
      <c r="O103" s="89">
        <f t="shared" si="40"/>
        <v>0</v>
      </c>
      <c r="P103" s="89">
        <f t="shared" si="40"/>
        <v>0</v>
      </c>
      <c r="Q103" s="89">
        <f t="shared" si="40"/>
        <v>0</v>
      </c>
      <c r="R103" s="89">
        <f t="shared" si="40"/>
        <v>0</v>
      </c>
      <c r="S103" s="89">
        <f t="shared" si="40"/>
        <v>0</v>
      </c>
      <c r="T103" s="89">
        <f t="shared" si="40"/>
        <v>0</v>
      </c>
      <c r="U103" s="89">
        <f>IF(U85&lt;0,U85*-1,0)</f>
        <v>0</v>
      </c>
      <c r="V103" s="89">
        <f>IF(V85&lt;0,V85*-1,0)</f>
        <v>0</v>
      </c>
      <c r="W103" s="89">
        <f t="shared" si="40"/>
        <v>0</v>
      </c>
      <c r="X103" s="89">
        <f t="shared" si="40"/>
        <v>0</v>
      </c>
      <c r="Y103" s="89">
        <f t="shared" si="40"/>
        <v>0</v>
      </c>
      <c r="Z103" s="89">
        <f t="shared" si="40"/>
        <v>0</v>
      </c>
      <c r="AA103" s="89">
        <f>IF(AA85&lt;0,AA85*-1,0)</f>
        <v>0</v>
      </c>
      <c r="AB103" s="89">
        <f t="shared" si="40"/>
        <v>0</v>
      </c>
      <c r="AC103" s="89">
        <f>IF(AC85&lt;0,AC85*-1,0)</f>
        <v>0</v>
      </c>
      <c r="AD103" s="89">
        <f>IF(AD85&lt;0,AD85*-1,0)</f>
        <v>0</v>
      </c>
      <c r="AE103" s="89">
        <f>IF(AE85&lt;0,AE85*-1,0)</f>
        <v>0</v>
      </c>
      <c r="AF103" s="89">
        <f>IF(AF85&lt;0,AF85*-1,0)</f>
        <v>0</v>
      </c>
      <c r="AG103" s="111"/>
      <c r="AH103" s="48">
        <f t="shared" si="32"/>
        <v>0</v>
      </c>
      <c r="AI103" s="49">
        <f t="shared" si="33"/>
        <v>0</v>
      </c>
      <c r="BF103" s="81"/>
      <c r="BG103" s="82">
        <v>25.7</v>
      </c>
      <c r="BH103" s="82">
        <v>0</v>
      </c>
      <c r="BI103" s="82">
        <v>33</v>
      </c>
      <c r="BJ103" s="82">
        <v>0</v>
      </c>
      <c r="BK103" s="82">
        <v>0</v>
      </c>
      <c r="BL103" s="82">
        <v>43.4</v>
      </c>
    </row>
    <row r="104" spans="1:64" x14ac:dyDescent="0.25">
      <c r="A104" s="97" t="s">
        <v>128</v>
      </c>
      <c r="B104" s="89">
        <f t="shared" ref="B104:AB104" si="41">IF(B83&lt;0,B83*-1,0)</f>
        <v>0</v>
      </c>
      <c r="C104" s="89">
        <f t="shared" si="41"/>
        <v>0</v>
      </c>
      <c r="D104" s="89">
        <f t="shared" si="41"/>
        <v>0</v>
      </c>
      <c r="E104" s="89">
        <f t="shared" si="41"/>
        <v>0</v>
      </c>
      <c r="F104" s="89">
        <f t="shared" si="41"/>
        <v>0</v>
      </c>
      <c r="G104" s="89">
        <f t="shared" si="41"/>
        <v>0</v>
      </c>
      <c r="H104" s="89">
        <f t="shared" si="41"/>
        <v>2</v>
      </c>
      <c r="I104" s="89">
        <f t="shared" si="41"/>
        <v>0</v>
      </c>
      <c r="J104" s="89">
        <f t="shared" si="41"/>
        <v>0</v>
      </c>
      <c r="K104" s="89">
        <f t="shared" si="41"/>
        <v>0</v>
      </c>
      <c r="L104" s="89">
        <f t="shared" si="41"/>
        <v>0</v>
      </c>
      <c r="M104" s="89">
        <f t="shared" si="41"/>
        <v>0</v>
      </c>
      <c r="N104" s="89">
        <f t="shared" si="41"/>
        <v>0</v>
      </c>
      <c r="O104" s="89">
        <f t="shared" si="41"/>
        <v>0</v>
      </c>
      <c r="P104" s="89">
        <f t="shared" si="41"/>
        <v>0</v>
      </c>
      <c r="Q104" s="89">
        <f t="shared" si="41"/>
        <v>0</v>
      </c>
      <c r="R104" s="89">
        <f t="shared" si="41"/>
        <v>0</v>
      </c>
      <c r="S104" s="89">
        <f t="shared" si="41"/>
        <v>0</v>
      </c>
      <c r="T104" s="89">
        <f t="shared" si="41"/>
        <v>0</v>
      </c>
      <c r="U104" s="89">
        <f>IF(U83&lt;0,U83*-1,0)</f>
        <v>0</v>
      </c>
      <c r="V104" s="89">
        <f>IF(V83&lt;0,V83*-1,0)</f>
        <v>0</v>
      </c>
      <c r="W104" s="89">
        <f t="shared" si="41"/>
        <v>0</v>
      </c>
      <c r="X104" s="89">
        <f t="shared" si="41"/>
        <v>0</v>
      </c>
      <c r="Y104" s="89">
        <f t="shared" si="41"/>
        <v>0</v>
      </c>
      <c r="Z104" s="89">
        <f t="shared" si="41"/>
        <v>0</v>
      </c>
      <c r="AA104" s="89">
        <f>IF(AA83&lt;0,AA83*-1,0)</f>
        <v>0</v>
      </c>
      <c r="AB104" s="89">
        <f t="shared" si="41"/>
        <v>0</v>
      </c>
      <c r="AC104" s="89">
        <f>IF(AC83&lt;0,AC83*-1,0)</f>
        <v>0</v>
      </c>
      <c r="AD104" s="89">
        <f>IF(AD83&lt;0,AD83*-1,0)</f>
        <v>0</v>
      </c>
      <c r="AE104" s="89">
        <f>IF(AE83&lt;0,AE83*-1,0)</f>
        <v>0</v>
      </c>
      <c r="AF104" s="89">
        <f>IF(AF83&lt;0,AF83*-1,0)</f>
        <v>0</v>
      </c>
      <c r="AG104" s="111"/>
      <c r="AH104" s="48">
        <f t="shared" si="32"/>
        <v>2</v>
      </c>
      <c r="AI104" s="49">
        <f t="shared" si="33"/>
        <v>0</v>
      </c>
      <c r="BF104" s="81"/>
      <c r="BG104" s="82">
        <v>0</v>
      </c>
      <c r="BH104" s="82">
        <v>0</v>
      </c>
      <c r="BI104" s="82">
        <v>36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AB105" si="42">IF(B81&lt;0,B81*-1,0)</f>
        <v>0</v>
      </c>
      <c r="C105" s="89">
        <f t="shared" si="42"/>
        <v>0</v>
      </c>
      <c r="D105" s="89">
        <f t="shared" si="42"/>
        <v>0</v>
      </c>
      <c r="E105" s="89">
        <f t="shared" si="42"/>
        <v>0</v>
      </c>
      <c r="F105" s="89">
        <f t="shared" si="42"/>
        <v>0</v>
      </c>
      <c r="G105" s="89">
        <f t="shared" si="42"/>
        <v>0</v>
      </c>
      <c r="H105" s="89">
        <f t="shared" si="42"/>
        <v>0</v>
      </c>
      <c r="I105" s="89">
        <f t="shared" si="42"/>
        <v>0</v>
      </c>
      <c r="J105" s="89">
        <f t="shared" si="42"/>
        <v>0</v>
      </c>
      <c r="K105" s="89">
        <f t="shared" si="42"/>
        <v>0</v>
      </c>
      <c r="L105" s="89">
        <f t="shared" si="42"/>
        <v>0</v>
      </c>
      <c r="M105" s="89">
        <f t="shared" si="42"/>
        <v>0</v>
      </c>
      <c r="N105" s="89">
        <f t="shared" si="42"/>
        <v>0</v>
      </c>
      <c r="O105" s="89">
        <f t="shared" si="42"/>
        <v>0</v>
      </c>
      <c r="P105" s="89">
        <f t="shared" si="42"/>
        <v>0</v>
      </c>
      <c r="Q105" s="89">
        <f t="shared" si="42"/>
        <v>0</v>
      </c>
      <c r="R105" s="89">
        <f t="shared" si="42"/>
        <v>0</v>
      </c>
      <c r="S105" s="89">
        <f t="shared" si="42"/>
        <v>0</v>
      </c>
      <c r="T105" s="89">
        <f t="shared" si="42"/>
        <v>0</v>
      </c>
      <c r="U105" s="89">
        <f>IF(U81&lt;0,U81*-1,0)</f>
        <v>0</v>
      </c>
      <c r="V105" s="89">
        <f>IF(V81&lt;0,V81*-1,0)</f>
        <v>0</v>
      </c>
      <c r="W105" s="89">
        <f t="shared" si="42"/>
        <v>0</v>
      </c>
      <c r="X105" s="89">
        <f t="shared" si="42"/>
        <v>2</v>
      </c>
      <c r="Y105" s="89">
        <f t="shared" si="42"/>
        <v>4</v>
      </c>
      <c r="Z105" s="89">
        <f t="shared" si="42"/>
        <v>4.7</v>
      </c>
      <c r="AA105" s="89">
        <f>IF(AA81&lt;0,AA81*-1,0)</f>
        <v>10.5</v>
      </c>
      <c r="AB105" s="89">
        <f t="shared" si="42"/>
        <v>0</v>
      </c>
      <c r="AC105" s="89">
        <f>IF(AC81&lt;0,AC81*-1,0)</f>
        <v>9</v>
      </c>
      <c r="AD105" s="89">
        <f>IF(AD81&lt;0,AD81*-1,0)</f>
        <v>0</v>
      </c>
      <c r="AE105" s="89">
        <f>IF(AE81&lt;0,AE81*-1,0)</f>
        <v>15</v>
      </c>
      <c r="AF105" s="89">
        <f>IF(AF81&lt;0,AF81*-1,0)</f>
        <v>12</v>
      </c>
      <c r="AG105" s="111"/>
      <c r="AH105" s="48">
        <f t="shared" si="32"/>
        <v>15</v>
      </c>
      <c r="AI105" s="49">
        <f t="shared" si="33"/>
        <v>0</v>
      </c>
      <c r="BF105" s="81"/>
      <c r="BG105" s="82">
        <v>-15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1</v>
      </c>
      <c r="AE106" s="107">
        <v>0</v>
      </c>
      <c r="AF106" s="107">
        <v>0</v>
      </c>
      <c r="AG106" s="98"/>
      <c r="AH106" s="48">
        <f t="shared" si="32"/>
        <v>1</v>
      </c>
      <c r="AI106" s="49">
        <f t="shared" si="33"/>
        <v>0</v>
      </c>
      <c r="BG106" s="82">
        <v>-12</v>
      </c>
      <c r="BH106" s="82">
        <v>0</v>
      </c>
      <c r="BI106" s="82">
        <v>5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AB107" si="43">SUM(B101:B106)</f>
        <v>0</v>
      </c>
      <c r="C107" s="71">
        <f t="shared" si="43"/>
        <v>0</v>
      </c>
      <c r="D107" s="71">
        <f t="shared" si="43"/>
        <v>0</v>
      </c>
      <c r="E107" s="71">
        <f t="shared" si="43"/>
        <v>0</v>
      </c>
      <c r="F107" s="71">
        <f t="shared" si="43"/>
        <v>0</v>
      </c>
      <c r="G107" s="71">
        <f t="shared" si="43"/>
        <v>0</v>
      </c>
      <c r="H107" s="71">
        <f t="shared" si="43"/>
        <v>2</v>
      </c>
      <c r="I107" s="71">
        <f t="shared" si="43"/>
        <v>0</v>
      </c>
      <c r="J107" s="71">
        <f t="shared" si="43"/>
        <v>0</v>
      </c>
      <c r="K107" s="71">
        <f t="shared" si="43"/>
        <v>0</v>
      </c>
      <c r="L107" s="71">
        <f t="shared" si="43"/>
        <v>0</v>
      </c>
      <c r="M107" s="71">
        <f t="shared" si="43"/>
        <v>0</v>
      </c>
      <c r="N107" s="71">
        <f t="shared" si="43"/>
        <v>0</v>
      </c>
      <c r="O107" s="71">
        <f t="shared" si="43"/>
        <v>0</v>
      </c>
      <c r="P107" s="71">
        <f t="shared" si="43"/>
        <v>0</v>
      </c>
      <c r="Q107" s="71">
        <f t="shared" si="43"/>
        <v>0</v>
      </c>
      <c r="R107" s="71">
        <f t="shared" si="43"/>
        <v>0</v>
      </c>
      <c r="S107" s="71">
        <f t="shared" si="43"/>
        <v>0</v>
      </c>
      <c r="T107" s="71">
        <f t="shared" si="43"/>
        <v>0</v>
      </c>
      <c r="U107" s="71">
        <f t="shared" si="43"/>
        <v>0</v>
      </c>
      <c r="V107" s="71">
        <f t="shared" si="43"/>
        <v>0</v>
      </c>
      <c r="W107" s="71">
        <f t="shared" si="43"/>
        <v>0</v>
      </c>
      <c r="X107" s="71">
        <f t="shared" si="43"/>
        <v>2</v>
      </c>
      <c r="Y107" s="71">
        <f t="shared" si="43"/>
        <v>4</v>
      </c>
      <c r="Z107" s="71">
        <f t="shared" si="43"/>
        <v>4.7</v>
      </c>
      <c r="AA107" s="71">
        <f>SUM(AA101:AA106)</f>
        <v>10.5</v>
      </c>
      <c r="AB107" s="71">
        <f t="shared" si="43"/>
        <v>0</v>
      </c>
      <c r="AC107" s="71">
        <f>SUM(AC101:AC106)</f>
        <v>9</v>
      </c>
      <c r="AD107" s="71">
        <v>0</v>
      </c>
      <c r="AE107" s="71">
        <v>0</v>
      </c>
      <c r="AF107" s="71">
        <v>0</v>
      </c>
      <c r="AG107" s="101"/>
      <c r="AH107" s="48">
        <f t="shared" si="32"/>
        <v>10.5</v>
      </c>
      <c r="AI107" s="49">
        <f t="shared" si="33"/>
        <v>0</v>
      </c>
      <c r="AK107" s="51"/>
      <c r="BG107" s="82">
        <v>28.8</v>
      </c>
      <c r="BH107" s="82">
        <v>0</v>
      </c>
      <c r="BI107" s="82">
        <v>120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 t="shared" ref="B108:AB108" si="44">B92-B107</f>
        <v>148.80000000000001</v>
      </c>
      <c r="C108" s="71">
        <f t="shared" si="44"/>
        <v>148.80000000000001</v>
      </c>
      <c r="D108" s="71">
        <f t="shared" si="44"/>
        <v>26</v>
      </c>
      <c r="E108" s="71">
        <f t="shared" si="44"/>
        <v>57.8</v>
      </c>
      <c r="F108" s="71">
        <f t="shared" si="44"/>
        <v>58</v>
      </c>
      <c r="G108" s="71">
        <f t="shared" si="44"/>
        <v>32</v>
      </c>
      <c r="H108" s="71">
        <f t="shared" si="44"/>
        <v>37.6</v>
      </c>
      <c r="I108" s="71">
        <f t="shared" si="44"/>
        <v>45</v>
      </c>
      <c r="J108" s="71">
        <f t="shared" si="44"/>
        <v>438</v>
      </c>
      <c r="K108" s="71">
        <f t="shared" si="44"/>
        <v>468</v>
      </c>
      <c r="L108" s="71">
        <f t="shared" si="44"/>
        <v>549.9</v>
      </c>
      <c r="M108" s="71">
        <f t="shared" si="44"/>
        <v>528.5</v>
      </c>
      <c r="N108" s="71">
        <f t="shared" si="44"/>
        <v>625.20000000000005</v>
      </c>
      <c r="O108" s="71">
        <f t="shared" si="44"/>
        <v>642.79999999999995</v>
      </c>
      <c r="P108" s="71">
        <f t="shared" si="44"/>
        <v>718.30000000000007</v>
      </c>
      <c r="Q108" s="71">
        <f t="shared" si="44"/>
        <v>708</v>
      </c>
      <c r="R108" s="71">
        <f t="shared" si="44"/>
        <v>711.59999999999991</v>
      </c>
      <c r="S108" s="71">
        <f t="shared" si="44"/>
        <v>764.4</v>
      </c>
      <c r="T108" s="71">
        <f t="shared" si="44"/>
        <v>717.2</v>
      </c>
      <c r="U108" s="71">
        <f t="shared" si="44"/>
        <v>633.30000000000007</v>
      </c>
      <c r="V108" s="71">
        <f t="shared" si="44"/>
        <v>633.30000000000007</v>
      </c>
      <c r="W108" s="71">
        <f t="shared" si="44"/>
        <v>595.80000000000007</v>
      </c>
      <c r="X108" s="71">
        <f t="shared" si="44"/>
        <v>386.70000000000005</v>
      </c>
      <c r="Y108" s="71">
        <f t="shared" si="44"/>
        <v>85.1</v>
      </c>
      <c r="Z108" s="71">
        <f t="shared" si="44"/>
        <v>80.8</v>
      </c>
      <c r="AA108" s="71">
        <f>AA92-AA107</f>
        <v>58.699999999999989</v>
      </c>
      <c r="AB108" s="71">
        <f t="shared" si="44"/>
        <v>102.1</v>
      </c>
      <c r="AC108" s="71">
        <f>AC92-AC107</f>
        <v>24</v>
      </c>
      <c r="AD108" s="71">
        <f>AD92-AD107</f>
        <v>36</v>
      </c>
      <c r="AE108" s="71">
        <f>AE92-AE107</f>
        <v>0</v>
      </c>
      <c r="AF108" s="71">
        <f>AF92-AF107</f>
        <v>5</v>
      </c>
      <c r="AG108" s="101"/>
      <c r="AH108" s="48">
        <f t="shared" si="32"/>
        <v>764.4</v>
      </c>
      <c r="AI108" s="49">
        <f t="shared" si="33"/>
        <v>0</v>
      </c>
    </row>
    <row r="109" spans="1:64" x14ac:dyDescent="0.25">
      <c r="A109" s="113" t="s">
        <v>132</v>
      </c>
      <c r="B109" s="114">
        <v>50.05</v>
      </c>
      <c r="C109" s="114">
        <v>49.9</v>
      </c>
      <c r="D109" s="114">
        <v>50</v>
      </c>
      <c r="E109" s="114">
        <v>49.97</v>
      </c>
      <c r="F109" s="114">
        <v>49.97</v>
      </c>
      <c r="G109" s="114">
        <v>49.984999999999999</v>
      </c>
      <c r="H109" s="114">
        <v>49.92</v>
      </c>
      <c r="I109" s="114">
        <v>49.96</v>
      </c>
      <c r="J109" s="114">
        <v>49.954000000000001</v>
      </c>
      <c r="K109" s="114">
        <v>49.976999999999997</v>
      </c>
      <c r="L109" s="114">
        <v>49.97</v>
      </c>
      <c r="M109" s="114">
        <v>50.04</v>
      </c>
      <c r="N109" s="114">
        <v>50.015999999999998</v>
      </c>
      <c r="O109" s="114">
        <v>50.018000000000001</v>
      </c>
      <c r="P109" s="114">
        <v>50.031999999999996</v>
      </c>
      <c r="Q109" s="114">
        <v>49.962000000000003</v>
      </c>
      <c r="R109" s="114">
        <v>50.042999999999999</v>
      </c>
      <c r="S109" s="114">
        <v>50.037999999999997</v>
      </c>
      <c r="T109" s="114">
        <v>49.965000000000003</v>
      </c>
      <c r="U109" s="114">
        <v>49.965000000000003</v>
      </c>
      <c r="V109" s="114">
        <v>49.981999999999999</v>
      </c>
      <c r="W109" s="114">
        <v>49.957000000000001</v>
      </c>
      <c r="X109" s="114">
        <v>49.991</v>
      </c>
      <c r="Y109" s="114">
        <v>49.991</v>
      </c>
      <c r="Z109" s="114">
        <v>49.966000000000001</v>
      </c>
      <c r="AA109" s="114">
        <v>50.003</v>
      </c>
      <c r="AB109" s="114">
        <v>50.054000000000002</v>
      </c>
      <c r="AC109" s="114">
        <v>50.05</v>
      </c>
      <c r="AD109" s="114">
        <v>50.05</v>
      </c>
      <c r="AE109" s="114">
        <v>49.98</v>
      </c>
      <c r="AF109" s="114">
        <v>50</v>
      </c>
      <c r="AG109" s="115"/>
      <c r="AH109" s="48">
        <f t="shared" si="32"/>
        <v>50.054000000000002</v>
      </c>
      <c r="AI109" s="49">
        <f t="shared" si="33"/>
        <v>49.9</v>
      </c>
    </row>
    <row r="110" spans="1:64" x14ac:dyDescent="0.25">
      <c r="A110" s="116" t="s">
        <v>133</v>
      </c>
      <c r="B110" s="76">
        <v>128.19999999999999</v>
      </c>
      <c r="C110" s="76">
        <v>127.8</v>
      </c>
      <c r="D110" s="76">
        <v>127.8</v>
      </c>
      <c r="E110" s="76">
        <v>127.5</v>
      </c>
      <c r="F110" s="76">
        <v>127</v>
      </c>
      <c r="G110" s="76">
        <v>126.9</v>
      </c>
      <c r="H110" s="76">
        <v>126.4</v>
      </c>
      <c r="I110" s="76">
        <v>126.9</v>
      </c>
      <c r="J110" s="76">
        <v>126.5</v>
      </c>
      <c r="K110" s="76">
        <v>127.1</v>
      </c>
      <c r="L110" s="76">
        <v>125.2</v>
      </c>
      <c r="M110" s="76">
        <v>126.7</v>
      </c>
      <c r="N110" s="76">
        <v>125.2</v>
      </c>
      <c r="O110" s="76">
        <v>124</v>
      </c>
      <c r="P110" s="76">
        <v>123.9</v>
      </c>
      <c r="Q110" s="76">
        <v>124</v>
      </c>
      <c r="R110" s="76">
        <v>122.7</v>
      </c>
      <c r="S110" s="76">
        <v>120.8</v>
      </c>
      <c r="T110" s="76">
        <v>122.3</v>
      </c>
      <c r="U110" s="76">
        <v>122.3</v>
      </c>
      <c r="V110" s="76">
        <v>126.9</v>
      </c>
      <c r="W110" s="76">
        <v>126.8</v>
      </c>
      <c r="X110" s="76">
        <v>127.4</v>
      </c>
      <c r="Y110" s="76">
        <v>125.9</v>
      </c>
      <c r="Z110" s="76">
        <v>126.4</v>
      </c>
      <c r="AA110" s="76">
        <v>124.1</v>
      </c>
      <c r="AB110" s="76">
        <v>123.7</v>
      </c>
      <c r="AC110" s="76">
        <v>125.5</v>
      </c>
      <c r="AD110" s="76">
        <v>125.5</v>
      </c>
      <c r="AE110" s="76">
        <v>125.5</v>
      </c>
      <c r="AF110" s="76">
        <v>125.5</v>
      </c>
      <c r="AG110" s="117"/>
      <c r="AH110" s="48">
        <f t="shared" si="32"/>
        <v>128.19999999999999</v>
      </c>
      <c r="AI110" s="49">
        <f t="shared" si="33"/>
        <v>120.8</v>
      </c>
    </row>
    <row r="111" spans="1:64" x14ac:dyDescent="0.25">
      <c r="A111" s="116" t="s">
        <v>134</v>
      </c>
      <c r="B111" s="76">
        <v>132.1</v>
      </c>
      <c r="C111" s="76">
        <v>131.6</v>
      </c>
      <c r="D111" s="76">
        <v>131.6</v>
      </c>
      <c r="E111" s="76">
        <v>131.4</v>
      </c>
      <c r="F111" s="76">
        <v>131.19999999999999</v>
      </c>
      <c r="G111" s="76">
        <v>130.4</v>
      </c>
      <c r="H111" s="76">
        <v>129.4</v>
      </c>
      <c r="I111" s="76">
        <v>129</v>
      </c>
      <c r="J111" s="76">
        <v>128.6</v>
      </c>
      <c r="K111" s="76">
        <v>129</v>
      </c>
      <c r="L111" s="76">
        <v>127.7</v>
      </c>
      <c r="M111" s="76">
        <v>128.80000000000001</v>
      </c>
      <c r="N111" s="76">
        <v>128</v>
      </c>
      <c r="O111" s="76">
        <v>127</v>
      </c>
      <c r="P111" s="76">
        <v>127.1</v>
      </c>
      <c r="Q111" s="76">
        <v>127.1</v>
      </c>
      <c r="R111" s="76">
        <v>126.2</v>
      </c>
      <c r="S111" s="76">
        <v>124.6</v>
      </c>
      <c r="T111" s="76">
        <v>125.6</v>
      </c>
      <c r="U111" s="76">
        <v>125.6</v>
      </c>
      <c r="V111" s="76">
        <v>129.5</v>
      </c>
      <c r="W111" s="76">
        <v>129.5</v>
      </c>
      <c r="X111" s="76">
        <v>130.19999999999999</v>
      </c>
      <c r="Y111" s="76">
        <v>129</v>
      </c>
      <c r="Z111" s="76">
        <v>129.80000000000001</v>
      </c>
      <c r="AA111" s="76">
        <v>127.4</v>
      </c>
      <c r="AB111" s="76">
        <v>127.5</v>
      </c>
      <c r="AC111" s="76">
        <v>129.5</v>
      </c>
      <c r="AD111" s="76">
        <v>129.5</v>
      </c>
      <c r="AE111" s="76">
        <v>129.5</v>
      </c>
      <c r="AF111" s="76">
        <v>129.5</v>
      </c>
      <c r="AG111" s="117"/>
      <c r="AH111" s="48">
        <f t="shared" si="32"/>
        <v>132.1</v>
      </c>
      <c r="AI111" s="49">
        <f t="shared" si="33"/>
        <v>124.6</v>
      </c>
    </row>
    <row r="112" spans="1:64" x14ac:dyDescent="0.25">
      <c r="A112" s="116" t="s">
        <v>135</v>
      </c>
      <c r="B112" s="76">
        <v>131.80000000000001</v>
      </c>
      <c r="C112" s="76">
        <v>135.80000000000001</v>
      </c>
      <c r="D112" s="76">
        <v>135.80000000000001</v>
      </c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>
        <v>129</v>
      </c>
      <c r="P112" s="76">
        <v>128.5</v>
      </c>
      <c r="Q112" s="76">
        <v>130.4</v>
      </c>
      <c r="R112" s="76">
        <v>127.5</v>
      </c>
      <c r="S112" s="76">
        <v>129.9</v>
      </c>
      <c r="T112" s="76">
        <v>131.5</v>
      </c>
      <c r="U112" s="76">
        <v>131.5</v>
      </c>
      <c r="V112" s="76">
        <v>1231.5999999999999</v>
      </c>
      <c r="W112" s="76">
        <v>133.5</v>
      </c>
      <c r="X112" s="76">
        <v>130.9</v>
      </c>
      <c r="Y112" s="76">
        <v>128.6</v>
      </c>
      <c r="Z112" s="76">
        <v>129.30000000000001</v>
      </c>
      <c r="AA112" s="76">
        <v>129.5</v>
      </c>
      <c r="AB112" s="76">
        <v>129</v>
      </c>
      <c r="AC112" s="76">
        <v>130</v>
      </c>
      <c r="AD112" s="76">
        <v>130</v>
      </c>
      <c r="AE112" s="76">
        <v>130</v>
      </c>
      <c r="AF112" s="76">
        <v>130</v>
      </c>
      <c r="AG112" s="117"/>
      <c r="AH112" s="48">
        <f t="shared" si="32"/>
        <v>1231.5999999999999</v>
      </c>
      <c r="AI112" s="49">
        <f t="shared" si="33"/>
        <v>127.5</v>
      </c>
    </row>
    <row r="113" spans="1:35" x14ac:dyDescent="0.25">
      <c r="A113" s="118" t="s">
        <v>136</v>
      </c>
      <c r="B113" s="76">
        <v>132.80000000000001</v>
      </c>
      <c r="C113" s="76">
        <v>134.6</v>
      </c>
      <c r="D113" s="76">
        <v>134.6</v>
      </c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>
        <v>131</v>
      </c>
      <c r="P113" s="76">
        <v>130.69999999999999</v>
      </c>
      <c r="Q113" s="76">
        <v>131.6</v>
      </c>
      <c r="R113" s="76">
        <v>133</v>
      </c>
      <c r="S113" s="76">
        <v>130.69999999999999</v>
      </c>
      <c r="T113" s="76">
        <v>130.9</v>
      </c>
      <c r="U113" s="76">
        <v>130.9</v>
      </c>
      <c r="V113" s="76">
        <v>131.6</v>
      </c>
      <c r="W113" s="76">
        <v>133.1</v>
      </c>
      <c r="X113" s="76">
        <v>131.6</v>
      </c>
      <c r="Y113" s="76">
        <v>128.80000000000001</v>
      </c>
      <c r="Z113" s="76">
        <v>130.9</v>
      </c>
      <c r="AA113" s="76">
        <v>131.19999999999999</v>
      </c>
      <c r="AB113" s="76">
        <v>130.19999999999999</v>
      </c>
      <c r="AC113" s="76">
        <v>131</v>
      </c>
      <c r="AD113" s="76">
        <v>131</v>
      </c>
      <c r="AE113" s="76">
        <v>131</v>
      </c>
      <c r="AF113" s="76">
        <v>131</v>
      </c>
      <c r="AG113" s="117"/>
      <c r="AH113" s="48">
        <f t="shared" si="32"/>
        <v>134.6</v>
      </c>
      <c r="AI113" s="49">
        <f t="shared" si="33"/>
        <v>128.80000000000001</v>
      </c>
    </row>
    <row r="114" spans="1:35" x14ac:dyDescent="0.25">
      <c r="A114" s="118" t="s">
        <v>137</v>
      </c>
      <c r="B114" s="119">
        <v>135.19999999999999</v>
      </c>
      <c r="C114" s="119">
        <v>134.5</v>
      </c>
      <c r="D114" s="119">
        <v>134.5</v>
      </c>
      <c r="E114" s="119">
        <v>134</v>
      </c>
      <c r="F114" s="119">
        <v>134</v>
      </c>
      <c r="G114" s="119">
        <v>133.80000000000001</v>
      </c>
      <c r="H114" s="119">
        <v>132.1</v>
      </c>
      <c r="I114" s="119"/>
      <c r="J114" s="119"/>
      <c r="K114" s="119"/>
      <c r="L114" s="119"/>
      <c r="M114" s="119"/>
      <c r="N114" s="119"/>
      <c r="O114" s="119"/>
      <c r="P114" s="119">
        <v>134.5</v>
      </c>
      <c r="Q114" s="119">
        <v>134.30000000000001</v>
      </c>
      <c r="R114" s="119">
        <v>135.5</v>
      </c>
      <c r="S114" s="119">
        <v>129.30000000000001</v>
      </c>
      <c r="T114" s="119">
        <v>131.4</v>
      </c>
      <c r="U114" s="119">
        <v>131.4</v>
      </c>
      <c r="V114" s="119">
        <v>135.69999999999999</v>
      </c>
      <c r="W114" s="119">
        <v>135.4</v>
      </c>
      <c r="X114" s="119">
        <v>134.5</v>
      </c>
      <c r="Y114" s="119">
        <v>134.9</v>
      </c>
      <c r="Z114" s="119">
        <v>134.69999999999999</v>
      </c>
      <c r="AA114" s="119">
        <v>133.80000000000001</v>
      </c>
      <c r="AB114" s="119">
        <v>134.6</v>
      </c>
      <c r="AC114" s="119">
        <v>134.6</v>
      </c>
      <c r="AD114" s="119">
        <v>134.6</v>
      </c>
      <c r="AE114" s="119">
        <v>134.6</v>
      </c>
      <c r="AF114" s="119">
        <v>134.6</v>
      </c>
      <c r="AG114" s="120"/>
      <c r="AH114" s="48">
        <f t="shared" si="32"/>
        <v>135.69999999999999</v>
      </c>
      <c r="AI114" s="49">
        <f t="shared" si="33"/>
        <v>129.30000000000001</v>
      </c>
    </row>
    <row r="115" spans="1:35" x14ac:dyDescent="0.25">
      <c r="A115" s="116" t="s">
        <v>138</v>
      </c>
      <c r="B115" s="76">
        <v>131.5</v>
      </c>
      <c r="C115" s="76">
        <v>134.30000000000001</v>
      </c>
      <c r="D115" s="76">
        <v>134.30000000000001</v>
      </c>
      <c r="E115" s="76">
        <v>129.6</v>
      </c>
      <c r="F115" s="76">
        <v>131.1</v>
      </c>
      <c r="G115" s="76">
        <v>127.3</v>
      </c>
      <c r="H115" s="76">
        <v>125.3</v>
      </c>
      <c r="I115" s="76">
        <v>134.4</v>
      </c>
      <c r="J115" s="76">
        <v>134.5</v>
      </c>
      <c r="K115" s="76">
        <v>126.1</v>
      </c>
      <c r="L115" s="76">
        <v>125.4</v>
      </c>
      <c r="M115" s="76">
        <v>123.7</v>
      </c>
      <c r="N115" s="76">
        <v>122.4</v>
      </c>
      <c r="O115" s="76">
        <v>123</v>
      </c>
      <c r="P115" s="76">
        <v>122.2</v>
      </c>
      <c r="Q115" s="76">
        <v>126.1</v>
      </c>
      <c r="R115" s="76">
        <v>133</v>
      </c>
      <c r="S115" s="76">
        <v>121.8</v>
      </c>
      <c r="T115" s="76">
        <v>123.9</v>
      </c>
      <c r="U115" s="76">
        <v>123.9</v>
      </c>
      <c r="V115" s="76">
        <v>123.6</v>
      </c>
      <c r="W115" s="76">
        <v>0</v>
      </c>
      <c r="X115" s="76">
        <v>133.30000000000001</v>
      </c>
      <c r="Y115" s="76">
        <v>132.80000000000001</v>
      </c>
      <c r="Z115" s="76">
        <v>131.80000000000001</v>
      </c>
      <c r="AA115" s="76">
        <v>131.1</v>
      </c>
      <c r="AB115" s="76">
        <v>128.69999999999999</v>
      </c>
      <c r="AC115" s="76">
        <v>133</v>
      </c>
      <c r="AD115" s="76">
        <v>133</v>
      </c>
      <c r="AE115" s="76">
        <v>133</v>
      </c>
      <c r="AF115" s="76">
        <v>133</v>
      </c>
      <c r="AG115" s="117"/>
      <c r="AH115" s="48">
        <f t="shared" si="32"/>
        <v>134.5</v>
      </c>
      <c r="AI115" s="49">
        <f t="shared" si="33"/>
        <v>0</v>
      </c>
    </row>
    <row r="116" spans="1:35" ht="15.75" thickBot="1" x14ac:dyDescent="0.3">
      <c r="A116" s="116" t="s">
        <v>139</v>
      </c>
      <c r="B116" s="105">
        <v>66</v>
      </c>
      <c r="C116" s="105">
        <v>65.5</v>
      </c>
      <c r="D116" s="105">
        <v>65.5</v>
      </c>
      <c r="E116" s="105">
        <v>65.5</v>
      </c>
      <c r="F116" s="105">
        <v>65.400000000000006</v>
      </c>
      <c r="G116" s="105">
        <v>65.3</v>
      </c>
      <c r="H116" s="105">
        <v>64.7</v>
      </c>
      <c r="I116" s="105">
        <v>64</v>
      </c>
      <c r="J116" s="105">
        <v>64.5</v>
      </c>
      <c r="K116" s="105">
        <v>64.8</v>
      </c>
      <c r="L116" s="105">
        <v>64</v>
      </c>
      <c r="M116" s="105">
        <v>64.599999999999994</v>
      </c>
      <c r="N116" s="105">
        <v>64.2</v>
      </c>
      <c r="O116" s="105">
        <v>63.7</v>
      </c>
      <c r="P116" s="105">
        <v>63.7</v>
      </c>
      <c r="Q116" s="105">
        <v>63.6</v>
      </c>
      <c r="R116" s="105">
        <v>63.5</v>
      </c>
      <c r="S116" s="105">
        <v>62.6</v>
      </c>
      <c r="T116" s="105">
        <v>63.1</v>
      </c>
      <c r="U116" s="105">
        <v>63.1</v>
      </c>
      <c r="V116" s="105">
        <v>64</v>
      </c>
      <c r="W116" s="105">
        <v>65.2</v>
      </c>
      <c r="X116" s="105">
        <v>65.5</v>
      </c>
      <c r="Y116" s="105">
        <v>65.099999999999994</v>
      </c>
      <c r="Z116" s="105">
        <v>65.5</v>
      </c>
      <c r="AA116" s="105">
        <v>64.5</v>
      </c>
      <c r="AB116" s="105">
        <v>64.099999999999994</v>
      </c>
      <c r="AC116" s="105">
        <v>64.099999999999994</v>
      </c>
      <c r="AD116" s="105">
        <v>64.099999999999994</v>
      </c>
      <c r="AE116" s="105">
        <v>64.099999999999994</v>
      </c>
      <c r="AF116" s="105">
        <v>64.099999999999994</v>
      </c>
      <c r="AG116" s="121"/>
      <c r="AH116" s="48">
        <f t="shared" si="32"/>
        <v>66</v>
      </c>
      <c r="AI116" s="49">
        <f t="shared" si="33"/>
        <v>62.6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2"/>
        <v>0</v>
      </c>
      <c r="AI117" s="49">
        <f t="shared" si="33"/>
        <v>0</v>
      </c>
    </row>
    <row r="118" spans="1:35" ht="15.75" thickBot="1" x14ac:dyDescent="0.3">
      <c r="A118" s="123" t="s">
        <v>141</v>
      </c>
      <c r="B118" s="124">
        <f t="shared" ref="B118:O118" si="45">SUM(B22,B28,B31:B32,B66,B68:B69,B71,B73,B119:B123,B155,B161,B167,B176,B178,B190,B197,B200:B201,B208,B210,B212,B216:B218,B220:B222,B227,B233:B234,B236:B238,B246,B251)</f>
        <v>153.74</v>
      </c>
      <c r="C118" s="124">
        <f t="shared" si="45"/>
        <v>145.84</v>
      </c>
      <c r="D118" s="124">
        <f t="shared" si="45"/>
        <v>132.44</v>
      </c>
      <c r="E118" s="124">
        <f t="shared" si="45"/>
        <v>128.73999999999998</v>
      </c>
      <c r="F118" s="124">
        <f t="shared" si="45"/>
        <v>131.73999999999998</v>
      </c>
      <c r="G118" s="124">
        <f t="shared" si="45"/>
        <v>165.64</v>
      </c>
      <c r="H118" s="124">
        <f t="shared" si="45"/>
        <v>184.14</v>
      </c>
      <c r="I118" s="124">
        <f t="shared" si="45"/>
        <v>175.44</v>
      </c>
      <c r="J118" s="124">
        <f t="shared" si="45"/>
        <v>265.94</v>
      </c>
      <c r="K118" s="124">
        <f t="shared" si="45"/>
        <v>324.74</v>
      </c>
      <c r="L118" s="124">
        <f t="shared" si="45"/>
        <v>290.24</v>
      </c>
      <c r="M118" s="124">
        <f t="shared" si="45"/>
        <v>262.33999999999997</v>
      </c>
      <c r="N118" s="124">
        <f t="shared" si="45"/>
        <v>282.64000000000004</v>
      </c>
      <c r="O118" s="124">
        <f t="shared" si="45"/>
        <v>290.44</v>
      </c>
      <c r="P118" s="124">
        <v>42</v>
      </c>
      <c r="Q118" s="124">
        <f t="shared" ref="Q118:X118" si="46">SUM(Q22,Q28,Q31:Q32,Q66,Q68:Q69,Q71,Q73,Q119:Q123,Q155,Q161,Q167,Q176,Q178,Q190,Q197,Q200:Q201,Q208,Q210,Q212,Q216:Q218,Q220:Q222,Q227,Q233:Q234,Q236:Q238,Q246,Q251)</f>
        <v>277.14</v>
      </c>
      <c r="R118" s="124">
        <f t="shared" si="46"/>
        <v>283.64</v>
      </c>
      <c r="S118" s="124">
        <f t="shared" si="46"/>
        <v>276.53999999999996</v>
      </c>
      <c r="T118" s="124">
        <f t="shared" si="46"/>
        <v>287.44</v>
      </c>
      <c r="U118" s="124">
        <f t="shared" si="46"/>
        <v>262.73999999999995</v>
      </c>
      <c r="V118" s="124">
        <f t="shared" si="46"/>
        <v>294.64</v>
      </c>
      <c r="W118" s="124">
        <f t="shared" si="46"/>
        <v>288.04000000000002</v>
      </c>
      <c r="X118" s="124">
        <f t="shared" si="46"/>
        <v>281.33999999999997</v>
      </c>
      <c r="Y118" s="124">
        <f>SUM(Y20,Y26,Y37:Y38,Y66,Y68:Y69,Y71,Y73,Y119:Y123,Y148,Y154,Y160,Y169,Y171,Y183,Y190,Y193:Y194,Y201,Y203,Y205,Y209:Y211,Y213:Y215,Y220,Y226:Y227,Y229:Y231,Y239,Y244)</f>
        <v>323.5</v>
      </c>
      <c r="Z118" s="124">
        <f>SUM(Z20,Z26,Z37:Z38,Z66,Z68:Z69,Z71,Z73,Z119:Z123,Z148,Z154,Z160,Z169,Z171,Z183,Z190,Z193:Z194,Z201,Z203,Z205,Z209:Z211,Z213:Z215,Z220,Z226:Z227,Z229:Z231,Z239,Z244)</f>
        <v>353.9</v>
      </c>
      <c r="AA118" s="124">
        <f>SUM(AA20,AA26,AA37:AA38,AA66,AA68:AA69,AA71,AA73,AA119:AA123,AA148,AA154,AA160,AA169,AA171,AA183,AA190,AA193:AA194,AA201,AA203,AA205,AA209:AA211,AA213:AA215,AA220,AA226:AA227,AA229:AA231,AA239,AA244)</f>
        <v>353.90000000000003</v>
      </c>
      <c r="AB118" s="124">
        <f>SUM(AB22,AB28,AB31:AB32,AB66,AB68:AB69,AB71,AB73,AB119:AB123,AB155,AB161,AB167,AB176,AB178,AB190,AB197,AB200:AB201,AB208,AB210,AB212,AB216:AB218,AB220:AB222,AB227,AB233:AB234,AB236:AB238,AB246,AB251)</f>
        <v>319.04000000000002</v>
      </c>
      <c r="AC118" s="124">
        <f>SUM(AC22,AC28,AC31:AC32,AC66,AC68:AC69,AC71,AC73,AC119:AC123,AC155,AC161,AC167,AC176,AC178,AC190,AC197,AC200:AC201,AC208,AC210,AC212,AC216:AC218,AC220:AC222,AC227,AC233:AC234,AC236:AC238,AC246,AC251)</f>
        <v>297.44</v>
      </c>
      <c r="AD118" s="124">
        <f>SUM(AD22,AD28,AD31:AD32,AD66,AD68:AD69,AD71,AD73,AD119:AD123,AD155,AD161,AD167,AD176,AD178,AD190,AD197,AD200:AD201,AD208,AD210,AD212,AD216:AD218,AD220:AD222,AD227,AD233:AD234,AD236:AD238,AD246,AD251)</f>
        <v>254.74</v>
      </c>
      <c r="AE118" s="124">
        <f>SUM(AE22,AE28,AE31:AE32,AE66,AE68:AE69,AE71,AE73,AE119:AE123,AE155,AE161,AE167,AE176,AE178,AE190,AE197,AE200:AE201,AE208,AE210,AE212,AE216:AE218,AE220:AE222,AE227,AE233:AE234,AE236:AE238,AE246,AE251)</f>
        <v>213.04</v>
      </c>
      <c r="AF118" s="124">
        <f>SUM(AF22,AF28,AF31:AF32,AF66,AF68:AF69,AF71,AF73,AF119:AF123,AF155,AF161,AF167,AF176,AF178,AF190,AF197,AF200:AF201,AF208,AF210,AF212,AF216:AF218,AF220:AF222,AF227,AF233:AF234,AF236:AF238,AF246,AF251)</f>
        <v>164.04</v>
      </c>
      <c r="AG118" s="125"/>
      <c r="AH118" s="48">
        <f t="shared" si="32"/>
        <v>353.90000000000003</v>
      </c>
      <c r="AI118" s="49">
        <f t="shared" si="33"/>
        <v>42</v>
      </c>
    </row>
    <row r="119" spans="1:35" x14ac:dyDescent="0.25">
      <c r="A119" s="126" t="s">
        <v>142</v>
      </c>
      <c r="B119" s="127">
        <v>25.3</v>
      </c>
      <c r="C119" s="127">
        <v>23.5</v>
      </c>
      <c r="D119" s="127">
        <v>24.5</v>
      </c>
      <c r="E119" s="127">
        <v>17.3</v>
      </c>
      <c r="F119" s="127">
        <v>17.3</v>
      </c>
      <c r="G119" s="127">
        <v>17</v>
      </c>
      <c r="H119" s="127">
        <v>21.9</v>
      </c>
      <c r="I119" s="127">
        <v>25.2</v>
      </c>
      <c r="J119" s="127">
        <v>27.2</v>
      </c>
      <c r="K119" s="127">
        <v>45.4</v>
      </c>
      <c r="L119" s="127">
        <v>49.1</v>
      </c>
      <c r="M119" s="127">
        <v>45.6</v>
      </c>
      <c r="N119" s="127">
        <v>24.5</v>
      </c>
      <c r="O119" s="127">
        <v>27</v>
      </c>
      <c r="P119" s="127">
        <v>13.6</v>
      </c>
      <c r="Q119" s="127">
        <v>17.3</v>
      </c>
      <c r="R119" s="127">
        <v>14.8</v>
      </c>
      <c r="S119" s="127">
        <v>11.3</v>
      </c>
      <c r="T119" s="127">
        <v>15</v>
      </c>
      <c r="U119" s="127">
        <v>12</v>
      </c>
      <c r="V119" s="127">
        <v>22.9</v>
      </c>
      <c r="W119" s="127">
        <v>32.700000000000003</v>
      </c>
      <c r="X119" s="127">
        <v>25</v>
      </c>
      <c r="Y119" s="127">
        <v>45.3</v>
      </c>
      <c r="Z119" s="127">
        <v>48.7</v>
      </c>
      <c r="AA119" s="127">
        <v>81.3</v>
      </c>
      <c r="AB119" s="127">
        <v>76.599999999999994</v>
      </c>
      <c r="AC119" s="127">
        <v>52</v>
      </c>
      <c r="AD119" s="127">
        <v>41</v>
      </c>
      <c r="AE119" s="127">
        <v>50</v>
      </c>
      <c r="AF119" s="127">
        <v>54</v>
      </c>
      <c r="AG119" s="128">
        <v>75</v>
      </c>
      <c r="AH119" s="48">
        <f t="shared" si="32"/>
        <v>81.3</v>
      </c>
      <c r="AI119" s="49">
        <f t="shared" si="33"/>
        <v>11.3</v>
      </c>
    </row>
    <row r="120" spans="1:35" x14ac:dyDescent="0.25">
      <c r="A120" s="129" t="s">
        <v>143</v>
      </c>
      <c r="B120" s="130">
        <v>44.4</v>
      </c>
      <c r="C120" s="130">
        <v>43</v>
      </c>
      <c r="D120" s="130">
        <v>42</v>
      </c>
      <c r="E120" s="130">
        <v>34.9</v>
      </c>
      <c r="F120" s="130">
        <v>33.299999999999997</v>
      </c>
      <c r="G120" s="130">
        <v>30.2</v>
      </c>
      <c r="H120" s="130">
        <v>37</v>
      </c>
      <c r="I120" s="130">
        <v>35</v>
      </c>
      <c r="J120" s="130">
        <v>35.5</v>
      </c>
      <c r="K120" s="130">
        <v>57.4</v>
      </c>
      <c r="L120" s="130">
        <v>62.6</v>
      </c>
      <c r="M120" s="130">
        <v>57.8</v>
      </c>
      <c r="N120" s="130">
        <v>30.3</v>
      </c>
      <c r="O120" s="130">
        <v>34</v>
      </c>
      <c r="P120" s="130">
        <v>16.899999999999999</v>
      </c>
      <c r="Q120" s="130">
        <v>21</v>
      </c>
      <c r="R120" s="130">
        <v>16.100000000000001</v>
      </c>
      <c r="S120" s="130">
        <v>12.7</v>
      </c>
      <c r="T120" s="130">
        <v>17.2</v>
      </c>
      <c r="U120" s="130">
        <v>14.2</v>
      </c>
      <c r="V120" s="130">
        <v>27</v>
      </c>
      <c r="W120" s="130">
        <v>41</v>
      </c>
      <c r="X120" s="130">
        <v>35.6</v>
      </c>
      <c r="Y120" s="130">
        <v>63</v>
      </c>
      <c r="Z120" s="130">
        <v>68.5</v>
      </c>
      <c r="AA120" s="130">
        <v>111.3</v>
      </c>
      <c r="AB120" s="130">
        <v>104.4</v>
      </c>
      <c r="AC120" s="130">
        <v>75</v>
      </c>
      <c r="AD120" s="130">
        <v>59</v>
      </c>
      <c r="AE120" s="130">
        <v>76</v>
      </c>
      <c r="AF120" s="130">
        <v>82</v>
      </c>
      <c r="AG120" s="128">
        <v>240</v>
      </c>
      <c r="AH120" s="48">
        <f t="shared" si="32"/>
        <v>111.3</v>
      </c>
      <c r="AI120" s="49">
        <f t="shared" si="33"/>
        <v>12.7</v>
      </c>
    </row>
    <row r="121" spans="1:35" x14ac:dyDescent="0.25">
      <c r="A121" s="129" t="s">
        <v>144</v>
      </c>
      <c r="B121" s="130">
        <f>-45.5-52.6</f>
        <v>-98.1</v>
      </c>
      <c r="C121" s="130">
        <v>-95</v>
      </c>
      <c r="D121" s="130">
        <f>-43.3-47.7</f>
        <v>-91</v>
      </c>
      <c r="E121" s="130">
        <f>-44-47</f>
        <v>-91</v>
      </c>
      <c r="F121" s="130">
        <f>-44-48</f>
        <v>-92</v>
      </c>
      <c r="G121" s="130">
        <f>-35.5-38.4</f>
        <v>-73.900000000000006</v>
      </c>
      <c r="H121" s="130">
        <f>-31-34</f>
        <v>-65</v>
      </c>
      <c r="I121" s="130"/>
      <c r="J121" s="130">
        <f>-2.9-4.6</f>
        <v>-7.5</v>
      </c>
      <c r="K121" s="130">
        <v>10.5</v>
      </c>
      <c r="L121" s="130">
        <v>3.9</v>
      </c>
      <c r="M121" s="130">
        <v>-9</v>
      </c>
      <c r="N121" s="130">
        <v>3.5</v>
      </c>
      <c r="O121" s="130">
        <v>-1</v>
      </c>
      <c r="P121" s="130">
        <v>6.3</v>
      </c>
      <c r="Q121" s="130">
        <v>-4.4000000000000004</v>
      </c>
      <c r="R121" s="130">
        <v>0</v>
      </c>
      <c r="S121" s="130">
        <v>-1.4</v>
      </c>
      <c r="T121" s="130">
        <v>-2.5</v>
      </c>
      <c r="U121" s="130">
        <v>-1.2</v>
      </c>
      <c r="V121" s="130">
        <v>0</v>
      </c>
      <c r="W121" s="130">
        <v>-7.1</v>
      </c>
      <c r="X121" s="130">
        <v>-4.7</v>
      </c>
      <c r="Y121" s="130">
        <v>-47.5</v>
      </c>
      <c r="Z121" s="130">
        <v>-62.3</v>
      </c>
      <c r="AA121" s="130">
        <v>-124.1</v>
      </c>
      <c r="AB121" s="130">
        <f>-58-62</f>
        <v>-120</v>
      </c>
      <c r="AC121" s="130">
        <v>-84</v>
      </c>
      <c r="AD121" s="130">
        <v>-72</v>
      </c>
      <c r="AE121" s="130">
        <v>-115</v>
      </c>
      <c r="AF121" s="130">
        <v>-145</v>
      </c>
      <c r="AG121" s="128">
        <v>240</v>
      </c>
      <c r="AH121" s="48">
        <f t="shared" si="32"/>
        <v>10.5</v>
      </c>
      <c r="AI121" s="49">
        <f t="shared" si="33"/>
        <v>-145</v>
      </c>
    </row>
    <row r="122" spans="1:35" ht="15.75" thickBot="1" x14ac:dyDescent="0.3">
      <c r="A122" s="129" t="s">
        <v>145</v>
      </c>
      <c r="B122" s="130">
        <v>48.3</v>
      </c>
      <c r="C122" s="130">
        <v>26</v>
      </c>
      <c r="D122" s="130">
        <v>10.1</v>
      </c>
      <c r="E122" s="130">
        <v>9.8000000000000007</v>
      </c>
      <c r="F122" s="130">
        <v>9.3000000000000007</v>
      </c>
      <c r="G122" s="130">
        <v>8.6</v>
      </c>
      <c r="H122" s="130">
        <v>8.1999999999999993</v>
      </c>
      <c r="I122" s="130"/>
      <c r="J122" s="130">
        <v>7.2</v>
      </c>
      <c r="K122" s="130">
        <v>17.3</v>
      </c>
      <c r="L122" s="130">
        <v>5.4</v>
      </c>
      <c r="M122" s="130">
        <v>9.1999999999999993</v>
      </c>
      <c r="N122" s="130">
        <v>7</v>
      </c>
      <c r="O122" s="130">
        <v>5</v>
      </c>
      <c r="P122" s="130">
        <v>6.1</v>
      </c>
      <c r="Q122" s="130">
        <v>6.5</v>
      </c>
      <c r="R122" s="130">
        <v>4.9000000000000004</v>
      </c>
      <c r="S122" s="130">
        <v>8.1999999999999993</v>
      </c>
      <c r="T122" s="130">
        <v>9.8000000000000007</v>
      </c>
      <c r="U122" s="130">
        <v>9.1999999999999993</v>
      </c>
      <c r="V122" s="130">
        <v>16.100000000000001</v>
      </c>
      <c r="W122" s="130">
        <v>18.8</v>
      </c>
      <c r="X122" s="130">
        <v>18.5</v>
      </c>
      <c r="Y122" s="130">
        <v>40.700000000000003</v>
      </c>
      <c r="Z122" s="130">
        <v>21.9</v>
      </c>
      <c r="AA122" s="130">
        <v>21.8</v>
      </c>
      <c r="AB122" s="130">
        <v>13.7</v>
      </c>
      <c r="AC122" s="130">
        <v>17</v>
      </c>
      <c r="AD122" s="130">
        <v>17</v>
      </c>
      <c r="AE122" s="130">
        <v>17</v>
      </c>
      <c r="AF122" s="130">
        <v>15</v>
      </c>
      <c r="AG122" s="128">
        <v>60</v>
      </c>
      <c r="AH122" s="48">
        <f t="shared" si="32"/>
        <v>48.3</v>
      </c>
      <c r="AI122" s="49">
        <f t="shared" si="33"/>
        <v>4.9000000000000004</v>
      </c>
    </row>
    <row r="123" spans="1:35" x14ac:dyDescent="0.25">
      <c r="A123" s="126" t="s">
        <v>146</v>
      </c>
      <c r="B123" s="131">
        <v>16.3</v>
      </c>
      <c r="C123" s="131">
        <v>30.8</v>
      </c>
      <c r="D123" s="131">
        <v>32.799999999999997</v>
      </c>
      <c r="E123" s="131">
        <v>44</v>
      </c>
      <c r="F123" s="131">
        <v>50.1</v>
      </c>
      <c r="G123" s="131">
        <v>70</v>
      </c>
      <c r="H123" s="131">
        <v>68.3</v>
      </c>
      <c r="I123" s="131"/>
      <c r="J123" s="131">
        <v>88.3</v>
      </c>
      <c r="K123" s="131">
        <v>80.400000000000006</v>
      </c>
      <c r="L123" s="131">
        <v>85.9</v>
      </c>
      <c r="M123" s="131">
        <v>71.7</v>
      </c>
      <c r="N123" s="131">
        <v>97.9</v>
      </c>
      <c r="O123" s="131">
        <v>106</v>
      </c>
      <c r="P123" s="131">
        <v>123.5</v>
      </c>
      <c r="Q123" s="131">
        <v>114.1</v>
      </c>
      <c r="R123" s="131">
        <v>125.2</v>
      </c>
      <c r="S123" s="131">
        <v>126</v>
      </c>
      <c r="T123" s="131">
        <v>126.5</v>
      </c>
      <c r="U123" s="131">
        <v>110</v>
      </c>
      <c r="V123" s="131">
        <v>112</v>
      </c>
      <c r="W123" s="131">
        <v>86.1</v>
      </c>
      <c r="X123" s="131">
        <v>91.3</v>
      </c>
      <c r="Y123" s="131">
        <v>85.7</v>
      </c>
      <c r="Z123" s="131">
        <v>142.1</v>
      </c>
      <c r="AA123" s="131">
        <v>129.1</v>
      </c>
      <c r="AB123" s="131">
        <v>130.9</v>
      </c>
      <c r="AC123" s="131">
        <v>124</v>
      </c>
      <c r="AD123" s="131">
        <v>96</v>
      </c>
      <c r="AE123" s="131">
        <v>72</v>
      </c>
      <c r="AF123" s="131">
        <v>45</v>
      </c>
      <c r="AG123" s="132">
        <v>120</v>
      </c>
      <c r="AH123" s="48">
        <f t="shared" si="32"/>
        <v>142.1</v>
      </c>
      <c r="AI123" s="49">
        <f t="shared" si="33"/>
        <v>16.3</v>
      </c>
    </row>
    <row r="124" spans="1:35" x14ac:dyDescent="0.25">
      <c r="A124" s="129" t="s">
        <v>147</v>
      </c>
      <c r="B124" s="131">
        <v>38</v>
      </c>
      <c r="C124" s="131">
        <v>44.8</v>
      </c>
      <c r="D124" s="131">
        <v>46.1</v>
      </c>
      <c r="E124" s="131">
        <v>51</v>
      </c>
      <c r="F124" s="131">
        <v>53.3</v>
      </c>
      <c r="G124" s="131">
        <v>63.3</v>
      </c>
      <c r="H124" s="131">
        <v>62.2</v>
      </c>
      <c r="I124" s="131"/>
      <c r="J124" s="131">
        <v>71.7</v>
      </c>
      <c r="K124" s="131">
        <v>66.900000000000006</v>
      </c>
      <c r="L124" s="131">
        <v>69.599999999999994</v>
      </c>
      <c r="M124" s="131">
        <v>62</v>
      </c>
      <c r="N124" s="131">
        <v>75.400000000000006</v>
      </c>
      <c r="O124" s="131">
        <v>80</v>
      </c>
      <c r="P124" s="131">
        <v>87.7</v>
      </c>
      <c r="Q124" s="131">
        <v>82</v>
      </c>
      <c r="R124" s="131">
        <v>126</v>
      </c>
      <c r="S124" s="131">
        <v>89.5</v>
      </c>
      <c r="T124" s="131">
        <v>89.7</v>
      </c>
      <c r="U124" s="131">
        <v>82</v>
      </c>
      <c r="V124" s="131">
        <v>82.4</v>
      </c>
      <c r="W124" s="131">
        <v>69.599999999999994</v>
      </c>
      <c r="X124" s="131">
        <v>70.7</v>
      </c>
      <c r="Y124" s="131">
        <v>65.5</v>
      </c>
      <c r="Z124" s="131">
        <v>95.6</v>
      </c>
      <c r="AA124" s="131">
        <v>-103.2</v>
      </c>
      <c r="AB124" s="131">
        <v>90.7</v>
      </c>
      <c r="AC124" s="131">
        <v>87</v>
      </c>
      <c r="AD124" s="131">
        <v>74</v>
      </c>
      <c r="AE124" s="131">
        <v>63</v>
      </c>
      <c r="AF124" s="131">
        <v>49</v>
      </c>
      <c r="AG124" s="132"/>
      <c r="AH124" s="48">
        <f t="shared" si="32"/>
        <v>126</v>
      </c>
      <c r="AI124" s="49">
        <f t="shared" si="33"/>
        <v>-103.2</v>
      </c>
    </row>
    <row r="125" spans="1:35" x14ac:dyDescent="0.25">
      <c r="A125" s="129" t="s">
        <v>148</v>
      </c>
      <c r="B125" s="131">
        <v>-10.3</v>
      </c>
      <c r="C125" s="131">
        <v>4.0999999999999996</v>
      </c>
      <c r="D125" s="131">
        <v>5.6</v>
      </c>
      <c r="E125" s="131">
        <v>17.899999999999999</v>
      </c>
      <c r="F125" s="131">
        <v>23.1</v>
      </c>
      <c r="G125" s="131">
        <v>18.399999999999999</v>
      </c>
      <c r="H125" s="131">
        <v>4.4000000000000004</v>
      </c>
      <c r="I125" s="131"/>
      <c r="J125" s="131">
        <v>-24.5</v>
      </c>
      <c r="K125" s="131">
        <v>-44.9</v>
      </c>
      <c r="L125" s="131">
        <v>-43.5</v>
      </c>
      <c r="M125" s="131">
        <v>-52.4</v>
      </c>
      <c r="N125" s="131">
        <v>-20.8</v>
      </c>
      <c r="O125" s="131">
        <v>-10</v>
      </c>
      <c r="P125" s="131">
        <v>7.8</v>
      </c>
      <c r="Q125" s="131">
        <v>1.5</v>
      </c>
      <c r="R125" s="131">
        <v>14</v>
      </c>
      <c r="S125" s="131">
        <v>15.4</v>
      </c>
      <c r="T125" s="131">
        <v>8.8000000000000007</v>
      </c>
      <c r="U125" s="131">
        <v>8.5</v>
      </c>
      <c r="V125" s="131">
        <v>-10.5</v>
      </c>
      <c r="W125" s="131">
        <v>-33.9</v>
      </c>
      <c r="X125" s="131">
        <v>-32.200000000000003</v>
      </c>
      <c r="Y125" s="131">
        <v>-53.6</v>
      </c>
      <c r="Z125" s="131">
        <v>-21.8</v>
      </c>
      <c r="AA125" s="131">
        <v>-23.2</v>
      </c>
      <c r="AB125" s="131">
        <v>-20.8</v>
      </c>
      <c r="AC125" s="131">
        <v>-19</v>
      </c>
      <c r="AD125" s="131">
        <v>-14</v>
      </c>
      <c r="AE125" s="131">
        <v>-10</v>
      </c>
      <c r="AF125" s="131">
        <v>-6</v>
      </c>
      <c r="AG125" s="132"/>
      <c r="AH125" s="48">
        <f t="shared" si="32"/>
        <v>23.1</v>
      </c>
      <c r="AI125" s="49">
        <f t="shared" si="33"/>
        <v>-53.6</v>
      </c>
    </row>
    <row r="126" spans="1:35" ht="15.75" thickBot="1" x14ac:dyDescent="0.3">
      <c r="A126" s="129" t="s">
        <v>149</v>
      </c>
      <c r="B126" s="131">
        <v>35</v>
      </c>
      <c r="C126" s="131">
        <v>45.6</v>
      </c>
      <c r="D126" s="131">
        <v>58.4</v>
      </c>
      <c r="E126" s="131">
        <v>68.900000000000006</v>
      </c>
      <c r="F126" s="131">
        <v>75</v>
      </c>
      <c r="G126" s="131">
        <v>71.5</v>
      </c>
      <c r="H126" s="131">
        <v>68.8</v>
      </c>
      <c r="I126" s="131"/>
      <c r="J126" s="131">
        <v>60.5</v>
      </c>
      <c r="K126" s="131">
        <v>49.2</v>
      </c>
      <c r="L126" s="131">
        <v>51.5</v>
      </c>
      <c r="M126" s="131">
        <v>18.399999999999999</v>
      </c>
      <c r="N126" s="131">
        <v>76.7</v>
      </c>
      <c r="O126" s="131">
        <v>75</v>
      </c>
      <c r="P126" s="131">
        <v>86.9</v>
      </c>
      <c r="Q126" s="131">
        <v>85</v>
      </c>
      <c r="R126" s="131">
        <v>99.3</v>
      </c>
      <c r="S126" s="131">
        <v>99.6</v>
      </c>
      <c r="T126" s="131">
        <v>98.2</v>
      </c>
      <c r="U126" s="131">
        <v>98.2</v>
      </c>
      <c r="V126" s="131">
        <v>98.2</v>
      </c>
      <c r="W126" s="131">
        <v>61.6</v>
      </c>
      <c r="X126" s="131">
        <v>57.3</v>
      </c>
      <c r="Y126" s="131">
        <v>55.5</v>
      </c>
      <c r="Z126" s="131">
        <v>36</v>
      </c>
      <c r="AA126" s="131">
        <v>37</v>
      </c>
      <c r="AB126" s="131">
        <v>38.4</v>
      </c>
      <c r="AC126" s="131">
        <v>64</v>
      </c>
      <c r="AD126" s="131">
        <v>69</v>
      </c>
      <c r="AE126" s="131">
        <v>54</v>
      </c>
      <c r="AF126" s="131">
        <v>36</v>
      </c>
      <c r="AG126" s="128"/>
      <c r="AH126" s="48">
        <f>MAX(B126:AF126)</f>
        <v>99.6</v>
      </c>
      <c r="AI126" s="49">
        <f>MIN(B126:AF126)</f>
        <v>18.399999999999999</v>
      </c>
    </row>
    <row r="127" spans="1:35" x14ac:dyDescent="0.25">
      <c r="A127" s="126" t="s">
        <v>150</v>
      </c>
      <c r="B127" s="131">
        <v>-113.4</v>
      </c>
      <c r="C127" s="131">
        <v>-103</v>
      </c>
      <c r="D127" s="131">
        <v>-95.3</v>
      </c>
      <c r="E127" s="131">
        <v>-84.6</v>
      </c>
      <c r="F127" s="131">
        <v>-85.6</v>
      </c>
      <c r="G127" s="131">
        <v>-95.5</v>
      </c>
      <c r="H127" s="131">
        <v>-103.7</v>
      </c>
      <c r="I127" s="131"/>
      <c r="J127" s="131">
        <v>-7.1</v>
      </c>
      <c r="K127" s="131">
        <v>5.5</v>
      </c>
      <c r="L127" s="131">
        <v>8.4</v>
      </c>
      <c r="M127" s="131">
        <v>19.2</v>
      </c>
      <c r="N127" s="131">
        <v>14.2</v>
      </c>
      <c r="O127" s="131">
        <v>17</v>
      </c>
      <c r="P127" s="131">
        <v>25.8</v>
      </c>
      <c r="Q127" s="131">
        <v>21</v>
      </c>
      <c r="R127" s="131">
        <v>31.1</v>
      </c>
      <c r="S127" s="131">
        <v>29.6</v>
      </c>
      <c r="T127" s="131">
        <v>14</v>
      </c>
      <c r="U127" s="131">
        <v>14</v>
      </c>
      <c r="V127" s="131">
        <v>14</v>
      </c>
      <c r="W127" s="131">
        <v>-21.1</v>
      </c>
      <c r="X127" s="131">
        <v>-49.5</v>
      </c>
      <c r="Y127" s="131">
        <v>-128.19999999999999</v>
      </c>
      <c r="Z127" s="131">
        <v>-132.4</v>
      </c>
      <c r="AA127" s="131">
        <v>-149.19999999999999</v>
      </c>
      <c r="AB127" s="131">
        <v>-151</v>
      </c>
      <c r="AC127" s="131">
        <v>-169</v>
      </c>
      <c r="AD127" s="131">
        <v>-183</v>
      </c>
      <c r="AE127" s="131">
        <v>-163</v>
      </c>
      <c r="AF127" s="131">
        <v>-143</v>
      </c>
      <c r="AG127" s="128"/>
      <c r="AH127" s="48">
        <f>MAX(B127:AF127)</f>
        <v>31.1</v>
      </c>
      <c r="AI127" s="49">
        <f>MIN(B127:AF127)</f>
        <v>-183</v>
      </c>
    </row>
    <row r="128" spans="1:35" x14ac:dyDescent="0.25">
      <c r="A128" s="129" t="s">
        <v>151</v>
      </c>
      <c r="B128" s="119">
        <v>-9.4</v>
      </c>
      <c r="C128" s="119">
        <v>-7.8</v>
      </c>
      <c r="D128" s="119">
        <v>-3.2</v>
      </c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>
        <v>31.4</v>
      </c>
      <c r="Q128" s="119">
        <v>41</v>
      </c>
      <c r="R128" s="119">
        <v>42.2</v>
      </c>
      <c r="S128" s="119">
        <v>25.3</v>
      </c>
      <c r="T128" s="119">
        <v>17.399999999999999</v>
      </c>
      <c r="U128" s="119">
        <v>17.399999999999999</v>
      </c>
      <c r="V128" s="119">
        <v>17.399999999999999</v>
      </c>
      <c r="W128" s="119">
        <v>12.8</v>
      </c>
      <c r="X128" s="119">
        <v>13</v>
      </c>
      <c r="Y128" s="119">
        <v>-7</v>
      </c>
      <c r="Z128" s="119">
        <v>-15</v>
      </c>
      <c r="AA128" s="119">
        <v>-16.399999999999999</v>
      </c>
      <c r="AB128" s="119">
        <v>-29.2</v>
      </c>
      <c r="AC128" s="119">
        <v>-28</v>
      </c>
      <c r="AD128" s="119">
        <v>-20</v>
      </c>
      <c r="AE128" s="119">
        <v>-4</v>
      </c>
      <c r="AF128" s="119">
        <v>-9</v>
      </c>
      <c r="AG128" s="128"/>
      <c r="AH128" s="48">
        <f>MAX(B128:AF128)</f>
        <v>42.2</v>
      </c>
      <c r="AI128" s="49">
        <f>MIN(B128:AF128)</f>
        <v>-29.2</v>
      </c>
    </row>
    <row r="129" spans="1:37" x14ac:dyDescent="0.25">
      <c r="A129" s="129" t="s">
        <v>152</v>
      </c>
      <c r="B129" s="119">
        <v>73</v>
      </c>
      <c r="C129" s="119">
        <v>74</v>
      </c>
      <c r="D129" s="119">
        <v>10.5</v>
      </c>
      <c r="E129" s="119">
        <v>-14.6</v>
      </c>
      <c r="F129" s="119">
        <v>-6.4</v>
      </c>
      <c r="G129" s="119">
        <v>-6.3</v>
      </c>
      <c r="H129" s="119">
        <v>0</v>
      </c>
      <c r="I129" s="119"/>
      <c r="J129" s="119">
        <v>29</v>
      </c>
      <c r="K129" s="119">
        <v>56.5</v>
      </c>
      <c r="L129" s="119">
        <v>57.8</v>
      </c>
      <c r="M129" s="119">
        <v>54.8</v>
      </c>
      <c r="N129" s="119">
        <v>35.1</v>
      </c>
      <c r="O129" s="119">
        <v>26</v>
      </c>
      <c r="P129" s="119">
        <v>21.2</v>
      </c>
      <c r="Q129" s="119">
        <v>14</v>
      </c>
      <c r="R129" s="119">
        <v>5.6</v>
      </c>
      <c r="S129" s="119">
        <v>22.9</v>
      </c>
      <c r="T129" s="119">
        <v>26.8</v>
      </c>
      <c r="U129" s="119">
        <v>26.8</v>
      </c>
      <c r="V129" s="119">
        <v>26.8</v>
      </c>
      <c r="W129" s="119">
        <v>21.7</v>
      </c>
      <c r="X129" s="119">
        <v>50.1</v>
      </c>
      <c r="Y129" s="119">
        <v>70</v>
      </c>
      <c r="Z129" s="119">
        <v>84.7</v>
      </c>
      <c r="AA129" s="119">
        <v>91.7</v>
      </c>
      <c r="AB129" s="119">
        <v>92.6</v>
      </c>
      <c r="AC129" s="119">
        <v>94</v>
      </c>
      <c r="AD129" s="119">
        <v>90</v>
      </c>
      <c r="AE129" s="119">
        <v>72</v>
      </c>
      <c r="AF129" s="119">
        <v>75</v>
      </c>
      <c r="AG129" s="128"/>
      <c r="AH129" s="48">
        <f>MAX(B129:AF129)</f>
        <v>94</v>
      </c>
      <c r="AI129" s="49">
        <f>MIN(B129:AF129)</f>
        <v>-14.6</v>
      </c>
    </row>
    <row r="130" spans="1:37" ht="15.75" thickBot="1" x14ac:dyDescent="0.3">
      <c r="A130" s="129" t="s">
        <v>153</v>
      </c>
      <c r="B130" s="119">
        <v>86.6</v>
      </c>
      <c r="C130" s="119">
        <v>87</v>
      </c>
      <c r="D130" s="119">
        <v>26</v>
      </c>
      <c r="E130" s="119">
        <v>0.9</v>
      </c>
      <c r="F130" s="119">
        <v>2.7</v>
      </c>
      <c r="G130" s="119">
        <v>3.6</v>
      </c>
      <c r="H130" s="119">
        <v>8.6999999999999993</v>
      </c>
      <c r="I130" s="119"/>
      <c r="J130" s="119">
        <v>36.4</v>
      </c>
      <c r="K130" s="119">
        <v>59.8</v>
      </c>
      <c r="L130" s="119">
        <v>61.9</v>
      </c>
      <c r="M130" s="119">
        <v>57.2</v>
      </c>
      <c r="N130" s="119">
        <v>43.3</v>
      </c>
      <c r="O130" s="119">
        <v>28</v>
      </c>
      <c r="P130" s="119">
        <v>26.3</v>
      </c>
      <c r="Q130" s="119">
        <v>17</v>
      </c>
      <c r="R130" s="119">
        <v>6</v>
      </c>
      <c r="S130" s="119">
        <v>27.4</v>
      </c>
      <c r="T130" s="119">
        <v>31.4</v>
      </c>
      <c r="U130" s="119">
        <v>31.4</v>
      </c>
      <c r="V130" s="119">
        <v>31.4</v>
      </c>
      <c r="W130" s="119">
        <v>26</v>
      </c>
      <c r="X130" s="119">
        <v>57.4</v>
      </c>
      <c r="Y130" s="119">
        <v>74.5</v>
      </c>
      <c r="Z130" s="119">
        <v>90.9</v>
      </c>
      <c r="AA130" s="119">
        <v>99.2</v>
      </c>
      <c r="AB130" s="119">
        <v>103.4</v>
      </c>
      <c r="AC130" s="119">
        <v>106</v>
      </c>
      <c r="AD130" s="119">
        <v>98</v>
      </c>
      <c r="AE130" s="119">
        <v>87</v>
      </c>
      <c r="AF130" s="119">
        <v>82</v>
      </c>
      <c r="AG130" s="128"/>
      <c r="AH130" s="48">
        <f>MAX(B130:AF130)</f>
        <v>106</v>
      </c>
      <c r="AI130" s="49">
        <f>MIN(B130:AF130)</f>
        <v>0.9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1984</v>
      </c>
      <c r="C132" s="137">
        <v>1983.9</v>
      </c>
      <c r="D132" s="137">
        <v>1983.78</v>
      </c>
      <c r="E132" s="137">
        <v>1983.76</v>
      </c>
      <c r="F132" s="137">
        <v>1983.78</v>
      </c>
      <c r="G132" s="137">
        <v>1983.64</v>
      </c>
      <c r="H132" s="137"/>
      <c r="I132" s="137">
        <v>1983.4</v>
      </c>
      <c r="J132" s="137"/>
      <c r="K132" s="137">
        <v>1983.62</v>
      </c>
      <c r="L132" s="137"/>
      <c r="M132" s="137">
        <v>1984.12</v>
      </c>
      <c r="N132" s="137">
        <v>1984.4</v>
      </c>
      <c r="O132" s="137">
        <v>1984.7</v>
      </c>
      <c r="P132" s="137">
        <v>1985.1</v>
      </c>
      <c r="Q132" s="137">
        <v>1985.4</v>
      </c>
      <c r="R132" s="137">
        <v>1985.7</v>
      </c>
      <c r="S132" s="137">
        <v>1986</v>
      </c>
      <c r="T132" s="137">
        <v>1986.24</v>
      </c>
      <c r="U132" s="137">
        <v>1986.42</v>
      </c>
      <c r="V132" s="137">
        <v>1986.6</v>
      </c>
      <c r="W132" s="137"/>
      <c r="X132" s="137">
        <v>1986.71</v>
      </c>
      <c r="Y132" s="137"/>
      <c r="Z132" s="137">
        <v>1986.48</v>
      </c>
      <c r="AA132" s="137"/>
      <c r="AB132" s="137">
        <v>1985.79</v>
      </c>
      <c r="AC132" s="137"/>
      <c r="AD132" s="137">
        <v>1985</v>
      </c>
      <c r="AE132" s="137">
        <v>1984.2</v>
      </c>
      <c r="AF132" s="138">
        <v>1983.6</v>
      </c>
      <c r="AG132" s="139"/>
      <c r="AH132" s="48"/>
      <c r="AI132" s="49"/>
    </row>
    <row r="133" spans="1:37" x14ac:dyDescent="0.25">
      <c r="A133" s="136" t="s">
        <v>156</v>
      </c>
      <c r="B133" s="140">
        <v>522.4</v>
      </c>
      <c r="C133" s="140">
        <v>522.35</v>
      </c>
      <c r="D133" s="140">
        <v>522.34</v>
      </c>
      <c r="E133" s="140">
        <v>522.45000000000005</v>
      </c>
      <c r="F133" s="140">
        <v>522.48</v>
      </c>
      <c r="G133" s="140">
        <v>522.48</v>
      </c>
      <c r="H133" s="140"/>
      <c r="I133" s="140">
        <v>522.38</v>
      </c>
      <c r="J133" s="140"/>
      <c r="K133" s="140"/>
      <c r="L133" s="140"/>
      <c r="M133" s="140">
        <v>522.22</v>
      </c>
      <c r="N133" s="140">
        <v>522.19000000000005</v>
      </c>
      <c r="O133" s="140">
        <v>522.4</v>
      </c>
      <c r="P133" s="140">
        <v>522.59</v>
      </c>
      <c r="Q133" s="140">
        <v>522.79999999999995</v>
      </c>
      <c r="R133" s="140">
        <v>522.9</v>
      </c>
      <c r="S133" s="140">
        <v>522.96</v>
      </c>
      <c r="T133" s="140">
        <v>522.95000000000005</v>
      </c>
      <c r="U133" s="140">
        <v>522.88</v>
      </c>
      <c r="V133" s="140">
        <v>522.99</v>
      </c>
      <c r="W133" s="140"/>
      <c r="X133" s="140">
        <v>523.23</v>
      </c>
      <c r="Y133" s="140"/>
      <c r="Z133" s="140">
        <v>523.20000000000005</v>
      </c>
      <c r="AA133" s="140"/>
      <c r="AB133" s="140">
        <v>523.12</v>
      </c>
      <c r="AC133" s="140"/>
      <c r="AD133" s="140">
        <v>523.02</v>
      </c>
      <c r="AE133" s="140">
        <v>522.88</v>
      </c>
      <c r="AF133" s="141"/>
      <c r="AG133" s="139"/>
      <c r="AH133" s="48"/>
      <c r="AI133" s="49"/>
    </row>
    <row r="134" spans="1:37" x14ac:dyDescent="0.25">
      <c r="A134" s="136" t="s">
        <v>157</v>
      </c>
      <c r="B134" s="140">
        <v>623.77</v>
      </c>
      <c r="C134" s="140">
        <v>623.9</v>
      </c>
      <c r="D134" s="140">
        <v>624.13</v>
      </c>
      <c r="E134" s="140">
        <v>624.30999999999995</v>
      </c>
      <c r="F134" s="140">
        <v>624.5</v>
      </c>
      <c r="G134" s="140">
        <v>624.62</v>
      </c>
      <c r="H134" s="140"/>
      <c r="I134" s="140">
        <v>624.6</v>
      </c>
      <c r="J134" s="140"/>
      <c r="K134" s="140">
        <v>624.61</v>
      </c>
      <c r="L134" s="140"/>
      <c r="M134" s="140"/>
      <c r="N134" s="140">
        <v>624.54</v>
      </c>
      <c r="O134" s="140">
        <v>624.35</v>
      </c>
      <c r="P134" s="140">
        <v>624.16999999999996</v>
      </c>
      <c r="Q134" s="140">
        <v>624.20000000000005</v>
      </c>
      <c r="R134" s="140">
        <v>624.28</v>
      </c>
      <c r="S134" s="140">
        <v>624.29999999999995</v>
      </c>
      <c r="T134" s="140">
        <v>624.28</v>
      </c>
      <c r="U134" s="140">
        <v>624.45000000000005</v>
      </c>
      <c r="V134" s="140">
        <v>624.6</v>
      </c>
      <c r="W134" s="140"/>
      <c r="X134" s="140">
        <v>624.79999999999995</v>
      </c>
      <c r="Y134" s="140"/>
      <c r="Z134" s="140">
        <v>624.74</v>
      </c>
      <c r="AA134" s="140"/>
      <c r="AB134" s="140">
        <v>624.64</v>
      </c>
      <c r="AC134" s="140">
        <v>624.66</v>
      </c>
      <c r="AD134" s="140">
        <v>624.70000000000005</v>
      </c>
      <c r="AE134" s="140">
        <v>624.67999999999995</v>
      </c>
      <c r="AF134" s="141">
        <v>624.54999999999995</v>
      </c>
      <c r="AG134" s="139"/>
      <c r="AH134" s="48"/>
      <c r="AI134" s="49"/>
    </row>
    <row r="135" spans="1:37" x14ac:dyDescent="0.25">
      <c r="A135" s="136" t="s">
        <v>158</v>
      </c>
      <c r="B135" s="140">
        <v>335.51</v>
      </c>
      <c r="C135" s="140">
        <v>335.45</v>
      </c>
      <c r="D135" s="140">
        <v>335.41</v>
      </c>
      <c r="E135" s="140">
        <v>335.38</v>
      </c>
      <c r="F135" s="140">
        <v>335.36</v>
      </c>
      <c r="G135" s="140">
        <v>335.31</v>
      </c>
      <c r="H135" s="140"/>
      <c r="I135" s="140">
        <v>335.28</v>
      </c>
      <c r="J135" s="140"/>
      <c r="K135" s="140">
        <v>335.1</v>
      </c>
      <c r="L135" s="140"/>
      <c r="M135" s="140">
        <v>335.09</v>
      </c>
      <c r="N135" s="140">
        <v>335.07</v>
      </c>
      <c r="O135" s="140">
        <v>335.15</v>
      </c>
      <c r="P135" s="140">
        <v>335.24</v>
      </c>
      <c r="Q135" s="140">
        <v>335.53</v>
      </c>
      <c r="R135" s="140">
        <v>335.83</v>
      </c>
      <c r="S135" s="140">
        <v>336.05</v>
      </c>
      <c r="T135" s="140">
        <v>336.33</v>
      </c>
      <c r="U135" s="140" t="s">
        <v>286</v>
      </c>
      <c r="V135" s="140">
        <v>336.37</v>
      </c>
      <c r="W135" s="140"/>
      <c r="X135" s="140">
        <v>336.87</v>
      </c>
      <c r="Y135" s="140"/>
      <c r="Z135" s="140">
        <v>336.85</v>
      </c>
      <c r="AA135" s="140"/>
      <c r="AB135" s="140">
        <v>336.8</v>
      </c>
      <c r="AC135" s="140"/>
      <c r="AD135" s="140">
        <v>336.75</v>
      </c>
      <c r="AE135" s="140">
        <v>336.79</v>
      </c>
      <c r="AF135" s="141"/>
      <c r="AG135" s="139"/>
      <c r="AH135" s="48"/>
      <c r="AI135" s="49"/>
    </row>
    <row r="136" spans="1:37" x14ac:dyDescent="0.25">
      <c r="A136" s="136" t="s">
        <v>159</v>
      </c>
      <c r="B136" s="140">
        <v>885.3</v>
      </c>
      <c r="C136" s="140">
        <v>885.6</v>
      </c>
      <c r="D136" s="140">
        <v>886.1</v>
      </c>
      <c r="E136" s="140">
        <v>886.3</v>
      </c>
      <c r="F136" s="140">
        <v>887</v>
      </c>
      <c r="G136" s="140">
        <v>887.7</v>
      </c>
      <c r="H136" s="140"/>
      <c r="I136" s="140">
        <v>887.8</v>
      </c>
      <c r="J136" s="140"/>
      <c r="K136" s="140">
        <v>887.7</v>
      </c>
      <c r="L136" s="140"/>
      <c r="M136" s="140">
        <v>887.6</v>
      </c>
      <c r="N136" s="140">
        <v>887.1</v>
      </c>
      <c r="O136" s="140">
        <v>886.6</v>
      </c>
      <c r="P136" s="140">
        <v>886</v>
      </c>
      <c r="Q136" s="140">
        <v>885</v>
      </c>
      <c r="R136" s="140">
        <v>884.4</v>
      </c>
      <c r="S136" s="140">
        <v>884.6</v>
      </c>
      <c r="T136" s="140">
        <v>884.8</v>
      </c>
      <c r="U136" s="140">
        <v>884.8</v>
      </c>
      <c r="V136" s="140">
        <v>885.6</v>
      </c>
      <c r="W136" s="140"/>
      <c r="X136" s="140">
        <v>886.5</v>
      </c>
      <c r="Y136" s="140"/>
      <c r="Z136" s="140">
        <v>887.5</v>
      </c>
      <c r="AA136" s="140"/>
      <c r="AB136" s="140">
        <v>887.5</v>
      </c>
      <c r="AC136" s="140"/>
      <c r="AD136" s="140"/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>
        <v>1494.72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7">SUM(B139:B243)</f>
        <v>0</v>
      </c>
      <c r="C244" s="161">
        <f t="shared" si="47"/>
        <v>0</v>
      </c>
      <c r="D244" s="161">
        <f t="shared" si="47"/>
        <v>0</v>
      </c>
      <c r="E244" s="161">
        <f t="shared" si="47"/>
        <v>0</v>
      </c>
      <c r="F244" s="161">
        <f t="shared" si="47"/>
        <v>0</v>
      </c>
      <c r="G244" s="161">
        <f t="shared" si="47"/>
        <v>0</v>
      </c>
      <c r="H244" s="161">
        <f t="shared" si="47"/>
        <v>0</v>
      </c>
      <c r="I244" s="161">
        <f t="shared" si="47"/>
        <v>0</v>
      </c>
      <c r="J244" s="161">
        <f t="shared" si="47"/>
        <v>0</v>
      </c>
      <c r="K244" s="161">
        <f t="shared" si="47"/>
        <v>0</v>
      </c>
      <c r="L244" s="161">
        <f t="shared" si="47"/>
        <v>0</v>
      </c>
      <c r="M244" s="161">
        <f t="shared" si="47"/>
        <v>0</v>
      </c>
      <c r="N244" s="161">
        <f t="shared" si="47"/>
        <v>0</v>
      </c>
      <c r="O244" s="161">
        <f t="shared" si="47"/>
        <v>0</v>
      </c>
      <c r="P244" s="161">
        <f t="shared" si="47"/>
        <v>0</v>
      </c>
      <c r="Q244" s="161">
        <f t="shared" si="47"/>
        <v>0</v>
      </c>
      <c r="R244" s="161">
        <f t="shared" si="47"/>
        <v>0</v>
      </c>
      <c r="S244" s="161">
        <f t="shared" si="47"/>
        <v>0</v>
      </c>
      <c r="T244" s="161">
        <f t="shared" si="47"/>
        <v>0</v>
      </c>
      <c r="U244" s="161">
        <f t="shared" si="47"/>
        <v>0</v>
      </c>
      <c r="V244" s="161">
        <f t="shared" si="47"/>
        <v>0</v>
      </c>
      <c r="W244" s="161">
        <f t="shared" si="47"/>
        <v>0</v>
      </c>
      <c r="X244" s="161">
        <f t="shared" si="47"/>
        <v>0</v>
      </c>
      <c r="Y244" s="161">
        <f t="shared" si="47"/>
        <v>0</v>
      </c>
      <c r="Z244" s="161">
        <f t="shared" si="47"/>
        <v>0</v>
      </c>
      <c r="AA244" s="161">
        <f t="shared" si="47"/>
        <v>0</v>
      </c>
      <c r="AB244" s="161">
        <f t="shared" si="47"/>
        <v>0</v>
      </c>
      <c r="AC244" s="161">
        <f t="shared" si="47"/>
        <v>0</v>
      </c>
      <c r="AD244" s="161">
        <f t="shared" si="47"/>
        <v>0</v>
      </c>
      <c r="AE244" s="161">
        <f t="shared" si="47"/>
        <v>0</v>
      </c>
      <c r="AF244" s="162">
        <f t="shared" si="47"/>
        <v>0</v>
      </c>
      <c r="AG244" s="163">
        <f t="shared" si="4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8">AF246</f>
        <v>0.3</v>
      </c>
      <c r="C246" s="166">
        <v>0.3</v>
      </c>
      <c r="D246" s="166">
        <f t="shared" ref="D246:S251" si="49">C246</f>
        <v>0.3</v>
      </c>
      <c r="E246" s="166">
        <f t="shared" si="49"/>
        <v>0.3</v>
      </c>
      <c r="F246" s="166">
        <f t="shared" si="49"/>
        <v>0.3</v>
      </c>
      <c r="G246" s="166">
        <f t="shared" si="49"/>
        <v>0.3</v>
      </c>
      <c r="H246" s="166">
        <f t="shared" si="49"/>
        <v>0.3</v>
      </c>
      <c r="I246" s="166">
        <f t="shared" si="49"/>
        <v>0.3</v>
      </c>
      <c r="J246" s="166">
        <f t="shared" si="49"/>
        <v>0.3</v>
      </c>
      <c r="K246" s="166">
        <f t="shared" si="49"/>
        <v>0.3</v>
      </c>
      <c r="L246" s="166">
        <f t="shared" si="49"/>
        <v>0.3</v>
      </c>
      <c r="M246" s="166">
        <f t="shared" si="49"/>
        <v>0.3</v>
      </c>
      <c r="N246" s="166">
        <f t="shared" si="49"/>
        <v>0.3</v>
      </c>
      <c r="O246" s="166">
        <f t="shared" si="49"/>
        <v>0.3</v>
      </c>
      <c r="P246" s="166">
        <f t="shared" si="49"/>
        <v>0.3</v>
      </c>
      <c r="Q246" s="166">
        <f t="shared" si="49"/>
        <v>0.3</v>
      </c>
      <c r="R246" s="166">
        <f t="shared" si="49"/>
        <v>0.3</v>
      </c>
      <c r="S246" s="166">
        <f t="shared" si="49"/>
        <v>0.3</v>
      </c>
      <c r="T246" s="166">
        <f t="shared" ref="T246:AF251" si="50">S246</f>
        <v>0.3</v>
      </c>
      <c r="U246" s="166">
        <f t="shared" si="50"/>
        <v>0.3</v>
      </c>
      <c r="V246" s="166">
        <f t="shared" si="50"/>
        <v>0.3</v>
      </c>
      <c r="W246" s="166">
        <f t="shared" si="50"/>
        <v>0.3</v>
      </c>
      <c r="X246" s="166">
        <f t="shared" si="50"/>
        <v>0.3</v>
      </c>
      <c r="Y246" s="166">
        <f t="shared" si="50"/>
        <v>0.3</v>
      </c>
      <c r="Z246" s="166">
        <f t="shared" si="50"/>
        <v>0.3</v>
      </c>
      <c r="AA246" s="166">
        <f t="shared" si="50"/>
        <v>0.3</v>
      </c>
      <c r="AB246" s="166">
        <f t="shared" si="50"/>
        <v>0.3</v>
      </c>
      <c r="AC246" s="166">
        <f t="shared" si="50"/>
        <v>0.3</v>
      </c>
      <c r="AD246" s="166">
        <f t="shared" si="50"/>
        <v>0.3</v>
      </c>
      <c r="AE246" s="166">
        <f t="shared" si="50"/>
        <v>0.3</v>
      </c>
      <c r="AF246" s="166">
        <f t="shared" si="50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8"/>
        <v>0.4</v>
      </c>
      <c r="C247" s="152">
        <v>0.4</v>
      </c>
      <c r="D247" s="152">
        <f t="shared" si="49"/>
        <v>0.4</v>
      </c>
      <c r="E247" s="152">
        <f t="shared" si="49"/>
        <v>0.4</v>
      </c>
      <c r="F247" s="152">
        <f t="shared" si="49"/>
        <v>0.4</v>
      </c>
      <c r="G247" s="152">
        <f t="shared" si="49"/>
        <v>0.4</v>
      </c>
      <c r="H247" s="152">
        <f t="shared" si="49"/>
        <v>0.4</v>
      </c>
      <c r="I247" s="152">
        <f t="shared" si="49"/>
        <v>0.4</v>
      </c>
      <c r="J247" s="152">
        <f t="shared" si="49"/>
        <v>0.4</v>
      </c>
      <c r="K247" s="152">
        <f t="shared" si="49"/>
        <v>0.4</v>
      </c>
      <c r="L247" s="152">
        <f t="shared" si="49"/>
        <v>0.4</v>
      </c>
      <c r="M247" s="152">
        <f t="shared" si="49"/>
        <v>0.4</v>
      </c>
      <c r="N247" s="152">
        <f t="shared" si="49"/>
        <v>0.4</v>
      </c>
      <c r="O247" s="152">
        <f t="shared" si="49"/>
        <v>0.4</v>
      </c>
      <c r="P247" s="152">
        <f t="shared" si="49"/>
        <v>0.4</v>
      </c>
      <c r="Q247" s="152">
        <f t="shared" si="49"/>
        <v>0.4</v>
      </c>
      <c r="R247" s="152">
        <f t="shared" si="49"/>
        <v>0.4</v>
      </c>
      <c r="S247" s="152">
        <f t="shared" si="49"/>
        <v>0.4</v>
      </c>
      <c r="T247" s="152">
        <f t="shared" si="50"/>
        <v>0.4</v>
      </c>
      <c r="U247" s="152">
        <f t="shared" si="50"/>
        <v>0.4</v>
      </c>
      <c r="V247" s="152">
        <f t="shared" si="50"/>
        <v>0.4</v>
      </c>
      <c r="W247" s="152">
        <f t="shared" si="50"/>
        <v>0.4</v>
      </c>
      <c r="X247" s="152">
        <f t="shared" si="50"/>
        <v>0.4</v>
      </c>
      <c r="Y247" s="152">
        <f t="shared" si="50"/>
        <v>0.4</v>
      </c>
      <c r="Z247" s="152">
        <f t="shared" si="50"/>
        <v>0.4</v>
      </c>
      <c r="AA247" s="152">
        <f t="shared" si="50"/>
        <v>0.4</v>
      </c>
      <c r="AB247" s="152">
        <f t="shared" si="50"/>
        <v>0.4</v>
      </c>
      <c r="AC247" s="152">
        <f t="shared" si="50"/>
        <v>0.4</v>
      </c>
      <c r="AD247" s="152">
        <f t="shared" si="50"/>
        <v>0.4</v>
      </c>
      <c r="AE247" s="152">
        <f t="shared" si="50"/>
        <v>0.4</v>
      </c>
      <c r="AF247" s="152">
        <f t="shared" si="50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8"/>
        <v>1.5</v>
      </c>
      <c r="C248" s="152">
        <v>1.5</v>
      </c>
      <c r="D248" s="152">
        <f t="shared" si="49"/>
        <v>1.5</v>
      </c>
      <c r="E248" s="152">
        <f t="shared" si="49"/>
        <v>1.5</v>
      </c>
      <c r="F248" s="152">
        <f t="shared" si="49"/>
        <v>1.5</v>
      </c>
      <c r="G248" s="152">
        <f t="shared" si="49"/>
        <v>1.5</v>
      </c>
      <c r="H248" s="152">
        <f t="shared" si="49"/>
        <v>1.5</v>
      </c>
      <c r="I248" s="152">
        <f t="shared" si="49"/>
        <v>1.5</v>
      </c>
      <c r="J248" s="152">
        <f t="shared" si="49"/>
        <v>1.5</v>
      </c>
      <c r="K248" s="152">
        <f t="shared" si="49"/>
        <v>1.5</v>
      </c>
      <c r="L248" s="152">
        <f t="shared" si="49"/>
        <v>1.5</v>
      </c>
      <c r="M248" s="152">
        <f t="shared" si="49"/>
        <v>1.5</v>
      </c>
      <c r="N248" s="152">
        <f t="shared" si="49"/>
        <v>1.5</v>
      </c>
      <c r="O248" s="152">
        <f t="shared" si="49"/>
        <v>1.5</v>
      </c>
      <c r="P248" s="152">
        <f t="shared" si="49"/>
        <v>1.5</v>
      </c>
      <c r="Q248" s="152">
        <f t="shared" si="49"/>
        <v>1.5</v>
      </c>
      <c r="R248" s="152">
        <f t="shared" si="49"/>
        <v>1.5</v>
      </c>
      <c r="S248" s="152">
        <f t="shared" si="49"/>
        <v>1.5</v>
      </c>
      <c r="T248" s="152">
        <f t="shared" si="50"/>
        <v>1.5</v>
      </c>
      <c r="U248" s="152">
        <f t="shared" si="50"/>
        <v>1.5</v>
      </c>
      <c r="V248" s="152">
        <f t="shared" si="50"/>
        <v>1.5</v>
      </c>
      <c r="W248" s="152">
        <f t="shared" si="50"/>
        <v>1.5</v>
      </c>
      <c r="X248" s="152">
        <f t="shared" si="50"/>
        <v>1.5</v>
      </c>
      <c r="Y248" s="152">
        <f t="shared" si="50"/>
        <v>1.5</v>
      </c>
      <c r="Z248" s="152">
        <f t="shared" si="50"/>
        <v>1.5</v>
      </c>
      <c r="AA248" s="152">
        <f t="shared" si="50"/>
        <v>1.5</v>
      </c>
      <c r="AB248" s="152">
        <f t="shared" si="50"/>
        <v>1.5</v>
      </c>
      <c r="AC248" s="152">
        <f t="shared" si="50"/>
        <v>1.5</v>
      </c>
      <c r="AD248" s="152">
        <f t="shared" si="50"/>
        <v>1.5</v>
      </c>
      <c r="AE248" s="152">
        <f t="shared" si="50"/>
        <v>1.5</v>
      </c>
      <c r="AF248" s="152">
        <f t="shared" si="50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8"/>
        <v>0.3</v>
      </c>
      <c r="C249" s="152">
        <v>0.3</v>
      </c>
      <c r="D249" s="152">
        <f t="shared" si="49"/>
        <v>0.3</v>
      </c>
      <c r="E249" s="152">
        <f t="shared" si="49"/>
        <v>0.3</v>
      </c>
      <c r="F249" s="152">
        <f t="shared" si="49"/>
        <v>0.3</v>
      </c>
      <c r="G249" s="152">
        <f t="shared" si="49"/>
        <v>0.3</v>
      </c>
      <c r="H249" s="152">
        <f t="shared" si="49"/>
        <v>0.3</v>
      </c>
      <c r="I249" s="152">
        <f t="shared" si="49"/>
        <v>0.3</v>
      </c>
      <c r="J249" s="152">
        <f t="shared" si="49"/>
        <v>0.3</v>
      </c>
      <c r="K249" s="152">
        <f t="shared" si="49"/>
        <v>0.3</v>
      </c>
      <c r="L249" s="152">
        <f t="shared" si="49"/>
        <v>0.3</v>
      </c>
      <c r="M249" s="152">
        <f t="shared" si="49"/>
        <v>0.3</v>
      </c>
      <c r="N249" s="152">
        <f t="shared" si="49"/>
        <v>0.3</v>
      </c>
      <c r="O249" s="152">
        <f t="shared" si="49"/>
        <v>0.3</v>
      </c>
      <c r="P249" s="152">
        <f t="shared" si="49"/>
        <v>0.3</v>
      </c>
      <c r="Q249" s="152">
        <f t="shared" si="49"/>
        <v>0.3</v>
      </c>
      <c r="R249" s="152">
        <f t="shared" si="49"/>
        <v>0.3</v>
      </c>
      <c r="S249" s="152">
        <f t="shared" si="49"/>
        <v>0.3</v>
      </c>
      <c r="T249" s="152">
        <f t="shared" si="50"/>
        <v>0.3</v>
      </c>
      <c r="U249" s="152">
        <f t="shared" si="50"/>
        <v>0.3</v>
      </c>
      <c r="V249" s="152">
        <f t="shared" si="50"/>
        <v>0.3</v>
      </c>
      <c r="W249" s="152">
        <f t="shared" si="50"/>
        <v>0.3</v>
      </c>
      <c r="X249" s="152">
        <f t="shared" si="50"/>
        <v>0.3</v>
      </c>
      <c r="Y249" s="152">
        <f t="shared" si="50"/>
        <v>0.3</v>
      </c>
      <c r="Z249" s="152">
        <f t="shared" si="50"/>
        <v>0.3</v>
      </c>
      <c r="AA249" s="152">
        <f t="shared" si="50"/>
        <v>0.3</v>
      </c>
      <c r="AB249" s="152">
        <f t="shared" si="50"/>
        <v>0.3</v>
      </c>
      <c r="AC249" s="152">
        <f t="shared" si="50"/>
        <v>0.3</v>
      </c>
      <c r="AD249" s="152">
        <f t="shared" si="50"/>
        <v>0.3</v>
      </c>
      <c r="AE249" s="152">
        <f t="shared" si="50"/>
        <v>0.3</v>
      </c>
      <c r="AF249" s="152">
        <f t="shared" si="50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50"/>
        <v>0.4</v>
      </c>
      <c r="U250" s="152">
        <f t="shared" si="50"/>
        <v>0.4</v>
      </c>
      <c r="V250" s="152">
        <f t="shared" si="50"/>
        <v>0.4</v>
      </c>
      <c r="W250" s="152">
        <f t="shared" si="50"/>
        <v>0.4</v>
      </c>
      <c r="X250" s="152">
        <f t="shared" si="50"/>
        <v>0.4</v>
      </c>
      <c r="Y250" s="152">
        <f t="shared" si="50"/>
        <v>0.4</v>
      </c>
      <c r="Z250" s="152">
        <f t="shared" si="50"/>
        <v>0.4</v>
      </c>
      <c r="AA250" s="152">
        <f t="shared" si="50"/>
        <v>0.4</v>
      </c>
      <c r="AB250" s="152">
        <f t="shared" si="50"/>
        <v>0.4</v>
      </c>
      <c r="AC250" s="152">
        <f t="shared" si="50"/>
        <v>0.4</v>
      </c>
      <c r="AD250" s="152">
        <f t="shared" si="50"/>
        <v>0.4</v>
      </c>
      <c r="AE250" s="152">
        <f t="shared" si="50"/>
        <v>0.4</v>
      </c>
      <c r="AF250" s="152">
        <f t="shared" si="50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8"/>
        <v>0.64</v>
      </c>
      <c r="C251" s="157">
        <v>0.64</v>
      </c>
      <c r="D251" s="157">
        <f t="shared" si="49"/>
        <v>0.64</v>
      </c>
      <c r="E251" s="157">
        <f t="shared" si="49"/>
        <v>0.64</v>
      </c>
      <c r="F251" s="157">
        <f t="shared" si="49"/>
        <v>0.64</v>
      </c>
      <c r="G251" s="157">
        <f t="shared" si="49"/>
        <v>0.64</v>
      </c>
      <c r="H251" s="157">
        <f t="shared" si="49"/>
        <v>0.64</v>
      </c>
      <c r="I251" s="157">
        <f t="shared" si="49"/>
        <v>0.64</v>
      </c>
      <c r="J251" s="157">
        <f t="shared" si="49"/>
        <v>0.64</v>
      </c>
      <c r="K251" s="157">
        <f t="shared" si="49"/>
        <v>0.64</v>
      </c>
      <c r="L251" s="157">
        <f t="shared" si="49"/>
        <v>0.64</v>
      </c>
      <c r="M251" s="157">
        <f t="shared" si="49"/>
        <v>0.64</v>
      </c>
      <c r="N251" s="157">
        <f t="shared" si="49"/>
        <v>0.64</v>
      </c>
      <c r="O251" s="157">
        <f t="shared" si="49"/>
        <v>0.64</v>
      </c>
      <c r="P251" s="157">
        <f t="shared" si="49"/>
        <v>0.64</v>
      </c>
      <c r="Q251" s="157">
        <f t="shared" si="49"/>
        <v>0.64</v>
      </c>
      <c r="R251" s="157">
        <f t="shared" si="49"/>
        <v>0.64</v>
      </c>
      <c r="S251" s="157">
        <f t="shared" si="49"/>
        <v>0.64</v>
      </c>
      <c r="T251" s="157">
        <f t="shared" si="50"/>
        <v>0.64</v>
      </c>
      <c r="U251" s="157">
        <f t="shared" si="50"/>
        <v>0.64</v>
      </c>
      <c r="V251" s="157">
        <f t="shared" si="50"/>
        <v>0.64</v>
      </c>
      <c r="W251" s="157">
        <f t="shared" si="50"/>
        <v>0.64</v>
      </c>
      <c r="X251" s="157">
        <f t="shared" si="50"/>
        <v>0.64</v>
      </c>
      <c r="Y251" s="157">
        <f t="shared" si="50"/>
        <v>0.64</v>
      </c>
      <c r="Z251" s="157">
        <f t="shared" si="50"/>
        <v>0.64</v>
      </c>
      <c r="AA251" s="157">
        <f t="shared" si="50"/>
        <v>0.64</v>
      </c>
      <c r="AB251" s="157">
        <f t="shared" si="50"/>
        <v>0.64</v>
      </c>
      <c r="AC251" s="157">
        <f t="shared" si="50"/>
        <v>0.64</v>
      </c>
      <c r="AD251" s="157">
        <f t="shared" si="50"/>
        <v>0.64</v>
      </c>
      <c r="AE251" s="157">
        <f t="shared" si="50"/>
        <v>0.64</v>
      </c>
      <c r="AF251" s="157">
        <f t="shared" si="50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1">SUM(B246:B251)</f>
        <v>3.54</v>
      </c>
      <c r="C252" s="161">
        <f t="shared" si="51"/>
        <v>3.54</v>
      </c>
      <c r="D252" s="161">
        <f t="shared" si="51"/>
        <v>3.54</v>
      </c>
      <c r="E252" s="161">
        <f t="shared" si="51"/>
        <v>3.54</v>
      </c>
      <c r="F252" s="161">
        <f t="shared" si="51"/>
        <v>3.54</v>
      </c>
      <c r="G252" s="161">
        <f t="shared" si="51"/>
        <v>3.54</v>
      </c>
      <c r="H252" s="161">
        <f t="shared" si="51"/>
        <v>3.54</v>
      </c>
      <c r="I252" s="161">
        <f t="shared" si="51"/>
        <v>3.54</v>
      </c>
      <c r="J252" s="161">
        <f t="shared" si="51"/>
        <v>3.54</v>
      </c>
      <c r="K252" s="161">
        <f t="shared" si="51"/>
        <v>3.54</v>
      </c>
      <c r="L252" s="161">
        <f t="shared" si="51"/>
        <v>3.54</v>
      </c>
      <c r="M252" s="161">
        <f t="shared" si="51"/>
        <v>3.54</v>
      </c>
      <c r="N252" s="161">
        <f t="shared" si="51"/>
        <v>3.54</v>
      </c>
      <c r="O252" s="161">
        <f t="shared" si="51"/>
        <v>3.54</v>
      </c>
      <c r="P252" s="161">
        <f t="shared" si="51"/>
        <v>3.54</v>
      </c>
      <c r="Q252" s="161">
        <f t="shared" si="51"/>
        <v>3.54</v>
      </c>
      <c r="R252" s="161">
        <f t="shared" si="51"/>
        <v>3.54</v>
      </c>
      <c r="S252" s="161">
        <f t="shared" si="51"/>
        <v>3.54</v>
      </c>
      <c r="T252" s="161">
        <f t="shared" si="51"/>
        <v>3.54</v>
      </c>
      <c r="U252" s="161">
        <f t="shared" si="51"/>
        <v>3.54</v>
      </c>
      <c r="V252" s="161">
        <f t="shared" si="51"/>
        <v>3.54</v>
      </c>
      <c r="W252" s="161">
        <f t="shared" si="51"/>
        <v>3.54</v>
      </c>
      <c r="X252" s="161">
        <f t="shared" si="51"/>
        <v>3.54</v>
      </c>
      <c r="Y252" s="161">
        <f t="shared" si="51"/>
        <v>3.54</v>
      </c>
      <c r="Z252" s="161">
        <f t="shared" si="51"/>
        <v>3.54</v>
      </c>
      <c r="AA252" s="161">
        <f t="shared" si="51"/>
        <v>3.54</v>
      </c>
      <c r="AB252" s="161">
        <f t="shared" si="51"/>
        <v>3.54</v>
      </c>
      <c r="AC252" s="161">
        <f t="shared" si="51"/>
        <v>3.54</v>
      </c>
      <c r="AD252" s="161">
        <f t="shared" si="51"/>
        <v>3.54</v>
      </c>
      <c r="AE252" s="161">
        <f t="shared" si="51"/>
        <v>3.54</v>
      </c>
      <c r="AF252" s="161">
        <f t="shared" si="51"/>
        <v>3.54</v>
      </c>
      <c r="AG252" s="171">
        <f t="shared" si="51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1535.44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2080/10/7)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832" priority="115">
      <formula>$AH11=0</formula>
    </cfRule>
  </conditionalFormatting>
  <conditionalFormatting sqref="A132:A253">
    <cfRule type="expression" dxfId="3831" priority="116">
      <formula>$AH132=0</formula>
    </cfRule>
  </conditionalFormatting>
  <conditionalFormatting sqref="B8">
    <cfRule type="expression" dxfId="3830" priority="170">
      <formula>AND(C$9&gt;=14/24,C$9&lt;20/24)</formula>
    </cfRule>
    <cfRule type="expression" dxfId="3829" priority="171">
      <formula>AND(C$9&gt;=8/24,C$9&lt;14/24)</formula>
    </cfRule>
    <cfRule type="expression" dxfId="3828" priority="172">
      <formula>C$9&lt;8/24</formula>
    </cfRule>
    <cfRule type="expression" dxfId="3827" priority="173">
      <formula>C$9&gt;=20/24</formula>
    </cfRule>
  </conditionalFormatting>
  <conditionalFormatting sqref="B11:D19 E12:R19">
    <cfRule type="expression" dxfId="3826" priority="12">
      <formula>AND(B$9&gt;=14/24,B$9&lt;20/24)</formula>
    </cfRule>
    <cfRule type="expression" dxfId="3825" priority="13">
      <formula>AND(B$9&gt;=8/24,B$9&lt;14/24)</formula>
    </cfRule>
    <cfRule type="expression" dxfId="3824" priority="14">
      <formula>B$9&lt;8/24</formula>
    </cfRule>
  </conditionalFormatting>
  <conditionalFormatting sqref="B11:D80 S18:Z54 J20:R54 E20:I55 E56:AF80">
    <cfRule type="expression" dxfId="3823" priority="4">
      <formula>B11&gt;$AG11</formula>
    </cfRule>
  </conditionalFormatting>
  <conditionalFormatting sqref="B56:D57">
    <cfRule type="expression" dxfId="3822" priority="15">
      <formula>B$9&gt;=20/24</formula>
    </cfRule>
    <cfRule type="expression" dxfId="3821" priority="16">
      <formula>AND(B$9&gt;=14/24,B$9&lt;20/24)</formula>
    </cfRule>
    <cfRule type="expression" dxfId="3820" priority="17">
      <formula>AND(B$9&gt;=8/24,B$9&lt;14/24)</formula>
    </cfRule>
    <cfRule type="expression" dxfId="3819" priority="26">
      <formula>B$9&lt;8/24</formula>
    </cfRule>
  </conditionalFormatting>
  <conditionalFormatting sqref="B59:D68">
    <cfRule type="expression" dxfId="3818" priority="18">
      <formula>B$9&gt;=20/24</formula>
    </cfRule>
    <cfRule type="expression" dxfId="3817" priority="19">
      <formula>AND(B$9&gt;=14/24,B$9&lt;20/24)</formula>
    </cfRule>
    <cfRule type="expression" dxfId="3816" priority="20">
      <formula>AND(B$9&gt;=8/24,B$9&lt;14/24)</formula>
    </cfRule>
    <cfRule type="expression" dxfId="3815" priority="21">
      <formula>B$9&lt;8/24</formula>
    </cfRule>
  </conditionalFormatting>
  <conditionalFormatting sqref="B9:AF10 E11 S13:W16 S17:AA17 B101:AF117 B119:AF137 B244:AF244 B246:B252">
    <cfRule type="expression" dxfId="3814" priority="68">
      <formula>AND(B$9&gt;=14/24,B$9&lt;20/24)</formula>
    </cfRule>
    <cfRule type="expression" dxfId="3813" priority="69">
      <formula>AND(B$9&gt;=8/24,B$9&lt;14/24)</formula>
    </cfRule>
    <cfRule type="expression" dxfId="3812" priority="70">
      <formula>B$9&lt;8/24</formula>
    </cfRule>
  </conditionalFormatting>
  <conditionalFormatting sqref="D246:AF252">
    <cfRule type="expression" dxfId="3811" priority="155">
      <formula>D$9&gt;=20/24</formula>
    </cfRule>
    <cfRule type="expression" dxfId="3810" priority="156">
      <formula>AND(D$9&gt;=14/24,D$9&lt;20/24)</formula>
    </cfRule>
    <cfRule type="expression" dxfId="3809" priority="157">
      <formula>AND(D$9&gt;=8/24,D$9&lt;14/24)</formula>
    </cfRule>
    <cfRule type="expression" dxfId="3808" priority="158">
      <formula>D$9&lt;8/24</formula>
    </cfRule>
  </conditionalFormatting>
  <conditionalFormatting sqref="E11 S13:W16 S17:AA17 B9:AF10 B101:AF117 B119:AF137 B244:AF244 B246:B252">
    <cfRule type="expression" dxfId="3807" priority="67">
      <formula>B$9&gt;=20/24</formula>
    </cfRule>
  </conditionalFormatting>
  <conditionalFormatting sqref="E11 S13:W16 S17:AA17 J55:Z55 AG62 AG80">
    <cfRule type="expression" dxfId="3806" priority="66">
      <formula>E11&gt;$AG11</formula>
    </cfRule>
  </conditionalFormatting>
  <conditionalFormatting sqref="E63:I65 J64:J65 E66:J67 K67">
    <cfRule type="expression" dxfId="3805" priority="80">
      <formula>E$9&gt;=20/24</formula>
    </cfRule>
    <cfRule type="expression" dxfId="3804" priority="81">
      <formula>AND(E$9&gt;=14/24,E$9&lt;20/24)</formula>
    </cfRule>
    <cfRule type="expression" dxfId="3803" priority="82">
      <formula>AND(E$9&gt;=8/24,E$9&lt;14/24)</formula>
    </cfRule>
    <cfRule type="expression" dxfId="3802" priority="83">
      <formula>E$9&lt;8/24</formula>
    </cfRule>
  </conditionalFormatting>
  <conditionalFormatting sqref="E68:L68">
    <cfRule type="expression" dxfId="3801" priority="22">
      <formula>E$9&gt;=20/24</formula>
    </cfRule>
    <cfRule type="expression" dxfId="3800" priority="23">
      <formula>AND(E$9&gt;=14/24,E$9&lt;20/24)</formula>
    </cfRule>
    <cfRule type="expression" dxfId="3799" priority="24">
      <formula>AND(E$9&gt;=8/24,E$9&lt;14/24)</formula>
    </cfRule>
    <cfRule type="expression" dxfId="3798" priority="25">
      <formula>E$9&lt;8/24</formula>
    </cfRule>
  </conditionalFormatting>
  <conditionalFormatting sqref="E12:R19 B11:D19">
    <cfRule type="expression" dxfId="3797" priority="11">
      <formula>B$9&gt;=20/24</formula>
    </cfRule>
  </conditionalFormatting>
  <conditionalFormatting sqref="E12:R19">
    <cfRule type="expression" dxfId="3796" priority="10">
      <formula>E12&gt;$AG12</formula>
    </cfRule>
  </conditionalFormatting>
  <conditionalFormatting sqref="E11:T11 X11:AB11 U11:W12 AC11:AF52 S12:T12 X12:AA16 AB12:AB52 AA18:AA52">
    <cfRule type="expression" dxfId="3795" priority="84">
      <formula>E11&gt;$AG11</formula>
    </cfRule>
    <cfRule type="expression" dxfId="3794" priority="85">
      <formula>E$9&gt;=20/24</formula>
    </cfRule>
    <cfRule type="expression" dxfId="3793" priority="86">
      <formula>AND(E$9&gt;=14/24,E$9&lt;20/24)</formula>
    </cfRule>
    <cfRule type="expression" dxfId="3792" priority="87">
      <formula>AND(E$9&gt;=8/24,E$9&lt;14/24)</formula>
    </cfRule>
    <cfRule type="expression" dxfId="3791" priority="88">
      <formula>E$9&lt;8/24</formula>
    </cfRule>
  </conditionalFormatting>
  <conditionalFormatting sqref="E59:AF62">
    <cfRule type="expression" dxfId="3790" priority="93">
      <formula>E$9&gt;=20/24</formula>
    </cfRule>
    <cfRule type="expression" dxfId="3789" priority="94">
      <formula>AND(E$9&gt;=14/24,E$9&lt;20/24)</formula>
    </cfRule>
    <cfRule type="expression" dxfId="3788" priority="95">
      <formula>AND(E$9&gt;=8/24,E$9&lt;14/24)</formula>
    </cfRule>
    <cfRule type="expression" dxfId="3787" priority="96">
      <formula>E$9&lt;8/24</formula>
    </cfRule>
  </conditionalFormatting>
  <conditionalFormatting sqref="F63:L65">
    <cfRule type="expression" dxfId="3786" priority="107">
      <formula>F$9&gt;=20/24</formula>
    </cfRule>
    <cfRule type="expression" dxfId="3785" priority="108">
      <formula>AND(F$9&gt;=14/24,F$9&lt;20/24)</formula>
    </cfRule>
    <cfRule type="expression" dxfId="3784" priority="109">
      <formula>AND(F$9&gt;=8/24,F$9&lt;14/24)</formula>
    </cfRule>
    <cfRule type="expression" dxfId="3783" priority="110">
      <formula>F$9&lt;8/24</formula>
    </cfRule>
  </conditionalFormatting>
  <conditionalFormatting sqref="J55:K55 L55:L56 M55:Z57 E56:K56 E57:L57">
    <cfRule type="expression" dxfId="3782" priority="79">
      <formula>E$9&lt;8/24</formula>
    </cfRule>
  </conditionalFormatting>
  <conditionalFormatting sqref="J55:K55 L55:O56 P55:AF57 E56:K56 E57:O57">
    <cfRule type="expression" dxfId="3781" priority="72">
      <formula>E$9&gt;=20/24</formula>
    </cfRule>
    <cfRule type="expression" dxfId="3780" priority="73">
      <formula>AND(E$9&gt;=14/24,E$9&lt;20/24)</formula>
    </cfRule>
    <cfRule type="expression" dxfId="3779" priority="74">
      <formula>AND(E$9&gt;=8/24,E$9&lt;14/24)</formula>
    </cfRule>
  </conditionalFormatting>
  <conditionalFormatting sqref="J53:Z54 B53:I55">
    <cfRule type="expression" dxfId="3778" priority="9">
      <formula>B$9&lt;8/24</formula>
    </cfRule>
  </conditionalFormatting>
  <conditionalFormatting sqref="J53:AF54 B53:I55">
    <cfRule type="expression" dxfId="3777" priority="1">
      <formula>B$9&gt;=20/24</formula>
    </cfRule>
    <cfRule type="expression" dxfId="3776" priority="2">
      <formula>AND(B$9&gt;=14/24,B$9&lt;20/24)</formula>
    </cfRule>
    <cfRule type="expression" dxfId="3775" priority="3">
      <formula>AND(B$9&gt;=8/24,B$9&lt;14/24)</formula>
    </cfRule>
  </conditionalFormatting>
  <conditionalFormatting sqref="M8 S8 AB8">
    <cfRule type="expression" dxfId="3774" priority="162">
      <formula>AND(N$9&gt;=14/24,N$9&lt;20/24)</formula>
    </cfRule>
    <cfRule type="expression" dxfId="3773" priority="163">
      <formula>AND(N$9&gt;=8/24,N$9&lt;14/24)</formula>
    </cfRule>
    <cfRule type="expression" dxfId="3772" priority="164">
      <formula>N$9&lt;8/24</formula>
    </cfRule>
  </conditionalFormatting>
  <conditionalFormatting sqref="M63:V68">
    <cfRule type="expression" dxfId="3771" priority="103">
      <formula>M$9&gt;=20/24</formula>
    </cfRule>
    <cfRule type="expression" dxfId="3770" priority="104">
      <formula>AND(M$9&gt;=14/24,M$9&lt;20/24)</formula>
    </cfRule>
    <cfRule type="expression" dxfId="3769" priority="105">
      <formula>AND(M$9&gt;=8/24,M$9&lt;14/24)</formula>
    </cfRule>
    <cfRule type="expression" dxfId="3768" priority="106">
      <formula>M$9&lt;8/24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767" priority="161">
      <formula>N$9&gt;=20/24</formula>
    </cfRule>
  </conditionalFormatting>
  <conditionalFormatting sqref="S8">
    <cfRule type="expression" dxfId="3766" priority="148">
      <formula>U$9&gt;=20/24</formula>
    </cfRule>
    <cfRule type="expression" dxfId="3765" priority="149">
      <formula>AND(U$9&gt;=14/24,U$9&lt;20/24)</formula>
    </cfRule>
    <cfRule type="expression" dxfId="3764" priority="150">
      <formula>AND(U$9&gt;=8/24,U$9&lt;14/24)</formula>
    </cfRule>
    <cfRule type="expression" dxfId="3763" priority="151">
      <formula>U$9&lt;8/24</formula>
    </cfRule>
  </conditionalFormatting>
  <conditionalFormatting sqref="S18:Z52 B20:R52 B69:AF74 B77:AF99">
    <cfRule type="expression" dxfId="3762" priority="5">
      <formula>B$9&gt;=20/24</formula>
    </cfRule>
    <cfRule type="expression" dxfId="3761" priority="6">
      <formula>AND(B$9&gt;=14/24,B$9&lt;20/24)</formula>
    </cfRule>
    <cfRule type="expression" dxfId="3760" priority="7">
      <formula>AND(B$9&gt;=8/24,B$9&lt;14/24)</formula>
    </cfRule>
    <cfRule type="expression" dxfId="3759" priority="8">
      <formula>B$9&lt;8/24</formula>
    </cfRule>
  </conditionalFormatting>
  <conditionalFormatting sqref="T63:AF68">
    <cfRule type="expression" dxfId="3758" priority="97">
      <formula>T$9&gt;=20/24</formula>
    </cfRule>
    <cfRule type="expression" dxfId="3757" priority="98">
      <formula>AND(T$9&gt;=14/24,T$9&lt;20/24)</formula>
    </cfRule>
    <cfRule type="expression" dxfId="3756" priority="99">
      <formula>AND(T$9&gt;=8/24,T$9&lt;14/24)</formula>
    </cfRule>
    <cfRule type="expression" dxfId="3755" priority="100">
      <formula>T$9&lt;8/24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A53:AF55">
    <cfRule type="expression" dxfId="3754" priority="102">
      <formula>AA53&gt;$AG53</formula>
    </cfRule>
  </conditionalFormatting>
  <conditionalFormatting sqref="AA53:AF57">
    <cfRule type="expression" dxfId="3753" priority="101">
      <formula>AA$9&lt;8/24</formula>
    </cfRule>
  </conditionalFormatting>
  <conditionalFormatting sqref="AB8">
    <cfRule type="expression" dxfId="3752" priority="144">
      <formula>AD$9&gt;=20/24</formula>
    </cfRule>
    <cfRule type="expression" dxfId="3751" priority="145">
      <formula>AND(AD$9&gt;=14/24,AD$9&lt;20/24)</formula>
    </cfRule>
    <cfRule type="expression" dxfId="3750" priority="146">
      <formula>AND(AD$9&gt;=8/24,AD$9&lt;14/24)</formula>
    </cfRule>
    <cfRule type="expression" dxfId="3749" priority="147">
      <formula>AD$9&lt;8/24</formula>
    </cfRule>
  </conditionalFormatting>
  <conditionalFormatting sqref="AG58">
    <cfRule type="expression" dxfId="3748" priority="139">
      <formula>AG58&gt;$AG58</formula>
    </cfRule>
  </conditionalFormatting>
  <conditionalFormatting sqref="AG62">
    <cfRule type="expression" dxfId="3747" priority="122">
      <formula>AG$9&gt;=20/24</formula>
    </cfRule>
    <cfRule type="expression" dxfId="3746" priority="123">
      <formula>AND(AG$9&gt;=14/24,AG$9&lt;20/24)</formula>
    </cfRule>
    <cfRule type="expression" dxfId="3745" priority="124">
      <formula>AND(AG$9&gt;=8/24,AG$9&lt;14/24)</formula>
    </cfRule>
    <cfRule type="expression" dxfId="3744" priority="125">
      <formula>AG$9&lt;8/24</formula>
    </cfRule>
  </conditionalFormatting>
  <conditionalFormatting sqref="AG75:AG76">
    <cfRule type="expression" dxfId="3743" priority="117">
      <formula>AG75&gt;$AG75</formula>
    </cfRule>
  </conditionalFormatting>
  <conditionalFormatting sqref="AG80">
    <cfRule type="expression" dxfId="3742" priority="118">
      <formula>AG$9&gt;=20/24</formula>
    </cfRule>
    <cfRule type="expression" dxfId="3741" priority="119">
      <formula>AND(AG$9&gt;=14/24,AG$9&lt;20/24)</formula>
    </cfRule>
    <cfRule type="expression" dxfId="3740" priority="120">
      <formula>AND(AG$9&gt;=8/24,AG$9&lt;14/24)</formula>
    </cfRule>
    <cfRule type="expression" dxfId="3739" priority="121">
      <formula>AG$9&lt;8/24</formula>
    </cfRule>
  </conditionalFormatting>
  <conditionalFormatting sqref="AG97">
    <cfRule type="expression" dxfId="3738" priority="140">
      <formula>AG$9&gt;=20/24</formula>
    </cfRule>
    <cfRule type="expression" dxfId="3737" priority="141">
      <formula>AND(AG$9&gt;=14/24,AG$9&lt;20/24)</formula>
    </cfRule>
    <cfRule type="expression" dxfId="3736" priority="142">
      <formula>AND(AG$9&gt;=8/24,AG$9&lt;14/24)</formula>
    </cfRule>
    <cfRule type="expression" dxfId="3735" priority="143">
      <formula>AG$9&lt;8/24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34" priority="165">
      <formula>AJ$9&gt;=20/24</formula>
    </cfRule>
    <cfRule type="expression" dxfId="3733" priority="166">
      <formula>AND(AJ$9&gt;=14/24,AJ$9&lt;20/24)</formula>
    </cfRule>
    <cfRule type="expression" dxfId="3732" priority="167">
      <formula>AND(AJ$9&gt;=8/24,AJ$9&lt;14/24)</formula>
    </cfRule>
    <cfRule type="expression" dxfId="3731" priority="168">
      <formula>AJ$9&lt;8/24</formula>
    </cfRule>
  </conditionalFormatting>
  <conditionalFormatting sqref="AL88:AN88 AL94:AN94">
    <cfRule type="expression" dxfId="3730" priority="132">
      <formula>AL$9&gt;=20/24</formula>
    </cfRule>
    <cfRule type="expression" dxfId="3729" priority="133">
      <formula>AND(AL$9&gt;=14/24,AL$9&lt;20/24)</formula>
    </cfRule>
    <cfRule type="expression" dxfId="3728" priority="134">
      <formula>AND(AL$9&gt;=8/24,AL$9&lt;14/24)</formula>
    </cfRule>
    <cfRule type="expression" dxfId="3727" priority="135">
      <formula>AL$9&lt;8/24</formula>
    </cfRule>
  </conditionalFormatting>
  <conditionalFormatting sqref="AM15:AM21 AN16:AR21">
    <cfRule type="expression" dxfId="3726" priority="39">
      <formula>AX$9&gt;=20/24</formula>
    </cfRule>
    <cfRule type="expression" dxfId="3725" priority="40">
      <formula>AND(AX$9&gt;=14/24,AX$9&lt;20/24)</formula>
    </cfRule>
    <cfRule type="expression" dxfId="3724" priority="41">
      <formula>AND(AX$9&gt;=8/24,AX$9&lt;14/24)</formula>
    </cfRule>
    <cfRule type="expression" dxfId="3723" priority="42">
      <formula>AX$9&lt;8/24</formula>
    </cfRule>
  </conditionalFormatting>
  <conditionalFormatting sqref="AN89:AN92">
    <cfRule type="expression" dxfId="3722" priority="128">
      <formula>AN$9&gt;=20/24</formula>
    </cfRule>
    <cfRule type="expression" dxfId="3721" priority="129">
      <formula>AND(AN$9&gt;=14/24,AN$9&lt;20/24)</formula>
    </cfRule>
    <cfRule type="expression" dxfId="3720" priority="130">
      <formula>AND(AN$9&gt;=8/24,AN$9&lt;14/24)</formula>
    </cfRule>
    <cfRule type="expression" dxfId="3719" priority="131">
      <formula>AN$9&lt;8/24</formula>
    </cfRule>
  </conditionalFormatting>
  <conditionalFormatting sqref="AN15:AR15">
    <cfRule type="expression" dxfId="3718" priority="27">
      <formula>U$9&gt;=20/24</formula>
    </cfRule>
    <cfRule type="expression" dxfId="3717" priority="28">
      <formula>AND(U$9&gt;=14/24,U$9&lt;20/24)</formula>
    </cfRule>
    <cfRule type="expression" dxfId="3716" priority="29">
      <formula>AND(U$9&gt;=8/24,U$9&lt;14/24)</formula>
    </cfRule>
    <cfRule type="expression" dxfId="3715" priority="30">
      <formula>U$9&lt;8/24</formula>
    </cfRule>
  </conditionalFormatting>
  <conditionalFormatting sqref="AS15">
    <cfRule type="expression" dxfId="3714" priority="35">
      <formula>AA$9&gt;=20/24</formula>
    </cfRule>
    <cfRule type="expression" dxfId="3713" priority="36">
      <formula>AND(AA$9&gt;=14/24,AA$9&lt;20/24)</formula>
    </cfRule>
    <cfRule type="expression" dxfId="3712" priority="37">
      <formula>AND(AA$9&gt;=8/24,AA$9&lt;14/24)</formula>
    </cfRule>
    <cfRule type="expression" dxfId="3711" priority="38">
      <formula>AA$9&lt;8/24</formula>
    </cfRule>
  </conditionalFormatting>
  <conditionalFormatting sqref="AS16:AS21">
    <cfRule type="expression" dxfId="3710" priority="43">
      <formula>BE$9&gt;=20/24</formula>
    </cfRule>
    <cfRule type="expression" dxfId="3709" priority="44">
      <formula>AND(BE$9&gt;=14/24,BE$9&lt;20/24)</formula>
    </cfRule>
    <cfRule type="expression" dxfId="3708" priority="45">
      <formula>AND(BE$9&gt;=8/24,BE$9&lt;14/24)</formula>
    </cfRule>
    <cfRule type="expression" dxfId="3707" priority="46">
      <formula>BE$9&lt;8/24</formula>
    </cfRule>
  </conditionalFormatting>
  <conditionalFormatting sqref="AT15 AX15:BJ15">
    <cfRule type="expression" dxfId="3706" priority="47">
      <formula>AC$9&gt;=20/24</formula>
    </cfRule>
    <cfRule type="expression" dxfId="3705" priority="48">
      <formula>AND(AC$9&gt;=14/24,AC$9&lt;20/24)</formula>
    </cfRule>
    <cfRule type="expression" dxfId="3704" priority="49">
      <formula>AND(AC$9&gt;=8/24,AC$9&lt;14/24)</formula>
    </cfRule>
    <cfRule type="expression" dxfId="3703" priority="50">
      <formula>AC$9&lt;8/24</formula>
    </cfRule>
  </conditionalFormatting>
  <conditionalFormatting sqref="AT16:AT21">
    <cfRule type="expression" dxfId="3702" priority="51">
      <formula>BG$9&gt;=20/24</formula>
    </cfRule>
    <cfRule type="expression" dxfId="3701" priority="52">
      <formula>AND(BG$9&gt;=14/24,BG$9&lt;20/24)</formula>
    </cfRule>
    <cfRule type="expression" dxfId="3700" priority="53">
      <formula>AND(BG$9&gt;=8/24,BG$9&lt;14/24)</formula>
    </cfRule>
    <cfRule type="expression" dxfId="3699" priority="54">
      <formula>BG$9&lt;8/24</formula>
    </cfRule>
  </conditionalFormatting>
  <conditionalFormatting sqref="AU15:AV15">
    <cfRule type="expression" dxfId="3698" priority="55">
      <formula>AE$9&gt;=20/24</formula>
    </cfRule>
    <cfRule type="expression" dxfId="3697" priority="56">
      <formula>AND(AE$9&gt;=14/24,AE$9&lt;20/24)</formula>
    </cfRule>
    <cfRule type="expression" dxfId="3696" priority="57">
      <formula>AND(AE$9&gt;=8/24,AE$9&lt;14/24)</formula>
    </cfRule>
    <cfRule type="expression" dxfId="3695" priority="58">
      <formula>AE$9&lt;8/24</formula>
    </cfRule>
  </conditionalFormatting>
  <conditionalFormatting sqref="AU16:BJ21">
    <cfRule type="expression" dxfId="3694" priority="59">
      <formula>BI$9&gt;=20/24</formula>
    </cfRule>
    <cfRule type="expression" dxfId="3693" priority="60">
      <formula>AND(BI$9&gt;=14/24,BI$9&lt;20/24)</formula>
    </cfRule>
    <cfRule type="expression" dxfId="3692" priority="61">
      <formula>AND(BI$9&gt;=8/24,BI$9&lt;14/24)</formula>
    </cfRule>
    <cfRule type="expression" dxfId="3691" priority="62">
      <formula>BI$9&lt;8/24</formula>
    </cfRule>
  </conditionalFormatting>
  <conditionalFormatting sqref="AW15">
    <cfRule type="expression" dxfId="3690" priority="31">
      <formula>B$9&gt;=20/24</formula>
    </cfRule>
    <cfRule type="expression" dxfId="3689" priority="32">
      <formula>AND(B$9&gt;=14/24,B$9&lt;20/24)</formula>
    </cfRule>
    <cfRule type="expression" dxfId="3688" priority="33">
      <formula>AND(B$9&gt;=8/24,B$9&lt;14/24)</formula>
    </cfRule>
    <cfRule type="expression" dxfId="3687" priority="3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DB00-9440-4BD9-9263-63247774D11E}">
  <sheetPr codeName="Sheet8"/>
  <dimension ref="A1:CJ294"/>
  <sheetViews>
    <sheetView zoomScale="106" workbookViewId="0">
      <pane xSplit="1" ySplit="10" topLeftCell="B5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A126" sqref="AA12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2080/10/8</v>
      </c>
      <c r="C4" s="187"/>
      <c r="D4" s="187"/>
      <c r="E4" s="188" t="str">
        <f ca="1">"2080/"&amp;"10/"&amp;INT(MID(CELL("filename",G6),FIND("]",CELL("filename",G6))+1,200))</f>
        <v>2080/10/8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33</v>
      </c>
      <c r="C5" s="30">
        <f t="shared" si="0"/>
        <v>35</v>
      </c>
      <c r="D5" s="30">
        <f t="shared" si="0"/>
        <v>45</v>
      </c>
      <c r="E5" s="30">
        <f t="shared" si="0"/>
        <v>62</v>
      </c>
      <c r="F5" s="30">
        <f t="shared" si="0"/>
        <v>69.5</v>
      </c>
      <c r="G5" s="30">
        <f t="shared" si="0"/>
        <v>48</v>
      </c>
      <c r="H5" s="30">
        <f t="shared" si="0"/>
        <v>78</v>
      </c>
      <c r="I5" s="30">
        <f t="shared" si="0"/>
        <v>442</v>
      </c>
      <c r="J5" s="30">
        <f t="shared" si="0"/>
        <v>475</v>
      </c>
      <c r="K5" s="30">
        <f t="shared" si="0"/>
        <v>593</v>
      </c>
      <c r="L5" s="30">
        <f t="shared" si="0"/>
        <v>608.50000000000011</v>
      </c>
      <c r="M5" s="30">
        <f t="shared" si="0"/>
        <v>688.9</v>
      </c>
      <c r="N5" s="30">
        <f t="shared" si="0"/>
        <v>649.9</v>
      </c>
      <c r="O5" s="30">
        <f t="shared" si="0"/>
        <v>689.9</v>
      </c>
      <c r="P5" s="30">
        <f t="shared" si="0"/>
        <v>700</v>
      </c>
      <c r="Q5" s="30">
        <f t="shared" si="0"/>
        <v>658</v>
      </c>
      <c r="R5" s="30">
        <f t="shared" si="0"/>
        <v>750.5</v>
      </c>
      <c r="S5" s="30">
        <f t="shared" si="0"/>
        <v>782.84</v>
      </c>
      <c r="T5" s="30">
        <f t="shared" si="0"/>
        <v>743.69999999999993</v>
      </c>
      <c r="U5" s="30">
        <f t="shared" si="0"/>
        <v>757.59999999999991</v>
      </c>
      <c r="V5" s="30">
        <f t="shared" si="0"/>
        <v>757.59999999999991</v>
      </c>
      <c r="W5" s="30">
        <f t="shared" si="0"/>
        <v>528.79999999999995</v>
      </c>
      <c r="X5" s="30">
        <f t="shared" si="0"/>
        <v>96.5</v>
      </c>
      <c r="Y5" s="30">
        <f t="shared" si="0"/>
        <v>118.5</v>
      </c>
      <c r="Z5" s="30">
        <f t="shared" si="0"/>
        <v>100.5</v>
      </c>
      <c r="AA5" s="30">
        <f t="shared" si="0"/>
        <v>102.5</v>
      </c>
      <c r="AB5" s="30">
        <f t="shared" si="0"/>
        <v>110.8</v>
      </c>
      <c r="AC5" s="30">
        <f t="shared" si="0"/>
        <v>114.8</v>
      </c>
      <c r="AD5" s="30">
        <f t="shared" si="0"/>
        <v>106.8</v>
      </c>
      <c r="AE5" s="30">
        <f t="shared" si="0"/>
        <v>100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Load=1225</v>
      </c>
      <c r="B7" s="35">
        <f t="shared" ref="B7:AF7" si="1">B100</f>
        <v>1304.3800000000001</v>
      </c>
      <c r="C7" s="35">
        <f t="shared" si="1"/>
        <v>1284.3800000000001</v>
      </c>
      <c r="D7" s="35">
        <f t="shared" si="1"/>
        <v>1224.98</v>
      </c>
      <c r="E7" s="35">
        <f t="shared" si="1"/>
        <v>1236.7800000000002</v>
      </c>
      <c r="F7" s="35">
        <f t="shared" si="1"/>
        <v>1240.8800000000001</v>
      </c>
      <c r="G7" s="35">
        <f t="shared" si="1"/>
        <v>1258.6300000000001</v>
      </c>
      <c r="H7" s="35">
        <f t="shared" si="1"/>
        <v>1291.1300000000001</v>
      </c>
      <c r="I7" s="35">
        <f t="shared" si="1"/>
        <v>1246.1299999999999</v>
      </c>
      <c r="J7" s="35">
        <f t="shared" si="1"/>
        <v>1447.03</v>
      </c>
      <c r="K7" s="35">
        <f t="shared" si="1"/>
        <v>1479.33</v>
      </c>
      <c r="L7" s="35">
        <f t="shared" si="1"/>
        <v>1643.93</v>
      </c>
      <c r="M7" s="35">
        <f t="shared" si="1"/>
        <v>1568.83</v>
      </c>
      <c r="N7" s="35">
        <f t="shared" si="1"/>
        <v>1692.53</v>
      </c>
      <c r="O7" s="35">
        <f t="shared" si="1"/>
        <v>1605.4299999999998</v>
      </c>
      <c r="P7" s="35">
        <f t="shared" si="1"/>
        <v>1645.4299999999998</v>
      </c>
      <c r="Q7" s="35">
        <f t="shared" si="1"/>
        <v>1696.53</v>
      </c>
      <c r="R7" s="35">
        <f t="shared" si="1"/>
        <v>1664.9299999999998</v>
      </c>
      <c r="S7" s="35">
        <f t="shared" si="1"/>
        <v>1735.3300000000002</v>
      </c>
      <c r="T7" s="35">
        <f t="shared" si="1"/>
        <v>1762.3700000000001</v>
      </c>
      <c r="U7" s="35">
        <f t="shared" si="1"/>
        <v>1717.4299999999998</v>
      </c>
      <c r="V7" s="35">
        <f t="shared" si="1"/>
        <v>1731.33</v>
      </c>
      <c r="W7" s="35">
        <f t="shared" si="1"/>
        <v>1731.33</v>
      </c>
      <c r="X7" s="35">
        <f t="shared" si="1"/>
        <v>1482.4299999999998</v>
      </c>
      <c r="Y7" s="35">
        <f t="shared" si="1"/>
        <v>1403.03</v>
      </c>
      <c r="Z7" s="35">
        <f t="shared" si="1"/>
        <v>1518.23</v>
      </c>
      <c r="AA7" s="35">
        <f t="shared" si="1"/>
        <v>1880.33</v>
      </c>
      <c r="AB7" s="35">
        <f t="shared" si="1"/>
        <v>1829.3300000000002</v>
      </c>
      <c r="AC7" s="35">
        <f t="shared" si="1"/>
        <v>1781.8300000000002</v>
      </c>
      <c r="AD7" s="35">
        <f t="shared" si="1"/>
        <v>1769.23</v>
      </c>
      <c r="AE7" s="35">
        <f t="shared" si="1"/>
        <v>1719.23</v>
      </c>
      <c r="AF7" s="35">
        <f t="shared" si="1"/>
        <v>1597.43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1829.33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1829.33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25.3</v>
      </c>
      <c r="C11" s="46">
        <v>25.3</v>
      </c>
      <c r="D11" s="46">
        <v>25.3</v>
      </c>
      <c r="E11" s="46">
        <v>22.9</v>
      </c>
      <c r="F11" s="46">
        <v>20.5</v>
      </c>
      <c r="G11" s="46">
        <v>22.8</v>
      </c>
      <c r="H11" s="46">
        <v>22.8</v>
      </c>
      <c r="I11" s="46">
        <v>22.8</v>
      </c>
      <c r="J11" s="46">
        <v>22.8</v>
      </c>
      <c r="K11" s="46">
        <v>22.1</v>
      </c>
      <c r="L11" s="46">
        <v>22.1</v>
      </c>
      <c r="M11" s="46">
        <v>23.2</v>
      </c>
      <c r="N11" s="46">
        <v>23.2</v>
      </c>
      <c r="O11" s="46">
        <v>23.2</v>
      </c>
      <c r="P11" s="46">
        <v>23.2</v>
      </c>
      <c r="Q11" s="46">
        <v>23.2</v>
      </c>
      <c r="R11" s="46">
        <v>23.2</v>
      </c>
      <c r="S11" s="46">
        <v>23.2</v>
      </c>
      <c r="T11" s="46">
        <v>23.2</v>
      </c>
      <c r="U11" s="46">
        <v>23.2</v>
      </c>
      <c r="V11" s="46">
        <v>23.2</v>
      </c>
      <c r="W11" s="46">
        <v>23.2</v>
      </c>
      <c r="X11" s="46">
        <v>23.2</v>
      </c>
      <c r="Y11" s="46">
        <v>23.2</v>
      </c>
      <c r="Z11" s="46">
        <v>23.2</v>
      </c>
      <c r="AA11" s="46">
        <v>23.2</v>
      </c>
      <c r="AB11" s="46">
        <v>23.2</v>
      </c>
      <c r="AC11" s="46">
        <v>23.2</v>
      </c>
      <c r="AD11" s="46">
        <v>23.2</v>
      </c>
      <c r="AE11" s="46">
        <v>23.2</v>
      </c>
      <c r="AF11" s="46">
        <v>23.2</v>
      </c>
      <c r="AG11" s="47">
        <v>86</v>
      </c>
      <c r="AH11" s="48">
        <f t="shared" ref="AH11:AH16" si="2">MAX(B11:AF11)</f>
        <v>25.3</v>
      </c>
      <c r="AI11" s="49">
        <f t="shared" ref="AI11:AI16" si="3">MIN(B11:AF11)</f>
        <v>20.5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11.25</v>
      </c>
      <c r="C12" s="46">
        <v>11.25</v>
      </c>
      <c r="D12" s="46">
        <v>11.25</v>
      </c>
      <c r="E12" s="46">
        <v>11.25</v>
      </c>
      <c r="F12" s="46">
        <v>11.25</v>
      </c>
      <c r="G12" s="46">
        <v>11.3</v>
      </c>
      <c r="H12" s="46">
        <v>11.3</v>
      </c>
      <c r="I12" s="46">
        <v>11.3</v>
      </c>
      <c r="J12" s="46">
        <v>11.3</v>
      </c>
      <c r="K12" s="46">
        <v>11.3</v>
      </c>
      <c r="L12" s="46">
        <v>11.3</v>
      </c>
      <c r="M12" s="46">
        <v>11.3</v>
      </c>
      <c r="N12" s="46">
        <v>11.3</v>
      </c>
      <c r="O12" s="46">
        <v>11.3</v>
      </c>
      <c r="P12" s="46">
        <v>11.3</v>
      </c>
      <c r="Q12" s="46">
        <v>11.3</v>
      </c>
      <c r="R12" s="46">
        <v>11.3</v>
      </c>
      <c r="S12" s="46">
        <v>11.3</v>
      </c>
      <c r="T12" s="46">
        <v>11.3</v>
      </c>
      <c r="U12" s="46">
        <v>11.3</v>
      </c>
      <c r="V12" s="46">
        <v>11.3</v>
      </c>
      <c r="W12" s="46">
        <v>11.3</v>
      </c>
      <c r="X12" s="46">
        <v>11.3</v>
      </c>
      <c r="Y12" s="46">
        <v>11.3</v>
      </c>
      <c r="Z12" s="46">
        <v>11.3</v>
      </c>
      <c r="AA12" s="46">
        <v>11.3</v>
      </c>
      <c r="AB12" s="46">
        <v>11.3</v>
      </c>
      <c r="AC12" s="46">
        <v>11.3</v>
      </c>
      <c r="AD12" s="46">
        <v>11.3</v>
      </c>
      <c r="AE12" s="46">
        <v>11.3</v>
      </c>
      <c r="AF12" s="46">
        <v>11.3</v>
      </c>
      <c r="AG12" s="50">
        <v>54</v>
      </c>
      <c r="AH12" s="48">
        <f t="shared" si="2"/>
        <v>11.3</v>
      </c>
      <c r="AI12" s="49">
        <f t="shared" si="3"/>
        <v>11.25</v>
      </c>
      <c r="AK12" s="51"/>
      <c r="AL12" s="52" t="str">
        <f ca="1">MID(CELL("filename",C7),FIND("]",CELL("filename",C7))+1,600)</f>
        <v>08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19.899999999999999</v>
      </c>
      <c r="C13" s="46">
        <v>19.899999999999999</v>
      </c>
      <c r="D13" s="46">
        <v>19.899999999999999</v>
      </c>
      <c r="E13" s="46">
        <v>18.100000000000001</v>
      </c>
      <c r="F13" s="46">
        <v>18.100000000000001</v>
      </c>
      <c r="G13" s="46">
        <v>18.100000000000001</v>
      </c>
      <c r="H13" s="46">
        <v>18.100000000000001</v>
      </c>
      <c r="I13" s="46">
        <v>18.100000000000001</v>
      </c>
      <c r="J13" s="46">
        <v>18.100000000000001</v>
      </c>
      <c r="K13" s="46">
        <v>18.100000000000001</v>
      </c>
      <c r="L13" s="46">
        <v>18.100000000000001</v>
      </c>
      <c r="M13" s="46">
        <v>15.9</v>
      </c>
      <c r="N13" s="46">
        <v>15.9</v>
      </c>
      <c r="O13" s="46">
        <v>15.9</v>
      </c>
      <c r="P13" s="46">
        <v>15.9</v>
      </c>
      <c r="Q13" s="46">
        <v>15.9</v>
      </c>
      <c r="R13" s="46">
        <v>15.9</v>
      </c>
      <c r="S13" s="46">
        <v>15.9</v>
      </c>
      <c r="T13" s="46">
        <v>15.9</v>
      </c>
      <c r="U13" s="46">
        <v>15.9</v>
      </c>
      <c r="V13" s="46">
        <v>15.9</v>
      </c>
      <c r="W13" s="46">
        <v>15.9</v>
      </c>
      <c r="X13" s="46">
        <v>15.9</v>
      </c>
      <c r="Y13" s="46">
        <v>15.9</v>
      </c>
      <c r="Z13" s="46">
        <v>15.9</v>
      </c>
      <c r="AA13" s="46">
        <v>15.9</v>
      </c>
      <c r="AB13" s="46">
        <v>15.9</v>
      </c>
      <c r="AC13" s="46">
        <v>15.9</v>
      </c>
      <c r="AD13" s="46">
        <v>15.9</v>
      </c>
      <c r="AE13" s="46">
        <v>15.9</v>
      </c>
      <c r="AF13" s="46">
        <v>15.9</v>
      </c>
      <c r="AG13" s="50">
        <v>54</v>
      </c>
      <c r="AH13" s="48">
        <f t="shared" si="2"/>
        <v>19.899999999999999</v>
      </c>
      <c r="AI13" s="49">
        <f t="shared" si="3"/>
        <v>15.9</v>
      </c>
      <c r="AK13" s="51"/>
      <c r="AL13" s="52" t="str">
        <f ca="1">"Daily Load Curve(Excluding of Export) of Nepal ("&amp;A4&amp;" "&amp;B4&amp;")"</f>
        <v>Daily Load Curve(Excluding of Export) of Nepal (Nepali Date: 2080/10/8)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50.4</v>
      </c>
      <c r="C15" s="46">
        <v>50.4</v>
      </c>
      <c r="D15" s="46">
        <v>50.4</v>
      </c>
      <c r="E15" s="46">
        <v>50.4</v>
      </c>
      <c r="F15" s="46">
        <v>50.4</v>
      </c>
      <c r="G15" s="46">
        <v>50.4</v>
      </c>
      <c r="H15" s="46">
        <v>50.4</v>
      </c>
      <c r="I15" s="46">
        <v>50.4</v>
      </c>
      <c r="J15" s="46">
        <v>50.4</v>
      </c>
      <c r="K15" s="46">
        <v>50.4</v>
      </c>
      <c r="L15" s="46">
        <v>50.4</v>
      </c>
      <c r="M15" s="46">
        <v>50.6</v>
      </c>
      <c r="N15" s="46">
        <v>50.6</v>
      </c>
      <c r="O15" s="46">
        <v>50.6</v>
      </c>
      <c r="P15" s="46">
        <v>50.6</v>
      </c>
      <c r="Q15" s="46">
        <v>50.6</v>
      </c>
      <c r="R15" s="46">
        <v>50.6</v>
      </c>
      <c r="S15" s="46">
        <v>50.6</v>
      </c>
      <c r="T15" s="46">
        <v>50.6</v>
      </c>
      <c r="U15" s="46">
        <v>50.6</v>
      </c>
      <c r="V15" s="46">
        <v>50.6</v>
      </c>
      <c r="W15" s="46">
        <v>50.6</v>
      </c>
      <c r="X15" s="46">
        <v>50.6</v>
      </c>
      <c r="Y15" s="46">
        <v>50.6</v>
      </c>
      <c r="Z15" s="46">
        <v>50.6</v>
      </c>
      <c r="AA15" s="53">
        <v>50.6</v>
      </c>
      <c r="AB15" s="53">
        <v>50.6</v>
      </c>
      <c r="AC15" s="53">
        <v>50.6</v>
      </c>
      <c r="AD15" s="53">
        <v>50.6</v>
      </c>
      <c r="AE15" s="53">
        <v>50.6</v>
      </c>
      <c r="AF15" s="53">
        <v>50.6</v>
      </c>
      <c r="AG15" s="50">
        <v>50</v>
      </c>
      <c r="AH15" s="48">
        <f t="shared" si="2"/>
        <v>50.6</v>
      </c>
      <c r="AI15" s="49">
        <f t="shared" si="3"/>
        <v>50.4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>
        <v>16</v>
      </c>
      <c r="T16" s="46">
        <v>16</v>
      </c>
      <c r="U16" s="46">
        <v>16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16</v>
      </c>
      <c r="AB16" s="46">
        <v>16</v>
      </c>
      <c r="AC16" s="46">
        <v>16</v>
      </c>
      <c r="AD16" s="46">
        <v>16</v>
      </c>
      <c r="AE16" s="46">
        <v>16</v>
      </c>
      <c r="AF16" s="46">
        <v>16</v>
      </c>
      <c r="AG16" s="50">
        <v>45</v>
      </c>
      <c r="AH16" s="48">
        <f t="shared" si="2"/>
        <v>16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584.94000000000005</v>
      </c>
      <c r="AN16" s="59">
        <f t="shared" si="4"/>
        <v>584.94000000000005</v>
      </c>
      <c r="AO16" s="59">
        <f t="shared" si="4"/>
        <v>584.94000000000005</v>
      </c>
      <c r="AP16" s="59">
        <f t="shared" si="4"/>
        <v>579.34</v>
      </c>
      <c r="AQ16" s="59">
        <f t="shared" si="4"/>
        <v>576.94000000000005</v>
      </c>
      <c r="AR16" s="59">
        <f t="shared" si="4"/>
        <v>579.29</v>
      </c>
      <c r="AS16" s="59">
        <f>I58</f>
        <v>579.29</v>
      </c>
      <c r="AT16" s="59">
        <f>K58</f>
        <v>572.59</v>
      </c>
      <c r="AU16" s="59">
        <f t="shared" ref="AU16:BD16" si="5">M58</f>
        <v>569.69000000000005</v>
      </c>
      <c r="AV16" s="59">
        <f t="shared" si="5"/>
        <v>569.69000000000005</v>
      </c>
      <c r="AW16" s="59">
        <f t="shared" si="5"/>
        <v>569.69000000000005</v>
      </c>
      <c r="AX16" s="59">
        <f t="shared" si="5"/>
        <v>569.69000000000005</v>
      </c>
      <c r="AY16" s="59">
        <f t="shared" si="5"/>
        <v>569.69000000000005</v>
      </c>
      <c r="AZ16" s="59">
        <f t="shared" si="5"/>
        <v>569.69000000000005</v>
      </c>
      <c r="BA16" s="59">
        <f t="shared" si="5"/>
        <v>569.69000000000005</v>
      </c>
      <c r="BB16" s="59">
        <f t="shared" si="5"/>
        <v>569.69000000000005</v>
      </c>
      <c r="BC16" s="59">
        <f t="shared" si="5"/>
        <v>569.69000000000005</v>
      </c>
      <c r="BD16" s="59">
        <f t="shared" si="5"/>
        <v>569.69000000000005</v>
      </c>
      <c r="BE16" s="60">
        <f>X58</f>
        <v>569.69000000000005</v>
      </c>
      <c r="BF16" s="60">
        <f>Z58</f>
        <v>569.69000000000005</v>
      </c>
      <c r="BG16" s="60">
        <f>AB58</f>
        <v>557.69000000000005</v>
      </c>
      <c r="BH16" s="60">
        <f>AD58</f>
        <v>557.69000000000005</v>
      </c>
      <c r="BI16" s="60">
        <f>AE58</f>
        <v>557.69000000000005</v>
      </c>
      <c r="BJ16" s="60">
        <f>AF58</f>
        <v>557.69000000000005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16.899999999999999</v>
      </c>
      <c r="C17" s="46">
        <v>16.899999999999999</v>
      </c>
      <c r="D17" s="46">
        <v>16.899999999999999</v>
      </c>
      <c r="E17" s="46">
        <v>16.899999999999999</v>
      </c>
      <c r="F17" s="46">
        <v>16.899999999999999</v>
      </c>
      <c r="G17" s="46">
        <v>16.899999999999999</v>
      </c>
      <c r="H17" s="46">
        <v>16.899999999999999</v>
      </c>
      <c r="I17" s="46">
        <v>16.899999999999999</v>
      </c>
      <c r="J17" s="46">
        <v>16.899999999999999</v>
      </c>
      <c r="K17" s="46">
        <v>16.899999999999999</v>
      </c>
      <c r="L17" s="46">
        <v>16.899999999999999</v>
      </c>
      <c r="M17" s="46">
        <v>16.899999999999999</v>
      </c>
      <c r="N17" s="46">
        <v>16.899999999999999</v>
      </c>
      <c r="O17" s="46">
        <v>16.899999999999999</v>
      </c>
      <c r="P17" s="46">
        <v>16.899999999999999</v>
      </c>
      <c r="Q17" s="46">
        <v>16.899999999999999</v>
      </c>
      <c r="R17" s="46">
        <v>16.899999999999999</v>
      </c>
      <c r="S17" s="46">
        <v>16.899999999999999</v>
      </c>
      <c r="T17" s="46">
        <v>16.899999999999999</v>
      </c>
      <c r="U17" s="46">
        <v>16.899999999999999</v>
      </c>
      <c r="V17" s="46">
        <v>16.899999999999999</v>
      </c>
      <c r="W17" s="46">
        <v>16.899999999999999</v>
      </c>
      <c r="X17" s="46">
        <v>16.899999999999999</v>
      </c>
      <c r="Y17" s="46">
        <v>16.899999999999999</v>
      </c>
      <c r="Z17" s="46">
        <v>16.899999999999999</v>
      </c>
      <c r="AA17" s="46">
        <v>16.899999999999999</v>
      </c>
      <c r="AB17" s="46">
        <v>16.899999999999999</v>
      </c>
      <c r="AC17" s="46">
        <v>16.899999999999999</v>
      </c>
      <c r="AD17" s="46">
        <v>16.899999999999999</v>
      </c>
      <c r="AE17" s="46">
        <v>16.899999999999999</v>
      </c>
      <c r="AF17" s="46">
        <v>16.899999999999999</v>
      </c>
      <c r="AG17" s="50">
        <v>44</v>
      </c>
      <c r="AH17" s="48">
        <f>MAX(B17:AG17)</f>
        <v>44</v>
      </c>
      <c r="AI17" s="49">
        <f>MIN(B17:AG17)</f>
        <v>16.899999999999999</v>
      </c>
      <c r="AK17" s="51"/>
      <c r="AL17" s="54" t="s">
        <v>27</v>
      </c>
      <c r="AM17" s="59">
        <f t="shared" ref="AM17:AR17" si="6">B62</f>
        <v>272.39999999999998</v>
      </c>
      <c r="AN17" s="59">
        <f t="shared" si="6"/>
        <v>219.4</v>
      </c>
      <c r="AO17" s="59">
        <f t="shared" si="6"/>
        <v>159.4</v>
      </c>
      <c r="AP17" s="59">
        <f t="shared" si="6"/>
        <v>168.8</v>
      </c>
      <c r="AQ17" s="59">
        <f t="shared" si="6"/>
        <v>168.8</v>
      </c>
      <c r="AR17" s="59">
        <f t="shared" si="6"/>
        <v>167.9</v>
      </c>
      <c r="AS17" s="59">
        <f>I62</f>
        <v>187.8</v>
      </c>
      <c r="AT17" s="59">
        <f>K62</f>
        <v>48.4</v>
      </c>
      <c r="AU17" s="59">
        <f t="shared" ref="AU17:BD17" si="7">M62</f>
        <v>47.3</v>
      </c>
      <c r="AV17" s="59">
        <f t="shared" si="7"/>
        <v>47.3</v>
      </c>
      <c r="AW17" s="59">
        <f t="shared" si="7"/>
        <v>47.3</v>
      </c>
      <c r="AX17" s="59">
        <f t="shared" si="7"/>
        <v>47.3</v>
      </c>
      <c r="AY17" s="59">
        <f t="shared" si="7"/>
        <v>62.3</v>
      </c>
      <c r="AZ17" s="59">
        <f t="shared" si="7"/>
        <v>62.3</v>
      </c>
      <c r="BA17" s="59">
        <f t="shared" si="7"/>
        <v>47.3</v>
      </c>
      <c r="BB17" s="59">
        <f t="shared" si="7"/>
        <v>47.3</v>
      </c>
      <c r="BC17" s="59">
        <f t="shared" si="7"/>
        <v>47.3</v>
      </c>
      <c r="BD17" s="59">
        <f t="shared" si="7"/>
        <v>47.3</v>
      </c>
      <c r="BE17" s="60">
        <f>X62</f>
        <v>47.3</v>
      </c>
      <c r="BF17" s="60">
        <f>Z62</f>
        <v>391.29999999999995</v>
      </c>
      <c r="BG17" s="60">
        <f>AB62</f>
        <v>419.70000000000005</v>
      </c>
      <c r="BH17" s="60">
        <f>AD62</f>
        <v>345.70000000000005</v>
      </c>
      <c r="BI17" s="60">
        <f>AE62</f>
        <v>325.70000000000005</v>
      </c>
      <c r="BJ17" s="60">
        <f>AF62</f>
        <v>278.70000000000005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20</v>
      </c>
      <c r="C18" s="46">
        <v>20</v>
      </c>
      <c r="D18" s="46">
        <v>20</v>
      </c>
      <c r="E18" s="46">
        <v>18</v>
      </c>
      <c r="F18" s="46">
        <v>18</v>
      </c>
      <c r="G18" s="46">
        <v>18</v>
      </c>
      <c r="H18" s="46">
        <v>18</v>
      </c>
      <c r="I18" s="46">
        <v>18</v>
      </c>
      <c r="J18" s="46">
        <v>18</v>
      </c>
      <c r="K18" s="46">
        <v>18</v>
      </c>
      <c r="L18" s="46">
        <v>18</v>
      </c>
      <c r="M18" s="46">
        <v>16</v>
      </c>
      <c r="N18" s="46">
        <v>16</v>
      </c>
      <c r="O18" s="46">
        <v>16</v>
      </c>
      <c r="P18" s="46">
        <v>16</v>
      </c>
      <c r="Q18" s="46">
        <v>16</v>
      </c>
      <c r="R18" s="46">
        <v>16</v>
      </c>
      <c r="S18" s="46">
        <v>16</v>
      </c>
      <c r="T18" s="46">
        <v>16</v>
      </c>
      <c r="U18" s="46">
        <v>16</v>
      </c>
      <c r="V18" s="46">
        <v>16</v>
      </c>
      <c r="W18" s="46">
        <v>16</v>
      </c>
      <c r="X18" s="46">
        <v>16</v>
      </c>
      <c r="Y18" s="46">
        <v>16</v>
      </c>
      <c r="Z18" s="46">
        <v>16</v>
      </c>
      <c r="AA18" s="46">
        <v>16</v>
      </c>
      <c r="AB18" s="46">
        <v>16</v>
      </c>
      <c r="AC18" s="46">
        <v>16</v>
      </c>
      <c r="AD18" s="46">
        <v>16</v>
      </c>
      <c r="AE18" s="46">
        <v>16</v>
      </c>
      <c r="AF18" s="46">
        <v>16</v>
      </c>
      <c r="AG18" s="50">
        <v>42</v>
      </c>
      <c r="AH18" s="48">
        <f t="shared" ref="AH18:AH81" si="8">MAX(B18:AF18)</f>
        <v>20</v>
      </c>
      <c r="AI18" s="49">
        <f t="shared" ref="AI18:AI81" si="9">MIN(B18:AF18)</f>
        <v>16</v>
      </c>
      <c r="AK18" s="51"/>
      <c r="AL18" s="54" t="s">
        <v>29</v>
      </c>
      <c r="AM18" s="59">
        <f t="shared" ref="AM18:AR18" si="10">B76</f>
        <v>347.04</v>
      </c>
      <c r="AN18" s="59">
        <f t="shared" si="10"/>
        <v>347.04</v>
      </c>
      <c r="AO18" s="59">
        <f t="shared" si="10"/>
        <v>345.64000000000004</v>
      </c>
      <c r="AP18" s="59">
        <f t="shared" si="10"/>
        <v>345.64000000000004</v>
      </c>
      <c r="AQ18" s="59">
        <f t="shared" si="10"/>
        <v>333.14000000000004</v>
      </c>
      <c r="AR18" s="59">
        <f t="shared" si="10"/>
        <v>341.94000000000005</v>
      </c>
      <c r="AS18" s="59">
        <f>I76</f>
        <v>401.04</v>
      </c>
      <c r="AT18" s="59">
        <f>K76</f>
        <v>383.34000000000003</v>
      </c>
      <c r="AU18" s="59">
        <f t="shared" ref="AU18:BD18" si="11">M76</f>
        <v>337.23999999999995</v>
      </c>
      <c r="AV18" s="59">
        <f t="shared" si="11"/>
        <v>337.14</v>
      </c>
      <c r="AW18" s="59">
        <f t="shared" si="11"/>
        <v>338.53999999999996</v>
      </c>
      <c r="AX18" s="59">
        <f t="shared" si="11"/>
        <v>338.53999999999996</v>
      </c>
      <c r="AY18" s="59">
        <f t="shared" si="11"/>
        <v>338.53999999999996</v>
      </c>
      <c r="AZ18" s="59">
        <f t="shared" si="11"/>
        <v>338.53999999999996</v>
      </c>
      <c r="BA18" s="59">
        <f t="shared" si="11"/>
        <v>316.74000000000007</v>
      </c>
      <c r="BB18" s="59">
        <f t="shared" si="11"/>
        <v>324.04000000000008</v>
      </c>
      <c r="BC18" s="59">
        <f t="shared" si="11"/>
        <v>306.94000000000005</v>
      </c>
      <c r="BD18" s="59">
        <f t="shared" si="11"/>
        <v>306.94000000000005</v>
      </c>
      <c r="BE18" s="60">
        <f>X76</f>
        <v>304.74</v>
      </c>
      <c r="BF18" s="60">
        <f>Z76</f>
        <v>370.64</v>
      </c>
      <c r="BG18" s="60">
        <f>AB76</f>
        <v>409.23999999999995</v>
      </c>
      <c r="BH18" s="60">
        <f>AD76</f>
        <v>402.73999999999995</v>
      </c>
      <c r="BI18" s="60">
        <f>AE76</f>
        <v>380.73999999999995</v>
      </c>
      <c r="BJ18" s="60">
        <f>AF76</f>
        <v>312.73999999999995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21.2</v>
      </c>
      <c r="C19" s="46">
        <v>21.2</v>
      </c>
      <c r="D19" s="46">
        <v>21.2</v>
      </c>
      <c r="E19" s="46">
        <v>22.1</v>
      </c>
      <c r="F19" s="46">
        <v>22.1</v>
      </c>
      <c r="G19" s="46">
        <v>22.1</v>
      </c>
      <c r="H19" s="46">
        <v>22.1</v>
      </c>
      <c r="I19" s="46">
        <v>22.1</v>
      </c>
      <c r="J19" s="46">
        <v>22.1</v>
      </c>
      <c r="K19" s="46">
        <v>22.1</v>
      </c>
      <c r="L19" s="46">
        <v>22.1</v>
      </c>
      <c r="M19" s="46">
        <v>22.1</v>
      </c>
      <c r="N19" s="46">
        <v>22.1</v>
      </c>
      <c r="O19" s="46">
        <v>22.1</v>
      </c>
      <c r="P19" s="46">
        <v>22.1</v>
      </c>
      <c r="Q19" s="46">
        <v>22.1</v>
      </c>
      <c r="R19" s="46">
        <v>22.1</v>
      </c>
      <c r="S19" s="46">
        <v>22.1</v>
      </c>
      <c r="T19" s="46">
        <v>22.1</v>
      </c>
      <c r="U19" s="46">
        <v>22.1</v>
      </c>
      <c r="V19" s="46">
        <v>22.1</v>
      </c>
      <c r="W19" s="46">
        <v>22.1</v>
      </c>
      <c r="X19" s="46">
        <v>22.1</v>
      </c>
      <c r="Y19" s="46">
        <v>22.1</v>
      </c>
      <c r="Z19" s="46">
        <v>22.1</v>
      </c>
      <c r="AA19" s="46">
        <v>22.1</v>
      </c>
      <c r="AB19" s="46">
        <v>22.1</v>
      </c>
      <c r="AC19" s="46">
        <v>22.1</v>
      </c>
      <c r="AD19" s="46">
        <v>22.1</v>
      </c>
      <c r="AE19" s="46">
        <v>22.1</v>
      </c>
      <c r="AF19" s="46">
        <v>22.1</v>
      </c>
      <c r="AG19" s="50">
        <v>38.46</v>
      </c>
      <c r="AH19" s="48">
        <f t="shared" si="8"/>
        <v>22.1</v>
      </c>
      <c r="AI19" s="49">
        <f t="shared" si="9"/>
        <v>21.2</v>
      </c>
      <c r="AK19" s="51"/>
      <c r="AL19" s="54" t="s">
        <v>31</v>
      </c>
      <c r="AM19" s="59">
        <f t="shared" ref="AM19:AR19" si="12">B92</f>
        <v>0</v>
      </c>
      <c r="AN19" s="59">
        <f t="shared" si="12"/>
        <v>33</v>
      </c>
      <c r="AO19" s="59">
        <f t="shared" si="12"/>
        <v>35</v>
      </c>
      <c r="AP19" s="59">
        <f t="shared" si="12"/>
        <v>45</v>
      </c>
      <c r="AQ19" s="59">
        <f t="shared" si="12"/>
        <v>62</v>
      </c>
      <c r="AR19" s="59">
        <f t="shared" si="12"/>
        <v>69.5</v>
      </c>
      <c r="AS19" s="59">
        <f>I92</f>
        <v>78</v>
      </c>
      <c r="AT19" s="59">
        <f>K92</f>
        <v>475</v>
      </c>
      <c r="AU19" s="59">
        <f t="shared" ref="AU19:BD19" si="13">M92</f>
        <v>608.50000000000011</v>
      </c>
      <c r="AV19" s="59">
        <f t="shared" si="13"/>
        <v>688.9</v>
      </c>
      <c r="AW19" s="59">
        <f t="shared" si="13"/>
        <v>649.9</v>
      </c>
      <c r="AX19" s="59">
        <f t="shared" si="13"/>
        <v>689.9</v>
      </c>
      <c r="AY19" s="59">
        <f t="shared" si="13"/>
        <v>700</v>
      </c>
      <c r="AZ19" s="59">
        <f t="shared" si="13"/>
        <v>658</v>
      </c>
      <c r="BA19" s="59">
        <f t="shared" si="13"/>
        <v>750.5</v>
      </c>
      <c r="BB19" s="59">
        <f t="shared" si="13"/>
        <v>782.84</v>
      </c>
      <c r="BC19" s="59">
        <f t="shared" si="13"/>
        <v>743.69999999999993</v>
      </c>
      <c r="BD19" s="59">
        <f t="shared" si="13"/>
        <v>757.59999999999991</v>
      </c>
      <c r="BE19" s="60">
        <f>X92</f>
        <v>528.79999999999995</v>
      </c>
      <c r="BF19" s="60">
        <f>Z92</f>
        <v>118.5</v>
      </c>
      <c r="BG19" s="60">
        <f>AB92</f>
        <v>102.5</v>
      </c>
      <c r="BH19" s="60">
        <f>AD92</f>
        <v>114.8</v>
      </c>
      <c r="BI19" s="60">
        <f>AE92</f>
        <v>106.8</v>
      </c>
      <c r="BJ19" s="60">
        <f>AF92</f>
        <v>100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17.600000000000001</v>
      </c>
      <c r="C20" s="46">
        <v>17.600000000000001</v>
      </c>
      <c r="D20" s="46">
        <v>17.600000000000001</v>
      </c>
      <c r="E20" s="46">
        <v>17.600000000000001</v>
      </c>
      <c r="F20" s="46">
        <v>17.600000000000001</v>
      </c>
      <c r="G20" s="46">
        <v>17.600000000000001</v>
      </c>
      <c r="H20" s="46">
        <v>17.600000000000001</v>
      </c>
      <c r="I20" s="46">
        <v>17.600000000000001</v>
      </c>
      <c r="J20" s="46">
        <v>17.600000000000001</v>
      </c>
      <c r="K20" s="46">
        <v>17.600000000000001</v>
      </c>
      <c r="L20" s="46">
        <v>17.600000000000001</v>
      </c>
      <c r="M20" s="46">
        <v>17.600000000000001</v>
      </c>
      <c r="N20" s="46">
        <v>17.600000000000001</v>
      </c>
      <c r="O20" s="46">
        <v>17.600000000000001</v>
      </c>
      <c r="P20" s="46">
        <v>17.600000000000001</v>
      </c>
      <c r="Q20" s="46">
        <v>17.600000000000001</v>
      </c>
      <c r="R20" s="46">
        <v>17.600000000000001</v>
      </c>
      <c r="S20" s="46">
        <v>17.600000000000001</v>
      </c>
      <c r="T20" s="46">
        <v>17.600000000000001</v>
      </c>
      <c r="U20" s="46">
        <v>17.600000000000001</v>
      </c>
      <c r="V20" s="46">
        <v>17.600000000000001</v>
      </c>
      <c r="W20" s="46">
        <v>17.600000000000001</v>
      </c>
      <c r="X20" s="46">
        <v>17.600000000000001</v>
      </c>
      <c r="Y20" s="46">
        <v>17.600000000000001</v>
      </c>
      <c r="Z20" s="46">
        <v>17.600000000000001</v>
      </c>
      <c r="AA20" s="46">
        <v>17.600000000000001</v>
      </c>
      <c r="AB20" s="46">
        <v>17.600000000000001</v>
      </c>
      <c r="AC20" s="46">
        <v>17.600000000000001</v>
      </c>
      <c r="AD20" s="46">
        <v>17.600000000000001</v>
      </c>
      <c r="AE20" s="46">
        <v>17.600000000000001</v>
      </c>
      <c r="AF20" s="46">
        <v>17.600000000000001</v>
      </c>
      <c r="AG20" s="50">
        <v>38.46</v>
      </c>
      <c r="AH20" s="48">
        <f t="shared" si="8"/>
        <v>17.600000000000001</v>
      </c>
      <c r="AI20" s="49">
        <f t="shared" si="9"/>
        <v>17.600000000000001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6.1</v>
      </c>
      <c r="AV20" s="59">
        <f t="shared" si="15"/>
        <v>49.5</v>
      </c>
      <c r="AW20" s="59">
        <f t="shared" si="15"/>
        <v>0</v>
      </c>
      <c r="AX20" s="59">
        <f t="shared" si="15"/>
        <v>0</v>
      </c>
      <c r="AY20" s="59">
        <f t="shared" si="15"/>
        <v>26</v>
      </c>
      <c r="AZ20" s="59">
        <f t="shared" si="15"/>
        <v>36.400000000000006</v>
      </c>
      <c r="BA20" s="59">
        <f t="shared" si="15"/>
        <v>51.099999999999994</v>
      </c>
      <c r="BB20" s="59">
        <f t="shared" si="15"/>
        <v>38.5</v>
      </c>
      <c r="BC20" s="59">
        <f t="shared" si="15"/>
        <v>49.8</v>
      </c>
      <c r="BD20" s="59">
        <f t="shared" si="15"/>
        <v>49.8</v>
      </c>
      <c r="BE20" s="60">
        <f>X80</f>
        <v>31.9</v>
      </c>
      <c r="BF20" s="60">
        <f>Z80</f>
        <v>68.099999999999994</v>
      </c>
      <c r="BG20" s="60">
        <f>AB80</f>
        <v>90.2</v>
      </c>
      <c r="BH20" s="60">
        <f>AD80</f>
        <v>98.3</v>
      </c>
      <c r="BI20" s="60">
        <f>AE80</f>
        <v>98.3</v>
      </c>
      <c r="BJ20" s="60">
        <f>AF80</f>
        <v>98.3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100</v>
      </c>
      <c r="AN21" s="59">
        <f t="shared" si="16"/>
        <v>100</v>
      </c>
      <c r="AO21" s="59">
        <f t="shared" si="16"/>
        <v>100</v>
      </c>
      <c r="AP21" s="59">
        <f t="shared" si="16"/>
        <v>100</v>
      </c>
      <c r="AQ21" s="59">
        <f t="shared" si="16"/>
        <v>100</v>
      </c>
      <c r="AR21" s="59">
        <f t="shared" si="16"/>
        <v>100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250</v>
      </c>
      <c r="BH21" s="60">
        <f>AD98</f>
        <v>250</v>
      </c>
      <c r="BI21" s="60">
        <f>AE98</f>
        <v>250</v>
      </c>
      <c r="BJ21" s="60">
        <f>AF98</f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9.6</v>
      </c>
      <c r="C22" s="46">
        <v>9.6</v>
      </c>
      <c r="D22" s="46">
        <v>9.6</v>
      </c>
      <c r="E22" s="46">
        <v>11.5</v>
      </c>
      <c r="F22" s="46">
        <v>11.5</v>
      </c>
      <c r="G22" s="46">
        <v>11.5</v>
      </c>
      <c r="H22" s="46">
        <v>11.5</v>
      </c>
      <c r="I22" s="46">
        <v>11.5</v>
      </c>
      <c r="J22" s="46">
        <v>11.5</v>
      </c>
      <c r="K22" s="46">
        <v>11.5</v>
      </c>
      <c r="L22" s="46">
        <v>11.5</v>
      </c>
      <c r="M22" s="46">
        <v>11.5</v>
      </c>
      <c r="N22" s="46">
        <v>11.5</v>
      </c>
      <c r="O22" s="46">
        <v>11.5</v>
      </c>
      <c r="P22" s="46">
        <v>11.5</v>
      </c>
      <c r="Q22" s="46">
        <v>11.5</v>
      </c>
      <c r="R22" s="46">
        <v>11.5</v>
      </c>
      <c r="S22" s="46">
        <v>11.5</v>
      </c>
      <c r="T22" s="46">
        <v>11.5</v>
      </c>
      <c r="U22" s="46">
        <v>11.5</v>
      </c>
      <c r="V22" s="46">
        <v>11.5</v>
      </c>
      <c r="W22" s="46">
        <v>11.5</v>
      </c>
      <c r="X22" s="46">
        <v>11.5</v>
      </c>
      <c r="Y22" s="46">
        <v>11.5</v>
      </c>
      <c r="Z22" s="46">
        <v>11.5</v>
      </c>
      <c r="AA22" s="46">
        <v>11.5</v>
      </c>
      <c r="AB22" s="46">
        <v>11.5</v>
      </c>
      <c r="AC22" s="46">
        <v>11.5</v>
      </c>
      <c r="AD22" s="46">
        <v>11.5</v>
      </c>
      <c r="AE22" s="46">
        <v>11.5</v>
      </c>
      <c r="AF22" s="46">
        <v>11.5</v>
      </c>
      <c r="AG22" s="61">
        <v>30</v>
      </c>
      <c r="AH22" s="48">
        <f t="shared" si="8"/>
        <v>11.5</v>
      </c>
      <c r="AI22" s="49">
        <f t="shared" si="9"/>
        <v>9.6</v>
      </c>
      <c r="AK22" s="51"/>
      <c r="AL22" s="62" t="s">
        <v>37</v>
      </c>
      <c r="AM22" s="63">
        <f t="shared" ref="AM22:BJ22" si="18">SUM(AM16:AM21)</f>
        <v>1304.3800000000001</v>
      </c>
      <c r="AN22" s="63">
        <f t="shared" si="18"/>
        <v>1284.3800000000001</v>
      </c>
      <c r="AO22" s="63">
        <f t="shared" si="18"/>
        <v>1224.98</v>
      </c>
      <c r="AP22" s="63">
        <f t="shared" si="18"/>
        <v>1238.7800000000002</v>
      </c>
      <c r="AQ22" s="63">
        <f t="shared" si="18"/>
        <v>1240.8800000000001</v>
      </c>
      <c r="AR22" s="63">
        <f t="shared" si="18"/>
        <v>1258.6300000000001</v>
      </c>
      <c r="AS22" s="63">
        <f t="shared" si="18"/>
        <v>1246.1299999999999</v>
      </c>
      <c r="AT22" s="63">
        <f t="shared" si="18"/>
        <v>1479.33</v>
      </c>
      <c r="AU22" s="63">
        <f t="shared" si="18"/>
        <v>1568.83</v>
      </c>
      <c r="AV22" s="63">
        <f t="shared" si="18"/>
        <v>1692.53</v>
      </c>
      <c r="AW22" s="63">
        <f t="shared" si="18"/>
        <v>1605.4299999999998</v>
      </c>
      <c r="AX22" s="63">
        <f t="shared" si="18"/>
        <v>1645.4299999999998</v>
      </c>
      <c r="AY22" s="63">
        <f t="shared" si="18"/>
        <v>1696.53</v>
      </c>
      <c r="AZ22" s="63">
        <f t="shared" si="18"/>
        <v>1664.93</v>
      </c>
      <c r="BA22" s="63">
        <f t="shared" si="18"/>
        <v>1735.33</v>
      </c>
      <c r="BB22" s="63">
        <f t="shared" si="18"/>
        <v>1762.3700000000001</v>
      </c>
      <c r="BC22" s="63">
        <f t="shared" si="18"/>
        <v>1717.43</v>
      </c>
      <c r="BD22" s="63">
        <f t="shared" si="18"/>
        <v>1731.33</v>
      </c>
      <c r="BE22" s="63">
        <f t="shared" si="18"/>
        <v>1482.43</v>
      </c>
      <c r="BF22" s="63">
        <f t="shared" si="18"/>
        <v>1518.23</v>
      </c>
      <c r="BG22" s="63">
        <f t="shared" si="18"/>
        <v>1829.3300000000002</v>
      </c>
      <c r="BH22" s="63">
        <f t="shared" si="18"/>
        <v>1769.23</v>
      </c>
      <c r="BI22" s="63">
        <f t="shared" si="18"/>
        <v>1719.23</v>
      </c>
      <c r="BJ22" s="63">
        <f t="shared" si="18"/>
        <v>1597.43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7.6</v>
      </c>
      <c r="C23" s="46">
        <v>7.6</v>
      </c>
      <c r="D23" s="46">
        <v>7.6</v>
      </c>
      <c r="E23" s="46">
        <v>7.6</v>
      </c>
      <c r="F23" s="46">
        <v>7.6</v>
      </c>
      <c r="G23" s="46">
        <v>7.6</v>
      </c>
      <c r="H23" s="46">
        <v>7.6</v>
      </c>
      <c r="I23" s="46">
        <v>7.6</v>
      </c>
      <c r="J23" s="46">
        <v>7.6</v>
      </c>
      <c r="K23" s="46">
        <v>7.6</v>
      </c>
      <c r="L23" s="46">
        <v>7.6</v>
      </c>
      <c r="M23" s="46">
        <v>7.6</v>
      </c>
      <c r="N23" s="46">
        <v>7.6</v>
      </c>
      <c r="O23" s="46">
        <v>7.6</v>
      </c>
      <c r="P23" s="46">
        <v>7.6</v>
      </c>
      <c r="Q23" s="46">
        <v>7.6</v>
      </c>
      <c r="R23" s="46">
        <v>7.6</v>
      </c>
      <c r="S23" s="46">
        <v>7.6</v>
      </c>
      <c r="T23" s="46">
        <v>7.6</v>
      </c>
      <c r="U23" s="46">
        <v>7.6</v>
      </c>
      <c r="V23" s="46">
        <v>7.6</v>
      </c>
      <c r="W23" s="46">
        <v>7.6</v>
      </c>
      <c r="X23" s="46">
        <v>7.6</v>
      </c>
      <c r="Y23" s="46">
        <v>7.6</v>
      </c>
      <c r="Z23" s="46">
        <v>7.6</v>
      </c>
      <c r="AA23" s="46">
        <v>7.6</v>
      </c>
      <c r="AB23" s="46">
        <v>7.6</v>
      </c>
      <c r="AC23" s="46">
        <v>7.6</v>
      </c>
      <c r="AD23" s="46">
        <v>7.6</v>
      </c>
      <c r="AE23" s="46">
        <v>7.6</v>
      </c>
      <c r="AF23" s="46">
        <v>7.6</v>
      </c>
      <c r="AG23" s="50">
        <v>24.2</v>
      </c>
      <c r="AH23" s="48">
        <f t="shared" si="8"/>
        <v>7.6</v>
      </c>
      <c r="AI23" s="49">
        <f t="shared" si="9"/>
        <v>7.6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-2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7.5</v>
      </c>
      <c r="C24" s="46">
        <v>7.5</v>
      </c>
      <c r="D24" s="46">
        <v>7.5</v>
      </c>
      <c r="E24" s="46">
        <v>7.5</v>
      </c>
      <c r="F24" s="46">
        <v>7.5</v>
      </c>
      <c r="G24" s="46">
        <v>7.5</v>
      </c>
      <c r="H24" s="46">
        <v>7.5</v>
      </c>
      <c r="I24" s="46">
        <v>7.5</v>
      </c>
      <c r="J24" s="46">
        <v>7.5</v>
      </c>
      <c r="K24" s="46">
        <v>7.5</v>
      </c>
      <c r="L24" s="46">
        <v>7.5</v>
      </c>
      <c r="M24" s="46">
        <v>7.5</v>
      </c>
      <c r="N24" s="46">
        <v>7.5</v>
      </c>
      <c r="O24" s="46">
        <v>7.5</v>
      </c>
      <c r="P24" s="46">
        <v>7.5</v>
      </c>
      <c r="Q24" s="46">
        <v>7.5</v>
      </c>
      <c r="R24" s="46">
        <v>7.5</v>
      </c>
      <c r="S24" s="46">
        <v>7.5</v>
      </c>
      <c r="T24" s="46">
        <v>7.5</v>
      </c>
      <c r="U24" s="46">
        <v>7.5</v>
      </c>
      <c r="V24" s="46">
        <v>7.5</v>
      </c>
      <c r="W24" s="46">
        <v>7.5</v>
      </c>
      <c r="X24" s="46">
        <v>7.5</v>
      </c>
      <c r="Y24" s="46">
        <v>7.5</v>
      </c>
      <c r="Z24" s="46">
        <v>7.5</v>
      </c>
      <c r="AA24" s="46">
        <v>7.5</v>
      </c>
      <c r="AB24" s="46">
        <v>7.5</v>
      </c>
      <c r="AC24" s="46">
        <v>7.5</v>
      </c>
      <c r="AD24" s="46">
        <v>7.5</v>
      </c>
      <c r="AE24" s="46">
        <v>7.5</v>
      </c>
      <c r="AF24" s="46">
        <v>7.5</v>
      </c>
      <c r="AG24" s="50">
        <v>28</v>
      </c>
      <c r="AH24" s="48">
        <f t="shared" si="8"/>
        <v>7.5</v>
      </c>
      <c r="AI24" s="49">
        <f t="shared" si="9"/>
        <v>7.5</v>
      </c>
      <c r="AK24" s="51"/>
      <c r="AL24" s="62" t="s">
        <v>41</v>
      </c>
      <c r="AM24" s="63">
        <f t="shared" ref="AM24:BJ24" si="21">AM22+AM23</f>
        <v>1304.3800000000001</v>
      </c>
      <c r="AN24" s="63">
        <f t="shared" si="21"/>
        <v>1284.3800000000001</v>
      </c>
      <c r="AO24" s="63">
        <f t="shared" si="21"/>
        <v>1224.98</v>
      </c>
      <c r="AP24" s="63">
        <f t="shared" si="21"/>
        <v>1236.7800000000002</v>
      </c>
      <c r="AQ24" s="63">
        <f t="shared" si="21"/>
        <v>1240.8800000000001</v>
      </c>
      <c r="AR24" s="63">
        <f t="shared" si="21"/>
        <v>1258.6300000000001</v>
      </c>
      <c r="AS24" s="63">
        <f t="shared" si="21"/>
        <v>1246.1299999999999</v>
      </c>
      <c r="AT24" s="63">
        <f t="shared" si="21"/>
        <v>1479.33</v>
      </c>
      <c r="AU24" s="63">
        <f t="shared" si="21"/>
        <v>1568.83</v>
      </c>
      <c r="AV24" s="63">
        <f t="shared" si="21"/>
        <v>1692.53</v>
      </c>
      <c r="AW24" s="63">
        <f t="shared" si="21"/>
        <v>1605.4299999999998</v>
      </c>
      <c r="AX24" s="63">
        <f t="shared" si="21"/>
        <v>1645.4299999999998</v>
      </c>
      <c r="AY24" s="63">
        <f t="shared" si="21"/>
        <v>1696.53</v>
      </c>
      <c r="AZ24" s="63">
        <f t="shared" si="21"/>
        <v>1664.93</v>
      </c>
      <c r="BA24" s="63">
        <f t="shared" si="21"/>
        <v>1735.33</v>
      </c>
      <c r="BB24" s="63">
        <f t="shared" si="21"/>
        <v>1762.3700000000001</v>
      </c>
      <c r="BC24" s="63">
        <f t="shared" si="21"/>
        <v>1717.43</v>
      </c>
      <c r="BD24" s="63">
        <f t="shared" si="21"/>
        <v>1731.33</v>
      </c>
      <c r="BE24" s="63">
        <f t="shared" si="21"/>
        <v>1482.43</v>
      </c>
      <c r="BF24" s="63">
        <f t="shared" si="21"/>
        <v>1518.23</v>
      </c>
      <c r="BG24" s="63">
        <f t="shared" si="21"/>
        <v>1829.3300000000002</v>
      </c>
      <c r="BH24" s="63">
        <f t="shared" si="21"/>
        <v>1769.23</v>
      </c>
      <c r="BI24" s="63">
        <f t="shared" si="21"/>
        <v>1719.23</v>
      </c>
      <c r="BJ24" s="63">
        <f t="shared" si="21"/>
        <v>1597.43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9</v>
      </c>
      <c r="C25" s="46">
        <v>9</v>
      </c>
      <c r="D25" s="46">
        <v>9</v>
      </c>
      <c r="E25" s="46">
        <v>8.5</v>
      </c>
      <c r="F25" s="46">
        <v>8.5</v>
      </c>
      <c r="G25" s="46">
        <v>8.5</v>
      </c>
      <c r="H25" s="46">
        <v>8.5</v>
      </c>
      <c r="I25" s="46">
        <v>8.5</v>
      </c>
      <c r="J25" s="46">
        <v>8.5</v>
      </c>
      <c r="K25" s="46">
        <v>8.5</v>
      </c>
      <c r="L25" s="46">
        <v>8.5</v>
      </c>
      <c r="M25" s="46">
        <v>8.5</v>
      </c>
      <c r="N25" s="46">
        <v>8.5</v>
      </c>
      <c r="O25" s="46">
        <v>8.5</v>
      </c>
      <c r="P25" s="46">
        <v>8.5</v>
      </c>
      <c r="Q25" s="46">
        <v>8.5</v>
      </c>
      <c r="R25" s="46">
        <v>8.5</v>
      </c>
      <c r="S25" s="46">
        <v>8.5</v>
      </c>
      <c r="T25" s="46">
        <v>8.5</v>
      </c>
      <c r="U25" s="46">
        <v>8.5</v>
      </c>
      <c r="V25" s="46">
        <v>8.5</v>
      </c>
      <c r="W25" s="46">
        <v>8.5</v>
      </c>
      <c r="X25" s="46">
        <v>8.5</v>
      </c>
      <c r="Y25" s="46">
        <v>8.5</v>
      </c>
      <c r="Z25" s="46">
        <v>8.5</v>
      </c>
      <c r="AA25" s="46">
        <v>8.5</v>
      </c>
      <c r="AB25" s="46">
        <v>8.5</v>
      </c>
      <c r="AC25" s="46">
        <v>8.5</v>
      </c>
      <c r="AD25" s="46">
        <v>8.5</v>
      </c>
      <c r="AE25" s="46">
        <v>8.5</v>
      </c>
      <c r="AF25" s="46">
        <v>8.5</v>
      </c>
      <c r="AG25" s="61">
        <v>30</v>
      </c>
      <c r="AH25" s="48">
        <f t="shared" si="8"/>
        <v>9</v>
      </c>
      <c r="AI25" s="49">
        <f t="shared" si="9"/>
        <v>8.5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13</v>
      </c>
      <c r="J26" s="46">
        <v>13</v>
      </c>
      <c r="K26" s="46">
        <v>13</v>
      </c>
      <c r="L26" s="46">
        <v>13</v>
      </c>
      <c r="M26" s="46">
        <v>13</v>
      </c>
      <c r="N26" s="46">
        <v>13</v>
      </c>
      <c r="O26" s="46">
        <v>13</v>
      </c>
      <c r="P26" s="46">
        <v>13</v>
      </c>
      <c r="Q26" s="46">
        <v>13</v>
      </c>
      <c r="R26" s="46">
        <v>13</v>
      </c>
      <c r="S26" s="46">
        <v>13</v>
      </c>
      <c r="T26" s="46">
        <v>13</v>
      </c>
      <c r="U26" s="46">
        <v>13</v>
      </c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</v>
      </c>
      <c r="AI26" s="49">
        <f t="shared" si="9"/>
        <v>13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>
        <v>7</v>
      </c>
      <c r="T27" s="46">
        <v>7</v>
      </c>
      <c r="U27" s="46">
        <v>7</v>
      </c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7</v>
      </c>
      <c r="AB27" s="46">
        <v>7</v>
      </c>
      <c r="AC27" s="46">
        <v>7</v>
      </c>
      <c r="AD27" s="46">
        <v>7</v>
      </c>
      <c r="AE27" s="46">
        <v>7</v>
      </c>
      <c r="AF27" s="46">
        <v>7</v>
      </c>
      <c r="AG27" s="50">
        <v>25</v>
      </c>
      <c r="AH27" s="48">
        <f t="shared" si="8"/>
        <v>7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11.7</v>
      </c>
      <c r="C29" s="46">
        <v>11.7</v>
      </c>
      <c r="D29" s="46">
        <v>11.7</v>
      </c>
      <c r="E29" s="46">
        <v>10.8</v>
      </c>
      <c r="F29" s="46">
        <v>10.8</v>
      </c>
      <c r="G29" s="46">
        <v>10.8</v>
      </c>
      <c r="H29" s="46">
        <v>10.8</v>
      </c>
      <c r="I29" s="46">
        <v>10.8</v>
      </c>
      <c r="J29" s="46">
        <v>10.8</v>
      </c>
      <c r="K29" s="46">
        <v>10.8</v>
      </c>
      <c r="L29" s="46">
        <v>10.8</v>
      </c>
      <c r="M29" s="46">
        <v>10.8</v>
      </c>
      <c r="N29" s="46">
        <v>10.8</v>
      </c>
      <c r="O29" s="46">
        <v>10.8</v>
      </c>
      <c r="P29" s="46">
        <v>10.8</v>
      </c>
      <c r="Q29" s="46">
        <v>10.8</v>
      </c>
      <c r="R29" s="46">
        <v>10.8</v>
      </c>
      <c r="S29" s="46">
        <v>10.8</v>
      </c>
      <c r="T29" s="46">
        <v>10.8</v>
      </c>
      <c r="U29" s="46">
        <v>10.8</v>
      </c>
      <c r="V29" s="46">
        <v>10.8</v>
      </c>
      <c r="W29" s="46">
        <v>10.8</v>
      </c>
      <c r="X29" s="46">
        <v>10.8</v>
      </c>
      <c r="Y29" s="46">
        <v>10.8</v>
      </c>
      <c r="Z29" s="46">
        <v>10.8</v>
      </c>
      <c r="AA29" s="46">
        <v>10.8</v>
      </c>
      <c r="AB29" s="46">
        <v>10.8</v>
      </c>
      <c r="AC29" s="46">
        <v>10.8</v>
      </c>
      <c r="AD29" s="46">
        <v>10.8</v>
      </c>
      <c r="AE29" s="46">
        <v>10.8</v>
      </c>
      <c r="AF29" s="46">
        <v>10.8</v>
      </c>
      <c r="AG29" s="50">
        <v>25</v>
      </c>
      <c r="AH29" s="48">
        <f t="shared" si="8"/>
        <v>11.7</v>
      </c>
      <c r="AI29" s="49">
        <f t="shared" si="9"/>
        <v>10.8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</v>
      </c>
      <c r="C30" s="46">
        <v>6</v>
      </c>
      <c r="D30" s="46">
        <v>6</v>
      </c>
      <c r="E30" s="46">
        <v>6</v>
      </c>
      <c r="F30" s="46">
        <v>6</v>
      </c>
      <c r="G30" s="46">
        <v>6</v>
      </c>
      <c r="H30" s="46">
        <v>6</v>
      </c>
      <c r="I30" s="46">
        <v>6</v>
      </c>
      <c r="J30" s="46">
        <v>6</v>
      </c>
      <c r="K30" s="46">
        <v>6</v>
      </c>
      <c r="L30" s="46">
        <v>6</v>
      </c>
      <c r="M30" s="46">
        <v>6</v>
      </c>
      <c r="N30" s="46">
        <v>6</v>
      </c>
      <c r="O30" s="46">
        <v>6</v>
      </c>
      <c r="P30" s="46">
        <v>6</v>
      </c>
      <c r="Q30" s="46">
        <v>6</v>
      </c>
      <c r="R30" s="46">
        <v>6</v>
      </c>
      <c r="S30" s="46">
        <v>6</v>
      </c>
      <c r="T30" s="46">
        <v>6</v>
      </c>
      <c r="U30" s="46">
        <v>6</v>
      </c>
      <c r="V30" s="46">
        <v>6</v>
      </c>
      <c r="W30" s="46">
        <v>6</v>
      </c>
      <c r="X30" s="46">
        <v>6</v>
      </c>
      <c r="Y30" s="46">
        <v>6</v>
      </c>
      <c r="Z30" s="46">
        <v>6</v>
      </c>
      <c r="AA30" s="46">
        <v>6</v>
      </c>
      <c r="AB30" s="46">
        <v>6</v>
      </c>
      <c r="AC30" s="46">
        <v>6</v>
      </c>
      <c r="AD30" s="46">
        <v>6</v>
      </c>
      <c r="AE30" s="46">
        <v>6</v>
      </c>
      <c r="AF30" s="46">
        <v>6</v>
      </c>
      <c r="AG30" s="50">
        <v>23.5</v>
      </c>
      <c r="AH30" s="48">
        <f t="shared" si="8"/>
        <v>6</v>
      </c>
      <c r="AI30" s="49">
        <f t="shared" si="9"/>
        <v>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21.7</v>
      </c>
      <c r="C34" s="46">
        <v>21.7</v>
      </c>
      <c r="D34" s="46">
        <v>21.7</v>
      </c>
      <c r="E34" s="46">
        <v>21.7</v>
      </c>
      <c r="F34" s="46">
        <v>21.7</v>
      </c>
      <c r="G34" s="46">
        <v>21.7</v>
      </c>
      <c r="H34" s="46">
        <v>21.7</v>
      </c>
      <c r="I34" s="46">
        <v>21.7</v>
      </c>
      <c r="J34" s="46">
        <v>21.7</v>
      </c>
      <c r="K34" s="46">
        <v>21.7</v>
      </c>
      <c r="L34" s="46">
        <v>21.7</v>
      </c>
      <c r="M34" s="46">
        <v>21.7</v>
      </c>
      <c r="N34" s="46">
        <v>21.7</v>
      </c>
      <c r="O34" s="46">
        <v>21.7</v>
      </c>
      <c r="P34" s="46">
        <v>21.7</v>
      </c>
      <c r="Q34" s="46">
        <v>21.7</v>
      </c>
      <c r="R34" s="46">
        <v>21.7</v>
      </c>
      <c r="S34" s="46">
        <v>21.7</v>
      </c>
      <c r="T34" s="46">
        <v>21.7</v>
      </c>
      <c r="U34" s="46">
        <v>21.7</v>
      </c>
      <c r="V34" s="46">
        <v>21.7</v>
      </c>
      <c r="W34" s="46">
        <v>21.7</v>
      </c>
      <c r="X34" s="46">
        <v>21.7</v>
      </c>
      <c r="Y34" s="46">
        <v>21.7</v>
      </c>
      <c r="Z34" s="46">
        <v>21.7</v>
      </c>
      <c r="AA34" s="46">
        <v>21.7</v>
      </c>
      <c r="AB34" s="46">
        <v>21.7</v>
      </c>
      <c r="AC34" s="46">
        <v>21.7</v>
      </c>
      <c r="AD34" s="46">
        <v>21.7</v>
      </c>
      <c r="AE34" s="46">
        <v>21.7</v>
      </c>
      <c r="AF34" s="46">
        <v>21.7</v>
      </c>
      <c r="AG34" s="50">
        <v>22</v>
      </c>
      <c r="AH34" s="48">
        <f t="shared" si="8"/>
        <v>21.7</v>
      </c>
      <c r="AI34" s="49">
        <f t="shared" si="9"/>
        <v>21.7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18.3</v>
      </c>
      <c r="C35" s="46">
        <v>18.3</v>
      </c>
      <c r="D35" s="46">
        <v>18.3</v>
      </c>
      <c r="E35" s="46">
        <v>18.3</v>
      </c>
      <c r="F35" s="46">
        <v>18.3</v>
      </c>
      <c r="G35" s="46">
        <v>18.3</v>
      </c>
      <c r="H35" s="46">
        <v>18.3</v>
      </c>
      <c r="I35" s="46">
        <v>18.3</v>
      </c>
      <c r="J35" s="46">
        <v>18.3</v>
      </c>
      <c r="K35" s="46">
        <v>18.3</v>
      </c>
      <c r="L35" s="46">
        <v>18.3</v>
      </c>
      <c r="M35" s="46">
        <v>18.3</v>
      </c>
      <c r="N35" s="46">
        <v>18.3</v>
      </c>
      <c r="O35" s="46">
        <v>18.3</v>
      </c>
      <c r="P35" s="46">
        <v>18.3</v>
      </c>
      <c r="Q35" s="46">
        <v>18.3</v>
      </c>
      <c r="R35" s="46">
        <v>18.3</v>
      </c>
      <c r="S35" s="46">
        <v>18.3</v>
      </c>
      <c r="T35" s="46">
        <v>18.3</v>
      </c>
      <c r="U35" s="46">
        <v>18.3</v>
      </c>
      <c r="V35" s="46">
        <v>18.3</v>
      </c>
      <c r="W35" s="46">
        <v>18.3</v>
      </c>
      <c r="X35" s="46">
        <v>18.3</v>
      </c>
      <c r="Y35" s="46">
        <v>18.3</v>
      </c>
      <c r="Z35" s="46">
        <v>18.3</v>
      </c>
      <c r="AA35" s="46">
        <v>18.3</v>
      </c>
      <c r="AB35" s="46">
        <v>18.3</v>
      </c>
      <c r="AC35" s="46">
        <v>18.3</v>
      </c>
      <c r="AD35" s="46">
        <v>18.3</v>
      </c>
      <c r="AE35" s="46">
        <v>18.3</v>
      </c>
      <c r="AF35" s="46">
        <v>18.3</v>
      </c>
      <c r="AG35" s="50">
        <v>20</v>
      </c>
      <c r="AH35" s="48">
        <f t="shared" si="8"/>
        <v>18.3</v>
      </c>
      <c r="AI35" s="49">
        <f t="shared" si="9"/>
        <v>18.3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10.6</v>
      </c>
      <c r="C37" s="46">
        <v>10.6</v>
      </c>
      <c r="D37" s="46">
        <v>10.6</v>
      </c>
      <c r="E37" s="46">
        <v>9.8000000000000007</v>
      </c>
      <c r="F37" s="46">
        <v>9.8000000000000007</v>
      </c>
      <c r="G37" s="46">
        <v>9.8000000000000007</v>
      </c>
      <c r="H37" s="46">
        <v>9.8000000000000007</v>
      </c>
      <c r="I37" s="46">
        <v>9.8000000000000007</v>
      </c>
      <c r="J37" s="46">
        <v>9.8000000000000007</v>
      </c>
      <c r="K37" s="46">
        <v>9.8000000000000007</v>
      </c>
      <c r="L37" s="46">
        <v>9.8000000000000007</v>
      </c>
      <c r="M37" s="46">
        <v>9.8000000000000007</v>
      </c>
      <c r="N37" s="46">
        <v>9.8000000000000007</v>
      </c>
      <c r="O37" s="46">
        <v>9.8000000000000007</v>
      </c>
      <c r="P37" s="46">
        <v>9.8000000000000007</v>
      </c>
      <c r="Q37" s="46">
        <v>9.8000000000000007</v>
      </c>
      <c r="R37" s="46">
        <v>9.8000000000000007</v>
      </c>
      <c r="S37" s="46">
        <v>9.8000000000000007</v>
      </c>
      <c r="T37" s="46">
        <v>9.8000000000000007</v>
      </c>
      <c r="U37" s="46">
        <v>9.8000000000000007</v>
      </c>
      <c r="V37" s="46">
        <v>9.8000000000000007</v>
      </c>
      <c r="W37" s="46">
        <v>9.8000000000000007</v>
      </c>
      <c r="X37" s="46">
        <v>9.8000000000000007</v>
      </c>
      <c r="Y37" s="46">
        <v>9.8000000000000007</v>
      </c>
      <c r="Z37" s="46">
        <v>9.8000000000000007</v>
      </c>
      <c r="AA37" s="46">
        <v>9.8000000000000007</v>
      </c>
      <c r="AB37" s="46">
        <v>9.8000000000000007</v>
      </c>
      <c r="AC37" s="46">
        <v>9.8000000000000007</v>
      </c>
      <c r="AD37" s="46">
        <v>9.8000000000000007</v>
      </c>
      <c r="AE37" s="46">
        <v>9.8000000000000007</v>
      </c>
      <c r="AF37" s="46">
        <v>9.8000000000000007</v>
      </c>
      <c r="AG37" s="50">
        <v>18</v>
      </c>
      <c r="AH37" s="48">
        <f t="shared" si="8"/>
        <v>10.6</v>
      </c>
      <c r="AI37" s="49">
        <f t="shared" si="9"/>
        <v>9.8000000000000007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6.7</v>
      </c>
      <c r="C38" s="46">
        <v>6.7</v>
      </c>
      <c r="D38" s="46">
        <v>6.7</v>
      </c>
      <c r="E38" s="46">
        <v>6.7</v>
      </c>
      <c r="F38" s="46">
        <v>6.7</v>
      </c>
      <c r="G38" s="46">
        <v>6.7</v>
      </c>
      <c r="H38" s="46">
        <v>6.7</v>
      </c>
      <c r="I38" s="46">
        <v>6.7</v>
      </c>
      <c r="J38" s="46">
        <v>6.7</v>
      </c>
      <c r="K38" s="46">
        <v>6.7</v>
      </c>
      <c r="L38" s="46">
        <v>6.7</v>
      </c>
      <c r="M38" s="46">
        <v>6.7</v>
      </c>
      <c r="N38" s="46">
        <v>6.7</v>
      </c>
      <c r="O38" s="46">
        <v>6.7</v>
      </c>
      <c r="P38" s="46">
        <v>6.7</v>
      </c>
      <c r="Q38" s="46">
        <v>6.7</v>
      </c>
      <c r="R38" s="46">
        <v>6.7</v>
      </c>
      <c r="S38" s="46">
        <v>6.7</v>
      </c>
      <c r="T38" s="46">
        <v>6.7</v>
      </c>
      <c r="U38" s="46">
        <v>6.7</v>
      </c>
      <c r="V38" s="46">
        <v>6.7</v>
      </c>
      <c r="W38" s="46">
        <v>6.7</v>
      </c>
      <c r="X38" s="46">
        <v>6.7</v>
      </c>
      <c r="Y38" s="46">
        <v>6.7</v>
      </c>
      <c r="Z38" s="46">
        <v>6.7</v>
      </c>
      <c r="AA38" s="46">
        <v>6.7</v>
      </c>
      <c r="AB38" s="46">
        <v>6.7</v>
      </c>
      <c r="AC38" s="46">
        <v>6.7</v>
      </c>
      <c r="AD38" s="46">
        <v>6.7</v>
      </c>
      <c r="AE38" s="46">
        <v>6.7</v>
      </c>
      <c r="AF38" s="46">
        <v>6.7</v>
      </c>
      <c r="AG38" s="50">
        <v>14.9</v>
      </c>
      <c r="AH38" s="48">
        <f t="shared" si="8"/>
        <v>6.7</v>
      </c>
      <c r="AI38" s="49">
        <f t="shared" si="9"/>
        <v>6.7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5</v>
      </c>
      <c r="C41" s="46">
        <v>5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6">
        <v>5</v>
      </c>
      <c r="K41" s="46">
        <v>5</v>
      </c>
      <c r="L41" s="46">
        <v>5</v>
      </c>
      <c r="M41" s="46">
        <v>5</v>
      </c>
      <c r="N41" s="46">
        <v>5</v>
      </c>
      <c r="O41" s="46">
        <v>5</v>
      </c>
      <c r="P41" s="46">
        <v>5</v>
      </c>
      <c r="Q41" s="46">
        <v>5</v>
      </c>
      <c r="R41" s="46">
        <v>5</v>
      </c>
      <c r="S41" s="46">
        <v>5</v>
      </c>
      <c r="T41" s="46">
        <v>5</v>
      </c>
      <c r="U41" s="46">
        <v>5</v>
      </c>
      <c r="V41" s="46">
        <v>5</v>
      </c>
      <c r="W41" s="46">
        <v>5</v>
      </c>
      <c r="X41" s="46">
        <v>5</v>
      </c>
      <c r="Y41" s="46">
        <v>5</v>
      </c>
      <c r="Z41" s="46">
        <v>5</v>
      </c>
      <c r="AA41" s="46">
        <v>5</v>
      </c>
      <c r="AB41" s="46">
        <v>5</v>
      </c>
      <c r="AC41" s="46">
        <v>5</v>
      </c>
      <c r="AD41" s="46">
        <v>5</v>
      </c>
      <c r="AE41" s="46">
        <v>5</v>
      </c>
      <c r="AF41" s="46">
        <v>5</v>
      </c>
      <c r="AG41" s="50">
        <v>14.9</v>
      </c>
      <c r="AH41" s="48">
        <f t="shared" si="8"/>
        <v>5</v>
      </c>
      <c r="AI41" s="49">
        <f t="shared" si="9"/>
        <v>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12</v>
      </c>
      <c r="AH45" s="48">
        <f t="shared" si="8"/>
        <v>12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178">
        <v>0</v>
      </c>
      <c r="K48" s="178">
        <v>0</v>
      </c>
      <c r="L48" s="178">
        <v>0</v>
      </c>
      <c r="M48" s="178">
        <v>0</v>
      </c>
      <c r="N48" s="178">
        <v>0</v>
      </c>
      <c r="O48" s="178">
        <v>0</v>
      </c>
      <c r="P48" s="178">
        <v>0</v>
      </c>
      <c r="Q48" s="178">
        <v>0</v>
      </c>
      <c r="R48" s="178">
        <v>0</v>
      </c>
      <c r="S48" s="178">
        <v>0</v>
      </c>
      <c r="T48" s="178">
        <v>0</v>
      </c>
      <c r="U48" s="178">
        <v>0</v>
      </c>
      <c r="V48" s="178">
        <v>0</v>
      </c>
      <c r="W48" s="178">
        <v>0</v>
      </c>
      <c r="X48" s="178">
        <v>0</v>
      </c>
      <c r="Y48" s="178">
        <v>0</v>
      </c>
      <c r="Z48" s="178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6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1.89</v>
      </c>
      <c r="C50" s="46">
        <v>1.89</v>
      </c>
      <c r="D50" s="46">
        <v>1.89</v>
      </c>
      <c r="E50" s="46">
        <v>1.89</v>
      </c>
      <c r="F50" s="46">
        <v>1.89</v>
      </c>
      <c r="G50" s="46">
        <v>1.89</v>
      </c>
      <c r="H50" s="46">
        <v>1.89</v>
      </c>
      <c r="I50" s="46">
        <v>1.89</v>
      </c>
      <c r="J50" s="46">
        <v>1.89</v>
      </c>
      <c r="K50" s="46">
        <v>1.89</v>
      </c>
      <c r="L50" s="46">
        <v>1.89</v>
      </c>
      <c r="M50" s="46">
        <v>1.89</v>
      </c>
      <c r="N50" s="46">
        <v>1.89</v>
      </c>
      <c r="O50" s="46">
        <v>1.89</v>
      </c>
      <c r="P50" s="46">
        <v>1.89</v>
      </c>
      <c r="Q50" s="46">
        <v>1.89</v>
      </c>
      <c r="R50" s="46">
        <v>1.89</v>
      </c>
      <c r="S50" s="46">
        <v>1.89</v>
      </c>
      <c r="T50" s="46">
        <v>1.89</v>
      </c>
      <c r="U50" s="46">
        <v>1.89</v>
      </c>
      <c r="V50" s="46">
        <v>1.89</v>
      </c>
      <c r="W50" s="46">
        <v>1.89</v>
      </c>
      <c r="X50" s="46">
        <v>1.89</v>
      </c>
      <c r="Y50" s="46">
        <v>1.89</v>
      </c>
      <c r="Z50" s="46">
        <v>1.89</v>
      </c>
      <c r="AA50" s="46">
        <v>1.89</v>
      </c>
      <c r="AB50" s="46">
        <v>1.89</v>
      </c>
      <c r="AC50" s="46">
        <v>1.89</v>
      </c>
      <c r="AD50" s="46">
        <v>1.89</v>
      </c>
      <c r="AE50" s="46">
        <v>1.89</v>
      </c>
      <c r="AF50" s="46">
        <v>1.89</v>
      </c>
      <c r="AG50" s="66">
        <v>11</v>
      </c>
      <c r="AH50" s="48">
        <f t="shared" si="8"/>
        <v>1.89</v>
      </c>
      <c r="AI50" s="49">
        <f t="shared" si="9"/>
        <v>1.89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>
        <v>1.8</v>
      </c>
      <c r="T51" s="46">
        <v>1.8</v>
      </c>
      <c r="U51" s="46">
        <v>1.8</v>
      </c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65</v>
      </c>
      <c r="C57" s="68">
        <v>65</v>
      </c>
      <c r="D57" s="68">
        <v>65</v>
      </c>
      <c r="E57" s="68">
        <f>40.4+24.3</f>
        <v>64.7</v>
      </c>
      <c r="F57" s="68">
        <f>36.6+20.2</f>
        <v>56.8</v>
      </c>
      <c r="G57" s="68">
        <f>20.8+36</f>
        <v>56.8</v>
      </c>
      <c r="H57" s="68">
        <f>36.9+22.6</f>
        <v>59.5</v>
      </c>
      <c r="I57" s="68">
        <f>39.5+25.1</f>
        <v>64.599999999999994</v>
      </c>
      <c r="J57" s="68">
        <f>38.1+23.7</f>
        <v>61.8</v>
      </c>
      <c r="K57" s="68">
        <f>38.1+23.7</f>
        <v>61.8</v>
      </c>
      <c r="L57" s="68">
        <f>38.1+23.7</f>
        <v>61.8</v>
      </c>
      <c r="M57" s="53">
        <v>54.2</v>
      </c>
      <c r="N57" s="53"/>
      <c r="O57" s="53"/>
      <c r="P57" s="53"/>
      <c r="Q57" s="53"/>
      <c r="R57" s="53"/>
      <c r="S57" s="53"/>
      <c r="T57" s="53"/>
      <c r="U57" s="53">
        <v>57</v>
      </c>
      <c r="V57" s="53">
        <v>57</v>
      </c>
      <c r="W57" s="53">
        <v>57</v>
      </c>
      <c r="X57" s="53">
        <v>57</v>
      </c>
      <c r="Y57" s="53">
        <v>57</v>
      </c>
      <c r="Z57" s="53">
        <v>57</v>
      </c>
      <c r="AA57" s="68">
        <v>58.9</v>
      </c>
      <c r="AB57" s="68">
        <v>58.9</v>
      </c>
      <c r="AC57" s="68">
        <v>58.9</v>
      </c>
      <c r="AD57" s="68">
        <v>60</v>
      </c>
      <c r="AE57" s="68">
        <v>60</v>
      </c>
      <c r="AF57" s="68">
        <v>60</v>
      </c>
      <c r="AG57" s="66">
        <v>240</v>
      </c>
      <c r="AH57" s="48">
        <f t="shared" si="8"/>
        <v>65</v>
      </c>
      <c r="AI57" s="49">
        <f t="shared" si="9"/>
        <v>54.2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584.94000000000005</v>
      </c>
      <c r="C58" s="71">
        <f t="shared" si="22"/>
        <v>584.94000000000005</v>
      </c>
      <c r="D58" s="71">
        <f t="shared" si="22"/>
        <v>584.94000000000005</v>
      </c>
      <c r="E58" s="71">
        <f t="shared" si="22"/>
        <v>579.34</v>
      </c>
      <c r="F58" s="71">
        <f t="shared" si="22"/>
        <v>576.94000000000005</v>
      </c>
      <c r="G58" s="71">
        <f t="shared" si="22"/>
        <v>579.29</v>
      </c>
      <c r="H58" s="71">
        <f t="shared" si="22"/>
        <v>579.29</v>
      </c>
      <c r="I58" s="71">
        <f t="shared" si="22"/>
        <v>579.29</v>
      </c>
      <c r="J58" s="71">
        <f t="shared" si="22"/>
        <v>573.29</v>
      </c>
      <c r="K58" s="71">
        <f t="shared" si="22"/>
        <v>572.59</v>
      </c>
      <c r="L58" s="71">
        <f t="shared" si="22"/>
        <v>572.59</v>
      </c>
      <c r="M58" s="71">
        <f t="shared" si="22"/>
        <v>569.69000000000005</v>
      </c>
      <c r="N58" s="71">
        <f t="shared" si="22"/>
        <v>569.69000000000005</v>
      </c>
      <c r="O58" s="71">
        <f t="shared" si="22"/>
        <v>569.69000000000005</v>
      </c>
      <c r="P58" s="71">
        <f t="shared" si="22"/>
        <v>569.69000000000005</v>
      </c>
      <c r="Q58" s="71">
        <f t="shared" si="22"/>
        <v>569.69000000000005</v>
      </c>
      <c r="R58" s="71">
        <f t="shared" si="22"/>
        <v>569.69000000000005</v>
      </c>
      <c r="S58" s="71">
        <f t="shared" si="22"/>
        <v>569.69000000000005</v>
      </c>
      <c r="T58" s="71">
        <f t="shared" si="22"/>
        <v>569.69000000000005</v>
      </c>
      <c r="U58" s="71">
        <f t="shared" si="22"/>
        <v>569.69000000000005</v>
      </c>
      <c r="V58" s="71">
        <f t="shared" si="22"/>
        <v>569.69000000000005</v>
      </c>
      <c r="W58" s="71">
        <f t="shared" si="22"/>
        <v>569.69000000000005</v>
      </c>
      <c r="X58" s="71">
        <f t="shared" si="22"/>
        <v>569.69000000000005</v>
      </c>
      <c r="Y58" s="71">
        <f t="shared" si="22"/>
        <v>569.69000000000005</v>
      </c>
      <c r="Z58" s="71">
        <f t="shared" si="22"/>
        <v>569.69000000000005</v>
      </c>
      <c r="AA58" s="71">
        <f t="shared" si="22"/>
        <v>557.69000000000005</v>
      </c>
      <c r="AB58" s="71">
        <f t="shared" si="22"/>
        <v>557.69000000000005</v>
      </c>
      <c r="AC58" s="71">
        <f t="shared" si="22"/>
        <v>557.69000000000005</v>
      </c>
      <c r="AD58" s="71">
        <f t="shared" si="22"/>
        <v>557.69000000000005</v>
      </c>
      <c r="AE58" s="71">
        <f t="shared" si="22"/>
        <v>557.69000000000005</v>
      </c>
      <c r="AF58" s="71">
        <f t="shared" si="22"/>
        <v>557.69000000000005</v>
      </c>
      <c r="AG58" s="72">
        <f>SUM(AG14:AG56)</f>
        <v>1042.4000000000001</v>
      </c>
      <c r="AH58" s="48">
        <f t="shared" si="8"/>
        <v>584.94000000000005</v>
      </c>
      <c r="AI58" s="49">
        <f t="shared" si="9"/>
        <v>557.69000000000005</v>
      </c>
      <c r="AK58" s="51"/>
    </row>
    <row r="59" spans="1:88" x14ac:dyDescent="0.25">
      <c r="A59" s="73" t="s">
        <v>76</v>
      </c>
      <c r="B59" s="46">
        <v>233</v>
      </c>
      <c r="C59" s="46">
        <v>180</v>
      </c>
      <c r="D59" s="46">
        <v>120</v>
      </c>
      <c r="E59" s="46">
        <v>120.8</v>
      </c>
      <c r="F59" s="46">
        <v>120.8</v>
      </c>
      <c r="G59" s="46">
        <v>120.8</v>
      </c>
      <c r="H59" s="46">
        <v>140</v>
      </c>
      <c r="I59" s="46">
        <v>140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15</v>
      </c>
      <c r="R59" s="46">
        <v>15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283.5</v>
      </c>
      <c r="Z59" s="46">
        <v>344</v>
      </c>
      <c r="AA59" s="46">
        <v>403</v>
      </c>
      <c r="AB59" s="46">
        <v>374</v>
      </c>
      <c r="AC59" s="46">
        <v>319</v>
      </c>
      <c r="AD59" s="46">
        <v>300</v>
      </c>
      <c r="AE59" s="46">
        <v>280</v>
      </c>
      <c r="AF59" s="46">
        <v>233</v>
      </c>
      <c r="AG59" s="61">
        <v>456</v>
      </c>
      <c r="AH59" s="48">
        <f t="shared" si="8"/>
        <v>403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28</v>
      </c>
      <c r="C60" s="76">
        <v>28</v>
      </c>
      <c r="D60" s="76">
        <v>28</v>
      </c>
      <c r="E60" s="76">
        <v>25.6</v>
      </c>
      <c r="F60" s="76">
        <v>25.6</v>
      </c>
      <c r="G60" s="76">
        <v>24.7</v>
      </c>
      <c r="H60" s="76">
        <v>25.2</v>
      </c>
      <c r="I60" s="76">
        <v>25.5</v>
      </c>
      <c r="J60" s="76">
        <v>25.9</v>
      </c>
      <c r="K60" s="76">
        <v>25.9</v>
      </c>
      <c r="L60" s="76">
        <v>25.9</v>
      </c>
      <c r="M60" s="76">
        <v>24.9</v>
      </c>
      <c r="N60" s="76">
        <v>24.9</v>
      </c>
      <c r="O60" s="76">
        <v>24.9</v>
      </c>
      <c r="P60" s="76">
        <v>24.9</v>
      </c>
      <c r="Q60" s="76">
        <v>24.9</v>
      </c>
      <c r="R60" s="76">
        <v>24.9</v>
      </c>
      <c r="S60" s="76">
        <v>24.9</v>
      </c>
      <c r="T60" s="76">
        <v>24.9</v>
      </c>
      <c r="U60" s="76">
        <v>24.9</v>
      </c>
      <c r="V60" s="76">
        <v>24.9</v>
      </c>
      <c r="W60" s="76">
        <v>24.9</v>
      </c>
      <c r="X60" s="76">
        <v>24.9</v>
      </c>
      <c r="Y60" s="76">
        <v>24.9</v>
      </c>
      <c r="Z60" s="76">
        <v>24.9</v>
      </c>
      <c r="AA60" s="76">
        <v>24.9</v>
      </c>
      <c r="AB60" s="76">
        <v>25.1</v>
      </c>
      <c r="AC60" s="76">
        <v>25.1</v>
      </c>
      <c r="AD60" s="76">
        <v>25.1</v>
      </c>
      <c r="AE60" s="76">
        <v>25.1</v>
      </c>
      <c r="AF60" s="76">
        <v>25.1</v>
      </c>
      <c r="AG60" s="66">
        <v>60</v>
      </c>
      <c r="AH60" s="48">
        <f t="shared" si="8"/>
        <v>28</v>
      </c>
      <c r="AI60" s="49">
        <f t="shared" si="9"/>
        <v>24.7</v>
      </c>
      <c r="AK60" s="51"/>
    </row>
    <row r="61" spans="1:88" ht="15.75" thickBot="1" x14ac:dyDescent="0.3">
      <c r="A61" s="77" t="s">
        <v>78</v>
      </c>
      <c r="B61" s="78">
        <v>11.4</v>
      </c>
      <c r="C61" s="78">
        <v>11.4</v>
      </c>
      <c r="D61" s="78">
        <v>11.4</v>
      </c>
      <c r="E61" s="78">
        <v>22.4</v>
      </c>
      <c r="F61" s="78">
        <v>22.4</v>
      </c>
      <c r="G61" s="78">
        <v>22.4</v>
      </c>
      <c r="H61" s="78">
        <v>22.3</v>
      </c>
      <c r="I61" s="78">
        <v>22.3</v>
      </c>
      <c r="J61" s="78">
        <v>22.5</v>
      </c>
      <c r="K61" s="78">
        <v>22.5</v>
      </c>
      <c r="L61" s="78">
        <v>22.5</v>
      </c>
      <c r="M61" s="78">
        <v>22.4</v>
      </c>
      <c r="N61" s="78">
        <v>22.4</v>
      </c>
      <c r="O61" s="78">
        <v>22.4</v>
      </c>
      <c r="P61" s="78">
        <v>22.4</v>
      </c>
      <c r="Q61" s="78">
        <v>22.4</v>
      </c>
      <c r="R61" s="78">
        <v>22.4</v>
      </c>
      <c r="S61" s="78">
        <v>22.4</v>
      </c>
      <c r="T61" s="78">
        <v>22.4</v>
      </c>
      <c r="U61" s="78">
        <v>22.4</v>
      </c>
      <c r="V61" s="78">
        <v>22.4</v>
      </c>
      <c r="W61" s="78">
        <v>22.4</v>
      </c>
      <c r="X61" s="78">
        <v>22.4</v>
      </c>
      <c r="Y61" s="78">
        <v>22.4</v>
      </c>
      <c r="Z61" s="78">
        <v>22.4</v>
      </c>
      <c r="AA61" s="78">
        <v>20.6</v>
      </c>
      <c r="AB61" s="78">
        <v>20.6</v>
      </c>
      <c r="AC61" s="78">
        <v>20.6</v>
      </c>
      <c r="AD61" s="78">
        <v>20.6</v>
      </c>
      <c r="AE61" s="78">
        <v>20.6</v>
      </c>
      <c r="AF61" s="78">
        <v>20.6</v>
      </c>
      <c r="AG61" s="79">
        <v>22.1</v>
      </c>
      <c r="AH61" s="48">
        <f t="shared" si="8"/>
        <v>22.5</v>
      </c>
      <c r="AI61" s="49">
        <f t="shared" si="9"/>
        <v>11.4</v>
      </c>
      <c r="AK61" s="51"/>
    </row>
    <row r="62" spans="1:88" ht="15.75" thickBot="1" x14ac:dyDescent="0.3">
      <c r="A62" s="80" t="s">
        <v>79</v>
      </c>
      <c r="B62" s="71">
        <f>SUM(B59:B61)</f>
        <v>272.39999999999998</v>
      </c>
      <c r="C62" s="71">
        <f>SUM(C59:C61)</f>
        <v>219.4</v>
      </c>
      <c r="D62" s="71">
        <f>SUM(D59:D61)</f>
        <v>159.4</v>
      </c>
      <c r="E62" s="71">
        <f t="shared" ref="E62:AG62" si="23">SUM(E59:E61)</f>
        <v>168.8</v>
      </c>
      <c r="F62" s="71">
        <f t="shared" si="23"/>
        <v>168.8</v>
      </c>
      <c r="G62" s="71">
        <f t="shared" si="23"/>
        <v>167.9</v>
      </c>
      <c r="H62" s="71">
        <f t="shared" si="23"/>
        <v>187.5</v>
      </c>
      <c r="I62" s="71">
        <f t="shared" si="23"/>
        <v>187.8</v>
      </c>
      <c r="J62" s="71">
        <f t="shared" si="23"/>
        <v>48.4</v>
      </c>
      <c r="K62" s="71">
        <f>SUM(K59:K61)</f>
        <v>48.4</v>
      </c>
      <c r="L62" s="71">
        <f>SUM(L59:L61)</f>
        <v>48.4</v>
      </c>
      <c r="M62" s="71">
        <f t="shared" si="23"/>
        <v>47.3</v>
      </c>
      <c r="N62" s="71">
        <f t="shared" si="23"/>
        <v>47.3</v>
      </c>
      <c r="O62" s="71">
        <f t="shared" si="23"/>
        <v>47.3</v>
      </c>
      <c r="P62" s="71">
        <f t="shared" si="23"/>
        <v>47.3</v>
      </c>
      <c r="Q62" s="71">
        <f t="shared" si="23"/>
        <v>62.3</v>
      </c>
      <c r="R62" s="71">
        <f t="shared" si="23"/>
        <v>62.3</v>
      </c>
      <c r="S62" s="71">
        <f t="shared" ref="S62:AA62" si="24">SUM(S59:S61)</f>
        <v>47.3</v>
      </c>
      <c r="T62" s="71">
        <f t="shared" si="24"/>
        <v>47.3</v>
      </c>
      <c r="U62" s="71">
        <f t="shared" si="24"/>
        <v>47.3</v>
      </c>
      <c r="V62" s="71">
        <f t="shared" si="24"/>
        <v>47.3</v>
      </c>
      <c r="W62" s="71">
        <f t="shared" si="24"/>
        <v>47.3</v>
      </c>
      <c r="X62" s="71">
        <f t="shared" si="24"/>
        <v>47.3</v>
      </c>
      <c r="Y62" s="71">
        <f t="shared" si="24"/>
        <v>330.79999999999995</v>
      </c>
      <c r="Z62" s="71">
        <f t="shared" si="24"/>
        <v>391.29999999999995</v>
      </c>
      <c r="AA62" s="71">
        <f t="shared" si="24"/>
        <v>448.5</v>
      </c>
      <c r="AB62" s="71">
        <f t="shared" si="23"/>
        <v>419.70000000000005</v>
      </c>
      <c r="AC62" s="71">
        <f>SUM(AC59:AC61)</f>
        <v>364.70000000000005</v>
      </c>
      <c r="AD62" s="71">
        <f>SUM(AD59:AD61)</f>
        <v>345.70000000000005</v>
      </c>
      <c r="AE62" s="71">
        <f>SUM(AE59:AE61)</f>
        <v>325.70000000000005</v>
      </c>
      <c r="AF62" s="71">
        <f>SUM(AF59:AF61)</f>
        <v>278.70000000000005</v>
      </c>
      <c r="AG62" s="72">
        <f t="shared" si="23"/>
        <v>538.1</v>
      </c>
      <c r="AH62" s="48">
        <f t="shared" si="8"/>
        <v>448.5</v>
      </c>
      <c r="AI62" s="49">
        <f t="shared" si="9"/>
        <v>47.3</v>
      </c>
      <c r="AK62" s="51"/>
    </row>
    <row r="63" spans="1:88" x14ac:dyDescent="0.25">
      <c r="A63" s="45" t="s">
        <v>80</v>
      </c>
      <c r="B63" s="46">
        <v>120</v>
      </c>
      <c r="C63" s="46">
        <v>120</v>
      </c>
      <c r="D63" s="46">
        <v>120</v>
      </c>
      <c r="E63" s="46">
        <v>120</v>
      </c>
      <c r="F63" s="46">
        <v>120.6</v>
      </c>
      <c r="G63" s="46">
        <v>120</v>
      </c>
      <c r="H63" s="46">
        <v>130</v>
      </c>
      <c r="I63" s="46">
        <v>144.5</v>
      </c>
      <c r="J63" s="46">
        <v>144</v>
      </c>
      <c r="K63" s="46">
        <v>144</v>
      </c>
      <c r="L63" s="46">
        <v>144</v>
      </c>
      <c r="M63" s="46">
        <v>103.5</v>
      </c>
      <c r="N63" s="46">
        <v>90.6</v>
      </c>
      <c r="O63" s="46">
        <v>91</v>
      </c>
      <c r="P63" s="46">
        <v>91</v>
      </c>
      <c r="Q63" s="46">
        <v>91</v>
      </c>
      <c r="R63" s="46">
        <v>91</v>
      </c>
      <c r="S63" s="46">
        <v>90.9</v>
      </c>
      <c r="T63" s="46">
        <v>96.9</v>
      </c>
      <c r="U63" s="46">
        <v>97.6</v>
      </c>
      <c r="V63" s="46">
        <v>97.6</v>
      </c>
      <c r="W63" s="46">
        <v>97.6</v>
      </c>
      <c r="X63" s="46">
        <v>97.6</v>
      </c>
      <c r="Y63" s="46">
        <v>121.5</v>
      </c>
      <c r="Z63" s="46">
        <v>131.30000000000001</v>
      </c>
      <c r="AA63" s="46">
        <v>145.4</v>
      </c>
      <c r="AB63" s="46">
        <v>144.6</v>
      </c>
      <c r="AC63" s="46">
        <v>144.6</v>
      </c>
      <c r="AD63" s="46">
        <v>144</v>
      </c>
      <c r="AE63" s="46">
        <v>144</v>
      </c>
      <c r="AF63" s="46">
        <v>100</v>
      </c>
      <c r="AG63" s="61">
        <v>144</v>
      </c>
      <c r="AH63" s="48">
        <f t="shared" si="8"/>
        <v>145.4</v>
      </c>
      <c r="AI63" s="49">
        <f t="shared" si="9"/>
        <v>90.6</v>
      </c>
      <c r="AK63" s="51"/>
    </row>
    <row r="64" spans="1:88" x14ac:dyDescent="0.25">
      <c r="A64" s="65" t="s">
        <v>81</v>
      </c>
      <c r="B64" s="76">
        <v>60</v>
      </c>
      <c r="C64" s="76">
        <v>60</v>
      </c>
      <c r="D64" s="76">
        <v>50</v>
      </c>
      <c r="E64" s="76">
        <v>50</v>
      </c>
      <c r="F64" s="76">
        <v>50</v>
      </c>
      <c r="G64" s="76">
        <v>60</v>
      </c>
      <c r="H64" s="76">
        <v>69.400000000000006</v>
      </c>
      <c r="I64" s="76">
        <v>69.5</v>
      </c>
      <c r="J64" s="76">
        <v>68.5</v>
      </c>
      <c r="K64" s="76">
        <v>68.5</v>
      </c>
      <c r="L64" s="76">
        <v>68.5</v>
      </c>
      <c r="M64" s="76">
        <v>47.9</v>
      </c>
      <c r="N64" s="76">
        <v>69</v>
      </c>
      <c r="O64" s="76">
        <v>69.599999999999994</v>
      </c>
      <c r="P64" s="76">
        <v>69.599999999999994</v>
      </c>
      <c r="Q64" s="76">
        <v>69.599999999999994</v>
      </c>
      <c r="R64" s="76">
        <v>69.599999999999994</v>
      </c>
      <c r="S64" s="76">
        <v>60.9</v>
      </c>
      <c r="T64" s="76">
        <v>60.9</v>
      </c>
      <c r="U64" s="76">
        <v>45.9</v>
      </c>
      <c r="V64" s="76">
        <v>45.9</v>
      </c>
      <c r="W64" s="76">
        <v>45.9</v>
      </c>
      <c r="X64" s="76">
        <v>45.9</v>
      </c>
      <c r="Y64" s="76">
        <v>46.4</v>
      </c>
      <c r="Z64" s="76">
        <v>45.7</v>
      </c>
      <c r="AA64" s="46">
        <v>46</v>
      </c>
      <c r="AB64" s="46">
        <v>67.099999999999994</v>
      </c>
      <c r="AC64" s="46">
        <v>67.099999999999994</v>
      </c>
      <c r="AD64" s="46">
        <v>64</v>
      </c>
      <c r="AE64" s="46">
        <v>50</v>
      </c>
      <c r="AF64" s="46">
        <v>50</v>
      </c>
      <c r="AG64" s="66">
        <v>70</v>
      </c>
      <c r="AH64" s="48">
        <f t="shared" si="8"/>
        <v>69.599999999999994</v>
      </c>
      <c r="AI64" s="49">
        <f t="shared" si="9"/>
        <v>45.7</v>
      </c>
      <c r="AK64" s="51"/>
    </row>
    <row r="65" spans="1:75" x14ac:dyDescent="0.25">
      <c r="A65" s="65" t="s">
        <v>82</v>
      </c>
      <c r="B65" s="76">
        <v>51.4</v>
      </c>
      <c r="C65" s="76">
        <v>51.4</v>
      </c>
      <c r="D65" s="76">
        <v>60</v>
      </c>
      <c r="E65" s="76">
        <v>60</v>
      </c>
      <c r="F65" s="76">
        <v>51.9</v>
      </c>
      <c r="G65" s="76">
        <v>61.3</v>
      </c>
      <c r="H65" s="76">
        <v>61.3</v>
      </c>
      <c r="I65" s="76">
        <v>68.599999999999994</v>
      </c>
      <c r="J65" s="76">
        <v>52.1</v>
      </c>
      <c r="K65" s="76">
        <v>52.1</v>
      </c>
      <c r="L65" s="76">
        <v>52.1</v>
      </c>
      <c r="M65" s="76">
        <v>53.3</v>
      </c>
      <c r="N65" s="76">
        <v>45</v>
      </c>
      <c r="O65" s="76">
        <v>45.4</v>
      </c>
      <c r="P65" s="76">
        <v>45.4</v>
      </c>
      <c r="Q65" s="76">
        <v>45.4</v>
      </c>
      <c r="R65" s="76">
        <v>45.4</v>
      </c>
      <c r="S65" s="76">
        <v>45.4</v>
      </c>
      <c r="T65" s="76">
        <v>45.4</v>
      </c>
      <c r="U65" s="76">
        <v>45.8</v>
      </c>
      <c r="V65" s="76">
        <v>45.8</v>
      </c>
      <c r="W65" s="76">
        <v>45.8</v>
      </c>
      <c r="X65" s="76">
        <v>45.8</v>
      </c>
      <c r="Y65" s="76">
        <v>66.400000000000006</v>
      </c>
      <c r="Z65" s="76">
        <v>70.7</v>
      </c>
      <c r="AA65" s="46">
        <v>70.2</v>
      </c>
      <c r="AB65" s="46">
        <v>66.7</v>
      </c>
      <c r="AC65" s="46">
        <v>70</v>
      </c>
      <c r="AD65" s="46">
        <v>69</v>
      </c>
      <c r="AE65" s="46">
        <v>61</v>
      </c>
      <c r="AF65" s="46">
        <v>50</v>
      </c>
      <c r="AG65" s="66">
        <v>69</v>
      </c>
      <c r="AH65" s="48">
        <f t="shared" si="8"/>
        <v>70.7</v>
      </c>
      <c r="AI65" s="49">
        <f t="shared" si="9"/>
        <v>45</v>
      </c>
      <c r="AK65" s="51"/>
    </row>
    <row r="66" spans="1:75" x14ac:dyDescent="0.25">
      <c r="A66" s="65" t="s">
        <v>83</v>
      </c>
      <c r="B66" s="76">
        <v>60</v>
      </c>
      <c r="C66" s="76">
        <v>60</v>
      </c>
      <c r="D66" s="76">
        <v>60</v>
      </c>
      <c r="E66" s="76">
        <v>60</v>
      </c>
      <c r="F66" s="76">
        <v>60</v>
      </c>
      <c r="G66" s="76">
        <v>60</v>
      </c>
      <c r="H66" s="76">
        <v>60</v>
      </c>
      <c r="I66" s="76">
        <v>60.9</v>
      </c>
      <c r="J66" s="76">
        <v>60.9</v>
      </c>
      <c r="K66" s="76">
        <v>60.9</v>
      </c>
      <c r="L66" s="76">
        <v>60.9</v>
      </c>
      <c r="M66" s="76">
        <v>60.9</v>
      </c>
      <c r="N66" s="76">
        <v>60.9</v>
      </c>
      <c r="O66" s="76">
        <v>60.9</v>
      </c>
      <c r="P66" s="76">
        <v>60.9</v>
      </c>
      <c r="Q66" s="76">
        <v>60.9</v>
      </c>
      <c r="R66" s="76">
        <v>60.9</v>
      </c>
      <c r="S66" s="76">
        <v>60.9</v>
      </c>
      <c r="T66" s="76">
        <v>60.9</v>
      </c>
      <c r="U66" s="76">
        <v>60.9</v>
      </c>
      <c r="V66" s="76">
        <v>60.9</v>
      </c>
      <c r="W66" s="76">
        <v>60.9</v>
      </c>
      <c r="X66" s="76">
        <v>60.9</v>
      </c>
      <c r="Y66" s="76">
        <v>60.9</v>
      </c>
      <c r="Z66" s="76">
        <v>60.9</v>
      </c>
      <c r="AA66" s="46">
        <v>60.9</v>
      </c>
      <c r="AB66" s="46">
        <v>60.4</v>
      </c>
      <c r="AC66" s="46">
        <v>60.4</v>
      </c>
      <c r="AD66" s="46">
        <v>60.4</v>
      </c>
      <c r="AE66" s="46">
        <v>60.4</v>
      </c>
      <c r="AF66" s="46">
        <v>60.4</v>
      </c>
      <c r="AG66" s="66">
        <v>60</v>
      </c>
      <c r="AH66" s="48">
        <f t="shared" si="8"/>
        <v>60.9</v>
      </c>
      <c r="AI66" s="49">
        <f t="shared" si="9"/>
        <v>60</v>
      </c>
      <c r="AK66" s="51"/>
    </row>
    <row r="67" spans="1:75" x14ac:dyDescent="0.25">
      <c r="A67" s="65" t="s">
        <v>84</v>
      </c>
      <c r="B67" s="46">
        <v>15</v>
      </c>
      <c r="C67" s="46">
        <v>15</v>
      </c>
      <c r="D67" s="46">
        <v>15</v>
      </c>
      <c r="E67" s="46">
        <v>15</v>
      </c>
      <c r="F67" s="46">
        <v>10</v>
      </c>
      <c r="G67" s="46">
        <v>0</v>
      </c>
      <c r="H67" s="46">
        <v>15</v>
      </c>
      <c r="I67" s="46">
        <v>15</v>
      </c>
      <c r="J67" s="46">
        <v>15</v>
      </c>
      <c r="K67" s="46">
        <v>15</v>
      </c>
      <c r="L67" s="46">
        <v>15</v>
      </c>
      <c r="M67" s="76">
        <v>23.4</v>
      </c>
      <c r="N67" s="76">
        <v>23.4</v>
      </c>
      <c r="O67" s="76">
        <v>23.4</v>
      </c>
      <c r="P67" s="76">
        <v>23.4</v>
      </c>
      <c r="Q67" s="76">
        <v>23.4</v>
      </c>
      <c r="R67" s="76">
        <v>23.4</v>
      </c>
      <c r="S67" s="76">
        <v>13</v>
      </c>
      <c r="T67" s="76">
        <v>15.1</v>
      </c>
      <c r="U67" s="76">
        <v>15.1</v>
      </c>
      <c r="V67" s="76">
        <v>15.1</v>
      </c>
      <c r="W67" s="76">
        <v>15.1</v>
      </c>
      <c r="X67" s="76">
        <v>15.1</v>
      </c>
      <c r="Y67" s="76">
        <v>23</v>
      </c>
      <c r="Z67" s="76">
        <v>23</v>
      </c>
      <c r="AA67" s="46">
        <v>22.5</v>
      </c>
      <c r="AB67" s="46">
        <v>28.1</v>
      </c>
      <c r="AC67" s="46">
        <v>23</v>
      </c>
      <c r="AD67" s="46">
        <v>23</v>
      </c>
      <c r="AE67" s="46">
        <v>23</v>
      </c>
      <c r="AF67" s="46">
        <v>10</v>
      </c>
      <c r="AG67" s="66">
        <v>30</v>
      </c>
      <c r="AH67" s="48">
        <f t="shared" si="8"/>
        <v>28.1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1.9</v>
      </c>
      <c r="J68" s="46">
        <v>2.2000000000000002</v>
      </c>
      <c r="K68" s="46">
        <v>2.2000000000000002</v>
      </c>
      <c r="L68" s="46">
        <v>2.2000000000000002</v>
      </c>
      <c r="M68" s="76">
        <v>9.1999999999999993</v>
      </c>
      <c r="N68" s="76">
        <v>9.1999999999999993</v>
      </c>
      <c r="O68" s="76">
        <v>9.1999999999999993</v>
      </c>
      <c r="P68" s="76">
        <v>9.1999999999999993</v>
      </c>
      <c r="Q68" s="76">
        <v>9.1999999999999993</v>
      </c>
      <c r="R68" s="76">
        <v>9.1999999999999993</v>
      </c>
      <c r="S68" s="76">
        <v>6.6</v>
      </c>
      <c r="T68" s="76">
        <v>5.8</v>
      </c>
      <c r="U68" s="76">
        <v>2.6</v>
      </c>
      <c r="V68" s="76">
        <v>2.6</v>
      </c>
      <c r="W68" s="76">
        <v>2.6</v>
      </c>
      <c r="X68" s="76">
        <v>0.4</v>
      </c>
      <c r="Y68" s="76">
        <v>0</v>
      </c>
      <c r="Z68" s="7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9.1999999999999993</v>
      </c>
      <c r="AI68" s="49">
        <f t="shared" si="9"/>
        <v>0</v>
      </c>
      <c r="AK68" s="51"/>
      <c r="AY68" s="1" t="s">
        <v>86</v>
      </c>
      <c r="AZ68" s="82">
        <f>ROUND(C81,0)</f>
        <v>8</v>
      </c>
      <c r="BA68" s="81">
        <f t="shared" ref="BA68:BD72" si="25">D81</f>
        <v>5</v>
      </c>
      <c r="BB68" s="81">
        <f t="shared" si="25"/>
        <v>-2</v>
      </c>
      <c r="BC68" s="81">
        <f t="shared" si="25"/>
        <v>4</v>
      </c>
      <c r="BD68" s="81">
        <f t="shared" si="25"/>
        <v>16</v>
      </c>
      <c r="BE68" s="82">
        <f>I81</f>
        <v>28</v>
      </c>
      <c r="BF68" s="82">
        <f>K81</f>
        <v>42</v>
      </c>
      <c r="BG68" s="82">
        <f t="shared" ref="BG68:BP72" si="26">M81</f>
        <v>12.8</v>
      </c>
      <c r="BH68" s="82">
        <f t="shared" si="26"/>
        <v>13.9</v>
      </c>
      <c r="BI68" s="82">
        <f t="shared" si="26"/>
        <v>13.9</v>
      </c>
      <c r="BJ68" s="82">
        <f t="shared" si="26"/>
        <v>13.9</v>
      </c>
      <c r="BK68" s="82">
        <f t="shared" si="26"/>
        <v>30</v>
      </c>
      <c r="BL68" s="82">
        <f t="shared" si="26"/>
        <v>52</v>
      </c>
      <c r="BM68" s="82">
        <f t="shared" si="26"/>
        <v>61.4</v>
      </c>
      <c r="BN68" s="82">
        <f t="shared" si="26"/>
        <v>58.8</v>
      </c>
      <c r="BO68" s="82">
        <f t="shared" si="26"/>
        <v>60.5</v>
      </c>
      <c r="BP68" s="82">
        <f t="shared" si="26"/>
        <v>63.7</v>
      </c>
      <c r="BQ68" s="82">
        <f>X81</f>
        <v>61.9</v>
      </c>
      <c r="BR68" s="82">
        <f>Z81</f>
        <v>13.7</v>
      </c>
      <c r="BS68" s="81">
        <f>AB81</f>
        <v>33.1</v>
      </c>
      <c r="BT68" s="81">
        <f t="shared" ref="BT68:BV72" si="27">AD81</f>
        <v>34</v>
      </c>
      <c r="BU68" s="81">
        <f t="shared" si="27"/>
        <v>23</v>
      </c>
      <c r="BV68" s="81">
        <f t="shared" si="27"/>
        <v>23</v>
      </c>
      <c r="BW68" s="81">
        <f>B81</f>
        <v>-5</v>
      </c>
    </row>
    <row r="69" spans="1:75" x14ac:dyDescent="0.25">
      <c r="A69" s="65" t="s">
        <v>87</v>
      </c>
      <c r="B69" s="76">
        <v>13.2</v>
      </c>
      <c r="C69" s="76">
        <v>13.2</v>
      </c>
      <c r="D69" s="76">
        <v>13.2</v>
      </c>
      <c r="E69" s="76">
        <v>13.2</v>
      </c>
      <c r="F69" s="76">
        <v>13.2</v>
      </c>
      <c r="G69" s="76">
        <v>13.2</v>
      </c>
      <c r="H69" s="76">
        <v>13.2</v>
      </c>
      <c r="I69" s="76">
        <v>13.2</v>
      </c>
      <c r="J69" s="76">
        <v>13.2</v>
      </c>
      <c r="K69" s="76">
        <v>13.2</v>
      </c>
      <c r="L69" s="76">
        <v>13.2</v>
      </c>
      <c r="M69" s="76">
        <v>12.7</v>
      </c>
      <c r="N69" s="76">
        <v>12.7</v>
      </c>
      <c r="O69" s="76">
        <v>12.7</v>
      </c>
      <c r="P69" s="76">
        <v>12.7</v>
      </c>
      <c r="Q69" s="76">
        <v>12.7</v>
      </c>
      <c r="R69" s="76">
        <v>12.7</v>
      </c>
      <c r="S69" s="76">
        <v>12.7</v>
      </c>
      <c r="T69" s="76">
        <v>12.7</v>
      </c>
      <c r="U69" s="76">
        <v>12.7</v>
      </c>
      <c r="V69" s="76">
        <v>12.7</v>
      </c>
      <c r="W69" s="76">
        <v>12.7</v>
      </c>
      <c r="X69" s="76">
        <v>12.7</v>
      </c>
      <c r="Y69" s="76">
        <v>12.7</v>
      </c>
      <c r="Z69" s="76">
        <v>12.7</v>
      </c>
      <c r="AA69" s="76">
        <v>12.7</v>
      </c>
      <c r="AB69" s="76">
        <v>12.9</v>
      </c>
      <c r="AC69" s="76">
        <v>12.9</v>
      </c>
      <c r="AD69" s="76">
        <v>12.9</v>
      </c>
      <c r="AE69" s="76">
        <v>12.9</v>
      </c>
      <c r="AF69" s="76">
        <v>12.9</v>
      </c>
      <c r="AG69" s="66">
        <v>24</v>
      </c>
      <c r="AH69" s="48">
        <f t="shared" si="8"/>
        <v>13.2</v>
      </c>
      <c r="AI69" s="49">
        <f t="shared" si="9"/>
        <v>12.7</v>
      </c>
      <c r="AK69" s="51"/>
      <c r="AY69" s="1" t="s">
        <v>88</v>
      </c>
      <c r="AZ69" s="82">
        <f>ROUND(C82,0)</f>
        <v>0</v>
      </c>
      <c r="BA69" s="81">
        <f t="shared" si="25"/>
        <v>0</v>
      </c>
      <c r="BB69" s="81">
        <f t="shared" si="25"/>
        <v>0</v>
      </c>
      <c r="BC69" s="81">
        <f t="shared" si="25"/>
        <v>0</v>
      </c>
      <c r="BD69" s="81">
        <f t="shared" si="25"/>
        <v>0</v>
      </c>
      <c r="BE69" s="82">
        <f>I82</f>
        <v>0</v>
      </c>
      <c r="BF69" s="82">
        <f>K82</f>
        <v>0</v>
      </c>
      <c r="BG69" s="82">
        <f t="shared" si="26"/>
        <v>88.2</v>
      </c>
      <c r="BH69" s="82">
        <f t="shared" si="26"/>
        <v>109</v>
      </c>
      <c r="BI69" s="82">
        <f t="shared" si="26"/>
        <v>90</v>
      </c>
      <c r="BJ69" s="82">
        <f t="shared" si="26"/>
        <v>107</v>
      </c>
      <c r="BK69" s="82">
        <f t="shared" si="26"/>
        <v>110</v>
      </c>
      <c r="BL69" s="82">
        <f t="shared" si="26"/>
        <v>104</v>
      </c>
      <c r="BM69" s="82">
        <f t="shared" si="26"/>
        <v>98.9</v>
      </c>
      <c r="BN69" s="82">
        <f t="shared" si="26"/>
        <v>105.74</v>
      </c>
      <c r="BO69" s="82">
        <f t="shared" si="26"/>
        <v>106.4</v>
      </c>
      <c r="BP69" s="82">
        <f t="shared" si="26"/>
        <v>94.3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25</v>
      </c>
      <c r="BA70" s="81">
        <f t="shared" si="25"/>
        <v>30</v>
      </c>
      <c r="BB70" s="81">
        <f t="shared" si="25"/>
        <v>45</v>
      </c>
      <c r="BC70" s="81">
        <f t="shared" si="25"/>
        <v>58</v>
      </c>
      <c r="BD70" s="81">
        <f t="shared" si="25"/>
        <v>53.5</v>
      </c>
      <c r="BE70" s="82">
        <f>I83</f>
        <v>50</v>
      </c>
      <c r="BF70" s="82">
        <f>K83</f>
        <v>250</v>
      </c>
      <c r="BG70" s="82">
        <f t="shared" si="26"/>
        <v>276</v>
      </c>
      <c r="BH70" s="82">
        <f t="shared" si="26"/>
        <v>330</v>
      </c>
      <c r="BI70" s="82">
        <f t="shared" si="26"/>
        <v>310</v>
      </c>
      <c r="BJ70" s="82">
        <f t="shared" si="26"/>
        <v>340</v>
      </c>
      <c r="BK70" s="82">
        <f t="shared" si="26"/>
        <v>330</v>
      </c>
      <c r="BL70" s="82">
        <f t="shared" si="26"/>
        <v>353</v>
      </c>
      <c r="BM70" s="82">
        <f t="shared" si="26"/>
        <v>347</v>
      </c>
      <c r="BN70" s="82">
        <f t="shared" si="26"/>
        <v>384.3</v>
      </c>
      <c r="BO70" s="82">
        <f t="shared" si="26"/>
        <v>382.5</v>
      </c>
      <c r="BP70" s="82">
        <f t="shared" si="26"/>
        <v>372.3</v>
      </c>
      <c r="BQ70" s="82">
        <f>X83</f>
        <v>286.60000000000002</v>
      </c>
      <c r="BR70" s="82">
        <f>Z83</f>
        <v>57.9</v>
      </c>
      <c r="BS70" s="81">
        <f>AB83</f>
        <v>25.6</v>
      </c>
      <c r="BT70" s="81">
        <f t="shared" si="27"/>
        <v>37</v>
      </c>
      <c r="BU70" s="81">
        <f t="shared" si="27"/>
        <v>40</v>
      </c>
      <c r="BV70" s="81">
        <f t="shared" si="27"/>
        <v>30</v>
      </c>
      <c r="BW70" s="81">
        <f>B83</f>
        <v>0</v>
      </c>
    </row>
    <row r="71" spans="1:75" s="83" customFormat="1" x14ac:dyDescent="0.25">
      <c r="A71" s="65" t="s">
        <v>91</v>
      </c>
      <c r="B71" s="76">
        <v>8.8000000000000007</v>
      </c>
      <c r="C71" s="76">
        <v>8.8000000000000007</v>
      </c>
      <c r="D71" s="76">
        <v>8.8000000000000007</v>
      </c>
      <c r="E71" s="76">
        <v>8.8000000000000007</v>
      </c>
      <c r="F71" s="76">
        <v>8.8000000000000007</v>
      </c>
      <c r="G71" s="76">
        <v>8.8000000000000007</v>
      </c>
      <c r="H71" s="76">
        <v>8.8000000000000007</v>
      </c>
      <c r="I71" s="76">
        <v>8.8000000000000007</v>
      </c>
      <c r="J71" s="76">
        <v>8.8000000000000007</v>
      </c>
      <c r="K71" s="76">
        <v>8.8000000000000007</v>
      </c>
      <c r="L71" s="76">
        <v>8.8000000000000007</v>
      </c>
      <c r="M71" s="76">
        <v>9</v>
      </c>
      <c r="N71" s="76">
        <v>9</v>
      </c>
      <c r="O71" s="76">
        <v>9</v>
      </c>
      <c r="P71" s="76">
        <v>9</v>
      </c>
      <c r="Q71" s="76">
        <v>9</v>
      </c>
      <c r="R71" s="76">
        <v>9</v>
      </c>
      <c r="S71" s="76">
        <v>9</v>
      </c>
      <c r="T71" s="76">
        <v>9</v>
      </c>
      <c r="U71" s="76">
        <v>9</v>
      </c>
      <c r="V71" s="76">
        <v>9</v>
      </c>
      <c r="W71" s="76">
        <v>9</v>
      </c>
      <c r="X71" s="76">
        <v>9</v>
      </c>
      <c r="Y71" s="76">
        <v>9</v>
      </c>
      <c r="Z71" s="76">
        <v>9</v>
      </c>
      <c r="AA71" s="76">
        <v>9</v>
      </c>
      <c r="AB71" s="76">
        <v>11.4</v>
      </c>
      <c r="AC71" s="76">
        <v>11.4</v>
      </c>
      <c r="AD71" s="76">
        <v>11.4</v>
      </c>
      <c r="AE71" s="76">
        <v>11.4</v>
      </c>
      <c r="AF71" s="76">
        <v>11.4</v>
      </c>
      <c r="AG71" s="66">
        <v>14.1</v>
      </c>
      <c r="AH71" s="48">
        <f t="shared" si="8"/>
        <v>11.4</v>
      </c>
      <c r="AI71" s="49">
        <f t="shared" si="9"/>
        <v>8.8000000000000007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5"/>
        <v>0</v>
      </c>
      <c r="BB71" s="81">
        <f t="shared" si="25"/>
        <v>0</v>
      </c>
      <c r="BC71" s="81">
        <f t="shared" si="25"/>
        <v>0</v>
      </c>
      <c r="BD71" s="81">
        <f t="shared" si="25"/>
        <v>0</v>
      </c>
      <c r="BE71" s="82">
        <f>I84</f>
        <v>0</v>
      </c>
      <c r="BF71" s="82">
        <f>K84</f>
        <v>50.8</v>
      </c>
      <c r="BG71" s="82">
        <f t="shared" si="26"/>
        <v>48.6</v>
      </c>
      <c r="BH71" s="82">
        <f t="shared" si="26"/>
        <v>51</v>
      </c>
      <c r="BI71" s="82">
        <f t="shared" si="26"/>
        <v>51</v>
      </c>
      <c r="BJ71" s="82">
        <f t="shared" si="26"/>
        <v>49</v>
      </c>
      <c r="BK71" s="82">
        <f t="shared" si="26"/>
        <v>51</v>
      </c>
      <c r="BL71" s="82">
        <f t="shared" si="26"/>
        <v>48</v>
      </c>
      <c r="BM71" s="82">
        <f t="shared" si="26"/>
        <v>48.6</v>
      </c>
      <c r="BN71" s="82">
        <f t="shared" si="26"/>
        <v>45.4</v>
      </c>
      <c r="BO71" s="82">
        <f t="shared" si="26"/>
        <v>49.8</v>
      </c>
      <c r="BP71" s="82">
        <f t="shared" si="26"/>
        <v>52.8</v>
      </c>
      <c r="BQ71" s="82">
        <f>X84</f>
        <v>47.9</v>
      </c>
      <c r="BR71" s="82">
        <f>Z84</f>
        <v>0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10.6</v>
      </c>
      <c r="C72" s="76">
        <v>10.6</v>
      </c>
      <c r="D72" s="76">
        <v>10.6</v>
      </c>
      <c r="E72" s="76">
        <v>10.6</v>
      </c>
      <c r="F72" s="76">
        <v>10.6</v>
      </c>
      <c r="G72" s="76">
        <v>10.6</v>
      </c>
      <c r="H72" s="76">
        <v>10.6</v>
      </c>
      <c r="I72" s="76">
        <v>10.6</v>
      </c>
      <c r="J72" s="76">
        <v>10.6</v>
      </c>
      <c r="K72" s="76">
        <v>10.6</v>
      </c>
      <c r="L72" s="76">
        <v>10.6</v>
      </c>
      <c r="M72" s="76">
        <v>9.3000000000000007</v>
      </c>
      <c r="N72" s="76">
        <v>9.3000000000000007</v>
      </c>
      <c r="O72" s="76">
        <v>9.3000000000000007</v>
      </c>
      <c r="P72" s="76">
        <v>9.3000000000000007</v>
      </c>
      <c r="Q72" s="76">
        <v>9.3000000000000007</v>
      </c>
      <c r="R72" s="76">
        <v>9.3000000000000007</v>
      </c>
      <c r="S72" s="76">
        <v>9.3000000000000007</v>
      </c>
      <c r="T72" s="76">
        <v>9.3000000000000007</v>
      </c>
      <c r="U72" s="76">
        <v>9.3000000000000007</v>
      </c>
      <c r="V72" s="76">
        <v>9.3000000000000007</v>
      </c>
      <c r="W72" s="76">
        <v>9.3000000000000007</v>
      </c>
      <c r="X72" s="76">
        <v>9.3000000000000007</v>
      </c>
      <c r="Y72" s="76">
        <v>9.3000000000000007</v>
      </c>
      <c r="Z72" s="76">
        <v>9.3000000000000007</v>
      </c>
      <c r="AA72" s="76">
        <v>9.3000000000000007</v>
      </c>
      <c r="AB72" s="76">
        <v>10</v>
      </c>
      <c r="AC72" s="76">
        <v>10</v>
      </c>
      <c r="AD72" s="76">
        <v>10</v>
      </c>
      <c r="AE72" s="76">
        <v>10</v>
      </c>
      <c r="AF72" s="76">
        <v>10</v>
      </c>
      <c r="AG72" s="66">
        <v>14</v>
      </c>
      <c r="AH72" s="48">
        <f t="shared" si="8"/>
        <v>10.6</v>
      </c>
      <c r="AI72" s="49">
        <f t="shared" si="9"/>
        <v>9.3000000000000007</v>
      </c>
      <c r="AK72" s="51"/>
      <c r="AY72" s="1" t="s">
        <v>94</v>
      </c>
      <c r="AZ72" s="82">
        <f>ROUND(C85,0)</f>
        <v>0</v>
      </c>
      <c r="BA72" s="81">
        <f t="shared" si="25"/>
        <v>0</v>
      </c>
      <c r="BB72" s="81">
        <f t="shared" si="25"/>
        <v>0</v>
      </c>
      <c r="BC72" s="81">
        <f t="shared" si="25"/>
        <v>0</v>
      </c>
      <c r="BD72" s="81">
        <f t="shared" si="25"/>
        <v>0</v>
      </c>
      <c r="BE72" s="82">
        <f>I85</f>
        <v>0</v>
      </c>
      <c r="BF72" s="82">
        <f>K85</f>
        <v>132.19999999999999</v>
      </c>
      <c r="BG72" s="82">
        <f t="shared" si="26"/>
        <v>130.80000000000001</v>
      </c>
      <c r="BH72" s="82">
        <f t="shared" si="26"/>
        <v>134</v>
      </c>
      <c r="BI72" s="82">
        <f t="shared" si="26"/>
        <v>134</v>
      </c>
      <c r="BJ72" s="82">
        <f t="shared" si="26"/>
        <v>129</v>
      </c>
      <c r="BK72" s="82">
        <f t="shared" si="26"/>
        <v>128</v>
      </c>
      <c r="BL72" s="82">
        <f t="shared" si="26"/>
        <v>49</v>
      </c>
      <c r="BM72" s="82">
        <f t="shared" si="26"/>
        <v>137</v>
      </c>
      <c r="BN72" s="82">
        <f t="shared" si="26"/>
        <v>130.4</v>
      </c>
      <c r="BO72" s="82">
        <f t="shared" si="26"/>
        <v>101</v>
      </c>
      <c r="BP72" s="82">
        <f t="shared" si="26"/>
        <v>123.4</v>
      </c>
      <c r="BQ72" s="82">
        <f>X85</f>
        <v>91.3</v>
      </c>
      <c r="BR72" s="82">
        <f>Z85</f>
        <v>0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0</v>
      </c>
      <c r="BC73" s="82">
        <f>F91</f>
        <v>0</v>
      </c>
      <c r="BD73" s="82">
        <f>G91</f>
        <v>0</v>
      </c>
      <c r="BE73" s="82">
        <f>I91</f>
        <v>0</v>
      </c>
      <c r="BF73" s="82">
        <f>K91</f>
        <v>0</v>
      </c>
      <c r="BG73" s="82">
        <f t="shared" ref="BG73:BP73" si="28">M91</f>
        <v>52.1</v>
      </c>
      <c r="BH73" s="82">
        <f t="shared" si="28"/>
        <v>51</v>
      </c>
      <c r="BI73" s="82">
        <f t="shared" si="28"/>
        <v>51</v>
      </c>
      <c r="BJ73" s="82">
        <f t="shared" si="28"/>
        <v>51</v>
      </c>
      <c r="BK73" s="82">
        <f t="shared" si="28"/>
        <v>51</v>
      </c>
      <c r="BL73" s="82">
        <f t="shared" si="28"/>
        <v>52</v>
      </c>
      <c r="BM73" s="82">
        <f t="shared" si="28"/>
        <v>57.6</v>
      </c>
      <c r="BN73" s="82">
        <f t="shared" si="28"/>
        <v>58.2</v>
      </c>
      <c r="BO73" s="82">
        <f t="shared" si="28"/>
        <v>43.5</v>
      </c>
      <c r="BP73" s="82">
        <f t="shared" si="28"/>
        <v>51.1</v>
      </c>
      <c r="BQ73" s="82">
        <f>X91</f>
        <v>41.1</v>
      </c>
      <c r="BR73" s="82">
        <f>Z91</f>
        <v>46.9</v>
      </c>
      <c r="BS73" s="82">
        <f>AB91</f>
        <v>43.8</v>
      </c>
      <c r="BT73" s="82">
        <f>AD91</f>
        <v>43.8</v>
      </c>
      <c r="BU73" s="82">
        <f>AE91</f>
        <v>43.8</v>
      </c>
      <c r="BV73" s="82">
        <f>AF91</f>
        <v>47</v>
      </c>
      <c r="BW73" s="82">
        <f>B91</f>
        <v>0</v>
      </c>
    </row>
    <row r="74" spans="1:75" x14ac:dyDescent="0.25">
      <c r="A74" s="65" t="s">
        <v>97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66">
        <v>6.2</v>
      </c>
      <c r="AH74" s="48">
        <f t="shared" si="8"/>
        <v>0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3.54</v>
      </c>
      <c r="Z75" s="85">
        <v>3.54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2">
        <f t="shared" ref="AZ75:BW80" si="29">VALUE(AZ68)</f>
        <v>8</v>
      </c>
      <c r="BA75" s="82">
        <f t="shared" si="29"/>
        <v>5</v>
      </c>
      <c r="BB75" s="82">
        <f t="shared" si="29"/>
        <v>-2</v>
      </c>
      <c r="BC75" s="82">
        <f t="shared" si="29"/>
        <v>4</v>
      </c>
      <c r="BD75" s="82">
        <f t="shared" si="29"/>
        <v>16</v>
      </c>
      <c r="BE75" s="82">
        <f t="shared" si="29"/>
        <v>28</v>
      </c>
      <c r="BF75" s="82">
        <f t="shared" si="29"/>
        <v>42</v>
      </c>
      <c r="BG75" s="82">
        <f t="shared" si="29"/>
        <v>12.8</v>
      </c>
      <c r="BH75" s="82">
        <f t="shared" si="29"/>
        <v>13.9</v>
      </c>
      <c r="BI75" s="82">
        <f t="shared" si="29"/>
        <v>13.9</v>
      </c>
      <c r="BJ75" s="82">
        <f t="shared" si="29"/>
        <v>13.9</v>
      </c>
      <c r="BK75" s="82">
        <f t="shared" si="29"/>
        <v>30</v>
      </c>
      <c r="BL75" s="82">
        <f t="shared" si="29"/>
        <v>52</v>
      </c>
      <c r="BM75" s="82">
        <f t="shared" si="29"/>
        <v>61.4</v>
      </c>
      <c r="BN75" s="82">
        <f t="shared" si="29"/>
        <v>58.8</v>
      </c>
      <c r="BO75" s="82">
        <f t="shared" si="29"/>
        <v>60.5</v>
      </c>
      <c r="BP75" s="82">
        <f t="shared" si="29"/>
        <v>63.7</v>
      </c>
      <c r="BQ75" s="82">
        <f t="shared" si="29"/>
        <v>61.9</v>
      </c>
      <c r="BR75" s="82">
        <f t="shared" si="29"/>
        <v>13.7</v>
      </c>
      <c r="BS75" s="82">
        <f t="shared" si="29"/>
        <v>33.1</v>
      </c>
      <c r="BT75" s="82">
        <f t="shared" si="29"/>
        <v>34</v>
      </c>
      <c r="BU75" s="82">
        <f t="shared" si="29"/>
        <v>23</v>
      </c>
      <c r="BV75" s="82">
        <f t="shared" si="29"/>
        <v>23</v>
      </c>
      <c r="BW75" s="82">
        <f t="shared" si="29"/>
        <v>-5</v>
      </c>
    </row>
    <row r="76" spans="1:75" ht="15.75" thickBot="1" x14ac:dyDescent="0.3">
      <c r="A76" s="87" t="s">
        <v>99</v>
      </c>
      <c r="B76" s="71">
        <f>SUM(B63:B75)</f>
        <v>347.04</v>
      </c>
      <c r="C76" s="71">
        <f>SUM(C63:C75)</f>
        <v>347.04</v>
      </c>
      <c r="D76" s="71">
        <f>SUM(D63:D75)</f>
        <v>345.64000000000004</v>
      </c>
      <c r="E76" s="71">
        <f t="shared" ref="E76:AG76" si="30">SUM(E63:E75)</f>
        <v>345.64000000000004</v>
      </c>
      <c r="F76" s="71">
        <f t="shared" si="30"/>
        <v>333.14000000000004</v>
      </c>
      <c r="G76" s="71">
        <f t="shared" si="30"/>
        <v>341.94000000000005</v>
      </c>
      <c r="H76" s="71">
        <f t="shared" si="30"/>
        <v>376.34000000000003</v>
      </c>
      <c r="I76" s="71">
        <f t="shared" si="30"/>
        <v>401.04</v>
      </c>
      <c r="J76" s="71">
        <f t="shared" si="30"/>
        <v>383.34000000000003</v>
      </c>
      <c r="K76" s="71">
        <f t="shared" si="30"/>
        <v>383.34000000000003</v>
      </c>
      <c r="L76" s="71">
        <f t="shared" si="30"/>
        <v>383.34000000000003</v>
      </c>
      <c r="M76" s="71">
        <f t="shared" si="30"/>
        <v>337.23999999999995</v>
      </c>
      <c r="N76" s="71">
        <f t="shared" si="30"/>
        <v>337.14</v>
      </c>
      <c r="O76" s="71">
        <f t="shared" si="30"/>
        <v>338.53999999999996</v>
      </c>
      <c r="P76" s="71">
        <f t="shared" si="30"/>
        <v>338.53999999999996</v>
      </c>
      <c r="Q76" s="71">
        <f t="shared" si="30"/>
        <v>338.53999999999996</v>
      </c>
      <c r="R76" s="71">
        <f t="shared" si="30"/>
        <v>338.53999999999996</v>
      </c>
      <c r="S76" s="71">
        <f t="shared" ref="S76:AA76" si="31">SUM(S63:S75)</f>
        <v>316.74000000000007</v>
      </c>
      <c r="T76" s="71">
        <f t="shared" si="31"/>
        <v>324.04000000000008</v>
      </c>
      <c r="U76" s="71">
        <f t="shared" si="31"/>
        <v>306.94000000000005</v>
      </c>
      <c r="V76" s="71">
        <f t="shared" si="31"/>
        <v>306.94000000000005</v>
      </c>
      <c r="W76" s="71">
        <f t="shared" si="31"/>
        <v>306.94000000000005</v>
      </c>
      <c r="X76" s="71">
        <f t="shared" si="31"/>
        <v>304.74</v>
      </c>
      <c r="Y76" s="71">
        <f t="shared" si="31"/>
        <v>357.24</v>
      </c>
      <c r="Z76" s="71">
        <f t="shared" si="31"/>
        <v>370.64</v>
      </c>
      <c r="AA76" s="71">
        <f t="shared" si="31"/>
        <v>384.04</v>
      </c>
      <c r="AB76" s="71">
        <f t="shared" si="30"/>
        <v>409.23999999999995</v>
      </c>
      <c r="AC76" s="71">
        <f>SUM(AC63:AC75)</f>
        <v>407.43999999999994</v>
      </c>
      <c r="AD76" s="71">
        <f>SUM(AD63:AD75)</f>
        <v>402.73999999999995</v>
      </c>
      <c r="AE76" s="71">
        <f>SUM(AE63:AE75)</f>
        <v>380.73999999999995</v>
      </c>
      <c r="AF76" s="71">
        <f>SUM(AF63:AF75)</f>
        <v>312.73999999999995</v>
      </c>
      <c r="AG76" s="72">
        <f t="shared" si="30"/>
        <v>489.91</v>
      </c>
      <c r="AH76" s="48">
        <f t="shared" si="8"/>
        <v>409.23999999999995</v>
      </c>
      <c r="AI76" s="49">
        <f t="shared" si="9"/>
        <v>304.74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0</v>
      </c>
      <c r="BG76" s="82">
        <f t="shared" si="29"/>
        <v>88.2</v>
      </c>
      <c r="BH76" s="82">
        <f t="shared" si="29"/>
        <v>109</v>
      </c>
      <c r="BI76" s="82">
        <f t="shared" si="29"/>
        <v>90</v>
      </c>
      <c r="BJ76" s="82">
        <f t="shared" si="29"/>
        <v>107</v>
      </c>
      <c r="BK76" s="82">
        <f t="shared" si="29"/>
        <v>110</v>
      </c>
      <c r="BL76" s="82">
        <f t="shared" si="29"/>
        <v>104</v>
      </c>
      <c r="BM76" s="82">
        <f t="shared" si="29"/>
        <v>98.9</v>
      </c>
      <c r="BN76" s="82">
        <f t="shared" si="29"/>
        <v>105.74</v>
      </c>
      <c r="BO76" s="82">
        <f t="shared" si="29"/>
        <v>106.4</v>
      </c>
      <c r="BP76" s="82">
        <f t="shared" si="29"/>
        <v>94.3</v>
      </c>
      <c r="BQ76" s="82">
        <f t="shared" si="29"/>
        <v>0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/>
      <c r="F77" s="46"/>
      <c r="G77" s="46"/>
      <c r="H77" s="46"/>
      <c r="I77" s="46"/>
      <c r="J77" s="46"/>
      <c r="K77" s="46"/>
      <c r="L77" s="46">
        <v>30</v>
      </c>
      <c r="M77" s="46">
        <v>0</v>
      </c>
      <c r="N77" s="46">
        <v>30</v>
      </c>
      <c r="O77" s="46">
        <v>0</v>
      </c>
      <c r="P77" s="46">
        <v>0</v>
      </c>
      <c r="Q77" s="46">
        <v>15</v>
      </c>
      <c r="R77" s="46">
        <v>30</v>
      </c>
      <c r="S77" s="46">
        <v>30.4</v>
      </c>
      <c r="T77" s="46">
        <v>25</v>
      </c>
      <c r="U77" s="46">
        <v>29.7</v>
      </c>
      <c r="V77" s="46">
        <v>29.7</v>
      </c>
      <c r="W77" s="46">
        <v>29.7</v>
      </c>
      <c r="X77" s="46">
        <v>19.899999999999999</v>
      </c>
      <c r="Y77" s="46">
        <v>29.7</v>
      </c>
      <c r="Z77" s="46">
        <v>44.3</v>
      </c>
      <c r="AA77" s="46">
        <v>55.2</v>
      </c>
      <c r="AB77" s="46">
        <v>54.7</v>
      </c>
      <c r="AC77" s="46">
        <v>54.7</v>
      </c>
      <c r="AD77" s="46">
        <v>60</v>
      </c>
      <c r="AE77" s="46">
        <v>60</v>
      </c>
      <c r="AF77" s="46">
        <v>60</v>
      </c>
      <c r="AG77" s="61">
        <v>60</v>
      </c>
      <c r="AH77" s="48">
        <f t="shared" si="8"/>
        <v>60</v>
      </c>
      <c r="AI77" s="49">
        <f t="shared" si="9"/>
        <v>0</v>
      </c>
      <c r="AK77" s="51"/>
      <c r="AZ77" s="82">
        <f t="shared" si="29"/>
        <v>25</v>
      </c>
      <c r="BA77" s="82">
        <f t="shared" si="29"/>
        <v>30</v>
      </c>
      <c r="BB77" s="82">
        <f t="shared" si="29"/>
        <v>45</v>
      </c>
      <c r="BC77" s="82">
        <f t="shared" si="29"/>
        <v>58</v>
      </c>
      <c r="BD77" s="82">
        <f t="shared" si="29"/>
        <v>53.5</v>
      </c>
      <c r="BE77" s="82">
        <f t="shared" si="29"/>
        <v>50</v>
      </c>
      <c r="BF77" s="82">
        <f t="shared" si="29"/>
        <v>250</v>
      </c>
      <c r="BG77" s="82">
        <f t="shared" si="29"/>
        <v>276</v>
      </c>
      <c r="BH77" s="82">
        <f t="shared" si="29"/>
        <v>330</v>
      </c>
      <c r="BI77" s="82">
        <f t="shared" si="29"/>
        <v>310</v>
      </c>
      <c r="BJ77" s="82">
        <f t="shared" si="29"/>
        <v>340</v>
      </c>
      <c r="BK77" s="82">
        <f t="shared" si="29"/>
        <v>330</v>
      </c>
      <c r="BL77" s="82">
        <f t="shared" si="29"/>
        <v>353</v>
      </c>
      <c r="BM77" s="82">
        <f t="shared" si="29"/>
        <v>347</v>
      </c>
      <c r="BN77" s="82">
        <f t="shared" si="29"/>
        <v>384.3</v>
      </c>
      <c r="BO77" s="82">
        <f t="shared" si="29"/>
        <v>382.5</v>
      </c>
      <c r="BP77" s="82">
        <f t="shared" si="29"/>
        <v>372.3</v>
      </c>
      <c r="BQ77" s="82">
        <f t="shared" si="29"/>
        <v>286.60000000000002</v>
      </c>
      <c r="BR77" s="82">
        <f t="shared" si="29"/>
        <v>57.9</v>
      </c>
      <c r="BS77" s="82">
        <f t="shared" si="29"/>
        <v>25.6</v>
      </c>
      <c r="BT77" s="82">
        <f t="shared" si="29"/>
        <v>37</v>
      </c>
      <c r="BU77" s="82">
        <f t="shared" si="29"/>
        <v>40</v>
      </c>
      <c r="BV77" s="82">
        <f t="shared" si="29"/>
        <v>30</v>
      </c>
      <c r="BW77" s="82">
        <f t="shared" si="29"/>
        <v>0</v>
      </c>
    </row>
    <row r="78" spans="1:75" x14ac:dyDescent="0.25">
      <c r="A78" s="65" t="s">
        <v>101</v>
      </c>
      <c r="B78" s="76">
        <v>0</v>
      </c>
      <c r="C78" s="76">
        <v>0</v>
      </c>
      <c r="D78" s="76">
        <v>0</v>
      </c>
      <c r="E78" s="76"/>
      <c r="F78" s="76"/>
      <c r="G78" s="76"/>
      <c r="H78" s="76"/>
      <c r="I78" s="76"/>
      <c r="J78" s="76"/>
      <c r="K78" s="76"/>
      <c r="L78" s="76">
        <v>12.2</v>
      </c>
      <c r="M78" s="76">
        <v>4.8</v>
      </c>
      <c r="N78" s="76">
        <v>14</v>
      </c>
      <c r="O78" s="76">
        <v>0</v>
      </c>
      <c r="P78" s="76">
        <v>0</v>
      </c>
      <c r="Q78" s="76">
        <v>4</v>
      </c>
      <c r="R78" s="76">
        <v>4.7</v>
      </c>
      <c r="S78" s="76">
        <v>15.2</v>
      </c>
      <c r="T78" s="76">
        <v>9.9</v>
      </c>
      <c r="U78" s="76">
        <v>14.7</v>
      </c>
      <c r="V78" s="76">
        <v>14.7</v>
      </c>
      <c r="W78" s="76">
        <v>14.7</v>
      </c>
      <c r="X78" s="76">
        <v>8.8000000000000007</v>
      </c>
      <c r="Y78" s="76">
        <v>14.1</v>
      </c>
      <c r="Z78" s="76">
        <v>17.399999999999999</v>
      </c>
      <c r="AA78" s="76">
        <v>25.2</v>
      </c>
      <c r="AB78" s="76">
        <v>26</v>
      </c>
      <c r="AC78" s="76">
        <v>26</v>
      </c>
      <c r="AD78" s="76">
        <v>28.3</v>
      </c>
      <c r="AE78" s="76">
        <v>28.3</v>
      </c>
      <c r="AF78" s="76">
        <v>28.3</v>
      </c>
      <c r="AG78" s="66">
        <v>32</v>
      </c>
      <c r="AH78" s="48">
        <f t="shared" si="8"/>
        <v>28.3</v>
      </c>
      <c r="AI78" s="49">
        <f t="shared" si="9"/>
        <v>0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50.8</v>
      </c>
      <c r="BG78" s="82">
        <f t="shared" si="29"/>
        <v>48.6</v>
      </c>
      <c r="BH78" s="82">
        <f t="shared" si="29"/>
        <v>51</v>
      </c>
      <c r="BI78" s="82">
        <f t="shared" si="29"/>
        <v>51</v>
      </c>
      <c r="BJ78" s="82">
        <f t="shared" si="29"/>
        <v>49</v>
      </c>
      <c r="BK78" s="82">
        <f t="shared" si="29"/>
        <v>51</v>
      </c>
      <c r="BL78" s="82">
        <f t="shared" si="29"/>
        <v>48</v>
      </c>
      <c r="BM78" s="82">
        <f t="shared" si="29"/>
        <v>48.6</v>
      </c>
      <c r="BN78" s="82">
        <f t="shared" si="29"/>
        <v>45.4</v>
      </c>
      <c r="BO78" s="82">
        <f t="shared" si="29"/>
        <v>49.8</v>
      </c>
      <c r="BP78" s="82">
        <f t="shared" si="29"/>
        <v>52.8</v>
      </c>
      <c r="BQ78" s="82">
        <f t="shared" si="29"/>
        <v>47.9</v>
      </c>
      <c r="BR78" s="82">
        <f t="shared" si="29"/>
        <v>0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>
        <v>0</v>
      </c>
      <c r="C79" s="78">
        <v>0</v>
      </c>
      <c r="D79" s="78">
        <v>0</v>
      </c>
      <c r="E79" s="78"/>
      <c r="F79" s="78"/>
      <c r="G79" s="78"/>
      <c r="H79" s="78"/>
      <c r="I79" s="78"/>
      <c r="J79" s="78"/>
      <c r="K79" s="78"/>
      <c r="L79" s="78">
        <v>4.4000000000000004</v>
      </c>
      <c r="M79" s="78">
        <v>1.3</v>
      </c>
      <c r="N79" s="78">
        <v>5.5</v>
      </c>
      <c r="O79" s="78">
        <v>0</v>
      </c>
      <c r="P79" s="78">
        <v>0</v>
      </c>
      <c r="Q79" s="78">
        <v>7</v>
      </c>
      <c r="R79" s="78">
        <v>1.7</v>
      </c>
      <c r="S79" s="78">
        <v>5.5</v>
      </c>
      <c r="T79" s="78">
        <v>3.6</v>
      </c>
      <c r="U79" s="78">
        <v>5.4</v>
      </c>
      <c r="V79" s="78">
        <v>5.4</v>
      </c>
      <c r="W79" s="78">
        <v>5.4</v>
      </c>
      <c r="X79" s="78">
        <v>3.2</v>
      </c>
      <c r="Y79" s="78">
        <v>5</v>
      </c>
      <c r="Z79" s="78">
        <v>6.4</v>
      </c>
      <c r="AA79" s="78">
        <v>9.1999999999999993</v>
      </c>
      <c r="AB79" s="78">
        <v>9.5</v>
      </c>
      <c r="AC79" s="78">
        <v>9.5</v>
      </c>
      <c r="AD79" s="78">
        <v>10</v>
      </c>
      <c r="AE79" s="78">
        <v>10</v>
      </c>
      <c r="AF79" s="78">
        <v>10</v>
      </c>
      <c r="AG79" s="79">
        <v>14</v>
      </c>
      <c r="AH79" s="48">
        <f t="shared" si="8"/>
        <v>10</v>
      </c>
      <c r="AI79" s="49">
        <f t="shared" si="9"/>
        <v>0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132.19999999999999</v>
      </c>
      <c r="BG79" s="82">
        <f t="shared" si="29"/>
        <v>130.80000000000001</v>
      </c>
      <c r="BH79" s="82">
        <f t="shared" si="29"/>
        <v>134</v>
      </c>
      <c r="BI79" s="82">
        <f t="shared" si="29"/>
        <v>134</v>
      </c>
      <c r="BJ79" s="82">
        <f t="shared" si="29"/>
        <v>129</v>
      </c>
      <c r="BK79" s="82">
        <f t="shared" si="29"/>
        <v>128</v>
      </c>
      <c r="BL79" s="82">
        <f t="shared" si="29"/>
        <v>49</v>
      </c>
      <c r="BM79" s="82">
        <f t="shared" si="29"/>
        <v>137</v>
      </c>
      <c r="BN79" s="82">
        <f t="shared" si="29"/>
        <v>130.4</v>
      </c>
      <c r="BO79" s="82">
        <f t="shared" si="29"/>
        <v>101</v>
      </c>
      <c r="BP79" s="82">
        <f t="shared" si="29"/>
        <v>123.4</v>
      </c>
      <c r="BQ79" s="82">
        <f t="shared" si="29"/>
        <v>91.3</v>
      </c>
      <c r="BR79" s="82">
        <f t="shared" si="29"/>
        <v>0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>B77+B78+B79</f>
        <v>0</v>
      </c>
      <c r="C80" s="71">
        <f>C77+C78+C79</f>
        <v>0</v>
      </c>
      <c r="D80" s="71">
        <f>D77+D78+D79</f>
        <v>0</v>
      </c>
      <c r="E80" s="71">
        <f t="shared" ref="E80:AB80" si="32">E77+E78+E79</f>
        <v>0</v>
      </c>
      <c r="F80" s="71">
        <f t="shared" si="32"/>
        <v>0</v>
      </c>
      <c r="G80" s="71">
        <f t="shared" si="32"/>
        <v>0</v>
      </c>
      <c r="H80" s="71">
        <f t="shared" si="32"/>
        <v>0</v>
      </c>
      <c r="I80" s="71">
        <f t="shared" si="32"/>
        <v>0</v>
      </c>
      <c r="J80" s="71">
        <f t="shared" si="32"/>
        <v>0</v>
      </c>
      <c r="K80" s="71">
        <f t="shared" si="32"/>
        <v>0</v>
      </c>
      <c r="L80" s="71">
        <f t="shared" si="32"/>
        <v>46.6</v>
      </c>
      <c r="M80" s="71">
        <f t="shared" si="32"/>
        <v>6.1</v>
      </c>
      <c r="N80" s="71">
        <f t="shared" si="32"/>
        <v>49.5</v>
      </c>
      <c r="O80" s="71">
        <f t="shared" si="32"/>
        <v>0</v>
      </c>
      <c r="P80" s="71">
        <f t="shared" si="32"/>
        <v>0</v>
      </c>
      <c r="Q80" s="71">
        <f t="shared" si="32"/>
        <v>26</v>
      </c>
      <c r="R80" s="71">
        <f t="shared" si="32"/>
        <v>36.400000000000006</v>
      </c>
      <c r="S80" s="71">
        <f t="shared" ref="S80:AA80" si="33">S77+S78+S79</f>
        <v>51.099999999999994</v>
      </c>
      <c r="T80" s="71">
        <f t="shared" si="33"/>
        <v>38.5</v>
      </c>
      <c r="U80" s="71">
        <f t="shared" si="33"/>
        <v>49.8</v>
      </c>
      <c r="V80" s="71">
        <f t="shared" si="33"/>
        <v>49.8</v>
      </c>
      <c r="W80" s="71">
        <f t="shared" si="33"/>
        <v>49.8</v>
      </c>
      <c r="X80" s="71">
        <f t="shared" si="33"/>
        <v>31.9</v>
      </c>
      <c r="Y80" s="71">
        <f t="shared" si="33"/>
        <v>48.8</v>
      </c>
      <c r="Z80" s="71">
        <f t="shared" si="33"/>
        <v>68.099999999999994</v>
      </c>
      <c r="AA80" s="71">
        <f t="shared" si="33"/>
        <v>89.600000000000009</v>
      </c>
      <c r="AB80" s="71">
        <f t="shared" si="32"/>
        <v>90.2</v>
      </c>
      <c r="AC80" s="71">
        <f>AC77+AC78+AC79</f>
        <v>90.2</v>
      </c>
      <c r="AD80" s="71">
        <f>AD77+AD78+AD79</f>
        <v>98.3</v>
      </c>
      <c r="AE80" s="71">
        <f>AE77+AE78+AE79</f>
        <v>98.3</v>
      </c>
      <c r="AF80" s="71">
        <f>AF77+AF78+AF79</f>
        <v>98.3</v>
      </c>
      <c r="AG80" s="72">
        <f>SUM(AG77:AG79)</f>
        <v>106</v>
      </c>
      <c r="AH80" s="48">
        <f t="shared" si="8"/>
        <v>98.3</v>
      </c>
      <c r="AI80" s="49">
        <f t="shared" si="9"/>
        <v>0</v>
      </c>
      <c r="AK80" s="51"/>
      <c r="AZ80" s="82">
        <f t="shared" si="29"/>
        <v>0</v>
      </c>
      <c r="BA80" s="82">
        <f t="shared" si="29"/>
        <v>0</v>
      </c>
      <c r="BB80" s="82">
        <f t="shared" si="29"/>
        <v>0</v>
      </c>
      <c r="BC80" s="82">
        <f t="shared" si="29"/>
        <v>0</v>
      </c>
      <c r="BD80" s="82">
        <f t="shared" si="29"/>
        <v>0</v>
      </c>
      <c r="BE80" s="82">
        <f t="shared" si="29"/>
        <v>0</v>
      </c>
      <c r="BF80" s="82">
        <f t="shared" si="29"/>
        <v>0</v>
      </c>
      <c r="BG80" s="82">
        <f t="shared" si="29"/>
        <v>52.1</v>
      </c>
      <c r="BH80" s="82">
        <f t="shared" si="29"/>
        <v>51</v>
      </c>
      <c r="BI80" s="82">
        <f t="shared" si="29"/>
        <v>51</v>
      </c>
      <c r="BJ80" s="82">
        <f t="shared" si="29"/>
        <v>51</v>
      </c>
      <c r="BK80" s="82">
        <f t="shared" si="29"/>
        <v>51</v>
      </c>
      <c r="BL80" s="82">
        <f t="shared" si="29"/>
        <v>52</v>
      </c>
      <c r="BM80" s="82">
        <f t="shared" si="29"/>
        <v>57.6</v>
      </c>
      <c r="BN80" s="82">
        <f t="shared" si="29"/>
        <v>58.2</v>
      </c>
      <c r="BO80" s="82">
        <f t="shared" si="29"/>
        <v>43.5</v>
      </c>
      <c r="BP80" s="82">
        <f t="shared" si="29"/>
        <v>51.1</v>
      </c>
      <c r="BQ80" s="82">
        <f t="shared" si="29"/>
        <v>41.1</v>
      </c>
      <c r="BR80" s="82">
        <f t="shared" si="29"/>
        <v>46.9</v>
      </c>
      <c r="BS80" s="82">
        <f t="shared" si="29"/>
        <v>43.8</v>
      </c>
      <c r="BT80" s="82">
        <f t="shared" si="29"/>
        <v>43.8</v>
      </c>
      <c r="BU80" s="82">
        <f t="shared" si="29"/>
        <v>43.8</v>
      </c>
      <c r="BV80" s="82">
        <f t="shared" si="29"/>
        <v>47</v>
      </c>
      <c r="BW80" s="82">
        <f t="shared" si="29"/>
        <v>0</v>
      </c>
    </row>
    <row r="81" spans="1:64" x14ac:dyDescent="0.25">
      <c r="A81" s="45" t="s">
        <v>104</v>
      </c>
      <c r="B81" s="46">
        <v>-5</v>
      </c>
      <c r="C81" s="46">
        <v>8</v>
      </c>
      <c r="D81" s="46">
        <v>5</v>
      </c>
      <c r="E81" s="46">
        <v>-2</v>
      </c>
      <c r="F81" s="46">
        <v>4</v>
      </c>
      <c r="G81" s="46">
        <v>16</v>
      </c>
      <c r="H81" s="46">
        <v>20</v>
      </c>
      <c r="I81" s="46">
        <v>28</v>
      </c>
      <c r="J81" s="46">
        <v>42</v>
      </c>
      <c r="K81" s="46">
        <v>42</v>
      </c>
      <c r="L81" s="46">
        <v>35</v>
      </c>
      <c r="M81" s="46">
        <v>12.8</v>
      </c>
      <c r="N81" s="46">
        <v>13.9</v>
      </c>
      <c r="O81" s="46">
        <v>13.9</v>
      </c>
      <c r="P81" s="46">
        <v>13.9</v>
      </c>
      <c r="Q81" s="46">
        <v>30</v>
      </c>
      <c r="R81" s="46">
        <v>52</v>
      </c>
      <c r="S81" s="46">
        <v>61.4</v>
      </c>
      <c r="T81" s="46">
        <v>58.8</v>
      </c>
      <c r="U81" s="46">
        <v>60.5</v>
      </c>
      <c r="V81" s="46">
        <v>63.7</v>
      </c>
      <c r="W81" s="46">
        <v>63.7</v>
      </c>
      <c r="X81" s="46">
        <v>61.9</v>
      </c>
      <c r="Y81" s="46">
        <v>8.4</v>
      </c>
      <c r="Z81" s="46">
        <v>13.7</v>
      </c>
      <c r="AA81" s="46">
        <v>22.2</v>
      </c>
      <c r="AB81" s="46">
        <v>33.1</v>
      </c>
      <c r="AC81" s="46">
        <v>27</v>
      </c>
      <c r="AD81" s="46">
        <v>34</v>
      </c>
      <c r="AE81" s="46">
        <v>23</v>
      </c>
      <c r="AF81" s="46">
        <v>23</v>
      </c>
      <c r="AG81" s="61"/>
      <c r="AH81" s="48">
        <f t="shared" si="8"/>
        <v>63.7</v>
      </c>
      <c r="AI81" s="49">
        <f t="shared" si="9"/>
        <v>-5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>
        <v>88</v>
      </c>
      <c r="M82" s="76">
        <v>88.2</v>
      </c>
      <c r="N82" s="76">
        <v>109</v>
      </c>
      <c r="O82" s="76">
        <v>90</v>
      </c>
      <c r="P82" s="76">
        <v>107</v>
      </c>
      <c r="Q82" s="76">
        <v>110</v>
      </c>
      <c r="R82" s="76">
        <v>104</v>
      </c>
      <c r="S82" s="76">
        <v>98.9</v>
      </c>
      <c r="T82" s="76">
        <v>105.74</v>
      </c>
      <c r="U82" s="76">
        <v>106.4</v>
      </c>
      <c r="V82" s="76">
        <v>94.3</v>
      </c>
      <c r="W82" s="76">
        <v>94.3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4">MAX(B82:AF82)</f>
        <v>110</v>
      </c>
      <c r="AI82" s="49">
        <f t="shared" ref="AI82:AI125" si="35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25</v>
      </c>
      <c r="D83" s="76">
        <v>30</v>
      </c>
      <c r="E83" s="76">
        <v>45</v>
      </c>
      <c r="F83" s="76">
        <v>58</v>
      </c>
      <c r="G83" s="76">
        <v>53.5</v>
      </c>
      <c r="H83" s="76">
        <v>28</v>
      </c>
      <c r="I83" s="76">
        <v>50</v>
      </c>
      <c r="J83" s="76">
        <v>245</v>
      </c>
      <c r="K83" s="76">
        <v>250</v>
      </c>
      <c r="L83" s="76">
        <v>271</v>
      </c>
      <c r="M83" s="76">
        <v>276</v>
      </c>
      <c r="N83" s="76">
        <v>330</v>
      </c>
      <c r="O83" s="76">
        <v>310</v>
      </c>
      <c r="P83" s="76">
        <v>340</v>
      </c>
      <c r="Q83" s="76">
        <v>330</v>
      </c>
      <c r="R83" s="76">
        <v>353</v>
      </c>
      <c r="S83" s="76">
        <v>347</v>
      </c>
      <c r="T83" s="76">
        <v>384.3</v>
      </c>
      <c r="U83" s="76">
        <v>382.5</v>
      </c>
      <c r="V83" s="76">
        <v>372.3</v>
      </c>
      <c r="W83" s="76">
        <v>372.3</v>
      </c>
      <c r="X83" s="76">
        <v>286.60000000000002</v>
      </c>
      <c r="Y83" s="76">
        <v>49.9</v>
      </c>
      <c r="Z83" s="76">
        <v>57.9</v>
      </c>
      <c r="AA83" s="76">
        <v>33.299999999999997</v>
      </c>
      <c r="AB83" s="76">
        <v>25.6</v>
      </c>
      <c r="AC83" s="76">
        <v>40</v>
      </c>
      <c r="AD83" s="76">
        <v>37</v>
      </c>
      <c r="AE83" s="76">
        <v>40</v>
      </c>
      <c r="AF83" s="76">
        <v>30</v>
      </c>
      <c r="AG83" s="88"/>
      <c r="AH83" s="48">
        <f t="shared" si="34"/>
        <v>384.3</v>
      </c>
      <c r="AI83" s="49">
        <f t="shared" si="35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/>
      <c r="C84" s="76"/>
      <c r="D84" s="76"/>
      <c r="E84" s="89"/>
      <c r="F84" s="89"/>
      <c r="G84" s="89"/>
      <c r="H84" s="89"/>
      <c r="I84" s="89"/>
      <c r="J84" s="89">
        <v>45</v>
      </c>
      <c r="K84" s="89">
        <v>50.8</v>
      </c>
      <c r="L84" s="89">
        <v>49</v>
      </c>
      <c r="M84" s="89">
        <v>48.6</v>
      </c>
      <c r="N84" s="89">
        <v>51</v>
      </c>
      <c r="O84" s="89">
        <v>51</v>
      </c>
      <c r="P84" s="89">
        <v>49</v>
      </c>
      <c r="Q84" s="89">
        <v>51</v>
      </c>
      <c r="R84" s="89">
        <v>48</v>
      </c>
      <c r="S84" s="89">
        <v>48.6</v>
      </c>
      <c r="T84" s="89">
        <v>45.4</v>
      </c>
      <c r="U84" s="89">
        <v>49.8</v>
      </c>
      <c r="V84" s="89">
        <v>52.8</v>
      </c>
      <c r="W84" s="89">
        <v>52.8</v>
      </c>
      <c r="X84" s="89">
        <v>47.9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8"/>
      <c r="AH84" s="48">
        <f t="shared" si="34"/>
        <v>52.8</v>
      </c>
      <c r="AI84" s="49">
        <f t="shared" si="35"/>
        <v>0</v>
      </c>
      <c r="AK84" s="51"/>
      <c r="AY84" s="82"/>
      <c r="BF84" s="81"/>
      <c r="BG84" s="82">
        <f t="array" ref="BG84:BL107">TRANSPOSE(AZ68:BW73)</f>
        <v>8</v>
      </c>
      <c r="BH84" s="82">
        <v>0</v>
      </c>
      <c r="BI84" s="82">
        <v>25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110</v>
      </c>
      <c r="K85" s="46">
        <v>132.19999999999999</v>
      </c>
      <c r="L85" s="46">
        <v>110</v>
      </c>
      <c r="M85" s="46">
        <v>130.80000000000001</v>
      </c>
      <c r="N85" s="46">
        <v>134</v>
      </c>
      <c r="O85" s="46">
        <v>134</v>
      </c>
      <c r="P85" s="46">
        <v>129</v>
      </c>
      <c r="Q85" s="46">
        <v>128</v>
      </c>
      <c r="R85" s="46">
        <v>49</v>
      </c>
      <c r="S85" s="46">
        <v>137</v>
      </c>
      <c r="T85" s="46">
        <v>130.4</v>
      </c>
      <c r="U85" s="46">
        <v>101</v>
      </c>
      <c r="V85" s="46">
        <v>123.4</v>
      </c>
      <c r="W85" s="46">
        <v>123.4</v>
      </c>
      <c r="X85" s="46">
        <v>91.3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4"/>
        <v>137</v>
      </c>
      <c r="AI85" s="49">
        <f t="shared" si="35"/>
        <v>0</v>
      </c>
      <c r="AK85" s="51"/>
      <c r="AY85" s="82"/>
      <c r="BF85" s="81"/>
      <c r="BG85" s="82">
        <v>5</v>
      </c>
      <c r="BH85" s="82">
        <v>0</v>
      </c>
      <c r="BI85" s="82">
        <v>30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4"/>
        <v>0</v>
      </c>
      <c r="AI86" s="49">
        <f t="shared" si="35"/>
        <v>0</v>
      </c>
      <c r="AK86" s="51"/>
      <c r="AY86" s="82"/>
      <c r="BF86" s="81"/>
      <c r="BG86" s="82">
        <v>-2</v>
      </c>
      <c r="BH86" s="82">
        <v>0</v>
      </c>
      <c r="BI86" s="82">
        <v>45</v>
      </c>
      <c r="BJ86" s="82">
        <v>0</v>
      </c>
      <c r="BK86" s="82">
        <v>0</v>
      </c>
      <c r="BL86" s="82">
        <v>0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4"/>
        <v>0</v>
      </c>
      <c r="AI87" s="49">
        <f t="shared" si="35"/>
        <v>0</v>
      </c>
      <c r="AK87" s="51"/>
      <c r="AL87" s="91" t="s">
        <v>111</v>
      </c>
      <c r="AM87" s="91"/>
      <c r="AY87" s="82"/>
      <c r="BF87" s="82"/>
      <c r="BG87" s="82">
        <v>4</v>
      </c>
      <c r="BH87" s="82">
        <v>0</v>
      </c>
      <c r="BI87" s="82">
        <v>58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4"/>
        <v>0</v>
      </c>
      <c r="AI88" s="49">
        <f t="shared" si="35"/>
        <v>0</v>
      </c>
      <c r="AK88" s="92"/>
      <c r="AL88" s="93"/>
      <c r="AM88" s="93"/>
      <c r="AN88" s="94"/>
      <c r="AY88" s="82"/>
      <c r="BF88" s="82"/>
      <c r="BG88" s="82">
        <v>16</v>
      </c>
      <c r="BH88" s="82">
        <v>0</v>
      </c>
      <c r="BI88" s="82">
        <v>53.5</v>
      </c>
      <c r="BJ88" s="82">
        <v>0</v>
      </c>
      <c r="BK88" s="82">
        <v>0</v>
      </c>
      <c r="BL88" s="82">
        <v>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4"/>
        <v>0</v>
      </c>
      <c r="AI89" s="49">
        <f t="shared" si="35"/>
        <v>0</v>
      </c>
      <c r="AK89" s="95" t="s">
        <v>114</v>
      </c>
      <c r="AL89" s="76"/>
      <c r="AM89" s="89"/>
      <c r="AN89" s="96"/>
      <c r="AY89" s="82"/>
      <c r="BF89" s="82"/>
      <c r="BG89" s="82">
        <v>28</v>
      </c>
      <c r="BH89" s="82">
        <v>0</v>
      </c>
      <c r="BI89" s="82">
        <v>50</v>
      </c>
      <c r="BJ89" s="82">
        <v>0</v>
      </c>
      <c r="BK89" s="82">
        <v>0</v>
      </c>
      <c r="BL89" s="82">
        <v>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4"/>
        <v>0</v>
      </c>
      <c r="AI90" s="49">
        <f t="shared" si="35"/>
        <v>0</v>
      </c>
      <c r="AK90" s="95" t="s">
        <v>116</v>
      </c>
      <c r="AL90" s="89"/>
      <c r="AM90" s="89"/>
      <c r="AN90" s="96"/>
      <c r="AY90" s="82"/>
      <c r="BF90" s="82"/>
      <c r="BG90" s="82">
        <v>42</v>
      </c>
      <c r="BH90" s="82">
        <v>0</v>
      </c>
      <c r="BI90" s="82">
        <v>250</v>
      </c>
      <c r="BJ90" s="82">
        <v>50.8</v>
      </c>
      <c r="BK90" s="82">
        <v>132.19999999999999</v>
      </c>
      <c r="BL90" s="82">
        <v>0</v>
      </c>
    </row>
    <row r="91" spans="1:64" ht="15.75" thickBot="1" x14ac:dyDescent="0.3">
      <c r="A91" s="97" t="s">
        <v>117</v>
      </c>
      <c r="B91" s="90">
        <v>0</v>
      </c>
      <c r="C91" s="90">
        <v>0</v>
      </c>
      <c r="D91" s="90">
        <v>0</v>
      </c>
      <c r="E91" s="90"/>
      <c r="F91" s="90"/>
      <c r="G91" s="90"/>
      <c r="H91" s="90"/>
      <c r="I91" s="90"/>
      <c r="J91" s="90"/>
      <c r="K91" s="90"/>
      <c r="L91" s="90">
        <v>40</v>
      </c>
      <c r="M91" s="90">
        <v>52.1</v>
      </c>
      <c r="N91" s="90">
        <v>51</v>
      </c>
      <c r="O91" s="90">
        <v>51</v>
      </c>
      <c r="P91" s="90">
        <v>51</v>
      </c>
      <c r="Q91" s="90">
        <v>51</v>
      </c>
      <c r="R91" s="90">
        <v>52</v>
      </c>
      <c r="S91" s="90">
        <v>57.6</v>
      </c>
      <c r="T91" s="90">
        <v>58.2</v>
      </c>
      <c r="U91" s="90">
        <v>43.5</v>
      </c>
      <c r="V91" s="90">
        <v>51.1</v>
      </c>
      <c r="W91" s="90">
        <v>51.1</v>
      </c>
      <c r="X91" s="90">
        <v>41.1</v>
      </c>
      <c r="Y91" s="90">
        <v>38.200000000000003</v>
      </c>
      <c r="Z91" s="90">
        <v>46.9</v>
      </c>
      <c r="AA91" s="90">
        <v>45</v>
      </c>
      <c r="AB91" s="90">
        <v>43.8</v>
      </c>
      <c r="AC91" s="90">
        <v>43.8</v>
      </c>
      <c r="AD91" s="90">
        <v>43.8</v>
      </c>
      <c r="AE91" s="90">
        <v>43.8</v>
      </c>
      <c r="AF91" s="90">
        <v>47</v>
      </c>
      <c r="AG91" s="98"/>
      <c r="AH91" s="48">
        <f t="shared" si="34"/>
        <v>58.2</v>
      </c>
      <c r="AI91" s="49">
        <f t="shared" si="35"/>
        <v>0</v>
      </c>
      <c r="AK91" s="99"/>
      <c r="AL91" s="46"/>
      <c r="AM91" s="46"/>
      <c r="AN91" s="100"/>
      <c r="AY91" s="82"/>
      <c r="BF91" s="82"/>
      <c r="BG91" s="82">
        <v>12.8</v>
      </c>
      <c r="BH91" s="82">
        <v>88.2</v>
      </c>
      <c r="BI91" s="82">
        <v>276</v>
      </c>
      <c r="BJ91" s="82">
        <v>48.6</v>
      </c>
      <c r="BK91" s="82">
        <v>130.80000000000001</v>
      </c>
      <c r="BL91" s="82">
        <v>52.1</v>
      </c>
    </row>
    <row r="92" spans="1:64" ht="15.75" thickBot="1" x14ac:dyDescent="0.3">
      <c r="A92" s="87" t="s">
        <v>118</v>
      </c>
      <c r="B92" s="71">
        <f>SUMIF(B81:B91,"&gt;0")</f>
        <v>0</v>
      </c>
      <c r="C92" s="71">
        <f>SUMIF(C81:C91,"&gt;0")</f>
        <v>33</v>
      </c>
      <c r="D92" s="71">
        <f>SUMIF(D81:D91,"&gt;0")</f>
        <v>35</v>
      </c>
      <c r="E92" s="71">
        <f t="shared" ref="E92:AB92" si="36">SUMIF(E81:E91,"&gt;0")</f>
        <v>45</v>
      </c>
      <c r="F92" s="71">
        <f t="shared" si="36"/>
        <v>62</v>
      </c>
      <c r="G92" s="71">
        <f t="shared" si="36"/>
        <v>69.5</v>
      </c>
      <c r="H92" s="71">
        <f t="shared" si="36"/>
        <v>48</v>
      </c>
      <c r="I92" s="71">
        <f t="shared" si="36"/>
        <v>78</v>
      </c>
      <c r="J92" s="71">
        <f t="shared" si="36"/>
        <v>442</v>
      </c>
      <c r="K92" s="71">
        <f t="shared" si="36"/>
        <v>475</v>
      </c>
      <c r="L92" s="71">
        <f t="shared" si="36"/>
        <v>593</v>
      </c>
      <c r="M92" s="71">
        <f t="shared" si="36"/>
        <v>608.50000000000011</v>
      </c>
      <c r="N92" s="71">
        <f t="shared" si="36"/>
        <v>688.9</v>
      </c>
      <c r="O92" s="71">
        <f t="shared" si="36"/>
        <v>649.9</v>
      </c>
      <c r="P92" s="71">
        <f t="shared" si="36"/>
        <v>689.9</v>
      </c>
      <c r="Q92" s="71">
        <f t="shared" si="36"/>
        <v>700</v>
      </c>
      <c r="R92" s="71">
        <f t="shared" si="36"/>
        <v>658</v>
      </c>
      <c r="S92" s="71">
        <f t="shared" ref="S92:AA92" si="37">SUMIF(S81:S91,"&gt;0")</f>
        <v>750.5</v>
      </c>
      <c r="T92" s="71">
        <f t="shared" si="37"/>
        <v>782.84</v>
      </c>
      <c r="U92" s="71">
        <f t="shared" si="37"/>
        <v>743.69999999999993</v>
      </c>
      <c r="V92" s="71">
        <f t="shared" si="37"/>
        <v>757.59999999999991</v>
      </c>
      <c r="W92" s="71">
        <f t="shared" si="37"/>
        <v>757.59999999999991</v>
      </c>
      <c r="X92" s="71">
        <f t="shared" si="37"/>
        <v>528.79999999999995</v>
      </c>
      <c r="Y92" s="71">
        <f t="shared" si="37"/>
        <v>96.5</v>
      </c>
      <c r="Z92" s="71">
        <f t="shared" si="37"/>
        <v>118.5</v>
      </c>
      <c r="AA92" s="71">
        <f t="shared" si="37"/>
        <v>100.5</v>
      </c>
      <c r="AB92" s="71">
        <f t="shared" si="36"/>
        <v>102.5</v>
      </c>
      <c r="AC92" s="71">
        <f>SUMIF(AC81:AC91,"&gt;0")</f>
        <v>110.8</v>
      </c>
      <c r="AD92" s="71">
        <f>SUMIF(AD81:AD91,"&gt;0")</f>
        <v>114.8</v>
      </c>
      <c r="AE92" s="71">
        <f>SUMIF(AE81:AE91,"&gt;0")</f>
        <v>106.8</v>
      </c>
      <c r="AF92" s="71">
        <f>SUMIF(AF81:AF91,"&gt;0")</f>
        <v>100</v>
      </c>
      <c r="AG92" s="101">
        <f>SUM(AG81:AG91)</f>
        <v>0</v>
      </c>
      <c r="AH92" s="48">
        <f t="shared" si="34"/>
        <v>782.84</v>
      </c>
      <c r="AI92" s="49">
        <f t="shared" si="35"/>
        <v>0</v>
      </c>
      <c r="AK92" s="99"/>
      <c r="AL92" s="90"/>
      <c r="AM92" s="102"/>
      <c r="AN92" s="202"/>
      <c r="AY92" s="82"/>
      <c r="BF92" s="82"/>
      <c r="BG92" s="82">
        <v>13.9</v>
      </c>
      <c r="BH92" s="82">
        <v>109</v>
      </c>
      <c r="BI92" s="82">
        <v>330</v>
      </c>
      <c r="BJ92" s="82">
        <v>51</v>
      </c>
      <c r="BK92" s="82">
        <v>134</v>
      </c>
      <c r="BL92" s="82">
        <v>51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4"/>
        <v>0</v>
      </c>
      <c r="AI93" s="49">
        <f t="shared" si="35"/>
        <v>0</v>
      </c>
      <c r="AK93" s="99"/>
      <c r="AL93" s="90"/>
      <c r="AM93" s="90"/>
      <c r="AN93" s="203"/>
      <c r="BF93" s="82"/>
      <c r="BG93" s="82">
        <v>13.9</v>
      </c>
      <c r="BH93" s="82">
        <v>90</v>
      </c>
      <c r="BI93" s="82">
        <v>310</v>
      </c>
      <c r="BJ93" s="82">
        <v>51</v>
      </c>
      <c r="BK93" s="82">
        <v>134</v>
      </c>
      <c r="BL93" s="82">
        <v>51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4"/>
        <v>0</v>
      </c>
      <c r="AI94" s="49">
        <f t="shared" si="35"/>
        <v>0</v>
      </c>
      <c r="AK94" s="104"/>
      <c r="AL94" s="105"/>
      <c r="AM94" s="105"/>
      <c r="AN94" s="106"/>
      <c r="BF94" s="82"/>
      <c r="BG94" s="82">
        <v>13.9</v>
      </c>
      <c r="BH94" s="82">
        <v>107</v>
      </c>
      <c r="BI94" s="82">
        <v>340</v>
      </c>
      <c r="BJ94" s="82">
        <v>49</v>
      </c>
      <c r="BK94" s="82">
        <v>129</v>
      </c>
      <c r="BL94" s="82">
        <v>51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4"/>
        <v>0</v>
      </c>
      <c r="AI95" s="49">
        <f t="shared" si="35"/>
        <v>0</v>
      </c>
      <c r="BF95" s="82"/>
      <c r="BG95" s="82">
        <v>30</v>
      </c>
      <c r="BH95" s="82">
        <v>110</v>
      </c>
      <c r="BI95" s="82">
        <v>330</v>
      </c>
      <c r="BJ95" s="82">
        <v>51</v>
      </c>
      <c r="BK95" s="82">
        <v>128</v>
      </c>
      <c r="BL95" s="82">
        <v>51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4"/>
        <v>0</v>
      </c>
      <c r="AI96" s="49">
        <f t="shared" si="35"/>
        <v>0</v>
      </c>
      <c r="BF96" s="82"/>
      <c r="BG96" s="82">
        <v>52</v>
      </c>
      <c r="BH96" s="82">
        <v>104</v>
      </c>
      <c r="BI96" s="82">
        <v>353</v>
      </c>
      <c r="BJ96" s="82">
        <v>48</v>
      </c>
      <c r="BK96" s="82">
        <v>49</v>
      </c>
      <c r="BL96" s="82">
        <v>52</v>
      </c>
    </row>
    <row r="97" spans="1:64" ht="15.75" thickBot="1" x14ac:dyDescent="0.3">
      <c r="A97" s="87" t="s">
        <v>123</v>
      </c>
      <c r="B97" s="108">
        <f>B58+B62+B80+B76+B92+B96</f>
        <v>1204.3800000000001</v>
      </c>
      <c r="C97" s="108">
        <f>C58+C62+C80+C76+C92+C96</f>
        <v>1184.3800000000001</v>
      </c>
      <c r="D97" s="108">
        <f>D58+D62+D80+D76+D92+D96</f>
        <v>1124.98</v>
      </c>
      <c r="E97" s="108">
        <f t="shared" ref="E97:AG97" si="38">E58+E62+E80+E76+E92+E96</f>
        <v>1138.7800000000002</v>
      </c>
      <c r="F97" s="108">
        <f t="shared" si="38"/>
        <v>1140.8800000000001</v>
      </c>
      <c r="G97" s="108">
        <f t="shared" si="38"/>
        <v>1158.6300000000001</v>
      </c>
      <c r="H97" s="108">
        <f t="shared" si="38"/>
        <v>1191.1300000000001</v>
      </c>
      <c r="I97" s="108">
        <f t="shared" si="38"/>
        <v>1246.1299999999999</v>
      </c>
      <c r="J97" s="108">
        <f t="shared" si="38"/>
        <v>1447.03</v>
      </c>
      <c r="K97" s="108">
        <f t="shared" si="38"/>
        <v>1479.33</v>
      </c>
      <c r="L97" s="108">
        <f t="shared" si="38"/>
        <v>1643.93</v>
      </c>
      <c r="M97" s="108">
        <f t="shared" si="38"/>
        <v>1568.83</v>
      </c>
      <c r="N97" s="108">
        <f t="shared" si="38"/>
        <v>1692.53</v>
      </c>
      <c r="O97" s="108">
        <f t="shared" si="38"/>
        <v>1605.4299999999998</v>
      </c>
      <c r="P97" s="108">
        <f t="shared" si="38"/>
        <v>1645.4299999999998</v>
      </c>
      <c r="Q97" s="108">
        <f t="shared" si="38"/>
        <v>1696.53</v>
      </c>
      <c r="R97" s="108">
        <f t="shared" si="38"/>
        <v>1664.9299999999998</v>
      </c>
      <c r="S97" s="108">
        <f t="shared" ref="S97:AA97" si="39">S58+S62+S80+S76+S92+S96</f>
        <v>1735.3300000000002</v>
      </c>
      <c r="T97" s="108">
        <f t="shared" si="39"/>
        <v>1762.3700000000001</v>
      </c>
      <c r="U97" s="108">
        <f t="shared" si="39"/>
        <v>1717.4299999999998</v>
      </c>
      <c r="V97" s="108">
        <f t="shared" si="39"/>
        <v>1731.33</v>
      </c>
      <c r="W97" s="108">
        <f t="shared" si="39"/>
        <v>1731.33</v>
      </c>
      <c r="X97" s="108">
        <f t="shared" si="39"/>
        <v>1482.4299999999998</v>
      </c>
      <c r="Y97" s="108">
        <f t="shared" si="39"/>
        <v>1403.03</v>
      </c>
      <c r="Z97" s="108">
        <f t="shared" si="39"/>
        <v>1518.23</v>
      </c>
      <c r="AA97" s="108">
        <f t="shared" si="39"/>
        <v>1580.33</v>
      </c>
      <c r="AB97" s="108">
        <f t="shared" si="38"/>
        <v>1579.3300000000002</v>
      </c>
      <c r="AC97" s="108">
        <f>AC58+AC62+AC80+AC76+AC92+AC96</f>
        <v>1530.8300000000002</v>
      </c>
      <c r="AD97" s="108">
        <f>AD58+AD62+AD80+AD76+AD92+AD96</f>
        <v>1519.23</v>
      </c>
      <c r="AE97" s="108">
        <f>AE58+AE62+AE80+AE76+AE92+AE96</f>
        <v>1469.23</v>
      </c>
      <c r="AF97" s="108">
        <f>AF58+AF62+AF80+AF76+AF92+AF96</f>
        <v>1347.43</v>
      </c>
      <c r="AG97" s="72">
        <f t="shared" si="38"/>
        <v>2231.81</v>
      </c>
      <c r="AH97" s="48">
        <f t="shared" si="34"/>
        <v>1762.3700000000001</v>
      </c>
      <c r="AI97" s="49">
        <f t="shared" si="35"/>
        <v>1124.98</v>
      </c>
      <c r="BF97" s="82"/>
      <c r="BG97" s="82">
        <v>61.4</v>
      </c>
      <c r="BH97" s="82">
        <v>98.9</v>
      </c>
      <c r="BI97" s="82">
        <v>347</v>
      </c>
      <c r="BJ97" s="82">
        <v>48.6</v>
      </c>
      <c r="BK97" s="82">
        <v>137</v>
      </c>
      <c r="BL97" s="82">
        <v>57.6</v>
      </c>
    </row>
    <row r="98" spans="1:64" ht="15.75" thickBot="1" x14ac:dyDescent="0.3">
      <c r="A98" s="109" t="s">
        <v>124</v>
      </c>
      <c r="B98" s="110">
        <v>100</v>
      </c>
      <c r="C98" s="110">
        <v>100</v>
      </c>
      <c r="D98" s="110">
        <v>100</v>
      </c>
      <c r="E98" s="110">
        <v>100</v>
      </c>
      <c r="F98" s="110">
        <v>100</v>
      </c>
      <c r="G98" s="110">
        <v>100</v>
      </c>
      <c r="H98" s="110">
        <v>100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>
        <v>300</v>
      </c>
      <c r="AB98" s="110">
        <v>250</v>
      </c>
      <c r="AC98" s="110">
        <v>251</v>
      </c>
      <c r="AD98" s="110">
        <v>250</v>
      </c>
      <c r="AE98" s="110">
        <v>250</v>
      </c>
      <c r="AF98" s="110">
        <v>250</v>
      </c>
      <c r="AG98" s="101"/>
      <c r="AH98" s="48">
        <f t="shared" si="34"/>
        <v>300</v>
      </c>
      <c r="AI98" s="49">
        <f t="shared" si="35"/>
        <v>100</v>
      </c>
      <c r="BF98" s="82"/>
      <c r="BG98" s="82">
        <v>58.8</v>
      </c>
      <c r="BH98" s="82">
        <v>105.74</v>
      </c>
      <c r="BI98" s="82">
        <v>384.3</v>
      </c>
      <c r="BJ98" s="82">
        <v>45.4</v>
      </c>
      <c r="BK98" s="82">
        <v>130.4</v>
      </c>
      <c r="BL98" s="82">
        <v>58.2</v>
      </c>
    </row>
    <row r="99" spans="1:64" ht="15.75" thickBot="1" x14ac:dyDescent="0.3">
      <c r="A99" s="87" t="s">
        <v>125</v>
      </c>
      <c r="B99" s="108">
        <f>B97+B98</f>
        <v>1304.3800000000001</v>
      </c>
      <c r="C99" s="108">
        <f>C97+C98</f>
        <v>1284.3800000000001</v>
      </c>
      <c r="D99" s="108">
        <f>D97+D98</f>
        <v>1224.98</v>
      </c>
      <c r="E99" s="108">
        <f t="shared" ref="E99:AB99" si="40">E97+E98</f>
        <v>1238.7800000000002</v>
      </c>
      <c r="F99" s="108">
        <f t="shared" si="40"/>
        <v>1240.8800000000001</v>
      </c>
      <c r="G99" s="108">
        <f t="shared" si="40"/>
        <v>1258.6300000000001</v>
      </c>
      <c r="H99" s="108">
        <f t="shared" si="40"/>
        <v>1291.1300000000001</v>
      </c>
      <c r="I99" s="108">
        <f t="shared" si="40"/>
        <v>1246.1299999999999</v>
      </c>
      <c r="J99" s="108">
        <f t="shared" si="40"/>
        <v>1447.03</v>
      </c>
      <c r="K99" s="108">
        <f t="shared" si="40"/>
        <v>1479.33</v>
      </c>
      <c r="L99" s="108">
        <f t="shared" si="40"/>
        <v>1643.93</v>
      </c>
      <c r="M99" s="108">
        <f t="shared" si="40"/>
        <v>1568.83</v>
      </c>
      <c r="N99" s="108">
        <f t="shared" si="40"/>
        <v>1692.53</v>
      </c>
      <c r="O99" s="108">
        <f t="shared" si="40"/>
        <v>1605.4299999999998</v>
      </c>
      <c r="P99" s="108">
        <f t="shared" si="40"/>
        <v>1645.4299999999998</v>
      </c>
      <c r="Q99" s="108">
        <f t="shared" si="40"/>
        <v>1696.53</v>
      </c>
      <c r="R99" s="108">
        <f t="shared" si="40"/>
        <v>1664.9299999999998</v>
      </c>
      <c r="S99" s="108">
        <f t="shared" ref="S99:AA99" si="41">S97+S98</f>
        <v>1735.3300000000002</v>
      </c>
      <c r="T99" s="108">
        <f t="shared" si="41"/>
        <v>1762.3700000000001</v>
      </c>
      <c r="U99" s="108">
        <f t="shared" si="41"/>
        <v>1717.4299999999998</v>
      </c>
      <c r="V99" s="108">
        <f t="shared" si="41"/>
        <v>1731.33</v>
      </c>
      <c r="W99" s="108">
        <f t="shared" si="41"/>
        <v>1731.33</v>
      </c>
      <c r="X99" s="108">
        <f t="shared" si="41"/>
        <v>1482.4299999999998</v>
      </c>
      <c r="Y99" s="108">
        <f t="shared" si="41"/>
        <v>1403.03</v>
      </c>
      <c r="Z99" s="108">
        <f t="shared" si="41"/>
        <v>1518.23</v>
      </c>
      <c r="AA99" s="108">
        <f t="shared" si="41"/>
        <v>1880.33</v>
      </c>
      <c r="AB99" s="108">
        <f t="shared" si="40"/>
        <v>1829.3300000000002</v>
      </c>
      <c r="AC99" s="108">
        <f>AC97+AC98</f>
        <v>1781.8300000000002</v>
      </c>
      <c r="AD99" s="108">
        <f>AD97+AD98</f>
        <v>1769.23</v>
      </c>
      <c r="AE99" s="108">
        <f>AE97+AE98</f>
        <v>1719.23</v>
      </c>
      <c r="AF99" s="108">
        <f>AF97+AF98</f>
        <v>1597.43</v>
      </c>
      <c r="AG99" s="101">
        <f>AG96+AG92+AG80+AG76+AG58+AG98</f>
        <v>1693.71</v>
      </c>
      <c r="AH99" s="48">
        <f t="shared" si="34"/>
        <v>1880.33</v>
      </c>
      <c r="AI99" s="49">
        <f t="shared" si="35"/>
        <v>1224.98</v>
      </c>
      <c r="BF99" s="82"/>
      <c r="BG99" s="82">
        <v>60.5</v>
      </c>
      <c r="BH99" s="82">
        <v>106.4</v>
      </c>
      <c r="BI99" s="82">
        <v>382.5</v>
      </c>
      <c r="BJ99" s="82">
        <v>49.8</v>
      </c>
      <c r="BK99" s="82">
        <v>101</v>
      </c>
      <c r="BL99" s="82">
        <v>43.5</v>
      </c>
    </row>
    <row r="100" spans="1:64" ht="15.75" thickBot="1" x14ac:dyDescent="0.3">
      <c r="A100" s="87" t="s">
        <v>126</v>
      </c>
      <c r="B100" s="108">
        <f>B99-(B107)</f>
        <v>1304.3800000000001</v>
      </c>
      <c r="C100" s="108">
        <f>C99-(C107)</f>
        <v>1284.3800000000001</v>
      </c>
      <c r="D100" s="108">
        <f>D99-(D107)</f>
        <v>1224.98</v>
      </c>
      <c r="E100" s="108">
        <f t="shared" ref="E100:AB100" si="42">E99-(E107)</f>
        <v>1236.7800000000002</v>
      </c>
      <c r="F100" s="108">
        <f t="shared" si="42"/>
        <v>1240.8800000000001</v>
      </c>
      <c r="G100" s="108">
        <f t="shared" si="42"/>
        <v>1258.6300000000001</v>
      </c>
      <c r="H100" s="108">
        <f t="shared" si="42"/>
        <v>1291.1300000000001</v>
      </c>
      <c r="I100" s="108">
        <f t="shared" si="42"/>
        <v>1246.1299999999999</v>
      </c>
      <c r="J100" s="108">
        <f t="shared" si="42"/>
        <v>1447.03</v>
      </c>
      <c r="K100" s="108">
        <f t="shared" si="42"/>
        <v>1479.33</v>
      </c>
      <c r="L100" s="108">
        <f t="shared" si="42"/>
        <v>1643.93</v>
      </c>
      <c r="M100" s="108">
        <f t="shared" si="42"/>
        <v>1568.83</v>
      </c>
      <c r="N100" s="108">
        <f t="shared" si="42"/>
        <v>1692.53</v>
      </c>
      <c r="O100" s="108">
        <f t="shared" si="42"/>
        <v>1605.4299999999998</v>
      </c>
      <c r="P100" s="108">
        <f t="shared" si="42"/>
        <v>1645.4299999999998</v>
      </c>
      <c r="Q100" s="108">
        <f t="shared" si="42"/>
        <v>1696.53</v>
      </c>
      <c r="R100" s="108">
        <f t="shared" si="42"/>
        <v>1664.9299999999998</v>
      </c>
      <c r="S100" s="108">
        <f t="shared" ref="S100:AA100" si="43">S99-(S107)</f>
        <v>1735.3300000000002</v>
      </c>
      <c r="T100" s="108">
        <f t="shared" si="43"/>
        <v>1762.3700000000001</v>
      </c>
      <c r="U100" s="108">
        <f t="shared" si="43"/>
        <v>1717.4299999999998</v>
      </c>
      <c r="V100" s="108">
        <f t="shared" si="43"/>
        <v>1731.33</v>
      </c>
      <c r="W100" s="108">
        <f t="shared" si="43"/>
        <v>1731.33</v>
      </c>
      <c r="X100" s="108">
        <f t="shared" si="43"/>
        <v>1482.4299999999998</v>
      </c>
      <c r="Y100" s="108">
        <f t="shared" si="43"/>
        <v>1403.03</v>
      </c>
      <c r="Z100" s="108">
        <f t="shared" si="43"/>
        <v>1518.23</v>
      </c>
      <c r="AA100" s="108">
        <f t="shared" si="43"/>
        <v>1880.33</v>
      </c>
      <c r="AB100" s="108">
        <f t="shared" si="42"/>
        <v>1829.3300000000002</v>
      </c>
      <c r="AC100" s="108">
        <f>AC99-(AC107)</f>
        <v>1781.8300000000002</v>
      </c>
      <c r="AD100" s="108">
        <f>AD99-(AD107)</f>
        <v>1769.23</v>
      </c>
      <c r="AE100" s="108">
        <f>AE99-(AE107)</f>
        <v>1719.23</v>
      </c>
      <c r="AF100" s="108">
        <f>AF99-(AF107)</f>
        <v>1597.43</v>
      </c>
      <c r="AG100" s="101"/>
      <c r="AH100" s="48">
        <f t="shared" si="34"/>
        <v>1880.33</v>
      </c>
      <c r="AI100" s="49">
        <f t="shared" si="35"/>
        <v>1224.98</v>
      </c>
      <c r="BF100" s="82"/>
      <c r="BG100" s="82">
        <v>63.7</v>
      </c>
      <c r="BH100" s="82">
        <v>94.3</v>
      </c>
      <c r="BI100" s="82">
        <v>372.3</v>
      </c>
      <c r="BJ100" s="82">
        <v>52.8</v>
      </c>
      <c r="BK100" s="82">
        <v>123.4</v>
      </c>
      <c r="BL100" s="82">
        <v>51.1</v>
      </c>
    </row>
    <row r="101" spans="1:64" x14ac:dyDescent="0.25">
      <c r="A101" s="45" t="s">
        <v>107</v>
      </c>
      <c r="B101" s="89">
        <f>IF(B84&lt;0,B84*-1,0)</f>
        <v>0</v>
      </c>
      <c r="C101" s="89">
        <f>IF(C84&lt;0,C84*-1,0)</f>
        <v>0</v>
      </c>
      <c r="D101" s="89">
        <f>IF(D84&lt;0,D84*-1,0)</f>
        <v>0</v>
      </c>
      <c r="E101" s="89">
        <f t="shared" ref="E101:AB101" si="44">IF(E84&lt;0,E84*-1,0)</f>
        <v>0</v>
      </c>
      <c r="F101" s="89">
        <f t="shared" si="44"/>
        <v>0</v>
      </c>
      <c r="G101" s="89">
        <f t="shared" si="44"/>
        <v>0</v>
      </c>
      <c r="H101" s="89">
        <f t="shared" si="44"/>
        <v>0</v>
      </c>
      <c r="I101" s="89">
        <f t="shared" si="44"/>
        <v>0</v>
      </c>
      <c r="J101" s="89">
        <f t="shared" si="44"/>
        <v>0</v>
      </c>
      <c r="K101" s="89">
        <f t="shared" si="44"/>
        <v>0</v>
      </c>
      <c r="L101" s="89">
        <f t="shared" si="44"/>
        <v>0</v>
      </c>
      <c r="M101" s="89">
        <f t="shared" si="44"/>
        <v>0</v>
      </c>
      <c r="N101" s="89">
        <f t="shared" si="44"/>
        <v>0</v>
      </c>
      <c r="O101" s="89">
        <f t="shared" si="44"/>
        <v>0</v>
      </c>
      <c r="P101" s="89">
        <f t="shared" si="44"/>
        <v>0</v>
      </c>
      <c r="Q101" s="89">
        <f t="shared" si="44"/>
        <v>0</v>
      </c>
      <c r="R101" s="89">
        <f t="shared" si="44"/>
        <v>0</v>
      </c>
      <c r="S101" s="89">
        <f t="shared" ref="S101:AA101" si="45">IF(S84&lt;0,S84*-1,0)</f>
        <v>0</v>
      </c>
      <c r="T101" s="89">
        <f t="shared" si="45"/>
        <v>0</v>
      </c>
      <c r="U101" s="89">
        <f t="shared" si="45"/>
        <v>0</v>
      </c>
      <c r="V101" s="89">
        <f t="shared" si="45"/>
        <v>0</v>
      </c>
      <c r="W101" s="89">
        <f t="shared" si="45"/>
        <v>0</v>
      </c>
      <c r="X101" s="89">
        <f t="shared" si="45"/>
        <v>0</v>
      </c>
      <c r="Y101" s="89">
        <f t="shared" si="45"/>
        <v>0</v>
      </c>
      <c r="Z101" s="89">
        <f t="shared" si="45"/>
        <v>0</v>
      </c>
      <c r="AA101" s="89">
        <f t="shared" si="45"/>
        <v>0</v>
      </c>
      <c r="AB101" s="89">
        <f t="shared" si="44"/>
        <v>0</v>
      </c>
      <c r="AC101" s="89">
        <f>IF(AC84&lt;0,AC84*-1,0)</f>
        <v>0</v>
      </c>
      <c r="AD101" s="89">
        <f>IF(AD84&lt;0,AD84*-1,0)</f>
        <v>0</v>
      </c>
      <c r="AE101" s="89">
        <f>IF(AE84&lt;0,AE84*-1,0)</f>
        <v>0</v>
      </c>
      <c r="AF101" s="89">
        <f>IF(AF84&lt;0,AF84*-1,0)</f>
        <v>0</v>
      </c>
      <c r="AG101" s="61"/>
      <c r="AH101" s="48">
        <f t="shared" si="34"/>
        <v>0</v>
      </c>
      <c r="AI101" s="49">
        <f t="shared" si="35"/>
        <v>0</v>
      </c>
      <c r="BF101" s="81"/>
      <c r="BG101" s="82">
        <v>61.9</v>
      </c>
      <c r="BH101" s="82">
        <v>0</v>
      </c>
      <c r="BI101" s="82">
        <v>286.60000000000002</v>
      </c>
      <c r="BJ101" s="82">
        <v>47.9</v>
      </c>
      <c r="BK101" s="82">
        <v>91.3</v>
      </c>
      <c r="BL101" s="82">
        <v>41.1</v>
      </c>
    </row>
    <row r="102" spans="1:64" x14ac:dyDescent="0.25">
      <c r="A102" s="65" t="s">
        <v>105</v>
      </c>
      <c r="B102" s="89">
        <f>IF(B82&lt;0,B82*-1,0)</f>
        <v>0</v>
      </c>
      <c r="C102" s="89">
        <f>IF(C82&lt;0,C82*-1,0)</f>
        <v>0</v>
      </c>
      <c r="D102" s="89">
        <f>IF(D82&lt;0,D82*-1,0)</f>
        <v>0</v>
      </c>
      <c r="E102" s="89">
        <f t="shared" ref="E102:AB102" si="46">IF(E82&lt;0,E82*-1,0)</f>
        <v>0</v>
      </c>
      <c r="F102" s="89">
        <f t="shared" si="46"/>
        <v>0</v>
      </c>
      <c r="G102" s="89">
        <f t="shared" si="46"/>
        <v>0</v>
      </c>
      <c r="H102" s="89">
        <f t="shared" si="46"/>
        <v>0</v>
      </c>
      <c r="I102" s="89">
        <f t="shared" si="46"/>
        <v>0</v>
      </c>
      <c r="J102" s="89">
        <f t="shared" si="46"/>
        <v>0</v>
      </c>
      <c r="K102" s="89">
        <f t="shared" si="46"/>
        <v>0</v>
      </c>
      <c r="L102" s="89">
        <f t="shared" si="46"/>
        <v>0</v>
      </c>
      <c r="M102" s="89">
        <f t="shared" si="46"/>
        <v>0</v>
      </c>
      <c r="N102" s="89">
        <f t="shared" si="46"/>
        <v>0</v>
      </c>
      <c r="O102" s="89">
        <f t="shared" si="46"/>
        <v>0</v>
      </c>
      <c r="P102" s="89">
        <f t="shared" si="46"/>
        <v>0</v>
      </c>
      <c r="Q102" s="89">
        <f t="shared" si="46"/>
        <v>0</v>
      </c>
      <c r="R102" s="89">
        <f t="shared" si="46"/>
        <v>0</v>
      </c>
      <c r="S102" s="89">
        <f t="shared" ref="S102:AA102" si="47">IF(S82&lt;0,S82*-1,0)</f>
        <v>0</v>
      </c>
      <c r="T102" s="89">
        <f t="shared" si="47"/>
        <v>0</v>
      </c>
      <c r="U102" s="89">
        <f t="shared" si="47"/>
        <v>0</v>
      </c>
      <c r="V102" s="89">
        <f t="shared" si="47"/>
        <v>0</v>
      </c>
      <c r="W102" s="89">
        <f t="shared" si="47"/>
        <v>0</v>
      </c>
      <c r="X102" s="89">
        <f t="shared" si="47"/>
        <v>0</v>
      </c>
      <c r="Y102" s="89">
        <f t="shared" si="47"/>
        <v>0</v>
      </c>
      <c r="Z102" s="89">
        <f t="shared" si="47"/>
        <v>0</v>
      </c>
      <c r="AA102" s="89">
        <f t="shared" si="47"/>
        <v>0</v>
      </c>
      <c r="AB102" s="89">
        <f t="shared" si="46"/>
        <v>0</v>
      </c>
      <c r="AC102" s="89">
        <f>IF(AC82&lt;0,AC82*-1,0)</f>
        <v>0</v>
      </c>
      <c r="AD102" s="89">
        <f>IF(AD82&lt;0,AD82*-1,0)</f>
        <v>0</v>
      </c>
      <c r="AE102" s="89">
        <f>IF(AE82&lt;0,AE82*-1,0)</f>
        <v>0</v>
      </c>
      <c r="AF102" s="89">
        <f>IF(AF82&lt;0,AF82*-1,0)</f>
        <v>0</v>
      </c>
      <c r="AG102" s="66"/>
      <c r="AH102" s="48">
        <f t="shared" si="34"/>
        <v>0</v>
      </c>
      <c r="AI102" s="49">
        <f t="shared" si="35"/>
        <v>0</v>
      </c>
      <c r="BF102" s="81"/>
      <c r="BG102" s="82">
        <v>13.7</v>
      </c>
      <c r="BH102" s="82">
        <v>0</v>
      </c>
      <c r="BI102" s="82">
        <v>57.9</v>
      </c>
      <c r="BJ102" s="82">
        <v>0</v>
      </c>
      <c r="BK102" s="82">
        <v>0</v>
      </c>
      <c r="BL102" s="82">
        <v>46.9</v>
      </c>
    </row>
    <row r="103" spans="1:64" x14ac:dyDescent="0.25">
      <c r="A103" s="97" t="s">
        <v>127</v>
      </c>
      <c r="B103" s="89">
        <f>IF(B85&lt;0,B85*-1,0)</f>
        <v>0</v>
      </c>
      <c r="C103" s="89">
        <f>IF(C85&lt;0,C85*-1,0)</f>
        <v>0</v>
      </c>
      <c r="D103" s="89">
        <f>IF(D85&lt;0,D85*-1,0)</f>
        <v>0</v>
      </c>
      <c r="E103" s="89">
        <f t="shared" ref="E103:AB103" si="48">IF(E85&lt;0,E85*-1,0)</f>
        <v>0</v>
      </c>
      <c r="F103" s="89">
        <f t="shared" si="48"/>
        <v>0</v>
      </c>
      <c r="G103" s="89">
        <f t="shared" si="48"/>
        <v>0</v>
      </c>
      <c r="H103" s="89">
        <f t="shared" si="48"/>
        <v>0</v>
      </c>
      <c r="I103" s="89">
        <f t="shared" si="48"/>
        <v>0</v>
      </c>
      <c r="J103" s="89">
        <f t="shared" si="48"/>
        <v>0</v>
      </c>
      <c r="K103" s="89">
        <f t="shared" si="48"/>
        <v>0</v>
      </c>
      <c r="L103" s="89">
        <f t="shared" si="48"/>
        <v>0</v>
      </c>
      <c r="M103" s="89">
        <f t="shared" si="48"/>
        <v>0</v>
      </c>
      <c r="N103" s="89">
        <f t="shared" si="48"/>
        <v>0</v>
      </c>
      <c r="O103" s="89">
        <f t="shared" si="48"/>
        <v>0</v>
      </c>
      <c r="P103" s="89">
        <f t="shared" si="48"/>
        <v>0</v>
      </c>
      <c r="Q103" s="89">
        <f t="shared" si="48"/>
        <v>0</v>
      </c>
      <c r="R103" s="89">
        <f t="shared" si="48"/>
        <v>0</v>
      </c>
      <c r="S103" s="89">
        <f t="shared" ref="S103:AA103" si="49">IF(S85&lt;0,S85*-1,0)</f>
        <v>0</v>
      </c>
      <c r="T103" s="89">
        <f t="shared" si="49"/>
        <v>0</v>
      </c>
      <c r="U103" s="89">
        <f t="shared" si="49"/>
        <v>0</v>
      </c>
      <c r="V103" s="89">
        <f t="shared" si="49"/>
        <v>0</v>
      </c>
      <c r="W103" s="89">
        <f t="shared" si="49"/>
        <v>0</v>
      </c>
      <c r="X103" s="89">
        <f t="shared" si="49"/>
        <v>0</v>
      </c>
      <c r="Y103" s="89">
        <f t="shared" si="49"/>
        <v>0</v>
      </c>
      <c r="Z103" s="89">
        <f t="shared" si="49"/>
        <v>0</v>
      </c>
      <c r="AA103" s="89">
        <f t="shared" si="49"/>
        <v>0</v>
      </c>
      <c r="AB103" s="89">
        <f t="shared" si="48"/>
        <v>0</v>
      </c>
      <c r="AC103" s="89">
        <f>IF(AC85&lt;0,AC85*-1,0)</f>
        <v>0</v>
      </c>
      <c r="AD103" s="89">
        <f>IF(AD85&lt;0,AD85*-1,0)</f>
        <v>0</v>
      </c>
      <c r="AE103" s="89">
        <f>IF(AE85&lt;0,AE85*-1,0)</f>
        <v>0</v>
      </c>
      <c r="AF103" s="89">
        <f>IF(AF85&lt;0,AF85*-1,0)</f>
        <v>0</v>
      </c>
      <c r="AG103" s="111"/>
      <c r="AH103" s="48">
        <f t="shared" si="34"/>
        <v>0</v>
      </c>
      <c r="AI103" s="49">
        <f t="shared" si="35"/>
        <v>0</v>
      </c>
      <c r="BF103" s="81"/>
      <c r="BG103" s="82">
        <v>33.1</v>
      </c>
      <c r="BH103" s="82">
        <v>0</v>
      </c>
      <c r="BI103" s="82">
        <v>25.6</v>
      </c>
      <c r="BJ103" s="82">
        <v>0</v>
      </c>
      <c r="BK103" s="82">
        <v>0</v>
      </c>
      <c r="BL103" s="82">
        <v>43.8</v>
      </c>
    </row>
    <row r="104" spans="1:64" x14ac:dyDescent="0.25">
      <c r="A104" s="97" t="s">
        <v>128</v>
      </c>
      <c r="B104" s="89">
        <f>IF(B83&lt;0,B83*-1,0)</f>
        <v>0</v>
      </c>
      <c r="C104" s="89">
        <f>IF(C83&lt;0,C83*-1,0)</f>
        <v>0</v>
      </c>
      <c r="D104" s="89">
        <f>IF(D83&lt;0,D83*-1,0)</f>
        <v>0</v>
      </c>
      <c r="E104" s="89">
        <f t="shared" ref="E104:AB104" si="50">IF(E83&lt;0,E83*-1,0)</f>
        <v>0</v>
      </c>
      <c r="F104" s="89">
        <f t="shared" si="50"/>
        <v>0</v>
      </c>
      <c r="G104" s="89">
        <f t="shared" si="50"/>
        <v>0</v>
      </c>
      <c r="H104" s="89">
        <f t="shared" si="50"/>
        <v>0</v>
      </c>
      <c r="I104" s="89">
        <f t="shared" si="50"/>
        <v>0</v>
      </c>
      <c r="J104" s="89">
        <f t="shared" si="50"/>
        <v>0</v>
      </c>
      <c r="K104" s="89">
        <f t="shared" si="50"/>
        <v>0</v>
      </c>
      <c r="L104" s="89">
        <f t="shared" si="50"/>
        <v>0</v>
      </c>
      <c r="M104" s="89">
        <f t="shared" si="50"/>
        <v>0</v>
      </c>
      <c r="N104" s="89">
        <f t="shared" si="50"/>
        <v>0</v>
      </c>
      <c r="O104" s="89">
        <f t="shared" si="50"/>
        <v>0</v>
      </c>
      <c r="P104" s="89">
        <f t="shared" si="50"/>
        <v>0</v>
      </c>
      <c r="Q104" s="89">
        <f t="shared" si="50"/>
        <v>0</v>
      </c>
      <c r="R104" s="89">
        <f t="shared" si="50"/>
        <v>0</v>
      </c>
      <c r="S104" s="89">
        <f t="shared" ref="S104:AA104" si="51">IF(S83&lt;0,S83*-1,0)</f>
        <v>0</v>
      </c>
      <c r="T104" s="89">
        <f t="shared" si="51"/>
        <v>0</v>
      </c>
      <c r="U104" s="89">
        <f t="shared" si="51"/>
        <v>0</v>
      </c>
      <c r="V104" s="89">
        <f t="shared" si="51"/>
        <v>0</v>
      </c>
      <c r="W104" s="89">
        <f t="shared" si="51"/>
        <v>0</v>
      </c>
      <c r="X104" s="89">
        <f t="shared" si="51"/>
        <v>0</v>
      </c>
      <c r="Y104" s="89">
        <f t="shared" si="51"/>
        <v>0</v>
      </c>
      <c r="Z104" s="89">
        <f t="shared" si="51"/>
        <v>0</v>
      </c>
      <c r="AA104" s="89">
        <f t="shared" si="51"/>
        <v>0</v>
      </c>
      <c r="AB104" s="89">
        <f t="shared" si="50"/>
        <v>0</v>
      </c>
      <c r="AC104" s="89">
        <f>IF(AC83&lt;0,AC83*-1,0)</f>
        <v>0</v>
      </c>
      <c r="AD104" s="89">
        <f>IF(AD83&lt;0,AD83*-1,0)</f>
        <v>0</v>
      </c>
      <c r="AE104" s="89">
        <f>IF(AE83&lt;0,AE83*-1,0)</f>
        <v>0</v>
      </c>
      <c r="AF104" s="89">
        <f>IF(AF83&lt;0,AF83*-1,0)</f>
        <v>0</v>
      </c>
      <c r="AG104" s="111"/>
      <c r="AH104" s="48">
        <f t="shared" si="34"/>
        <v>0</v>
      </c>
      <c r="AI104" s="49">
        <f t="shared" si="35"/>
        <v>0</v>
      </c>
      <c r="BF104" s="81"/>
      <c r="BG104" s="82">
        <v>34</v>
      </c>
      <c r="BH104" s="82">
        <v>0</v>
      </c>
      <c r="BI104" s="82">
        <v>37</v>
      </c>
      <c r="BJ104" s="82">
        <v>0</v>
      </c>
      <c r="BK104" s="82">
        <v>0</v>
      </c>
      <c r="BL104" s="82">
        <v>43.8</v>
      </c>
    </row>
    <row r="105" spans="1:64" x14ac:dyDescent="0.25">
      <c r="A105" s="97" t="s">
        <v>104</v>
      </c>
      <c r="B105" s="89">
        <f>IF(B81&lt;0,B81*-1,0)</f>
        <v>5</v>
      </c>
      <c r="C105" s="89">
        <f>IF(C81&lt;0,C81*-1,0)</f>
        <v>0</v>
      </c>
      <c r="D105" s="89">
        <f>IF(D81&lt;0,D81*-1,0)</f>
        <v>0</v>
      </c>
      <c r="E105" s="89">
        <f t="shared" ref="E105:AB105" si="52">IF(E81&lt;0,E81*-1,0)</f>
        <v>2</v>
      </c>
      <c r="F105" s="89">
        <f t="shared" si="52"/>
        <v>0</v>
      </c>
      <c r="G105" s="89">
        <f t="shared" si="52"/>
        <v>0</v>
      </c>
      <c r="H105" s="89">
        <f t="shared" si="52"/>
        <v>0</v>
      </c>
      <c r="I105" s="89">
        <f t="shared" si="52"/>
        <v>0</v>
      </c>
      <c r="J105" s="89">
        <f t="shared" si="52"/>
        <v>0</v>
      </c>
      <c r="K105" s="89">
        <f t="shared" si="52"/>
        <v>0</v>
      </c>
      <c r="L105" s="89">
        <f t="shared" si="52"/>
        <v>0</v>
      </c>
      <c r="M105" s="89">
        <f t="shared" si="52"/>
        <v>0</v>
      </c>
      <c r="N105" s="89">
        <f t="shared" si="52"/>
        <v>0</v>
      </c>
      <c r="O105" s="89">
        <f t="shared" si="52"/>
        <v>0</v>
      </c>
      <c r="P105" s="89">
        <f t="shared" si="52"/>
        <v>0</v>
      </c>
      <c r="Q105" s="89">
        <f t="shared" si="52"/>
        <v>0</v>
      </c>
      <c r="R105" s="89">
        <f t="shared" si="52"/>
        <v>0</v>
      </c>
      <c r="S105" s="89">
        <f t="shared" ref="S105:AA105" si="53">IF(S81&lt;0,S81*-1,0)</f>
        <v>0</v>
      </c>
      <c r="T105" s="89">
        <f t="shared" si="53"/>
        <v>0</v>
      </c>
      <c r="U105" s="89">
        <f t="shared" si="53"/>
        <v>0</v>
      </c>
      <c r="V105" s="89">
        <f t="shared" si="53"/>
        <v>0</v>
      </c>
      <c r="W105" s="89">
        <f t="shared" si="53"/>
        <v>0</v>
      </c>
      <c r="X105" s="89">
        <f t="shared" si="53"/>
        <v>0</v>
      </c>
      <c r="Y105" s="89">
        <f t="shared" si="53"/>
        <v>0</v>
      </c>
      <c r="Z105" s="89">
        <f t="shared" si="53"/>
        <v>0</v>
      </c>
      <c r="AA105" s="89">
        <f t="shared" si="53"/>
        <v>0</v>
      </c>
      <c r="AB105" s="89">
        <f t="shared" si="52"/>
        <v>0</v>
      </c>
      <c r="AC105" s="89">
        <f>IF(AC81&lt;0,AC81*-1,0)</f>
        <v>0</v>
      </c>
      <c r="AD105" s="89">
        <f>IF(AD81&lt;0,AD81*-1,0)</f>
        <v>0</v>
      </c>
      <c r="AE105" s="89">
        <f>IF(AE81&lt;0,AE81*-1,0)</f>
        <v>0</v>
      </c>
      <c r="AF105" s="89">
        <f>IF(AF81&lt;0,AF81*-1,0)</f>
        <v>0</v>
      </c>
      <c r="AG105" s="111"/>
      <c r="AH105" s="48">
        <f t="shared" si="34"/>
        <v>5</v>
      </c>
      <c r="AI105" s="49">
        <f t="shared" si="35"/>
        <v>0</v>
      </c>
      <c r="BF105" s="81"/>
      <c r="BG105" s="82">
        <v>23</v>
      </c>
      <c r="BH105" s="82">
        <v>0</v>
      </c>
      <c r="BI105" s="82">
        <v>40</v>
      </c>
      <c r="BJ105" s="82">
        <v>0</v>
      </c>
      <c r="BK105" s="82">
        <v>0</v>
      </c>
      <c r="BL105" s="82">
        <v>43.8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1</v>
      </c>
      <c r="AD106" s="107">
        <v>0</v>
      </c>
      <c r="AE106" s="107">
        <v>0</v>
      </c>
      <c r="AF106" s="107">
        <v>0</v>
      </c>
      <c r="AG106" s="98"/>
      <c r="AH106" s="48">
        <f t="shared" si="34"/>
        <v>1</v>
      </c>
      <c r="AI106" s="49">
        <f t="shared" si="35"/>
        <v>0</v>
      </c>
      <c r="BG106" s="82">
        <v>23</v>
      </c>
      <c r="BH106" s="82">
        <v>0</v>
      </c>
      <c r="BI106" s="82">
        <v>30</v>
      </c>
      <c r="BJ106" s="82">
        <v>0</v>
      </c>
      <c r="BK106" s="82">
        <v>0</v>
      </c>
      <c r="BL106" s="82">
        <v>47</v>
      </c>
    </row>
    <row r="107" spans="1:64" ht="15.75" thickBot="1" x14ac:dyDescent="0.3">
      <c r="A107" s="112" t="s">
        <v>130</v>
      </c>
      <c r="B107" s="71">
        <v>0</v>
      </c>
      <c r="C107" s="71">
        <v>0</v>
      </c>
      <c r="D107" s="71">
        <v>0</v>
      </c>
      <c r="E107" s="71">
        <f t="shared" ref="E107:AB107" si="54">SUM(E101:E106)</f>
        <v>2</v>
      </c>
      <c r="F107" s="71">
        <f t="shared" si="54"/>
        <v>0</v>
      </c>
      <c r="G107" s="71">
        <f t="shared" si="54"/>
        <v>0</v>
      </c>
      <c r="H107" s="71">
        <f t="shared" si="54"/>
        <v>0</v>
      </c>
      <c r="I107" s="71">
        <f t="shared" si="54"/>
        <v>0</v>
      </c>
      <c r="J107" s="71">
        <f t="shared" si="54"/>
        <v>0</v>
      </c>
      <c r="K107" s="71">
        <f t="shared" si="54"/>
        <v>0</v>
      </c>
      <c r="L107" s="71">
        <f t="shared" si="54"/>
        <v>0</v>
      </c>
      <c r="M107" s="71">
        <f t="shared" si="54"/>
        <v>0</v>
      </c>
      <c r="N107" s="71">
        <f t="shared" si="54"/>
        <v>0</v>
      </c>
      <c r="O107" s="71">
        <f t="shared" si="54"/>
        <v>0</v>
      </c>
      <c r="P107" s="71">
        <f t="shared" si="54"/>
        <v>0</v>
      </c>
      <c r="Q107" s="71">
        <f t="shared" si="54"/>
        <v>0</v>
      </c>
      <c r="R107" s="71">
        <f t="shared" si="54"/>
        <v>0</v>
      </c>
      <c r="S107" s="71">
        <f t="shared" ref="S107:AA107" si="55">SUM(S101:S106)</f>
        <v>0</v>
      </c>
      <c r="T107" s="71">
        <f t="shared" si="55"/>
        <v>0</v>
      </c>
      <c r="U107" s="71">
        <f t="shared" si="55"/>
        <v>0</v>
      </c>
      <c r="V107" s="71">
        <f t="shared" si="55"/>
        <v>0</v>
      </c>
      <c r="W107" s="71">
        <f t="shared" si="55"/>
        <v>0</v>
      </c>
      <c r="X107" s="71">
        <f t="shared" si="55"/>
        <v>0</v>
      </c>
      <c r="Y107" s="71">
        <f t="shared" si="55"/>
        <v>0</v>
      </c>
      <c r="Z107" s="71">
        <f t="shared" si="55"/>
        <v>0</v>
      </c>
      <c r="AA107" s="71">
        <f t="shared" si="55"/>
        <v>0</v>
      </c>
      <c r="AB107" s="71">
        <f t="shared" si="54"/>
        <v>0</v>
      </c>
      <c r="AC107" s="71">
        <v>0</v>
      </c>
      <c r="AD107" s="71">
        <v>0</v>
      </c>
      <c r="AE107" s="71">
        <v>0</v>
      </c>
      <c r="AF107" s="71">
        <v>0</v>
      </c>
      <c r="AG107" s="101"/>
      <c r="AH107" s="48">
        <f t="shared" si="34"/>
        <v>2</v>
      </c>
      <c r="AI107" s="49">
        <f t="shared" si="35"/>
        <v>0</v>
      </c>
      <c r="AK107" s="51"/>
      <c r="BG107" s="82">
        <v>-5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>B92-B107</f>
        <v>0</v>
      </c>
      <c r="C108" s="71">
        <f>C92-C107</f>
        <v>33</v>
      </c>
      <c r="D108" s="71">
        <f>D92-D107</f>
        <v>35</v>
      </c>
      <c r="E108" s="71">
        <f t="shared" ref="E108:AB108" si="56">E92-E107</f>
        <v>43</v>
      </c>
      <c r="F108" s="71">
        <f t="shared" si="56"/>
        <v>62</v>
      </c>
      <c r="G108" s="71">
        <f t="shared" si="56"/>
        <v>69.5</v>
      </c>
      <c r="H108" s="71">
        <f t="shared" si="56"/>
        <v>48</v>
      </c>
      <c r="I108" s="71">
        <f t="shared" si="56"/>
        <v>78</v>
      </c>
      <c r="J108" s="71">
        <f t="shared" si="56"/>
        <v>442</v>
      </c>
      <c r="K108" s="71">
        <f t="shared" si="56"/>
        <v>475</v>
      </c>
      <c r="L108" s="71">
        <f t="shared" si="56"/>
        <v>593</v>
      </c>
      <c r="M108" s="71">
        <f t="shared" si="56"/>
        <v>608.50000000000011</v>
      </c>
      <c r="N108" s="71">
        <f t="shared" si="56"/>
        <v>688.9</v>
      </c>
      <c r="O108" s="71">
        <f t="shared" si="56"/>
        <v>649.9</v>
      </c>
      <c r="P108" s="71">
        <f t="shared" si="56"/>
        <v>689.9</v>
      </c>
      <c r="Q108" s="71">
        <f t="shared" si="56"/>
        <v>700</v>
      </c>
      <c r="R108" s="71">
        <f t="shared" si="56"/>
        <v>658</v>
      </c>
      <c r="S108" s="71">
        <f t="shared" ref="S108:AA108" si="57">S92-S107</f>
        <v>750.5</v>
      </c>
      <c r="T108" s="71">
        <f t="shared" si="57"/>
        <v>782.84</v>
      </c>
      <c r="U108" s="71">
        <f t="shared" si="57"/>
        <v>743.69999999999993</v>
      </c>
      <c r="V108" s="71">
        <f t="shared" si="57"/>
        <v>757.59999999999991</v>
      </c>
      <c r="W108" s="71">
        <f t="shared" si="57"/>
        <v>757.59999999999991</v>
      </c>
      <c r="X108" s="71">
        <f t="shared" si="57"/>
        <v>528.79999999999995</v>
      </c>
      <c r="Y108" s="71">
        <f t="shared" si="57"/>
        <v>96.5</v>
      </c>
      <c r="Z108" s="71">
        <f t="shared" si="57"/>
        <v>118.5</v>
      </c>
      <c r="AA108" s="71">
        <f t="shared" si="57"/>
        <v>100.5</v>
      </c>
      <c r="AB108" s="71">
        <f t="shared" si="56"/>
        <v>102.5</v>
      </c>
      <c r="AC108" s="71">
        <f>AC92-AC107</f>
        <v>110.8</v>
      </c>
      <c r="AD108" s="71">
        <f>AD92-AD107</f>
        <v>114.8</v>
      </c>
      <c r="AE108" s="71">
        <f>AE92-AE107</f>
        <v>106.8</v>
      </c>
      <c r="AF108" s="71">
        <f>AF92-AF107</f>
        <v>100</v>
      </c>
      <c r="AG108" s="101"/>
      <c r="AH108" s="48">
        <f t="shared" si="34"/>
        <v>782.84</v>
      </c>
      <c r="AI108" s="49">
        <f t="shared" si="35"/>
        <v>0</v>
      </c>
    </row>
    <row r="109" spans="1:64" x14ac:dyDescent="0.25">
      <c r="A109" s="113" t="s">
        <v>132</v>
      </c>
      <c r="B109" s="114">
        <v>50</v>
      </c>
      <c r="C109" s="114">
        <v>50</v>
      </c>
      <c r="D109" s="114">
        <v>50.02</v>
      </c>
      <c r="E109" s="114">
        <v>50.025599999999997</v>
      </c>
      <c r="F109" s="114">
        <v>50.033999999999999</v>
      </c>
      <c r="G109" s="114">
        <v>50.03</v>
      </c>
      <c r="H109" s="114">
        <v>49.99</v>
      </c>
      <c r="I109" s="114">
        <v>50.023000000000003</v>
      </c>
      <c r="J109" s="114">
        <v>50.06</v>
      </c>
      <c r="K109" s="114">
        <v>49.95</v>
      </c>
      <c r="L109" s="114">
        <v>50.05</v>
      </c>
      <c r="M109" s="114">
        <v>50.131999999999998</v>
      </c>
      <c r="N109" s="114">
        <v>49.927</v>
      </c>
      <c r="O109" s="114">
        <v>49.8</v>
      </c>
      <c r="P109" s="114">
        <v>49.6</v>
      </c>
      <c r="Q109" s="114">
        <v>50.1</v>
      </c>
      <c r="R109" s="114">
        <v>50.003999999999998</v>
      </c>
      <c r="S109" s="114">
        <v>49.963000000000001</v>
      </c>
      <c r="T109" s="114">
        <v>50.04</v>
      </c>
      <c r="U109" s="114">
        <v>50</v>
      </c>
      <c r="V109" s="114">
        <v>49.99</v>
      </c>
      <c r="W109" s="114">
        <v>49.99</v>
      </c>
      <c r="X109" s="114">
        <v>50.01</v>
      </c>
      <c r="Y109" s="114">
        <v>50.03</v>
      </c>
      <c r="Z109" s="114">
        <v>50</v>
      </c>
      <c r="AA109" s="114">
        <v>50.01</v>
      </c>
      <c r="AB109" s="114">
        <v>50.018999999999998</v>
      </c>
      <c r="AC109" s="114">
        <v>50.06</v>
      </c>
      <c r="AD109" s="114">
        <v>50.05</v>
      </c>
      <c r="AE109" s="114">
        <v>50.06</v>
      </c>
      <c r="AF109" s="114">
        <v>50</v>
      </c>
      <c r="AG109" s="115"/>
      <c r="AH109" s="48">
        <f t="shared" si="34"/>
        <v>50.131999999999998</v>
      </c>
      <c r="AI109" s="49">
        <f t="shared" si="35"/>
        <v>49.6</v>
      </c>
    </row>
    <row r="110" spans="1:64" x14ac:dyDescent="0.25">
      <c r="A110" s="116" t="s">
        <v>133</v>
      </c>
      <c r="B110" s="76">
        <v>125.5</v>
      </c>
      <c r="C110" s="76">
        <v>125.5</v>
      </c>
      <c r="D110" s="76">
        <v>125.5</v>
      </c>
      <c r="E110" s="76">
        <v>125.3</v>
      </c>
      <c r="F110" s="76">
        <v>126.7</v>
      </c>
      <c r="G110" s="76">
        <v>124.4</v>
      </c>
      <c r="H110" s="76">
        <v>124.9</v>
      </c>
      <c r="I110" s="76">
        <v>125.6</v>
      </c>
      <c r="J110" s="76">
        <v>125.3</v>
      </c>
      <c r="K110" s="76">
        <v>126.1</v>
      </c>
      <c r="L110" s="76">
        <v>126.1</v>
      </c>
      <c r="M110" s="76">
        <v>123.9</v>
      </c>
      <c r="N110" s="76">
        <v>124.9</v>
      </c>
      <c r="O110" s="76">
        <v>125</v>
      </c>
      <c r="P110" s="76">
        <v>126</v>
      </c>
      <c r="Q110" s="76">
        <v>123.4</v>
      </c>
      <c r="R110" s="76">
        <v>124.9</v>
      </c>
      <c r="S110" s="76">
        <v>124.9</v>
      </c>
      <c r="T110" s="76">
        <v>124.7</v>
      </c>
      <c r="U110" s="76">
        <v>124.7</v>
      </c>
      <c r="V110" s="76">
        <v>126.3</v>
      </c>
      <c r="W110" s="76">
        <v>126.3</v>
      </c>
      <c r="X110" s="76">
        <v>127.1</v>
      </c>
      <c r="Y110" s="76">
        <v>126.5</v>
      </c>
      <c r="Z110" s="76">
        <v>126.5</v>
      </c>
      <c r="AA110" s="76">
        <v>126.5</v>
      </c>
      <c r="AB110" s="76">
        <v>127.2</v>
      </c>
      <c r="AC110" s="76">
        <v>126</v>
      </c>
      <c r="AD110" s="76">
        <v>125.8</v>
      </c>
      <c r="AE110" s="76">
        <v>125.8</v>
      </c>
      <c r="AF110" s="76">
        <v>125.8</v>
      </c>
      <c r="AG110" s="117"/>
      <c r="AH110" s="48">
        <f t="shared" si="34"/>
        <v>127.2</v>
      </c>
      <c r="AI110" s="49">
        <f t="shared" si="35"/>
        <v>123.4</v>
      </c>
    </row>
    <row r="111" spans="1:64" x14ac:dyDescent="0.25">
      <c r="A111" s="116" t="s">
        <v>134</v>
      </c>
      <c r="B111" s="76">
        <v>129.5</v>
      </c>
      <c r="C111" s="76">
        <v>129.5</v>
      </c>
      <c r="D111" s="76">
        <v>130</v>
      </c>
      <c r="E111" s="76">
        <v>130</v>
      </c>
      <c r="F111" s="76">
        <v>130.9</v>
      </c>
      <c r="G111" s="76">
        <v>129.1</v>
      </c>
      <c r="H111" s="76">
        <v>129</v>
      </c>
      <c r="I111" s="76">
        <v>128.5</v>
      </c>
      <c r="J111" s="76">
        <v>128.4</v>
      </c>
      <c r="K111" s="76">
        <v>128.4</v>
      </c>
      <c r="L111" s="76">
        <v>128.4</v>
      </c>
      <c r="M111" s="76">
        <v>126.9</v>
      </c>
      <c r="N111" s="76">
        <v>127.2</v>
      </c>
      <c r="O111" s="76">
        <v>127.2</v>
      </c>
      <c r="P111" s="76">
        <v>127.2</v>
      </c>
      <c r="Q111" s="76">
        <v>127.2</v>
      </c>
      <c r="R111" s="76">
        <v>127.2</v>
      </c>
      <c r="S111" s="76">
        <v>127.2</v>
      </c>
      <c r="T111" s="76">
        <v>128.19999999999999</v>
      </c>
      <c r="U111" s="76">
        <v>128.19999999999999</v>
      </c>
      <c r="V111" s="76">
        <v>129.4</v>
      </c>
      <c r="W111" s="76">
        <v>129.4</v>
      </c>
      <c r="X111" s="76">
        <v>130.9</v>
      </c>
      <c r="Y111" s="76">
        <v>130.5</v>
      </c>
      <c r="Z111" s="76">
        <v>130.69999999999999</v>
      </c>
      <c r="AA111" s="76">
        <v>130.19999999999999</v>
      </c>
      <c r="AB111" s="76">
        <v>131.4</v>
      </c>
      <c r="AC111" s="76">
        <v>130.4</v>
      </c>
      <c r="AD111" s="76">
        <v>130.5</v>
      </c>
      <c r="AE111" s="76">
        <v>130.5</v>
      </c>
      <c r="AF111" s="76">
        <v>130.5</v>
      </c>
      <c r="AG111" s="117"/>
      <c r="AH111" s="48">
        <f t="shared" si="34"/>
        <v>131.4</v>
      </c>
      <c r="AI111" s="49">
        <f t="shared" si="35"/>
        <v>126.9</v>
      </c>
    </row>
    <row r="112" spans="1:64" x14ac:dyDescent="0.25">
      <c r="A112" s="116" t="s">
        <v>135</v>
      </c>
      <c r="B112" s="76">
        <v>130</v>
      </c>
      <c r="C112" s="76">
        <v>130</v>
      </c>
      <c r="D112" s="76">
        <v>131</v>
      </c>
      <c r="E112" s="76">
        <v>132.1</v>
      </c>
      <c r="F112" s="76">
        <v>132.9</v>
      </c>
      <c r="G112" s="76">
        <v>133.1</v>
      </c>
      <c r="H112" s="76">
        <v>132.30000000000001</v>
      </c>
      <c r="I112" s="76">
        <v>129.6</v>
      </c>
      <c r="J112" s="76">
        <v>129.4</v>
      </c>
      <c r="K112" s="76">
        <v>129.80000000000001</v>
      </c>
      <c r="L112" s="76">
        <v>129.80000000000001</v>
      </c>
      <c r="M112" s="76">
        <v>132.1</v>
      </c>
      <c r="N112" s="76">
        <v>128.9</v>
      </c>
      <c r="O112" s="76">
        <v>128.9</v>
      </c>
      <c r="P112" s="76">
        <v>129.80000000000001</v>
      </c>
      <c r="Q112" s="76">
        <v>129.6</v>
      </c>
      <c r="R112" s="76">
        <v>128.9</v>
      </c>
      <c r="S112" s="76">
        <v>128.9</v>
      </c>
      <c r="T112" s="76">
        <v>128.30000000000001</v>
      </c>
      <c r="U112" s="76">
        <v>128.30000000000001</v>
      </c>
      <c r="V112" s="76">
        <v>127.4</v>
      </c>
      <c r="W112" s="76">
        <v>127.4</v>
      </c>
      <c r="X112" s="76">
        <v>131.1</v>
      </c>
      <c r="Y112" s="76">
        <v>128.69999999999999</v>
      </c>
      <c r="Z112" s="76">
        <v>125.6</v>
      </c>
      <c r="AA112" s="76">
        <v>127.5</v>
      </c>
      <c r="AB112" s="76">
        <v>130.19999999999999</v>
      </c>
      <c r="AC112" s="76">
        <v>130</v>
      </c>
      <c r="AD112" s="76">
        <v>129</v>
      </c>
      <c r="AE112" s="76">
        <v>129</v>
      </c>
      <c r="AF112" s="76">
        <v>129</v>
      </c>
      <c r="AG112" s="117"/>
      <c r="AH112" s="48">
        <f t="shared" si="34"/>
        <v>133.1</v>
      </c>
      <c r="AI112" s="49">
        <f t="shared" si="35"/>
        <v>125.6</v>
      </c>
    </row>
    <row r="113" spans="1:35" x14ac:dyDescent="0.25">
      <c r="A113" s="118" t="s">
        <v>136</v>
      </c>
      <c r="B113" s="76">
        <v>131</v>
      </c>
      <c r="C113" s="76">
        <v>131</v>
      </c>
      <c r="D113" s="76">
        <v>132</v>
      </c>
      <c r="E113" s="76">
        <v>132.19999999999999</v>
      </c>
      <c r="F113" s="76">
        <v>133</v>
      </c>
      <c r="G113" s="76">
        <v>133.30000000000001</v>
      </c>
      <c r="H113" s="76">
        <v>132.6</v>
      </c>
      <c r="I113" s="76">
        <v>130.69999999999999</v>
      </c>
      <c r="J113" s="76">
        <v>130.19999999999999</v>
      </c>
      <c r="K113" s="76">
        <v>132.5</v>
      </c>
      <c r="L113" s="76">
        <v>132.5</v>
      </c>
      <c r="M113" s="76">
        <v>132.80000000000001</v>
      </c>
      <c r="N113" s="76">
        <v>128.5</v>
      </c>
      <c r="O113" s="76">
        <v>128.5</v>
      </c>
      <c r="P113" s="76">
        <v>132.5</v>
      </c>
      <c r="Q113" s="76">
        <v>130.69999999999999</v>
      </c>
      <c r="R113" s="76">
        <v>128.5</v>
      </c>
      <c r="S113" s="76">
        <v>128.5</v>
      </c>
      <c r="T113" s="76">
        <v>131.4</v>
      </c>
      <c r="U113" s="76">
        <v>131.4</v>
      </c>
      <c r="V113" s="76">
        <v>133.80000000000001</v>
      </c>
      <c r="W113" s="76">
        <v>133.80000000000001</v>
      </c>
      <c r="X113" s="76">
        <v>131.5</v>
      </c>
      <c r="Y113" s="76">
        <v>129.80000000000001</v>
      </c>
      <c r="Z113" s="76">
        <v>128.4</v>
      </c>
      <c r="AA113" s="76">
        <v>128.1</v>
      </c>
      <c r="AB113" s="76">
        <v>130.6</v>
      </c>
      <c r="AC113" s="76">
        <v>130.6</v>
      </c>
      <c r="AD113" s="76">
        <v>129</v>
      </c>
      <c r="AE113" s="76">
        <v>129</v>
      </c>
      <c r="AF113" s="76">
        <v>129</v>
      </c>
      <c r="AG113" s="117"/>
      <c r="AH113" s="48">
        <f t="shared" si="34"/>
        <v>133.80000000000001</v>
      </c>
      <c r="AI113" s="49">
        <f t="shared" si="35"/>
        <v>128.1</v>
      </c>
    </row>
    <row r="114" spans="1:35" x14ac:dyDescent="0.25">
      <c r="A114" s="118" t="s">
        <v>137</v>
      </c>
      <c r="B114" s="119">
        <v>134.6</v>
      </c>
      <c r="C114" s="119">
        <v>134.6</v>
      </c>
      <c r="D114" s="119">
        <v>134.6</v>
      </c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>
        <v>134.19999999999999</v>
      </c>
      <c r="U114" s="119">
        <v>134.19999999999999</v>
      </c>
      <c r="V114" s="119">
        <v>134.4</v>
      </c>
      <c r="W114" s="119">
        <v>134.4</v>
      </c>
      <c r="X114" s="119">
        <v>134</v>
      </c>
      <c r="Y114" s="119">
        <v>134.5</v>
      </c>
      <c r="Z114" s="119">
        <v>133.69999999999999</v>
      </c>
      <c r="AA114" s="119">
        <v>133.5</v>
      </c>
      <c r="AB114" s="119">
        <v>134.5</v>
      </c>
      <c r="AC114" s="119">
        <v>134</v>
      </c>
      <c r="AD114" s="119">
        <v>133.80000000000001</v>
      </c>
      <c r="AE114" s="119">
        <v>133.80000000000001</v>
      </c>
      <c r="AF114" s="119">
        <v>133.80000000000001</v>
      </c>
      <c r="AG114" s="120"/>
      <c r="AH114" s="48">
        <f t="shared" si="34"/>
        <v>134.6</v>
      </c>
      <c r="AI114" s="49">
        <f t="shared" si="35"/>
        <v>133.5</v>
      </c>
    </row>
    <row r="115" spans="1:35" x14ac:dyDescent="0.25">
      <c r="A115" s="116" t="s">
        <v>138</v>
      </c>
      <c r="B115" s="76">
        <v>133</v>
      </c>
      <c r="C115" s="76">
        <v>133</v>
      </c>
      <c r="D115" s="76">
        <v>133</v>
      </c>
      <c r="E115" s="76">
        <v>128</v>
      </c>
      <c r="F115" s="76">
        <v>130.4</v>
      </c>
      <c r="G115" s="76">
        <v>126.8</v>
      </c>
      <c r="H115" s="76">
        <v>125</v>
      </c>
      <c r="I115" s="76">
        <v>125.8</v>
      </c>
      <c r="J115" s="76">
        <v>126.9</v>
      </c>
      <c r="K115" s="76">
        <v>136.80000000000001</v>
      </c>
      <c r="L115" s="76">
        <v>134.5</v>
      </c>
      <c r="M115" s="76">
        <v>129.9</v>
      </c>
      <c r="N115" s="76">
        <v>125</v>
      </c>
      <c r="O115" s="76">
        <v>125</v>
      </c>
      <c r="P115" s="76">
        <v>134.5</v>
      </c>
      <c r="Q115" s="76">
        <v>125.8</v>
      </c>
      <c r="R115" s="76">
        <v>125</v>
      </c>
      <c r="S115" s="76">
        <v>125</v>
      </c>
      <c r="T115" s="76">
        <v>127.7</v>
      </c>
      <c r="U115" s="76">
        <v>127.7</v>
      </c>
      <c r="V115" s="76">
        <v>127.6</v>
      </c>
      <c r="W115" s="76">
        <v>127.6</v>
      </c>
      <c r="X115" s="76">
        <v>129.19999999999999</v>
      </c>
      <c r="Y115" s="76">
        <v>129.80000000000001</v>
      </c>
      <c r="Z115" s="76">
        <v>127.9</v>
      </c>
      <c r="AA115" s="76">
        <v>128</v>
      </c>
      <c r="AB115" s="76">
        <v>130.19999999999999</v>
      </c>
      <c r="AC115" s="76">
        <v>132</v>
      </c>
      <c r="AD115" s="76">
        <v>130</v>
      </c>
      <c r="AE115" s="76">
        <v>130</v>
      </c>
      <c r="AF115" s="76">
        <v>130</v>
      </c>
      <c r="AG115" s="117"/>
      <c r="AH115" s="48">
        <f t="shared" si="34"/>
        <v>136.80000000000001</v>
      </c>
      <c r="AI115" s="49">
        <f t="shared" si="35"/>
        <v>125</v>
      </c>
    </row>
    <row r="116" spans="1:35" ht="15.75" thickBot="1" x14ac:dyDescent="0.3">
      <c r="A116" s="116" t="s">
        <v>139</v>
      </c>
      <c r="B116" s="105">
        <v>64.099999999999994</v>
      </c>
      <c r="C116" s="105">
        <v>64.099999999999994</v>
      </c>
      <c r="D116" s="105">
        <v>64.099999999999994</v>
      </c>
      <c r="E116" s="105">
        <v>65.2</v>
      </c>
      <c r="F116" s="105">
        <v>65.7</v>
      </c>
      <c r="G116" s="105">
        <v>64.8</v>
      </c>
      <c r="H116" s="105">
        <v>65.3</v>
      </c>
      <c r="I116" s="105">
        <v>64.599999999999994</v>
      </c>
      <c r="J116" s="105">
        <v>64.8</v>
      </c>
      <c r="K116" s="105">
        <v>64.8</v>
      </c>
      <c r="L116" s="105">
        <v>64.8</v>
      </c>
      <c r="M116" s="105">
        <v>63.4</v>
      </c>
      <c r="N116" s="105">
        <v>64.099999999999994</v>
      </c>
      <c r="O116" s="105">
        <v>64.099999999999994</v>
      </c>
      <c r="P116" s="105">
        <v>64.8</v>
      </c>
      <c r="Q116" s="105">
        <v>64.599999999999994</v>
      </c>
      <c r="R116" s="105">
        <v>64.099999999999994</v>
      </c>
      <c r="S116" s="105">
        <v>64.099999999999994</v>
      </c>
      <c r="T116" s="105">
        <v>64.3</v>
      </c>
      <c r="U116" s="105">
        <v>64.3</v>
      </c>
      <c r="V116" s="105">
        <v>65.099999999999994</v>
      </c>
      <c r="W116" s="105">
        <v>65.099999999999994</v>
      </c>
      <c r="X116" s="105">
        <v>65.7</v>
      </c>
      <c r="Y116" s="105">
        <v>65.5</v>
      </c>
      <c r="Z116" s="105">
        <v>65.599999999999994</v>
      </c>
      <c r="AA116" s="105">
        <v>65.400000000000006</v>
      </c>
      <c r="AB116" s="105">
        <v>66.099999999999994</v>
      </c>
      <c r="AC116" s="105">
        <v>65.599999999999994</v>
      </c>
      <c r="AD116" s="105">
        <v>65.599999999999994</v>
      </c>
      <c r="AE116" s="105">
        <v>65.599999999999994</v>
      </c>
      <c r="AF116" s="105">
        <v>65.599999999999994</v>
      </c>
      <c r="AG116" s="121"/>
      <c r="AH116" s="48">
        <f t="shared" si="34"/>
        <v>66.099999999999994</v>
      </c>
      <c r="AI116" s="49">
        <f t="shared" si="35"/>
        <v>63.4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4"/>
        <v>0</v>
      </c>
      <c r="AI117" s="49">
        <f t="shared" si="35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164.04</v>
      </c>
      <c r="C118" s="124">
        <f>SUM(C22,C28,C31:C32,C66,C68:C69,C71,C73,C119:C123,C155,C161,C167,C176,C178,C190,C197,C200:C201,C208,C210,C212,C216:C218,C220:C222,C227,C233:C234,C236:C238,C246,C251)</f>
        <v>127.04000000000002</v>
      </c>
      <c r="D118" s="124">
        <f>SUM(D22,D28,D31:D32,D66,D68:D69,D71,D73,D119:D123,D155,D161,D167,D176,D178,D190,D197,D200:D201,D208,D210,D212,D216:D218,D220:D222,D227,D233:D234,D236:D238,D246,D251)</f>
        <v>127.04000000000002</v>
      </c>
      <c r="E118" s="124">
        <f t="shared" ref="E118:O118" si="58">SUM(E22,E28,E31:E32,E66,E68:E69,E71,E73,E119:E123,E155,E161,E167,E176,E178,E190,E197,E200:E201,E208,E210,E212,E216:E218,E220:E222,E227,E233:E234,E236:E238,E246,E251)</f>
        <v>116.64</v>
      </c>
      <c r="F118" s="124">
        <f t="shared" si="58"/>
        <v>118.34000000000002</v>
      </c>
      <c r="G118" s="124">
        <f t="shared" si="58"/>
        <v>148.94</v>
      </c>
      <c r="H118" s="124">
        <f t="shared" si="58"/>
        <v>166.04</v>
      </c>
      <c r="I118" s="124">
        <f t="shared" si="58"/>
        <v>245.45000000000002</v>
      </c>
      <c r="J118" s="124">
        <f t="shared" si="58"/>
        <v>261.94</v>
      </c>
      <c r="K118" s="124">
        <f t="shared" si="58"/>
        <v>221.94</v>
      </c>
      <c r="L118" s="124">
        <f t="shared" si="58"/>
        <v>305.13999999999993</v>
      </c>
      <c r="M118" s="124">
        <f t="shared" si="58"/>
        <v>307.14000000000004</v>
      </c>
      <c r="N118" s="124">
        <f t="shared" si="58"/>
        <v>316.44</v>
      </c>
      <c r="O118" s="124">
        <f t="shared" si="58"/>
        <v>316.44</v>
      </c>
      <c r="P118" s="124">
        <v>42</v>
      </c>
      <c r="Q118" s="124">
        <f t="shared" ref="Q118:AF118" si="59">SUM(Q22,Q28,Q31:Q32,Q66,Q68:Q69,Q71,Q73,Q119:Q123,Q155,Q161,Q167,Q176,Q178,Q190,Q197,Q200:Q201,Q208,Q210,Q212,Q216:Q218,Q220:Q222,Q227,Q233:Q234,Q236:Q238,Q246,Q251)</f>
        <v>291.74</v>
      </c>
      <c r="R118" s="124">
        <f t="shared" si="59"/>
        <v>292.74</v>
      </c>
      <c r="S118" s="124">
        <f t="shared" si="59"/>
        <v>292.64</v>
      </c>
      <c r="T118" s="124">
        <f t="shared" si="59"/>
        <v>296.24</v>
      </c>
      <c r="U118" s="124">
        <f t="shared" si="59"/>
        <v>299.73999999999995</v>
      </c>
      <c r="V118" s="124">
        <f t="shared" si="59"/>
        <v>288.94</v>
      </c>
      <c r="W118" s="124">
        <f t="shared" si="59"/>
        <v>288.94</v>
      </c>
      <c r="X118" s="124">
        <f t="shared" si="59"/>
        <v>277.84000000000003</v>
      </c>
      <c r="Y118" s="124">
        <f t="shared" si="59"/>
        <v>285.64</v>
      </c>
      <c r="Z118" s="124">
        <f t="shared" si="59"/>
        <v>323.83999999999997</v>
      </c>
      <c r="AA118" s="124">
        <f t="shared" si="59"/>
        <v>346.74</v>
      </c>
      <c r="AB118" s="124">
        <f t="shared" si="59"/>
        <v>246.44</v>
      </c>
      <c r="AC118" s="124">
        <f t="shared" si="59"/>
        <v>258.64000000000004</v>
      </c>
      <c r="AD118" s="124">
        <f t="shared" si="59"/>
        <v>224.64000000000001</v>
      </c>
      <c r="AE118" s="124">
        <f t="shared" si="59"/>
        <v>189.64000000000001</v>
      </c>
      <c r="AF118" s="124">
        <f t="shared" si="59"/>
        <v>105.64000000000001</v>
      </c>
      <c r="AG118" s="125"/>
      <c r="AH118" s="48">
        <f t="shared" si="34"/>
        <v>346.74</v>
      </c>
      <c r="AI118" s="49">
        <f t="shared" si="35"/>
        <v>42</v>
      </c>
    </row>
    <row r="119" spans="1:35" x14ac:dyDescent="0.25">
      <c r="A119" s="126" t="s">
        <v>142</v>
      </c>
      <c r="B119" s="127">
        <v>54</v>
      </c>
      <c r="C119" s="127">
        <v>58</v>
      </c>
      <c r="D119" s="127">
        <v>58</v>
      </c>
      <c r="E119" s="127">
        <v>53.1</v>
      </c>
      <c r="F119" s="127">
        <v>47.6</v>
      </c>
      <c r="G119" s="127">
        <v>57.2</v>
      </c>
      <c r="H119" s="127">
        <v>63</v>
      </c>
      <c r="I119" s="127">
        <v>48.8</v>
      </c>
      <c r="J119" s="127">
        <v>47</v>
      </c>
      <c r="K119" s="127">
        <v>67.3</v>
      </c>
      <c r="L119" s="127">
        <v>69.099999999999994</v>
      </c>
      <c r="M119" s="127">
        <v>61.9</v>
      </c>
      <c r="N119" s="127">
        <v>29.9</v>
      </c>
      <c r="O119" s="127">
        <v>29.9</v>
      </c>
      <c r="P119" s="127">
        <v>23</v>
      </c>
      <c r="Q119" s="127">
        <v>23</v>
      </c>
      <c r="R119" s="127">
        <v>27</v>
      </c>
      <c r="S119" s="127">
        <v>28.3</v>
      </c>
      <c r="T119" s="127">
        <v>24.5</v>
      </c>
      <c r="U119" s="127">
        <v>24.5</v>
      </c>
      <c r="V119" s="127">
        <v>24.3</v>
      </c>
      <c r="W119" s="127">
        <v>24.3</v>
      </c>
      <c r="X119" s="127">
        <v>27.7</v>
      </c>
      <c r="Y119" s="127">
        <v>37.1</v>
      </c>
      <c r="Z119" s="127">
        <v>36</v>
      </c>
      <c r="AA119" s="127">
        <v>34.5</v>
      </c>
      <c r="AB119" s="127">
        <v>40</v>
      </c>
      <c r="AC119" s="127">
        <v>59</v>
      </c>
      <c r="AD119" s="127">
        <v>55</v>
      </c>
      <c r="AE119" s="127">
        <v>39</v>
      </c>
      <c r="AF119" s="127">
        <v>22</v>
      </c>
      <c r="AG119" s="128">
        <v>75</v>
      </c>
      <c r="AH119" s="48">
        <f t="shared" si="34"/>
        <v>69.099999999999994</v>
      </c>
      <c r="AI119" s="49">
        <f t="shared" si="35"/>
        <v>22</v>
      </c>
    </row>
    <row r="120" spans="1:35" x14ac:dyDescent="0.25">
      <c r="A120" s="129" t="s">
        <v>143</v>
      </c>
      <c r="B120" s="130">
        <v>82</v>
      </c>
      <c r="C120" s="130">
        <v>86</v>
      </c>
      <c r="D120" s="130">
        <v>86</v>
      </c>
      <c r="E120" s="130">
        <v>81.7</v>
      </c>
      <c r="F120" s="130">
        <v>75.2</v>
      </c>
      <c r="G120" s="130">
        <v>85.7</v>
      </c>
      <c r="H120" s="130">
        <v>93.8</v>
      </c>
      <c r="I120" s="130">
        <v>65.209999999999994</v>
      </c>
      <c r="J120" s="130">
        <v>63</v>
      </c>
      <c r="K120" s="130">
        <v>9.1</v>
      </c>
      <c r="L120" s="130">
        <v>90.6</v>
      </c>
      <c r="M120" s="130">
        <v>80.400000000000006</v>
      </c>
      <c r="N120" s="130">
        <v>38</v>
      </c>
      <c r="O120" s="130">
        <v>38</v>
      </c>
      <c r="P120" s="130">
        <v>27</v>
      </c>
      <c r="Q120" s="130">
        <v>27</v>
      </c>
      <c r="R120" s="130">
        <v>34</v>
      </c>
      <c r="S120" s="130">
        <v>35.6</v>
      </c>
      <c r="T120" s="130">
        <v>30.8</v>
      </c>
      <c r="U120" s="130">
        <v>30.6</v>
      </c>
      <c r="V120" s="130">
        <v>28.9</v>
      </c>
      <c r="W120" s="130">
        <v>28.9</v>
      </c>
      <c r="X120" s="130">
        <v>40.700000000000003</v>
      </c>
      <c r="Y120" s="130">
        <v>53.3</v>
      </c>
      <c r="Z120" s="130">
        <v>51.9</v>
      </c>
      <c r="AA120" s="130">
        <v>49.2</v>
      </c>
      <c r="AB120" s="130">
        <v>58.8</v>
      </c>
      <c r="AC120" s="130">
        <v>86</v>
      </c>
      <c r="AD120" s="130">
        <v>79</v>
      </c>
      <c r="AE120" s="130">
        <v>60</v>
      </c>
      <c r="AF120" s="130">
        <v>39</v>
      </c>
      <c r="AG120" s="128">
        <v>240</v>
      </c>
      <c r="AH120" s="48">
        <f t="shared" si="34"/>
        <v>93.8</v>
      </c>
      <c r="AI120" s="49">
        <f t="shared" si="35"/>
        <v>9.1</v>
      </c>
    </row>
    <row r="121" spans="1:35" x14ac:dyDescent="0.25">
      <c r="A121" s="129" t="s">
        <v>144</v>
      </c>
      <c r="B121" s="130">
        <v>-145</v>
      </c>
      <c r="C121" s="130">
        <v>-170</v>
      </c>
      <c r="D121" s="130">
        <v>-170</v>
      </c>
      <c r="E121" s="130">
        <f>-82-86</f>
        <v>-168</v>
      </c>
      <c r="F121" s="130">
        <f>-75-79.7</f>
        <v>-154.69999999999999</v>
      </c>
      <c r="G121" s="130">
        <f>-78-82</f>
        <v>-160</v>
      </c>
      <c r="H121" s="130">
        <f>-67.6-71.7</f>
        <v>-139.30000000000001</v>
      </c>
      <c r="I121" s="130">
        <f>-31.7-34.8</f>
        <v>-66.5</v>
      </c>
      <c r="J121" s="130">
        <f>-28-30</f>
        <v>-58</v>
      </c>
      <c r="K121" s="130">
        <f>-43-48</f>
        <v>-91</v>
      </c>
      <c r="L121" s="130">
        <f>-43-48</f>
        <v>-91</v>
      </c>
      <c r="M121" s="130">
        <v>-72.3</v>
      </c>
      <c r="N121" s="130">
        <v>-1</v>
      </c>
      <c r="O121" s="130">
        <v>-1</v>
      </c>
      <c r="P121" s="130">
        <v>-5</v>
      </c>
      <c r="Q121" s="130">
        <v>-5</v>
      </c>
      <c r="R121" s="130">
        <v>-3</v>
      </c>
      <c r="S121" s="130">
        <v>-1.5</v>
      </c>
      <c r="T121" s="130">
        <v>-1.4</v>
      </c>
      <c r="U121" s="130">
        <v>1.3</v>
      </c>
      <c r="V121" s="130">
        <v>-3</v>
      </c>
      <c r="W121" s="130">
        <v>-3</v>
      </c>
      <c r="X121" s="130">
        <v>-31</v>
      </c>
      <c r="Y121" s="130">
        <v>-56</v>
      </c>
      <c r="Z121" s="130">
        <v>-49</v>
      </c>
      <c r="AA121" s="130">
        <v>-42</v>
      </c>
      <c r="AB121" s="130">
        <v>-123</v>
      </c>
      <c r="AC121" s="130">
        <v>-144</v>
      </c>
      <c r="AD121" s="130">
        <v>-152</v>
      </c>
      <c r="AE121" s="130">
        <v>-152</v>
      </c>
      <c r="AF121" s="130">
        <v>-130</v>
      </c>
      <c r="AG121" s="128">
        <v>240</v>
      </c>
      <c r="AH121" s="48">
        <f t="shared" si="34"/>
        <v>1.3</v>
      </c>
      <c r="AI121" s="49">
        <f t="shared" si="35"/>
        <v>-170</v>
      </c>
    </row>
    <row r="122" spans="1:35" ht="15.75" thickBot="1" x14ac:dyDescent="0.3">
      <c r="A122" s="129" t="s">
        <v>145</v>
      </c>
      <c r="B122" s="130">
        <v>15</v>
      </c>
      <c r="C122" s="130">
        <v>14</v>
      </c>
      <c r="D122" s="130">
        <v>14</v>
      </c>
      <c r="E122" s="130">
        <v>13.6</v>
      </c>
      <c r="F122" s="130">
        <v>12.3</v>
      </c>
      <c r="G122" s="130">
        <v>11.4</v>
      </c>
      <c r="H122" s="130">
        <v>-14.5</v>
      </c>
      <c r="I122" s="130">
        <v>-6.2</v>
      </c>
      <c r="J122" s="130">
        <v>-4.8</v>
      </c>
      <c r="K122" s="130">
        <v>0.7</v>
      </c>
      <c r="L122" s="130">
        <v>2.2999999999999998</v>
      </c>
      <c r="M122" s="130">
        <v>0</v>
      </c>
      <c r="N122" s="130">
        <v>23.8</v>
      </c>
      <c r="O122" s="130">
        <v>23.8</v>
      </c>
      <c r="P122" s="130">
        <v>16</v>
      </c>
      <c r="Q122" s="130">
        <v>16</v>
      </c>
      <c r="R122" s="130">
        <v>18</v>
      </c>
      <c r="S122" s="130">
        <v>20.100000000000001</v>
      </c>
      <c r="T122" s="130">
        <v>17.8</v>
      </c>
      <c r="U122" s="130">
        <v>15.1</v>
      </c>
      <c r="V122" s="130">
        <v>14.4</v>
      </c>
      <c r="W122" s="130">
        <v>14.4</v>
      </c>
      <c r="X122" s="130">
        <v>17.8</v>
      </c>
      <c r="Y122" s="130">
        <v>19.899999999999999</v>
      </c>
      <c r="Z122" s="130">
        <v>28.7</v>
      </c>
      <c r="AA122" s="130">
        <v>35.6</v>
      </c>
      <c r="AB122" s="130">
        <v>27.4</v>
      </c>
      <c r="AC122" s="130">
        <v>22</v>
      </c>
      <c r="AD122" s="130">
        <v>21</v>
      </c>
      <c r="AE122" s="130">
        <v>21</v>
      </c>
      <c r="AF122" s="130">
        <v>19</v>
      </c>
      <c r="AG122" s="128">
        <v>60</v>
      </c>
      <c r="AH122" s="48">
        <f t="shared" si="34"/>
        <v>35.6</v>
      </c>
      <c r="AI122" s="49">
        <f t="shared" si="35"/>
        <v>-14.5</v>
      </c>
    </row>
    <row r="123" spans="1:35" x14ac:dyDescent="0.25">
      <c r="A123" s="126" t="s">
        <v>146</v>
      </c>
      <c r="B123" s="131">
        <v>45</v>
      </c>
      <c r="C123" s="131">
        <v>26</v>
      </c>
      <c r="D123" s="131">
        <v>26</v>
      </c>
      <c r="E123" s="131">
        <v>21.3</v>
      </c>
      <c r="F123" s="131">
        <v>23</v>
      </c>
      <c r="G123" s="131">
        <v>39.700000000000003</v>
      </c>
      <c r="H123" s="131">
        <v>48.1</v>
      </c>
      <c r="I123" s="131">
        <v>86.4</v>
      </c>
      <c r="J123" s="131">
        <v>96.7</v>
      </c>
      <c r="K123" s="131">
        <v>117.8</v>
      </c>
      <c r="L123" s="131">
        <v>116.1</v>
      </c>
      <c r="M123" s="131">
        <v>112.4</v>
      </c>
      <c r="N123" s="131">
        <v>101</v>
      </c>
      <c r="O123" s="131">
        <v>101</v>
      </c>
      <c r="P123" s="131">
        <v>106</v>
      </c>
      <c r="Q123" s="131">
        <v>106</v>
      </c>
      <c r="R123" s="131">
        <v>92</v>
      </c>
      <c r="S123" s="131">
        <v>88</v>
      </c>
      <c r="T123" s="131">
        <v>103.2</v>
      </c>
      <c r="U123" s="131">
        <v>110.1</v>
      </c>
      <c r="V123" s="131">
        <v>106.2</v>
      </c>
      <c r="W123" s="131">
        <v>106.2</v>
      </c>
      <c r="X123" s="131">
        <v>106.7</v>
      </c>
      <c r="Y123" s="131">
        <v>115.8</v>
      </c>
      <c r="Z123" s="131">
        <v>140.69999999999999</v>
      </c>
      <c r="AA123" s="131">
        <v>153.9</v>
      </c>
      <c r="AB123" s="131">
        <v>125.6</v>
      </c>
      <c r="AC123" s="131">
        <v>118</v>
      </c>
      <c r="AD123" s="131">
        <v>104</v>
      </c>
      <c r="AE123" s="131">
        <v>104</v>
      </c>
      <c r="AF123" s="131">
        <v>38</v>
      </c>
      <c r="AG123" s="132">
        <v>120</v>
      </c>
      <c r="AH123" s="48">
        <f t="shared" si="34"/>
        <v>153.9</v>
      </c>
      <c r="AI123" s="49">
        <f t="shared" si="35"/>
        <v>21.3</v>
      </c>
    </row>
    <row r="124" spans="1:35" x14ac:dyDescent="0.25">
      <c r="A124" s="129" t="s">
        <v>147</v>
      </c>
      <c r="B124" s="131">
        <v>49</v>
      </c>
      <c r="C124" s="131">
        <v>40</v>
      </c>
      <c r="D124" s="131">
        <v>40</v>
      </c>
      <c r="E124" s="131">
        <v>37.200000000000003</v>
      </c>
      <c r="F124" s="131">
        <v>37.6</v>
      </c>
      <c r="G124" s="131">
        <v>46.2</v>
      </c>
      <c r="H124" s="131">
        <v>50.2</v>
      </c>
      <c r="I124" s="131">
        <v>69.099999999999994</v>
      </c>
      <c r="J124" s="131">
        <v>74.2</v>
      </c>
      <c r="K124" s="131">
        <v>83.2</v>
      </c>
      <c r="L124" s="131">
        <v>82.4</v>
      </c>
      <c r="M124" s="131">
        <v>80.599999999999994</v>
      </c>
      <c r="N124" s="131">
        <v>76</v>
      </c>
      <c r="O124" s="131">
        <v>76</v>
      </c>
      <c r="P124" s="131">
        <v>77</v>
      </c>
      <c r="Q124" s="131">
        <v>77</v>
      </c>
      <c r="R124" s="131">
        <v>71</v>
      </c>
      <c r="S124" s="131">
        <v>65.099999999999994</v>
      </c>
      <c r="T124" s="131">
        <v>72.400000000000006</v>
      </c>
      <c r="U124" s="131">
        <v>74.599999999999994</v>
      </c>
      <c r="V124" s="131">
        <v>73.7</v>
      </c>
      <c r="W124" s="131">
        <v>73.7</v>
      </c>
      <c r="X124" s="131">
        <v>73.7</v>
      </c>
      <c r="Y124" s="131">
        <v>78.3</v>
      </c>
      <c r="Z124" s="131">
        <v>89</v>
      </c>
      <c r="AA124" s="131">
        <v>94.85</v>
      </c>
      <c r="AB124" s="131">
        <v>88.1</v>
      </c>
      <c r="AC124" s="131">
        <v>84</v>
      </c>
      <c r="AD124" s="131">
        <v>78</v>
      </c>
      <c r="AE124" s="131">
        <v>78</v>
      </c>
      <c r="AF124" s="131">
        <v>47</v>
      </c>
      <c r="AG124" s="132"/>
      <c r="AH124" s="48">
        <f t="shared" si="34"/>
        <v>94.85</v>
      </c>
      <c r="AI124" s="49">
        <f t="shared" si="35"/>
        <v>37.200000000000003</v>
      </c>
    </row>
    <row r="125" spans="1:35" x14ac:dyDescent="0.25">
      <c r="A125" s="129" t="s">
        <v>148</v>
      </c>
      <c r="B125" s="131">
        <v>-6</v>
      </c>
      <c r="C125" s="131">
        <v>1</v>
      </c>
      <c r="D125" s="131">
        <v>1</v>
      </c>
      <c r="E125" s="131">
        <v>1.8</v>
      </c>
      <c r="F125" s="131">
        <v>1</v>
      </c>
      <c r="G125" s="131">
        <v>-2</v>
      </c>
      <c r="H125" s="131">
        <v>-12.4</v>
      </c>
      <c r="I125" s="131">
        <v>-17</v>
      </c>
      <c r="J125" s="131">
        <v>-18</v>
      </c>
      <c r="K125" s="131">
        <v>-20.9</v>
      </c>
      <c r="L125" s="131">
        <v>-21.7</v>
      </c>
      <c r="M125" s="131">
        <v>-21</v>
      </c>
      <c r="N125" s="131">
        <v>-20.8</v>
      </c>
      <c r="O125" s="131">
        <v>-20.8</v>
      </c>
      <c r="P125" s="131">
        <v>-8</v>
      </c>
      <c r="Q125" s="131">
        <v>-8</v>
      </c>
      <c r="R125" s="131">
        <v>-21</v>
      </c>
      <c r="S125" s="131">
        <v>-32.799999999999997</v>
      </c>
      <c r="T125" s="131">
        <v>-19.100000000000001</v>
      </c>
      <c r="U125" s="131">
        <v>-19.100000000000001</v>
      </c>
      <c r="V125" s="131">
        <v>-17.5</v>
      </c>
      <c r="W125" s="131">
        <v>-17.5</v>
      </c>
      <c r="X125" s="131">
        <v>-15.6</v>
      </c>
      <c r="Y125" s="131">
        <v>-15.8</v>
      </c>
      <c r="Z125" s="131">
        <v>-15</v>
      </c>
      <c r="AA125" s="131">
        <v>-15.2</v>
      </c>
      <c r="AB125" s="131">
        <v>-12.6</v>
      </c>
      <c r="AC125" s="131">
        <v>-13</v>
      </c>
      <c r="AD125" s="131">
        <v>-10</v>
      </c>
      <c r="AE125" s="131">
        <v>-10</v>
      </c>
      <c r="AF125" s="131">
        <v>0</v>
      </c>
      <c r="AG125" s="132"/>
      <c r="AH125" s="48">
        <f t="shared" si="34"/>
        <v>1.8</v>
      </c>
      <c r="AI125" s="49">
        <f t="shared" si="35"/>
        <v>-32.799999999999997</v>
      </c>
    </row>
    <row r="126" spans="1:35" ht="15.75" thickBot="1" x14ac:dyDescent="0.3">
      <c r="A126" s="129" t="s">
        <v>149</v>
      </c>
      <c r="B126" s="131">
        <v>36</v>
      </c>
      <c r="C126" s="131">
        <v>31</v>
      </c>
      <c r="D126" s="131">
        <v>31</v>
      </c>
      <c r="E126" s="131">
        <v>21.4</v>
      </c>
      <c r="F126" s="131">
        <v>19.8</v>
      </c>
      <c r="G126" s="131">
        <v>23.1</v>
      </c>
      <c r="H126" s="131">
        <v>16.2</v>
      </c>
      <c r="I126" s="131">
        <v>16.7</v>
      </c>
      <c r="J126" s="131">
        <v>26.3</v>
      </c>
      <c r="K126" s="131">
        <v>23.6</v>
      </c>
      <c r="L126" s="131">
        <v>27.4</v>
      </c>
      <c r="M126" s="131">
        <v>46.6</v>
      </c>
      <c r="N126" s="131">
        <v>76</v>
      </c>
      <c r="O126" s="131">
        <v>76</v>
      </c>
      <c r="P126" s="131">
        <v>78</v>
      </c>
      <c r="Q126" s="131">
        <v>78</v>
      </c>
      <c r="R126" s="131">
        <v>74</v>
      </c>
      <c r="S126" s="131">
        <v>62.4</v>
      </c>
      <c r="T126" s="131">
        <v>72.900000000000006</v>
      </c>
      <c r="U126" s="131">
        <v>84.4</v>
      </c>
      <c r="V126" s="131">
        <v>80.7</v>
      </c>
      <c r="W126" s="131">
        <v>80.7</v>
      </c>
      <c r="X126" s="131">
        <v>36</v>
      </c>
      <c r="Y126" s="131">
        <v>32.799999999999997</v>
      </c>
      <c r="Z126" s="131">
        <v>41.3</v>
      </c>
      <c r="AA126" s="131">
        <v>41.5</v>
      </c>
      <c r="AB126" s="131">
        <v>23.2</v>
      </c>
      <c r="AC126" s="131">
        <v>23</v>
      </c>
      <c r="AD126" s="131">
        <v>21</v>
      </c>
      <c r="AE126" s="131">
        <v>21</v>
      </c>
      <c r="AF126" s="131">
        <v>33</v>
      </c>
      <c r="AG126" s="128"/>
      <c r="AH126" s="48">
        <f>MAX(B126:AF126)</f>
        <v>84.4</v>
      </c>
      <c r="AI126" s="49">
        <f>MIN(B126:AF126)</f>
        <v>16.2</v>
      </c>
    </row>
    <row r="127" spans="1:35" x14ac:dyDescent="0.25">
      <c r="A127" s="126" t="s">
        <v>150</v>
      </c>
      <c r="B127" s="131">
        <v>-143</v>
      </c>
      <c r="C127" s="131">
        <v>-107</v>
      </c>
      <c r="D127" s="131">
        <v>-107</v>
      </c>
      <c r="E127" s="131">
        <v>-80.8</v>
      </c>
      <c r="F127" s="131">
        <v>-79.2</v>
      </c>
      <c r="G127" s="131">
        <v>-70.8</v>
      </c>
      <c r="H127" s="131">
        <v>-76</v>
      </c>
      <c r="I127" s="131">
        <v>12.2</v>
      </c>
      <c r="J127" s="131">
        <v>18.399999999999999</v>
      </c>
      <c r="K127" s="131">
        <v>29.3</v>
      </c>
      <c r="L127" s="131">
        <v>27.9</v>
      </c>
      <c r="M127" s="131">
        <v>26.1</v>
      </c>
      <c r="N127" s="131">
        <v>11</v>
      </c>
      <c r="O127" s="131">
        <v>11</v>
      </c>
      <c r="P127" s="131">
        <v>12</v>
      </c>
      <c r="Q127" s="131">
        <v>12</v>
      </c>
      <c r="R127" s="131">
        <v>12</v>
      </c>
      <c r="S127" s="131">
        <v>15.6</v>
      </c>
      <c r="T127" s="131">
        <v>22</v>
      </c>
      <c r="U127" s="131">
        <v>24.4</v>
      </c>
      <c r="V127" s="131">
        <v>24.6</v>
      </c>
      <c r="W127" s="131">
        <v>24.6</v>
      </c>
      <c r="X127" s="131">
        <v>19.3</v>
      </c>
      <c r="Y127" s="131">
        <v>-115.1</v>
      </c>
      <c r="Z127" s="131">
        <v>-131.80000000000001</v>
      </c>
      <c r="AA127" s="131">
        <v>-153</v>
      </c>
      <c r="AB127" s="131">
        <v>-142.6</v>
      </c>
      <c r="AC127" s="131">
        <v>-135</v>
      </c>
      <c r="AD127" s="131">
        <v>-132</v>
      </c>
      <c r="AE127" s="131">
        <v>-132</v>
      </c>
      <c r="AF127" s="131">
        <v>-135</v>
      </c>
      <c r="AG127" s="128"/>
      <c r="AH127" s="48">
        <f>MAX(B127:AF127)</f>
        <v>29.3</v>
      </c>
      <c r="AI127" s="49">
        <f>MIN(B127:AF127)</f>
        <v>-153</v>
      </c>
    </row>
    <row r="128" spans="1:35" x14ac:dyDescent="0.25">
      <c r="A128" s="129" t="s">
        <v>151</v>
      </c>
      <c r="B128" s="119">
        <v>-9</v>
      </c>
      <c r="C128" s="119">
        <v>6</v>
      </c>
      <c r="D128" s="119">
        <v>6</v>
      </c>
      <c r="E128" s="119">
        <v>7</v>
      </c>
      <c r="F128" s="119">
        <v>1.1000000000000001</v>
      </c>
      <c r="G128" s="119">
        <v>5.0999999999999996</v>
      </c>
      <c r="H128" s="119">
        <v>9.5</v>
      </c>
      <c r="I128" s="119">
        <v>4.4000000000000004</v>
      </c>
      <c r="J128" s="119">
        <v>2.1</v>
      </c>
      <c r="K128" s="119">
        <v>9.6</v>
      </c>
      <c r="L128" s="119">
        <v>-9.1</v>
      </c>
      <c r="M128" s="119">
        <v>-11.7</v>
      </c>
      <c r="N128" s="119">
        <v>-7</v>
      </c>
      <c r="O128" s="119">
        <v>-7</v>
      </c>
      <c r="P128" s="119">
        <v>-6.7</v>
      </c>
      <c r="Q128" s="119">
        <v>-6.7</v>
      </c>
      <c r="R128" s="119">
        <v>-9.8000000000000007</v>
      </c>
      <c r="S128" s="119">
        <v>-12.6</v>
      </c>
      <c r="T128" s="119">
        <v>-10.5</v>
      </c>
      <c r="U128" s="119">
        <v>-3.8</v>
      </c>
      <c r="V128" s="119">
        <v>-13.9</v>
      </c>
      <c r="W128" s="119">
        <v>-13.9</v>
      </c>
      <c r="X128" s="119">
        <v>-14.8</v>
      </c>
      <c r="Y128" s="119">
        <v>-20.7</v>
      </c>
      <c r="Z128" s="119">
        <v>-33.200000000000003</v>
      </c>
      <c r="AA128" s="119">
        <v>-31</v>
      </c>
      <c r="AB128" s="119">
        <v>-23.6</v>
      </c>
      <c r="AC128" s="119">
        <v>-25.6</v>
      </c>
      <c r="AD128" s="119">
        <v>-29</v>
      </c>
      <c r="AE128" s="119">
        <v>-29</v>
      </c>
      <c r="AF128" s="119">
        <v>-18</v>
      </c>
      <c r="AG128" s="128"/>
      <c r="AH128" s="48">
        <f>MAX(B128:AF128)</f>
        <v>9.6</v>
      </c>
      <c r="AI128" s="49">
        <f>MIN(B128:AF128)</f>
        <v>-33.200000000000003</v>
      </c>
    </row>
    <row r="129" spans="1:37" x14ac:dyDescent="0.25">
      <c r="A129" s="129" t="s">
        <v>152</v>
      </c>
      <c r="B129" s="119">
        <v>75</v>
      </c>
      <c r="C129" s="119">
        <v>60</v>
      </c>
      <c r="D129" s="119">
        <v>60</v>
      </c>
      <c r="E129" s="119">
        <v>43</v>
      </c>
      <c r="F129" s="119">
        <v>47.5</v>
      </c>
      <c r="G129" s="119">
        <v>41.4</v>
      </c>
      <c r="H129" s="119">
        <v>36.6</v>
      </c>
      <c r="I129" s="119">
        <v>61.1</v>
      </c>
      <c r="J129" s="119">
        <v>67.3</v>
      </c>
      <c r="K129" s="119">
        <v>44.6</v>
      </c>
      <c r="L129" s="119">
        <v>44.4</v>
      </c>
      <c r="M129" s="119">
        <v>42.5</v>
      </c>
      <c r="N129" s="119">
        <v>48</v>
      </c>
      <c r="O129" s="119">
        <v>48</v>
      </c>
      <c r="P129" s="119">
        <v>55</v>
      </c>
      <c r="Q129" s="119">
        <v>55</v>
      </c>
      <c r="R129" s="119">
        <v>59</v>
      </c>
      <c r="S129" s="119">
        <v>63.6</v>
      </c>
      <c r="T129" s="119">
        <v>58.8</v>
      </c>
      <c r="U129" s="119">
        <v>56.7</v>
      </c>
      <c r="V129" s="119">
        <v>50.6</v>
      </c>
      <c r="W129" s="119">
        <v>50.6</v>
      </c>
      <c r="X129" s="119">
        <v>79.8</v>
      </c>
      <c r="Y129" s="119">
        <v>81.2</v>
      </c>
      <c r="Z129" s="119">
        <v>90.1</v>
      </c>
      <c r="AA129" s="119">
        <v>91.3</v>
      </c>
      <c r="AB129" s="119">
        <v>85.4</v>
      </c>
      <c r="AC129" s="119">
        <v>89</v>
      </c>
      <c r="AD129" s="119">
        <v>93</v>
      </c>
      <c r="AE129" s="119">
        <v>93</v>
      </c>
      <c r="AF129" s="119">
        <v>83</v>
      </c>
      <c r="AG129" s="128"/>
      <c r="AH129" s="48">
        <f>MAX(B129:AF129)</f>
        <v>93</v>
      </c>
      <c r="AI129" s="49">
        <f>MIN(B129:AF129)</f>
        <v>36.6</v>
      </c>
    </row>
    <row r="130" spans="1:37" ht="15.75" thickBot="1" x14ac:dyDescent="0.3">
      <c r="A130" s="129" t="s">
        <v>153</v>
      </c>
      <c r="B130" s="119">
        <v>82</v>
      </c>
      <c r="C130" s="119">
        <v>63</v>
      </c>
      <c r="D130" s="119">
        <v>63</v>
      </c>
      <c r="E130" s="119">
        <v>54</v>
      </c>
      <c r="F130" s="119">
        <v>54.9</v>
      </c>
      <c r="G130" s="119">
        <v>50.7</v>
      </c>
      <c r="H130" s="119">
        <v>48.4</v>
      </c>
      <c r="I130" s="119">
        <v>65.400000000000006</v>
      </c>
      <c r="J130" s="119">
        <v>70.2</v>
      </c>
      <c r="K130" s="119">
        <v>44.6</v>
      </c>
      <c r="L130" s="119">
        <v>48.5</v>
      </c>
      <c r="M130" s="119">
        <v>48.6</v>
      </c>
      <c r="N130" s="119">
        <v>48</v>
      </c>
      <c r="O130" s="119">
        <v>48</v>
      </c>
      <c r="P130" s="119">
        <v>57</v>
      </c>
      <c r="Q130" s="119">
        <v>57</v>
      </c>
      <c r="R130" s="119">
        <v>57</v>
      </c>
      <c r="S130" s="119">
        <v>62.1</v>
      </c>
      <c r="T130" s="119">
        <v>61.3</v>
      </c>
      <c r="U130" s="119">
        <v>56.2</v>
      </c>
      <c r="V130" s="119">
        <v>51.3</v>
      </c>
      <c r="W130" s="119">
        <v>51.3</v>
      </c>
      <c r="X130" s="119">
        <v>84.1</v>
      </c>
      <c r="Y130" s="119">
        <v>87.7</v>
      </c>
      <c r="Z130" s="119">
        <v>96.3</v>
      </c>
      <c r="AA130" s="119">
        <v>102.2</v>
      </c>
      <c r="AB130" s="119">
        <v>94.9</v>
      </c>
      <c r="AC130" s="119">
        <v>99.5</v>
      </c>
      <c r="AD130" s="119">
        <v>104</v>
      </c>
      <c r="AE130" s="119">
        <v>104</v>
      </c>
      <c r="AF130" s="119">
        <v>92</v>
      </c>
      <c r="AG130" s="128"/>
      <c r="AH130" s="48">
        <f>MAX(B130:AF130)</f>
        <v>104</v>
      </c>
      <c r="AI130" s="49">
        <f>MIN(B130:AF130)</f>
        <v>44.6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1983.15</v>
      </c>
      <c r="C132" s="137">
        <v>1982.85</v>
      </c>
      <c r="D132" s="137">
        <v>1982.72</v>
      </c>
      <c r="E132" s="137">
        <v>1982.8</v>
      </c>
      <c r="F132" s="137">
        <v>1982.8</v>
      </c>
      <c r="G132" s="137">
        <v>1982.7</v>
      </c>
      <c r="H132" s="137"/>
      <c r="I132" s="137">
        <v>1982.62</v>
      </c>
      <c r="J132" s="137"/>
      <c r="K132" s="137">
        <v>1982.9</v>
      </c>
      <c r="L132" s="137"/>
      <c r="M132" s="137">
        <v>1983.35</v>
      </c>
      <c r="N132" s="137">
        <v>1984</v>
      </c>
      <c r="O132" s="137">
        <v>1984.1</v>
      </c>
      <c r="P132" s="137">
        <v>1984.45</v>
      </c>
      <c r="Q132" s="137">
        <v>1984.75</v>
      </c>
      <c r="R132" s="137"/>
      <c r="S132" s="137">
        <v>1985.26</v>
      </c>
      <c r="T132" s="137">
        <v>1985.58</v>
      </c>
      <c r="U132" s="137">
        <v>1985.85</v>
      </c>
      <c r="V132" s="137">
        <v>1986.15</v>
      </c>
      <c r="W132" s="137"/>
      <c r="X132" s="137">
        <v>1986.47</v>
      </c>
      <c r="Y132" s="137"/>
      <c r="Z132" s="137">
        <v>1986.2</v>
      </c>
      <c r="AA132" s="137"/>
      <c r="AB132" s="137">
        <v>1985.35</v>
      </c>
      <c r="AC132" s="137"/>
      <c r="AD132" s="137">
        <v>1984.9</v>
      </c>
      <c r="AE132" s="137">
        <v>1984.4</v>
      </c>
      <c r="AF132" s="138">
        <v>1984.05</v>
      </c>
      <c r="AG132" s="139"/>
      <c r="AH132" s="48"/>
      <c r="AI132" s="49"/>
    </row>
    <row r="133" spans="1:37" x14ac:dyDescent="0.25">
      <c r="A133" s="136" t="s">
        <v>156</v>
      </c>
      <c r="B133" s="140">
        <v>522.62</v>
      </c>
      <c r="C133" s="140">
        <v>522.48</v>
      </c>
      <c r="D133" s="140">
        <v>522.41</v>
      </c>
      <c r="E133" s="140">
        <v>522.37</v>
      </c>
      <c r="F133" s="140">
        <v>522.30999999999995</v>
      </c>
      <c r="G133" s="140">
        <v>522.28</v>
      </c>
      <c r="H133" s="140"/>
      <c r="I133" s="140">
        <v>522.21</v>
      </c>
      <c r="J133" s="140"/>
      <c r="K133" s="140">
        <v>522.05999999999995</v>
      </c>
      <c r="L133" s="140"/>
      <c r="M133" s="140">
        <v>521.96</v>
      </c>
      <c r="N133" s="140">
        <v>522.05999999999995</v>
      </c>
      <c r="O133" s="140">
        <v>522.20000000000005</v>
      </c>
      <c r="P133" s="140">
        <v>522.36</v>
      </c>
      <c r="Q133" s="140">
        <v>522.48</v>
      </c>
      <c r="R133" s="140">
        <v>522.61</v>
      </c>
      <c r="S133" s="140">
        <v>522.73</v>
      </c>
      <c r="T133" s="140">
        <v>522.80999999999995</v>
      </c>
      <c r="U133" s="140">
        <v>522.85</v>
      </c>
      <c r="V133" s="140">
        <v>522.91999999999996</v>
      </c>
      <c r="W133" s="140"/>
      <c r="X133" s="140">
        <v>523.03</v>
      </c>
      <c r="Y133" s="140"/>
      <c r="Z133" s="140">
        <v>522.94000000000005</v>
      </c>
      <c r="AA133" s="140"/>
      <c r="AB133" s="140">
        <v>522.6</v>
      </c>
      <c r="AC133" s="140"/>
      <c r="AD133" s="140">
        <v>522.33000000000004</v>
      </c>
      <c r="AE133" s="140"/>
      <c r="AF133" s="141">
        <v>521.77</v>
      </c>
      <c r="AG133" s="139"/>
      <c r="AH133" s="48"/>
      <c r="AI133" s="49"/>
    </row>
    <row r="134" spans="1:37" x14ac:dyDescent="0.25">
      <c r="A134" s="136" t="s">
        <v>157</v>
      </c>
      <c r="B134" s="140">
        <v>624.38</v>
      </c>
      <c r="C134" s="140">
        <v>624.29999999999995</v>
      </c>
      <c r="D134" s="140">
        <v>624.35</v>
      </c>
      <c r="E134" s="140">
        <v>624.52</v>
      </c>
      <c r="F134" s="140">
        <v>624.54999999999995</v>
      </c>
      <c r="G134" s="140">
        <v>624.64</v>
      </c>
      <c r="H134" s="140"/>
      <c r="I134" s="140">
        <v>624.48</v>
      </c>
      <c r="J134" s="140"/>
      <c r="K134" s="140">
        <v>624.39</v>
      </c>
      <c r="L134" s="140"/>
      <c r="M134" s="140">
        <v>624.35</v>
      </c>
      <c r="N134" s="140"/>
      <c r="O134" s="140">
        <v>624.4</v>
      </c>
      <c r="P134" s="140">
        <v>624.27</v>
      </c>
      <c r="Q134" s="140">
        <v>623.97</v>
      </c>
      <c r="R134" s="140">
        <v>623.79</v>
      </c>
      <c r="S134" s="140">
        <v>623.62</v>
      </c>
      <c r="T134" s="140">
        <v>623.48</v>
      </c>
      <c r="U134" s="140">
        <v>623.41999999999996</v>
      </c>
      <c r="V134" s="140">
        <v>623.46</v>
      </c>
      <c r="W134" s="140"/>
      <c r="X134" s="140">
        <v>623.46</v>
      </c>
      <c r="Y134" s="140"/>
      <c r="Z134" s="140">
        <v>623.48</v>
      </c>
      <c r="AA134" s="140"/>
      <c r="AB134" s="140">
        <v>623.21</v>
      </c>
      <c r="AC134" s="140">
        <v>623.20000000000005</v>
      </c>
      <c r="AD134" s="140">
        <v>623.05999999999995</v>
      </c>
      <c r="AE134" s="140">
        <v>623.02</v>
      </c>
      <c r="AF134" s="141">
        <v>623.02</v>
      </c>
      <c r="AG134" s="139"/>
      <c r="AH134" s="48"/>
      <c r="AI134" s="49"/>
    </row>
    <row r="135" spans="1:37" x14ac:dyDescent="0.25">
      <c r="A135" s="136" t="s">
        <v>158</v>
      </c>
      <c r="B135" s="140">
        <v>336.25</v>
      </c>
      <c r="C135" s="140"/>
      <c r="D135" s="140">
        <v>336.17</v>
      </c>
      <c r="E135" s="140">
        <v>336.07</v>
      </c>
      <c r="F135" s="140">
        <v>336.09</v>
      </c>
      <c r="G135" s="140">
        <v>336.18</v>
      </c>
      <c r="H135" s="140"/>
      <c r="I135" s="140">
        <v>336.15</v>
      </c>
      <c r="J135" s="140"/>
      <c r="K135" s="140">
        <v>336.07</v>
      </c>
      <c r="L135" s="140"/>
      <c r="M135" s="140">
        <v>335.99</v>
      </c>
      <c r="N135" s="140">
        <v>335.98</v>
      </c>
      <c r="O135" s="140">
        <v>336.12</v>
      </c>
      <c r="P135" s="140">
        <v>336.3</v>
      </c>
      <c r="Q135" s="140">
        <v>336.52</v>
      </c>
      <c r="R135" s="140">
        <v>336.64</v>
      </c>
      <c r="S135" s="140">
        <v>336.69</v>
      </c>
      <c r="T135" s="140">
        <v>336.77</v>
      </c>
      <c r="U135" s="140">
        <v>336.97</v>
      </c>
      <c r="V135" s="140">
        <v>337.12</v>
      </c>
      <c r="W135" s="140"/>
      <c r="X135" s="140">
        <v>337.22</v>
      </c>
      <c r="Y135" s="140"/>
      <c r="Z135" s="140">
        <v>337.27</v>
      </c>
      <c r="AA135" s="140"/>
      <c r="AB135" s="140">
        <v>337.1</v>
      </c>
      <c r="AC135" s="140"/>
      <c r="AD135" s="140">
        <v>336.89</v>
      </c>
      <c r="AE135" s="140"/>
      <c r="AF135" s="141"/>
      <c r="AG135" s="139"/>
      <c r="AH135" s="48"/>
      <c r="AI135" s="49"/>
    </row>
    <row r="136" spans="1:37" x14ac:dyDescent="0.25">
      <c r="A136" s="136" t="s">
        <v>159</v>
      </c>
      <c r="B136" s="140">
        <v>885.9</v>
      </c>
      <c r="C136" s="140">
        <v>886.2</v>
      </c>
      <c r="D136" s="140">
        <v>886.3</v>
      </c>
      <c r="E136" s="140">
        <v>886.3</v>
      </c>
      <c r="F136" s="140">
        <v>886.5</v>
      </c>
      <c r="G136" s="140"/>
      <c r="H136" s="140"/>
      <c r="I136" s="140">
        <v>887.3</v>
      </c>
      <c r="J136" s="140"/>
      <c r="K136" s="140"/>
      <c r="L136" s="140"/>
      <c r="M136" s="140"/>
      <c r="N136" s="140">
        <v>886.8</v>
      </c>
      <c r="O136" s="140">
        <v>886.3</v>
      </c>
      <c r="P136" s="140">
        <v>885.7</v>
      </c>
      <c r="Q136" s="140">
        <v>885.5</v>
      </c>
      <c r="R136" s="140">
        <v>886.4</v>
      </c>
      <c r="S136" s="140">
        <v>886.9</v>
      </c>
      <c r="T136" s="140">
        <v>886.9</v>
      </c>
      <c r="U136" s="140">
        <v>886.8</v>
      </c>
      <c r="V136" s="140">
        <v>886.7</v>
      </c>
      <c r="W136" s="140"/>
      <c r="X136" s="140">
        <v>886.7</v>
      </c>
      <c r="Y136" s="140"/>
      <c r="Z136" s="140">
        <v>886.2</v>
      </c>
      <c r="AA136" s="140"/>
      <c r="AB136" s="140">
        <v>884.8</v>
      </c>
      <c r="AC136" s="140"/>
      <c r="AD136" s="140">
        <v>884.4</v>
      </c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>
        <v>1494.73</v>
      </c>
      <c r="C137" s="142"/>
      <c r="D137" s="142"/>
      <c r="E137" s="142"/>
      <c r="F137" s="142"/>
      <c r="G137" s="142"/>
      <c r="H137" s="142"/>
      <c r="I137" s="142">
        <v>1494.75</v>
      </c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>
        <v>1494.66</v>
      </c>
      <c r="U137" s="142"/>
      <c r="V137" s="142"/>
      <c r="W137" s="142"/>
      <c r="X137" s="142"/>
      <c r="Y137" s="142"/>
      <c r="Z137" s="142"/>
      <c r="AA137" s="142"/>
      <c r="AB137" s="142">
        <v>1494.55</v>
      </c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60">SUM(B139:B243)</f>
        <v>0</v>
      </c>
      <c r="C244" s="161">
        <f t="shared" si="60"/>
        <v>0</v>
      </c>
      <c r="D244" s="161">
        <f t="shared" si="60"/>
        <v>0</v>
      </c>
      <c r="E244" s="161">
        <f t="shared" si="60"/>
        <v>0</v>
      </c>
      <c r="F244" s="161">
        <f t="shared" si="60"/>
        <v>0</v>
      </c>
      <c r="G244" s="161">
        <f t="shared" si="60"/>
        <v>0</v>
      </c>
      <c r="H244" s="161">
        <f t="shared" si="60"/>
        <v>0</v>
      </c>
      <c r="I244" s="161">
        <f t="shared" si="60"/>
        <v>0</v>
      </c>
      <c r="J244" s="161">
        <f t="shared" si="60"/>
        <v>0</v>
      </c>
      <c r="K244" s="161">
        <f t="shared" si="60"/>
        <v>0</v>
      </c>
      <c r="L244" s="161">
        <f t="shared" si="60"/>
        <v>0</v>
      </c>
      <c r="M244" s="161">
        <f t="shared" si="60"/>
        <v>0</v>
      </c>
      <c r="N244" s="161">
        <f t="shared" si="60"/>
        <v>0</v>
      </c>
      <c r="O244" s="161">
        <f t="shared" si="60"/>
        <v>0</v>
      </c>
      <c r="P244" s="161">
        <f t="shared" si="60"/>
        <v>0</v>
      </c>
      <c r="Q244" s="161">
        <f t="shared" si="60"/>
        <v>0</v>
      </c>
      <c r="R244" s="161">
        <f t="shared" si="60"/>
        <v>0</v>
      </c>
      <c r="S244" s="161">
        <f t="shared" si="60"/>
        <v>0</v>
      </c>
      <c r="T244" s="161">
        <f t="shared" si="60"/>
        <v>0</v>
      </c>
      <c r="U244" s="161">
        <f t="shared" si="60"/>
        <v>0</v>
      </c>
      <c r="V244" s="161">
        <f t="shared" si="60"/>
        <v>0</v>
      </c>
      <c r="W244" s="161">
        <f t="shared" si="60"/>
        <v>0</v>
      </c>
      <c r="X244" s="161">
        <f t="shared" si="60"/>
        <v>0</v>
      </c>
      <c r="Y244" s="161">
        <f t="shared" si="60"/>
        <v>0</v>
      </c>
      <c r="Z244" s="161">
        <f t="shared" si="60"/>
        <v>0</v>
      </c>
      <c r="AA244" s="161">
        <f t="shared" si="60"/>
        <v>0</v>
      </c>
      <c r="AB244" s="161">
        <f t="shared" si="60"/>
        <v>0</v>
      </c>
      <c r="AC244" s="161">
        <f t="shared" si="60"/>
        <v>0</v>
      </c>
      <c r="AD244" s="161">
        <f t="shared" si="60"/>
        <v>0</v>
      </c>
      <c r="AE244" s="161">
        <f t="shared" si="60"/>
        <v>0</v>
      </c>
      <c r="AF244" s="162">
        <f t="shared" si="60"/>
        <v>0</v>
      </c>
      <c r="AG244" s="163">
        <f t="shared" si="60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61">AF246</f>
        <v>0.3</v>
      </c>
      <c r="C246" s="166">
        <v>0.3</v>
      </c>
      <c r="D246" s="166">
        <f t="shared" ref="D246:S251" si="62">C246</f>
        <v>0.3</v>
      </c>
      <c r="E246" s="166">
        <f t="shared" si="62"/>
        <v>0.3</v>
      </c>
      <c r="F246" s="166">
        <f t="shared" si="62"/>
        <v>0.3</v>
      </c>
      <c r="G246" s="166">
        <f t="shared" si="62"/>
        <v>0.3</v>
      </c>
      <c r="H246" s="166">
        <f t="shared" si="62"/>
        <v>0.3</v>
      </c>
      <c r="I246" s="166">
        <f t="shared" si="62"/>
        <v>0.3</v>
      </c>
      <c r="J246" s="166">
        <f t="shared" si="62"/>
        <v>0.3</v>
      </c>
      <c r="K246" s="166">
        <f t="shared" si="62"/>
        <v>0.3</v>
      </c>
      <c r="L246" s="166">
        <f t="shared" si="62"/>
        <v>0.3</v>
      </c>
      <c r="M246" s="166">
        <f t="shared" si="62"/>
        <v>0.3</v>
      </c>
      <c r="N246" s="166">
        <f t="shared" si="62"/>
        <v>0.3</v>
      </c>
      <c r="O246" s="166">
        <f t="shared" si="62"/>
        <v>0.3</v>
      </c>
      <c r="P246" s="166">
        <f t="shared" si="62"/>
        <v>0.3</v>
      </c>
      <c r="Q246" s="166">
        <f t="shared" si="62"/>
        <v>0.3</v>
      </c>
      <c r="R246" s="166">
        <f t="shared" si="62"/>
        <v>0.3</v>
      </c>
      <c r="S246" s="166">
        <f t="shared" si="62"/>
        <v>0.3</v>
      </c>
      <c r="T246" s="166">
        <f t="shared" ref="T246:AF251" si="63">S246</f>
        <v>0.3</v>
      </c>
      <c r="U246" s="166">
        <f t="shared" si="63"/>
        <v>0.3</v>
      </c>
      <c r="V246" s="166">
        <f t="shared" si="63"/>
        <v>0.3</v>
      </c>
      <c r="W246" s="166">
        <f t="shared" si="63"/>
        <v>0.3</v>
      </c>
      <c r="X246" s="166">
        <f t="shared" si="63"/>
        <v>0.3</v>
      </c>
      <c r="Y246" s="166">
        <f t="shared" si="63"/>
        <v>0.3</v>
      </c>
      <c r="Z246" s="166">
        <f t="shared" si="63"/>
        <v>0.3</v>
      </c>
      <c r="AA246" s="166">
        <f t="shared" si="63"/>
        <v>0.3</v>
      </c>
      <c r="AB246" s="166">
        <f t="shared" si="63"/>
        <v>0.3</v>
      </c>
      <c r="AC246" s="166">
        <f t="shared" si="63"/>
        <v>0.3</v>
      </c>
      <c r="AD246" s="166">
        <f t="shared" si="63"/>
        <v>0.3</v>
      </c>
      <c r="AE246" s="166">
        <f t="shared" si="63"/>
        <v>0.3</v>
      </c>
      <c r="AF246" s="166">
        <f t="shared" si="63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61"/>
        <v>0.4</v>
      </c>
      <c r="C247" s="152">
        <v>0.4</v>
      </c>
      <c r="D247" s="152">
        <f t="shared" si="62"/>
        <v>0.4</v>
      </c>
      <c r="E247" s="152">
        <f t="shared" si="62"/>
        <v>0.4</v>
      </c>
      <c r="F247" s="152">
        <f t="shared" si="62"/>
        <v>0.4</v>
      </c>
      <c r="G247" s="152">
        <f t="shared" si="62"/>
        <v>0.4</v>
      </c>
      <c r="H247" s="152">
        <f t="shared" si="62"/>
        <v>0.4</v>
      </c>
      <c r="I247" s="152">
        <f t="shared" si="62"/>
        <v>0.4</v>
      </c>
      <c r="J247" s="152">
        <f t="shared" si="62"/>
        <v>0.4</v>
      </c>
      <c r="K247" s="152">
        <f t="shared" si="62"/>
        <v>0.4</v>
      </c>
      <c r="L247" s="152">
        <f t="shared" si="62"/>
        <v>0.4</v>
      </c>
      <c r="M247" s="152">
        <f t="shared" si="62"/>
        <v>0.4</v>
      </c>
      <c r="N247" s="152">
        <f t="shared" si="62"/>
        <v>0.4</v>
      </c>
      <c r="O247" s="152">
        <f t="shared" si="62"/>
        <v>0.4</v>
      </c>
      <c r="P247" s="152">
        <f t="shared" si="62"/>
        <v>0.4</v>
      </c>
      <c r="Q247" s="152">
        <f t="shared" si="62"/>
        <v>0.4</v>
      </c>
      <c r="R247" s="152">
        <f t="shared" si="62"/>
        <v>0.4</v>
      </c>
      <c r="S247" s="152">
        <f t="shared" si="62"/>
        <v>0.4</v>
      </c>
      <c r="T247" s="152">
        <f t="shared" si="63"/>
        <v>0.4</v>
      </c>
      <c r="U247" s="152">
        <f t="shared" si="63"/>
        <v>0.4</v>
      </c>
      <c r="V247" s="152">
        <f t="shared" si="63"/>
        <v>0.4</v>
      </c>
      <c r="W247" s="152">
        <f t="shared" si="63"/>
        <v>0.4</v>
      </c>
      <c r="X247" s="152">
        <f t="shared" si="63"/>
        <v>0.4</v>
      </c>
      <c r="Y247" s="152">
        <f t="shared" si="63"/>
        <v>0.4</v>
      </c>
      <c r="Z247" s="152">
        <f t="shared" si="63"/>
        <v>0.4</v>
      </c>
      <c r="AA247" s="152">
        <f t="shared" si="63"/>
        <v>0.4</v>
      </c>
      <c r="AB247" s="152">
        <f t="shared" si="63"/>
        <v>0.4</v>
      </c>
      <c r="AC247" s="152">
        <f t="shared" si="63"/>
        <v>0.4</v>
      </c>
      <c r="AD247" s="152">
        <f t="shared" si="63"/>
        <v>0.4</v>
      </c>
      <c r="AE247" s="152">
        <f t="shared" si="63"/>
        <v>0.4</v>
      </c>
      <c r="AF247" s="152">
        <f t="shared" si="63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61"/>
        <v>1.5</v>
      </c>
      <c r="C248" s="152">
        <v>1.5</v>
      </c>
      <c r="D248" s="152">
        <f t="shared" si="62"/>
        <v>1.5</v>
      </c>
      <c r="E248" s="152">
        <f t="shared" si="62"/>
        <v>1.5</v>
      </c>
      <c r="F248" s="152">
        <f t="shared" si="62"/>
        <v>1.5</v>
      </c>
      <c r="G248" s="152">
        <f t="shared" si="62"/>
        <v>1.5</v>
      </c>
      <c r="H248" s="152">
        <f t="shared" si="62"/>
        <v>1.5</v>
      </c>
      <c r="I248" s="152">
        <f t="shared" si="62"/>
        <v>1.5</v>
      </c>
      <c r="J248" s="152">
        <f t="shared" si="62"/>
        <v>1.5</v>
      </c>
      <c r="K248" s="152">
        <f t="shared" si="62"/>
        <v>1.5</v>
      </c>
      <c r="L248" s="152">
        <f t="shared" si="62"/>
        <v>1.5</v>
      </c>
      <c r="M248" s="152">
        <f t="shared" si="62"/>
        <v>1.5</v>
      </c>
      <c r="N248" s="152">
        <f t="shared" si="62"/>
        <v>1.5</v>
      </c>
      <c r="O248" s="152">
        <f t="shared" si="62"/>
        <v>1.5</v>
      </c>
      <c r="P248" s="152">
        <f t="shared" si="62"/>
        <v>1.5</v>
      </c>
      <c r="Q248" s="152">
        <f t="shared" si="62"/>
        <v>1.5</v>
      </c>
      <c r="R248" s="152">
        <f t="shared" si="62"/>
        <v>1.5</v>
      </c>
      <c r="S248" s="152">
        <f t="shared" si="62"/>
        <v>1.5</v>
      </c>
      <c r="T248" s="152">
        <f t="shared" si="63"/>
        <v>1.5</v>
      </c>
      <c r="U248" s="152">
        <f t="shared" si="63"/>
        <v>1.5</v>
      </c>
      <c r="V248" s="152">
        <f t="shared" si="63"/>
        <v>1.5</v>
      </c>
      <c r="W248" s="152">
        <f t="shared" si="63"/>
        <v>1.5</v>
      </c>
      <c r="X248" s="152">
        <f t="shared" si="63"/>
        <v>1.5</v>
      </c>
      <c r="Y248" s="152">
        <f t="shared" si="63"/>
        <v>1.5</v>
      </c>
      <c r="Z248" s="152">
        <f t="shared" si="63"/>
        <v>1.5</v>
      </c>
      <c r="AA248" s="152">
        <f t="shared" si="63"/>
        <v>1.5</v>
      </c>
      <c r="AB248" s="152">
        <f t="shared" si="63"/>
        <v>1.5</v>
      </c>
      <c r="AC248" s="152">
        <f t="shared" si="63"/>
        <v>1.5</v>
      </c>
      <c r="AD248" s="152">
        <f t="shared" si="63"/>
        <v>1.5</v>
      </c>
      <c r="AE248" s="152">
        <f t="shared" si="63"/>
        <v>1.5</v>
      </c>
      <c r="AF248" s="152">
        <f t="shared" si="63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61"/>
        <v>0.3</v>
      </c>
      <c r="C249" s="152">
        <v>0.3</v>
      </c>
      <c r="D249" s="152">
        <f t="shared" si="62"/>
        <v>0.3</v>
      </c>
      <c r="E249" s="152">
        <f t="shared" si="62"/>
        <v>0.3</v>
      </c>
      <c r="F249" s="152">
        <f t="shared" si="62"/>
        <v>0.3</v>
      </c>
      <c r="G249" s="152">
        <f t="shared" si="62"/>
        <v>0.3</v>
      </c>
      <c r="H249" s="152">
        <f t="shared" si="62"/>
        <v>0.3</v>
      </c>
      <c r="I249" s="152">
        <f t="shared" si="62"/>
        <v>0.3</v>
      </c>
      <c r="J249" s="152">
        <f t="shared" si="62"/>
        <v>0.3</v>
      </c>
      <c r="K249" s="152">
        <f t="shared" si="62"/>
        <v>0.3</v>
      </c>
      <c r="L249" s="152">
        <f t="shared" si="62"/>
        <v>0.3</v>
      </c>
      <c r="M249" s="152">
        <f t="shared" si="62"/>
        <v>0.3</v>
      </c>
      <c r="N249" s="152">
        <f t="shared" si="62"/>
        <v>0.3</v>
      </c>
      <c r="O249" s="152">
        <f t="shared" si="62"/>
        <v>0.3</v>
      </c>
      <c r="P249" s="152">
        <f t="shared" si="62"/>
        <v>0.3</v>
      </c>
      <c r="Q249" s="152">
        <f t="shared" si="62"/>
        <v>0.3</v>
      </c>
      <c r="R249" s="152">
        <f t="shared" si="62"/>
        <v>0.3</v>
      </c>
      <c r="S249" s="152">
        <f t="shared" si="62"/>
        <v>0.3</v>
      </c>
      <c r="T249" s="152">
        <f t="shared" si="63"/>
        <v>0.3</v>
      </c>
      <c r="U249" s="152">
        <f t="shared" si="63"/>
        <v>0.3</v>
      </c>
      <c r="V249" s="152">
        <f t="shared" si="63"/>
        <v>0.3</v>
      </c>
      <c r="W249" s="152">
        <f t="shared" si="63"/>
        <v>0.3</v>
      </c>
      <c r="X249" s="152">
        <f t="shared" si="63"/>
        <v>0.3</v>
      </c>
      <c r="Y249" s="152">
        <f t="shared" si="63"/>
        <v>0.3</v>
      </c>
      <c r="Z249" s="152">
        <f t="shared" si="63"/>
        <v>0.3</v>
      </c>
      <c r="AA249" s="152">
        <f t="shared" si="63"/>
        <v>0.3</v>
      </c>
      <c r="AB249" s="152">
        <f t="shared" si="63"/>
        <v>0.3</v>
      </c>
      <c r="AC249" s="152">
        <f t="shared" si="63"/>
        <v>0.3</v>
      </c>
      <c r="AD249" s="152">
        <f t="shared" si="63"/>
        <v>0.3</v>
      </c>
      <c r="AE249" s="152">
        <f t="shared" si="63"/>
        <v>0.3</v>
      </c>
      <c r="AF249" s="152">
        <f t="shared" si="63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61"/>
        <v>0.4</v>
      </c>
      <c r="C250" s="152">
        <v>0.4</v>
      </c>
      <c r="D250" s="152">
        <f t="shared" si="62"/>
        <v>0.4</v>
      </c>
      <c r="E250" s="152">
        <f t="shared" si="62"/>
        <v>0.4</v>
      </c>
      <c r="F250" s="152">
        <f t="shared" si="62"/>
        <v>0.4</v>
      </c>
      <c r="G250" s="152">
        <f t="shared" si="62"/>
        <v>0.4</v>
      </c>
      <c r="H250" s="152">
        <f t="shared" si="62"/>
        <v>0.4</v>
      </c>
      <c r="I250" s="152">
        <f t="shared" si="62"/>
        <v>0.4</v>
      </c>
      <c r="J250" s="152">
        <f t="shared" si="62"/>
        <v>0.4</v>
      </c>
      <c r="K250" s="152">
        <f t="shared" si="62"/>
        <v>0.4</v>
      </c>
      <c r="L250" s="152">
        <f t="shared" si="62"/>
        <v>0.4</v>
      </c>
      <c r="M250" s="152">
        <f t="shared" si="62"/>
        <v>0.4</v>
      </c>
      <c r="N250" s="152">
        <f t="shared" si="62"/>
        <v>0.4</v>
      </c>
      <c r="O250" s="152">
        <f t="shared" si="62"/>
        <v>0.4</v>
      </c>
      <c r="P250" s="152">
        <f t="shared" si="62"/>
        <v>0.4</v>
      </c>
      <c r="Q250" s="152">
        <f t="shared" si="62"/>
        <v>0.4</v>
      </c>
      <c r="R250" s="152">
        <f t="shared" si="62"/>
        <v>0.4</v>
      </c>
      <c r="S250" s="152">
        <f t="shared" si="62"/>
        <v>0.4</v>
      </c>
      <c r="T250" s="152">
        <f t="shared" si="63"/>
        <v>0.4</v>
      </c>
      <c r="U250" s="152">
        <f t="shared" si="63"/>
        <v>0.4</v>
      </c>
      <c r="V250" s="152">
        <f t="shared" si="63"/>
        <v>0.4</v>
      </c>
      <c r="W250" s="152">
        <f t="shared" si="63"/>
        <v>0.4</v>
      </c>
      <c r="X250" s="152">
        <f t="shared" si="63"/>
        <v>0.4</v>
      </c>
      <c r="Y250" s="152">
        <f t="shared" si="63"/>
        <v>0.4</v>
      </c>
      <c r="Z250" s="152">
        <f t="shared" si="63"/>
        <v>0.4</v>
      </c>
      <c r="AA250" s="152">
        <f t="shared" si="63"/>
        <v>0.4</v>
      </c>
      <c r="AB250" s="152">
        <f t="shared" si="63"/>
        <v>0.4</v>
      </c>
      <c r="AC250" s="152">
        <f t="shared" si="63"/>
        <v>0.4</v>
      </c>
      <c r="AD250" s="152">
        <f t="shared" si="63"/>
        <v>0.4</v>
      </c>
      <c r="AE250" s="152">
        <f t="shared" si="63"/>
        <v>0.4</v>
      </c>
      <c r="AF250" s="152">
        <f t="shared" si="63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61"/>
        <v>0.64</v>
      </c>
      <c r="C251" s="157">
        <v>0.64</v>
      </c>
      <c r="D251" s="157">
        <f t="shared" si="62"/>
        <v>0.64</v>
      </c>
      <c r="E251" s="157">
        <f t="shared" si="62"/>
        <v>0.64</v>
      </c>
      <c r="F251" s="157">
        <f t="shared" si="62"/>
        <v>0.64</v>
      </c>
      <c r="G251" s="157">
        <f t="shared" si="62"/>
        <v>0.64</v>
      </c>
      <c r="H251" s="157">
        <f t="shared" si="62"/>
        <v>0.64</v>
      </c>
      <c r="I251" s="157">
        <f t="shared" si="62"/>
        <v>0.64</v>
      </c>
      <c r="J251" s="157">
        <f t="shared" si="62"/>
        <v>0.64</v>
      </c>
      <c r="K251" s="157">
        <f t="shared" si="62"/>
        <v>0.64</v>
      </c>
      <c r="L251" s="157">
        <f t="shared" si="62"/>
        <v>0.64</v>
      </c>
      <c r="M251" s="157">
        <f t="shared" si="62"/>
        <v>0.64</v>
      </c>
      <c r="N251" s="157">
        <f t="shared" si="62"/>
        <v>0.64</v>
      </c>
      <c r="O251" s="157">
        <f t="shared" si="62"/>
        <v>0.64</v>
      </c>
      <c r="P251" s="157">
        <f t="shared" si="62"/>
        <v>0.64</v>
      </c>
      <c r="Q251" s="157">
        <f t="shared" si="62"/>
        <v>0.64</v>
      </c>
      <c r="R251" s="157">
        <f t="shared" si="62"/>
        <v>0.64</v>
      </c>
      <c r="S251" s="157">
        <f t="shared" si="62"/>
        <v>0.64</v>
      </c>
      <c r="T251" s="157">
        <f t="shared" si="63"/>
        <v>0.64</v>
      </c>
      <c r="U251" s="157">
        <f t="shared" si="63"/>
        <v>0.64</v>
      </c>
      <c r="V251" s="157">
        <f t="shared" si="63"/>
        <v>0.64</v>
      </c>
      <c r="W251" s="157">
        <f t="shared" si="63"/>
        <v>0.64</v>
      </c>
      <c r="X251" s="157">
        <f t="shared" si="63"/>
        <v>0.64</v>
      </c>
      <c r="Y251" s="157">
        <f t="shared" si="63"/>
        <v>0.64</v>
      </c>
      <c r="Z251" s="157">
        <f t="shared" si="63"/>
        <v>0.64</v>
      </c>
      <c r="AA251" s="157">
        <f t="shared" si="63"/>
        <v>0.64</v>
      </c>
      <c r="AB251" s="157">
        <f t="shared" si="63"/>
        <v>0.64</v>
      </c>
      <c r="AC251" s="157">
        <f t="shared" si="63"/>
        <v>0.64</v>
      </c>
      <c r="AD251" s="157">
        <f t="shared" si="63"/>
        <v>0.64</v>
      </c>
      <c r="AE251" s="157">
        <f t="shared" si="63"/>
        <v>0.64</v>
      </c>
      <c r="AF251" s="157">
        <f t="shared" si="63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64">SUM(B246:B251)</f>
        <v>3.54</v>
      </c>
      <c r="C252" s="161">
        <f t="shared" si="64"/>
        <v>3.54</v>
      </c>
      <c r="D252" s="161">
        <f t="shared" si="64"/>
        <v>3.54</v>
      </c>
      <c r="E252" s="161">
        <f t="shared" si="64"/>
        <v>3.54</v>
      </c>
      <c r="F252" s="161">
        <f t="shared" si="64"/>
        <v>3.54</v>
      </c>
      <c r="G252" s="161">
        <f t="shared" si="64"/>
        <v>3.54</v>
      </c>
      <c r="H252" s="161">
        <f t="shared" si="64"/>
        <v>3.54</v>
      </c>
      <c r="I252" s="161">
        <f t="shared" si="64"/>
        <v>3.54</v>
      </c>
      <c r="J252" s="161">
        <f t="shared" si="64"/>
        <v>3.54</v>
      </c>
      <c r="K252" s="161">
        <f t="shared" si="64"/>
        <v>3.54</v>
      </c>
      <c r="L252" s="161">
        <f t="shared" si="64"/>
        <v>3.54</v>
      </c>
      <c r="M252" s="161">
        <f t="shared" si="64"/>
        <v>3.54</v>
      </c>
      <c r="N252" s="161">
        <f t="shared" si="64"/>
        <v>3.54</v>
      </c>
      <c r="O252" s="161">
        <f t="shared" si="64"/>
        <v>3.54</v>
      </c>
      <c r="P252" s="161">
        <f t="shared" si="64"/>
        <v>3.54</v>
      </c>
      <c r="Q252" s="161">
        <f t="shared" si="64"/>
        <v>3.54</v>
      </c>
      <c r="R252" s="161">
        <f t="shared" si="64"/>
        <v>3.54</v>
      </c>
      <c r="S252" s="161">
        <f t="shared" si="64"/>
        <v>3.54</v>
      </c>
      <c r="T252" s="161">
        <f t="shared" si="64"/>
        <v>3.54</v>
      </c>
      <c r="U252" s="161">
        <f t="shared" si="64"/>
        <v>3.54</v>
      </c>
      <c r="V252" s="161">
        <f t="shared" si="64"/>
        <v>3.54</v>
      </c>
      <c r="W252" s="161">
        <f t="shared" si="64"/>
        <v>3.54</v>
      </c>
      <c r="X252" s="161">
        <f t="shared" si="64"/>
        <v>3.54</v>
      </c>
      <c r="Y252" s="161">
        <f t="shared" si="64"/>
        <v>3.54</v>
      </c>
      <c r="Z252" s="161">
        <f t="shared" si="64"/>
        <v>3.54</v>
      </c>
      <c r="AA252" s="161">
        <f t="shared" si="64"/>
        <v>3.54</v>
      </c>
      <c r="AB252" s="161">
        <f t="shared" si="64"/>
        <v>3.54</v>
      </c>
      <c r="AC252" s="161">
        <f t="shared" si="64"/>
        <v>3.54</v>
      </c>
      <c r="AD252" s="161">
        <f t="shared" si="64"/>
        <v>3.54</v>
      </c>
      <c r="AE252" s="161">
        <f t="shared" si="64"/>
        <v>3.54</v>
      </c>
      <c r="AF252" s="161">
        <f t="shared" si="64"/>
        <v>3.54</v>
      </c>
      <c r="AG252" s="171">
        <f t="shared" si="64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1692.53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2080/10/8)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686" priority="89">
      <formula>$AH11=0</formula>
    </cfRule>
  </conditionalFormatting>
  <conditionalFormatting sqref="A132:A253">
    <cfRule type="expression" dxfId="3685" priority="90">
      <formula>$AH132=0</formula>
    </cfRule>
  </conditionalFormatting>
  <conditionalFormatting sqref="B8">
    <cfRule type="expression" dxfId="3684" priority="144">
      <formula>AND(C$9&gt;=14/24,C$9&lt;20/24)</formula>
    </cfRule>
    <cfRule type="expression" dxfId="3683" priority="145">
      <formula>AND(C$9&gt;=8/24,C$9&lt;14/24)</formula>
    </cfRule>
    <cfRule type="expression" dxfId="3682" priority="146">
      <formula>C$9&lt;8/24</formula>
    </cfRule>
    <cfRule type="expression" dxfId="3681" priority="147">
      <formula>C$9&gt;=20/24</formula>
    </cfRule>
  </conditionalFormatting>
  <conditionalFormatting sqref="B11:E52 F12:L52 M13:Z52 B59:D74 E63:E74 F64:F74 G66:H74 J67:L67 I67:I74 E69:AF74 B77:AF99 B9:AF10 B101:AF117 B119:AF137 B244:AF244 B246:B252">
    <cfRule type="expression" dxfId="3680" priority="41">
      <formula>B$9&gt;=20/24</formula>
    </cfRule>
  </conditionalFormatting>
  <conditionalFormatting sqref="B53:Z57">
    <cfRule type="expression" dxfId="3679" priority="53">
      <formula>B$9&lt;8/24</formula>
    </cfRule>
  </conditionalFormatting>
  <conditionalFormatting sqref="B9:AF10 B11:E52 F12:L52 M13:Z52 B59:D74 E63:E74 F64:F74 G66:H74 J67:L67 I67:I74 E69:AF74 B77:AF99 B101:AF117 B119:AF137 B244:AF244 B246:B252">
    <cfRule type="expression" dxfId="3678" priority="42">
      <formula>AND(B$9&gt;=14/24,B$9&lt;20/24)</formula>
    </cfRule>
    <cfRule type="expression" dxfId="3677" priority="43">
      <formula>AND(B$9&gt;=8/24,B$9&lt;14/24)</formula>
    </cfRule>
    <cfRule type="expression" dxfId="3676" priority="44">
      <formula>B$9&lt;8/24</formula>
    </cfRule>
  </conditionalFormatting>
  <conditionalFormatting sqref="D246:AF252">
    <cfRule type="expression" dxfId="3675" priority="129">
      <formula>D$9&gt;=20/24</formula>
    </cfRule>
    <cfRule type="expression" dxfId="3674" priority="130">
      <formula>AND(D$9&gt;=14/24,D$9&lt;20/24)</formula>
    </cfRule>
    <cfRule type="expression" dxfId="3673" priority="131">
      <formula>AND(D$9&gt;=8/24,D$9&lt;14/24)</formula>
    </cfRule>
    <cfRule type="expression" dxfId="3672" priority="132">
      <formula>D$9&lt;8/24</formula>
    </cfRule>
  </conditionalFormatting>
  <conditionalFormatting sqref="E11:E56 B11:D80 G12:L55 F12:F56 M13:Z55 AA56:AF80 K57:R62 E57:J74 S57:Z80 AG62 K63:N74 O63:R75 J66:L67 E75:N75 E76:R80 AG80">
    <cfRule type="expression" dxfId="3671" priority="40">
      <formula>B11&gt;$AG11</formula>
    </cfRule>
  </conditionalFormatting>
  <conditionalFormatting sqref="E63:I67 J64:L67">
    <cfRule type="expression" dxfId="3670" priority="54">
      <formula>E$9&gt;=20/24</formula>
    </cfRule>
    <cfRule type="expression" dxfId="3669" priority="55">
      <formula>AND(E$9&gt;=14/24,E$9&lt;20/24)</formula>
    </cfRule>
    <cfRule type="expression" dxfId="3668" priority="56">
      <formula>AND(E$9&gt;=8/24,E$9&lt;14/24)</formula>
    </cfRule>
    <cfRule type="expression" dxfId="3667" priority="57">
      <formula>E$9&lt;8/24</formula>
    </cfRule>
  </conditionalFormatting>
  <conditionalFormatting sqref="E68:L68">
    <cfRule type="expression" dxfId="3666" priority="49">
      <formula>E$9&gt;=20/24</formula>
    </cfRule>
    <cfRule type="expression" dxfId="3665" priority="50">
      <formula>AND(E$9&gt;=14/24,E$9&lt;20/24)</formula>
    </cfRule>
    <cfRule type="expression" dxfId="3664" priority="51">
      <formula>AND(E$9&gt;=8/24,E$9&lt;14/24)</formula>
    </cfRule>
    <cfRule type="expression" dxfId="3663" priority="52">
      <formula>E$9&lt;8/24</formula>
    </cfRule>
  </conditionalFormatting>
  <conditionalFormatting sqref="E11:M11 N11:Z12 AA11:AF52 M12">
    <cfRule type="expression" dxfId="3662" priority="58">
      <formula>E11&gt;$AG11</formula>
    </cfRule>
    <cfRule type="expression" dxfId="3661" priority="59">
      <formula>E$9&gt;=20/24</formula>
    </cfRule>
    <cfRule type="expression" dxfId="3660" priority="60">
      <formula>AND(E$9&gt;=14/24,E$9&lt;20/24)</formula>
    </cfRule>
    <cfRule type="expression" dxfId="3659" priority="61">
      <formula>AND(E$9&gt;=8/24,E$9&lt;14/24)</formula>
    </cfRule>
    <cfRule type="expression" dxfId="3658" priority="62">
      <formula>E$9&lt;8/24</formula>
    </cfRule>
  </conditionalFormatting>
  <conditionalFormatting sqref="E59:AF62">
    <cfRule type="expression" dxfId="3657" priority="67">
      <formula>E$9&gt;=20/24</formula>
    </cfRule>
    <cfRule type="expression" dxfId="3656" priority="68">
      <formula>AND(E$9&gt;=14/24,E$9&lt;20/24)</formula>
    </cfRule>
    <cfRule type="expression" dxfId="3655" priority="69">
      <formula>AND(E$9&gt;=8/24,E$9&lt;14/24)</formula>
    </cfRule>
    <cfRule type="expression" dxfId="3654" priority="70">
      <formula>E$9&lt;8/24</formula>
    </cfRule>
  </conditionalFormatting>
  <conditionalFormatting sqref="F63:L65">
    <cfRule type="expression" dxfId="3653" priority="81">
      <formula>F$9&gt;=20/24</formula>
    </cfRule>
    <cfRule type="expression" dxfId="3652" priority="82">
      <formula>AND(F$9&gt;=14/24,F$9&lt;20/24)</formula>
    </cfRule>
    <cfRule type="expression" dxfId="3651" priority="83">
      <formula>AND(F$9&gt;=8/24,F$9&lt;14/24)</formula>
    </cfRule>
    <cfRule type="expression" dxfId="3650" priority="84">
      <formula>F$9&lt;8/24</formula>
    </cfRule>
  </conditionalFormatting>
  <conditionalFormatting sqref="G56:P56 Q56:Z57 E57:P57">
    <cfRule type="expression" dxfId="3649" priority="46">
      <formula>E$9&gt;=20/24</formula>
    </cfRule>
    <cfRule type="expression" dxfId="3648" priority="47">
      <formula>AND(E$9&gt;=14/24,E$9&lt;20/24)</formula>
    </cfRule>
    <cfRule type="expression" dxfId="3647" priority="48">
      <formula>AND(E$9&gt;=8/24,E$9&lt;14/24)</formula>
    </cfRule>
  </conditionalFormatting>
  <conditionalFormatting sqref="G56:Z56">
    <cfRule type="expression" dxfId="3646" priority="45">
      <formula>G56&gt;$AG56</formula>
    </cfRule>
  </conditionalFormatting>
  <conditionalFormatting sqref="M8 S8 AB8">
    <cfRule type="expression" dxfId="3645" priority="136">
      <formula>AND(N$9&gt;=14/24,N$9&lt;20/24)</formula>
    </cfRule>
    <cfRule type="expression" dxfId="3644" priority="137">
      <formula>AND(N$9&gt;=8/24,N$9&lt;14/24)</formula>
    </cfRule>
    <cfRule type="expression" dxfId="3643" priority="138">
      <formula>N$9&lt;8/24</formula>
    </cfRule>
  </conditionalFormatting>
  <conditionalFormatting sqref="M63:AF68">
    <cfRule type="expression" dxfId="3642" priority="71">
      <formula>M$9&gt;=20/24</formula>
    </cfRule>
    <cfRule type="expression" dxfId="3641" priority="72">
      <formula>AND(M$9&gt;=14/24,M$9&lt;20/24)</formula>
    </cfRule>
    <cfRule type="expression" dxfId="3640" priority="73">
      <formula>AND(M$9&gt;=8/24,M$9&lt;14/24)</formula>
    </cfRule>
    <cfRule type="expression" dxfId="3639" priority="74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638" priority="135">
      <formula>N$9&gt;=20/24</formula>
    </cfRule>
  </conditionalFormatting>
  <conditionalFormatting sqref="S8">
    <cfRule type="expression" dxfId="3637" priority="122">
      <formula>U$9&gt;=20/24</formula>
    </cfRule>
    <cfRule type="expression" dxfId="3636" priority="123">
      <formula>AND(U$9&gt;=14/24,U$9&lt;20/24)</formula>
    </cfRule>
    <cfRule type="expression" dxfId="3635" priority="124">
      <formula>AND(U$9&gt;=8/24,U$9&lt;14/24)</formula>
    </cfRule>
    <cfRule type="expression" dxfId="3634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A53:AF54 G53:Z55 E53:F56 B53:D57">
    <cfRule type="expression" dxfId="3633" priority="37">
      <formula>B$9&gt;=20/24</formula>
    </cfRule>
    <cfRule type="expression" dxfId="3632" priority="38">
      <formula>AND(B$9&gt;=14/24,B$9&lt;20/24)</formula>
    </cfRule>
    <cfRule type="expression" dxfId="3631" priority="39">
      <formula>AND(B$9&gt;=8/24,B$9&lt;14/24)</formula>
    </cfRule>
  </conditionalFormatting>
  <conditionalFormatting sqref="AA53:AF55">
    <cfRule type="expression" dxfId="3630" priority="76">
      <formula>AA53&gt;$AG53</formula>
    </cfRule>
  </conditionalFormatting>
  <conditionalFormatting sqref="AA53:AF57">
    <cfRule type="expression" dxfId="3629" priority="75">
      <formula>AA$9&lt;8/24</formula>
    </cfRule>
  </conditionalFormatting>
  <conditionalFormatting sqref="AA55:AF57">
    <cfRule type="expression" dxfId="3628" priority="64">
      <formula>AA$9&gt;=20/24</formula>
    </cfRule>
    <cfRule type="expression" dxfId="3627" priority="65">
      <formula>AND(AA$9&gt;=14/24,AA$9&lt;20/24)</formula>
    </cfRule>
    <cfRule type="expression" dxfId="3626" priority="66">
      <formula>AND(AA$9&gt;=8/24,AA$9&lt;14/24)</formula>
    </cfRule>
  </conditionalFormatting>
  <conditionalFormatting sqref="AB8">
    <cfRule type="expression" dxfId="3625" priority="118">
      <formula>AD$9&gt;=20/24</formula>
    </cfRule>
    <cfRule type="expression" dxfId="3624" priority="119">
      <formula>AND(AD$9&gt;=14/24,AD$9&lt;20/24)</formula>
    </cfRule>
    <cfRule type="expression" dxfId="3623" priority="120">
      <formula>AND(AD$9&gt;=8/24,AD$9&lt;14/24)</formula>
    </cfRule>
    <cfRule type="expression" dxfId="3622" priority="121">
      <formula>AD$9&lt;8/24</formula>
    </cfRule>
  </conditionalFormatting>
  <conditionalFormatting sqref="AG58">
    <cfRule type="expression" dxfId="3621" priority="113">
      <formula>AG58&gt;$AG58</formula>
    </cfRule>
  </conditionalFormatting>
  <conditionalFormatting sqref="AG62">
    <cfRule type="expression" dxfId="3620" priority="96">
      <formula>AG$9&gt;=20/24</formula>
    </cfRule>
    <cfRule type="expression" dxfId="3619" priority="97">
      <formula>AND(AG$9&gt;=14/24,AG$9&lt;20/24)</formula>
    </cfRule>
    <cfRule type="expression" dxfId="3618" priority="98">
      <formula>AND(AG$9&gt;=8/24,AG$9&lt;14/24)</formula>
    </cfRule>
    <cfRule type="expression" dxfId="3617" priority="99">
      <formula>AG$9&lt;8/24</formula>
    </cfRule>
  </conditionalFormatting>
  <conditionalFormatting sqref="AG75:AG76">
    <cfRule type="expression" dxfId="3616" priority="91">
      <formula>AG75&gt;$AG75</formula>
    </cfRule>
  </conditionalFormatting>
  <conditionalFormatting sqref="AG80">
    <cfRule type="expression" dxfId="3615" priority="92">
      <formula>AG$9&gt;=20/24</formula>
    </cfRule>
    <cfRule type="expression" dxfId="3614" priority="93">
      <formula>AND(AG$9&gt;=14/24,AG$9&lt;20/24)</formula>
    </cfRule>
    <cfRule type="expression" dxfId="3613" priority="94">
      <formula>AND(AG$9&gt;=8/24,AG$9&lt;14/24)</formula>
    </cfRule>
    <cfRule type="expression" dxfId="3612" priority="95">
      <formula>AG$9&lt;8/24</formula>
    </cfRule>
  </conditionalFormatting>
  <conditionalFormatting sqref="AG97">
    <cfRule type="expression" dxfId="3611" priority="114">
      <formula>AG$9&gt;=20/24</formula>
    </cfRule>
    <cfRule type="expression" dxfId="3610" priority="115">
      <formula>AND(AG$9&gt;=14/24,AG$9&lt;20/24)</formula>
    </cfRule>
    <cfRule type="expression" dxfId="3609" priority="116">
      <formula>AND(AG$9&gt;=8/24,AG$9&lt;14/24)</formula>
    </cfRule>
    <cfRule type="expression" dxfId="3608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607" priority="139">
      <formula>AJ$9&gt;=20/24</formula>
    </cfRule>
    <cfRule type="expression" dxfId="3606" priority="140">
      <formula>AND(AJ$9&gt;=14/24,AJ$9&lt;20/24)</formula>
    </cfRule>
    <cfRule type="expression" dxfId="3605" priority="141">
      <formula>AND(AJ$9&gt;=8/24,AJ$9&lt;14/24)</formula>
    </cfRule>
    <cfRule type="expression" dxfId="3604" priority="142">
      <formula>AJ$9&lt;8/24</formula>
    </cfRule>
  </conditionalFormatting>
  <conditionalFormatting sqref="AL88:AN88 AL94:AN94">
    <cfRule type="expression" dxfId="3603" priority="106">
      <formula>AL$9&gt;=20/24</formula>
    </cfRule>
    <cfRule type="expression" dxfId="3602" priority="107">
      <formula>AND(AL$9&gt;=14/24,AL$9&lt;20/24)</formula>
    </cfRule>
    <cfRule type="expression" dxfId="3601" priority="108">
      <formula>AND(AL$9&gt;=8/24,AL$9&lt;14/24)</formula>
    </cfRule>
    <cfRule type="expression" dxfId="3600" priority="109">
      <formula>AL$9&lt;8/24</formula>
    </cfRule>
  </conditionalFormatting>
  <conditionalFormatting sqref="AM15:AM21 AN16:AR21">
    <cfRule type="expression" dxfId="3599" priority="13">
      <formula>AX$9&gt;=20/24</formula>
    </cfRule>
    <cfRule type="expression" dxfId="3598" priority="14">
      <formula>AND(AX$9&gt;=14/24,AX$9&lt;20/24)</formula>
    </cfRule>
    <cfRule type="expression" dxfId="3597" priority="15">
      <formula>AND(AX$9&gt;=8/24,AX$9&lt;14/24)</formula>
    </cfRule>
    <cfRule type="expression" dxfId="3596" priority="16">
      <formula>AX$9&lt;8/24</formula>
    </cfRule>
  </conditionalFormatting>
  <conditionalFormatting sqref="AN89:AN92">
    <cfRule type="expression" dxfId="3595" priority="102">
      <formula>AN$9&gt;=20/24</formula>
    </cfRule>
    <cfRule type="expression" dxfId="3594" priority="103">
      <formula>AND(AN$9&gt;=14/24,AN$9&lt;20/24)</formula>
    </cfRule>
    <cfRule type="expression" dxfId="3593" priority="104">
      <formula>AND(AN$9&gt;=8/24,AN$9&lt;14/24)</formula>
    </cfRule>
    <cfRule type="expression" dxfId="3592" priority="105">
      <formula>AN$9&lt;8/24</formula>
    </cfRule>
  </conditionalFormatting>
  <conditionalFormatting sqref="AN15:AR15">
    <cfRule type="expression" dxfId="3591" priority="1">
      <formula>U$9&gt;=20/24</formula>
    </cfRule>
    <cfRule type="expression" dxfId="3590" priority="2">
      <formula>AND(U$9&gt;=14/24,U$9&lt;20/24)</formula>
    </cfRule>
    <cfRule type="expression" dxfId="3589" priority="3">
      <formula>AND(U$9&gt;=8/24,U$9&lt;14/24)</formula>
    </cfRule>
    <cfRule type="expression" dxfId="3588" priority="4">
      <formula>U$9&lt;8/24</formula>
    </cfRule>
  </conditionalFormatting>
  <conditionalFormatting sqref="AS15">
    <cfRule type="expression" dxfId="3587" priority="9">
      <formula>AA$9&gt;=20/24</formula>
    </cfRule>
    <cfRule type="expression" dxfId="3586" priority="10">
      <formula>AND(AA$9&gt;=14/24,AA$9&lt;20/24)</formula>
    </cfRule>
    <cfRule type="expression" dxfId="3585" priority="11">
      <formula>AND(AA$9&gt;=8/24,AA$9&lt;14/24)</formula>
    </cfRule>
    <cfRule type="expression" dxfId="3584" priority="12">
      <formula>AA$9&lt;8/24</formula>
    </cfRule>
  </conditionalFormatting>
  <conditionalFormatting sqref="AS16:AS21">
    <cfRule type="expression" dxfId="3583" priority="17">
      <formula>BE$9&gt;=20/24</formula>
    </cfRule>
    <cfRule type="expression" dxfId="3582" priority="18">
      <formula>AND(BE$9&gt;=14/24,BE$9&lt;20/24)</formula>
    </cfRule>
    <cfRule type="expression" dxfId="3581" priority="19">
      <formula>AND(BE$9&gt;=8/24,BE$9&lt;14/24)</formula>
    </cfRule>
    <cfRule type="expression" dxfId="3580" priority="20">
      <formula>BE$9&lt;8/24</formula>
    </cfRule>
  </conditionalFormatting>
  <conditionalFormatting sqref="AT15 AX15:BJ15">
    <cfRule type="expression" dxfId="3579" priority="21">
      <formula>AC$9&gt;=20/24</formula>
    </cfRule>
    <cfRule type="expression" dxfId="3578" priority="22">
      <formula>AND(AC$9&gt;=14/24,AC$9&lt;20/24)</formula>
    </cfRule>
    <cfRule type="expression" dxfId="3577" priority="23">
      <formula>AND(AC$9&gt;=8/24,AC$9&lt;14/24)</formula>
    </cfRule>
    <cfRule type="expression" dxfId="3576" priority="24">
      <formula>AC$9&lt;8/24</formula>
    </cfRule>
  </conditionalFormatting>
  <conditionalFormatting sqref="AT16:AT21">
    <cfRule type="expression" dxfId="3575" priority="25">
      <formula>BG$9&gt;=20/24</formula>
    </cfRule>
    <cfRule type="expression" dxfId="3574" priority="26">
      <formula>AND(BG$9&gt;=14/24,BG$9&lt;20/24)</formula>
    </cfRule>
    <cfRule type="expression" dxfId="3573" priority="27">
      <formula>AND(BG$9&gt;=8/24,BG$9&lt;14/24)</formula>
    </cfRule>
    <cfRule type="expression" dxfId="3572" priority="28">
      <formula>BG$9&lt;8/24</formula>
    </cfRule>
  </conditionalFormatting>
  <conditionalFormatting sqref="AU15:AV15">
    <cfRule type="expression" dxfId="3571" priority="29">
      <formula>AE$9&gt;=20/24</formula>
    </cfRule>
    <cfRule type="expression" dxfId="3570" priority="30">
      <formula>AND(AE$9&gt;=14/24,AE$9&lt;20/24)</formula>
    </cfRule>
    <cfRule type="expression" dxfId="3569" priority="31">
      <formula>AND(AE$9&gt;=8/24,AE$9&lt;14/24)</formula>
    </cfRule>
    <cfRule type="expression" dxfId="3568" priority="32">
      <formula>AE$9&lt;8/24</formula>
    </cfRule>
  </conditionalFormatting>
  <conditionalFormatting sqref="AU16:BJ21">
    <cfRule type="expression" dxfId="3567" priority="33">
      <formula>BI$9&gt;=20/24</formula>
    </cfRule>
    <cfRule type="expression" dxfId="3566" priority="34">
      <formula>AND(BI$9&gt;=14/24,BI$9&lt;20/24)</formula>
    </cfRule>
    <cfRule type="expression" dxfId="3565" priority="35">
      <formula>AND(BI$9&gt;=8/24,BI$9&lt;14/24)</formula>
    </cfRule>
    <cfRule type="expression" dxfId="3564" priority="36">
      <formula>BI$9&lt;8/24</formula>
    </cfRule>
  </conditionalFormatting>
  <conditionalFormatting sqref="AW15">
    <cfRule type="expression" dxfId="3563" priority="5">
      <formula>B$9&gt;=20/24</formula>
    </cfRule>
    <cfRule type="expression" dxfId="3562" priority="6">
      <formula>AND(B$9&gt;=14/24,B$9&lt;20/24)</formula>
    </cfRule>
    <cfRule type="expression" dxfId="3561" priority="7">
      <formula>AND(B$9&gt;=8/24,B$9&lt;14/24)</formula>
    </cfRule>
    <cfRule type="expression" dxfId="356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18CC-D522-4092-82C9-09DB1EF3F356}">
  <sheetPr codeName="Sheet9"/>
  <dimension ref="A1:CJ294"/>
  <sheetViews>
    <sheetView zoomScale="110" zoomScaleNormal="110" workbookViewId="0">
      <pane xSplit="1" ySplit="10" topLeftCell="B6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K132" sqref="K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2080/10/9</v>
      </c>
      <c r="C4" s="187"/>
      <c r="D4" s="187"/>
      <c r="E4" s="188" t="str">
        <f ca="1">"2080/"&amp;"10/"&amp;INT(MID(CELL("filename",G6),FIND("]",CELL("filename",G6))+1,200))</f>
        <v>2080/10/9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112</v>
      </c>
      <c r="C5" s="30">
        <f t="shared" si="0"/>
        <v>102</v>
      </c>
      <c r="D5" s="30">
        <f t="shared" si="0"/>
        <v>110.1</v>
      </c>
      <c r="E5" s="30">
        <f t="shared" si="0"/>
        <v>113.99999999999999</v>
      </c>
      <c r="F5" s="30">
        <f t="shared" si="0"/>
        <v>105.2</v>
      </c>
      <c r="G5" s="30">
        <f t="shared" si="0"/>
        <v>144</v>
      </c>
      <c r="H5" s="30">
        <f t="shared" si="0"/>
        <v>187.9</v>
      </c>
      <c r="I5" s="30">
        <f t="shared" si="0"/>
        <v>510.00000000000006</v>
      </c>
      <c r="J5" s="30">
        <f t="shared" si="0"/>
        <v>613.49999999999989</v>
      </c>
      <c r="K5" s="30">
        <f t="shared" si="0"/>
        <v>700</v>
      </c>
      <c r="L5" s="30">
        <f t="shared" si="0"/>
        <v>668</v>
      </c>
      <c r="M5" s="30">
        <f t="shared" si="0"/>
        <v>659.69999999999993</v>
      </c>
      <c r="N5" s="30">
        <f t="shared" si="0"/>
        <v>697.2</v>
      </c>
      <c r="O5" s="30">
        <f t="shared" si="0"/>
        <v>726.69999999999993</v>
      </c>
      <c r="P5" s="30">
        <f t="shared" si="0"/>
        <v>679.8</v>
      </c>
      <c r="Q5" s="30">
        <f t="shared" si="0"/>
        <v>661.80000000000007</v>
      </c>
      <c r="R5" s="30">
        <f t="shared" si="0"/>
        <v>0</v>
      </c>
      <c r="S5" s="30">
        <f t="shared" si="0"/>
        <v>635.30000000000007</v>
      </c>
      <c r="T5" s="30">
        <f t="shared" si="0"/>
        <v>0</v>
      </c>
      <c r="U5" s="30">
        <f t="shared" si="0"/>
        <v>432.4</v>
      </c>
      <c r="V5" s="30">
        <f t="shared" si="0"/>
        <v>436.5</v>
      </c>
      <c r="W5" s="30">
        <f t="shared" si="0"/>
        <v>355.59999999999997</v>
      </c>
      <c r="X5" s="30">
        <f t="shared" si="0"/>
        <v>102.10000000000001</v>
      </c>
      <c r="Y5" s="30">
        <f t="shared" si="0"/>
        <v>104.6</v>
      </c>
      <c r="Z5" s="30">
        <f t="shared" si="0"/>
        <v>66</v>
      </c>
      <c r="AA5" s="30">
        <f t="shared" si="0"/>
        <v>71</v>
      </c>
      <c r="AB5" s="30">
        <f t="shared" si="0"/>
        <v>89.699999999999989</v>
      </c>
      <c r="AC5" s="30">
        <f t="shared" si="0"/>
        <v>87.5</v>
      </c>
      <c r="AD5" s="30">
        <f t="shared" si="0"/>
        <v>72</v>
      </c>
      <c r="AE5" s="30">
        <f t="shared" si="0"/>
        <v>87.1</v>
      </c>
      <c r="AF5" s="30">
        <f>B92</f>
        <v>102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</v>
      </c>
      <c r="B7" s="35">
        <f t="shared" ref="B7:AF7" si="1">B100</f>
        <v>1599.43</v>
      </c>
      <c r="C7" s="35">
        <f t="shared" si="1"/>
        <v>1556.13</v>
      </c>
      <c r="D7" s="35">
        <f t="shared" si="1"/>
        <v>1536.13</v>
      </c>
      <c r="E7" s="35">
        <f t="shared" si="1"/>
        <v>1504.03</v>
      </c>
      <c r="F7" s="35">
        <f t="shared" si="1"/>
        <v>1502.73</v>
      </c>
      <c r="G7" s="35">
        <f t="shared" si="1"/>
        <v>1492.7300000000002</v>
      </c>
      <c r="H7" s="35">
        <f t="shared" si="1"/>
        <v>1533.73</v>
      </c>
      <c r="I7" s="35">
        <f t="shared" si="1"/>
        <v>1556.9300000000003</v>
      </c>
      <c r="J7" s="35">
        <f t="shared" si="1"/>
        <v>1499.93</v>
      </c>
      <c r="K7" s="35">
        <f t="shared" si="1"/>
        <v>1602.03</v>
      </c>
      <c r="L7" s="35">
        <f t="shared" si="1"/>
        <v>1634.9300000000003</v>
      </c>
      <c r="M7" s="35">
        <f t="shared" si="1"/>
        <v>1662.9300000000003</v>
      </c>
      <c r="N7" s="35">
        <f t="shared" si="1"/>
        <v>1615.48</v>
      </c>
      <c r="O7" s="35">
        <f t="shared" si="1"/>
        <v>1685.1299999999999</v>
      </c>
      <c r="P7" s="35">
        <f t="shared" si="1"/>
        <v>1748.5299999999997</v>
      </c>
      <c r="Q7" s="35">
        <f t="shared" si="1"/>
        <v>1718.53</v>
      </c>
      <c r="R7" s="35">
        <f t="shared" si="1"/>
        <v>1537.63</v>
      </c>
      <c r="S7" s="35">
        <f t="shared" si="1"/>
        <v>2.54</v>
      </c>
      <c r="T7" s="35">
        <f t="shared" si="1"/>
        <v>1577.13</v>
      </c>
      <c r="U7" s="35">
        <f t="shared" si="1"/>
        <v>481.54</v>
      </c>
      <c r="V7" s="35">
        <f t="shared" si="1"/>
        <v>1426.23</v>
      </c>
      <c r="W7" s="35">
        <f t="shared" si="1"/>
        <v>1450.33</v>
      </c>
      <c r="X7" s="35">
        <f t="shared" si="1"/>
        <v>1360.33</v>
      </c>
      <c r="Y7" s="35">
        <f t="shared" si="1"/>
        <v>1237.6299999999999</v>
      </c>
      <c r="Z7" s="35">
        <f t="shared" si="1"/>
        <v>1536.33</v>
      </c>
      <c r="AA7" s="35">
        <f t="shared" si="1"/>
        <v>1670.83</v>
      </c>
      <c r="AB7" s="35">
        <f t="shared" si="1"/>
        <v>1649.63</v>
      </c>
      <c r="AC7" s="35">
        <f t="shared" si="1"/>
        <v>1649.93</v>
      </c>
      <c r="AD7" s="35">
        <f t="shared" si="1"/>
        <v>1644.4299999999998</v>
      </c>
      <c r="AE7" s="35">
        <f t="shared" si="1"/>
        <v>1640.03</v>
      </c>
      <c r="AF7" s="35">
        <f t="shared" si="1"/>
        <v>1560.9299999999998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1748.53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1748.53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23.2</v>
      </c>
      <c r="C11" s="46">
        <v>23.2</v>
      </c>
      <c r="D11" s="46">
        <v>23.2</v>
      </c>
      <c r="E11" s="46">
        <v>24.7</v>
      </c>
      <c r="F11" s="46">
        <v>24.7</v>
      </c>
      <c r="G11" s="46">
        <v>24.7</v>
      </c>
      <c r="H11" s="46">
        <v>24.7</v>
      </c>
      <c r="I11" s="46">
        <v>24.7</v>
      </c>
      <c r="J11" s="46">
        <v>24.7</v>
      </c>
      <c r="K11" s="46">
        <v>24.7</v>
      </c>
      <c r="L11" s="46">
        <v>24.7</v>
      </c>
      <c r="M11" s="46">
        <v>23.8</v>
      </c>
      <c r="N11" s="46">
        <v>23.85</v>
      </c>
      <c r="O11" s="46">
        <v>23.5</v>
      </c>
      <c r="P11" s="46">
        <v>23.5</v>
      </c>
      <c r="Q11" s="46">
        <v>22.8</v>
      </c>
      <c r="R11" s="46">
        <v>22.3</v>
      </c>
      <c r="S11" s="46"/>
      <c r="T11" s="46">
        <v>22.3</v>
      </c>
      <c r="U11" s="46"/>
      <c r="V11" s="46">
        <v>22.3</v>
      </c>
      <c r="W11" s="46">
        <v>22.3</v>
      </c>
      <c r="X11" s="46">
        <v>22.3</v>
      </c>
      <c r="Y11" s="46">
        <v>22.3</v>
      </c>
      <c r="Z11" s="46">
        <v>22.3</v>
      </c>
      <c r="AA11" s="46">
        <v>22.3</v>
      </c>
      <c r="AB11" s="46">
        <v>24.8</v>
      </c>
      <c r="AC11" s="46">
        <v>31.7</v>
      </c>
      <c r="AD11" s="46">
        <v>31.6</v>
      </c>
      <c r="AE11" s="46">
        <v>31.6</v>
      </c>
      <c r="AF11" s="46">
        <v>31.6</v>
      </c>
      <c r="AG11" s="47">
        <v>86</v>
      </c>
      <c r="AH11" s="48">
        <f t="shared" ref="AH11:AH16" si="2">MAX(B11:AF11)</f>
        <v>31.7</v>
      </c>
      <c r="AI11" s="49">
        <f t="shared" ref="AI11:AI16" si="3">MIN(B11:AF11)</f>
        <v>22.3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11.3</v>
      </c>
      <c r="C12" s="46">
        <v>11.3</v>
      </c>
      <c r="D12" s="46">
        <v>11.3</v>
      </c>
      <c r="E12" s="46">
        <v>11.3</v>
      </c>
      <c r="F12" s="46">
        <v>11.3</v>
      </c>
      <c r="G12" s="46">
        <v>11.3</v>
      </c>
      <c r="H12" s="46">
        <v>11.3</v>
      </c>
      <c r="I12" s="46">
        <v>11.3</v>
      </c>
      <c r="J12" s="46">
        <v>11.3</v>
      </c>
      <c r="K12" s="46">
        <v>11.3</v>
      </c>
      <c r="L12" s="46">
        <v>11.3</v>
      </c>
      <c r="M12" s="46">
        <v>11.3</v>
      </c>
      <c r="N12" s="46">
        <v>11.3</v>
      </c>
      <c r="O12" s="46">
        <v>11.3</v>
      </c>
      <c r="P12" s="46">
        <v>11.3</v>
      </c>
      <c r="Q12" s="46">
        <v>11.3</v>
      </c>
      <c r="R12" s="46">
        <v>11.3</v>
      </c>
      <c r="S12" s="46"/>
      <c r="T12" s="46">
        <v>11.3</v>
      </c>
      <c r="U12" s="46"/>
      <c r="V12" s="46">
        <v>11.3</v>
      </c>
      <c r="W12" s="46">
        <v>11.3</v>
      </c>
      <c r="X12" s="46">
        <v>11.3</v>
      </c>
      <c r="Y12" s="46">
        <v>11.3</v>
      </c>
      <c r="Z12" s="46">
        <v>11.3</v>
      </c>
      <c r="AA12" s="46">
        <v>20</v>
      </c>
      <c r="AB12" s="46">
        <v>20</v>
      </c>
      <c r="AC12" s="46">
        <v>20</v>
      </c>
      <c r="AD12" s="46">
        <v>20</v>
      </c>
      <c r="AE12" s="46">
        <v>20</v>
      </c>
      <c r="AF12" s="46">
        <v>20</v>
      </c>
      <c r="AG12" s="50">
        <v>54</v>
      </c>
      <c r="AH12" s="48">
        <f t="shared" si="2"/>
        <v>20</v>
      </c>
      <c r="AI12" s="49">
        <f t="shared" si="3"/>
        <v>11.3</v>
      </c>
      <c r="AK12" s="51"/>
      <c r="AL12" s="52" t="str">
        <f ca="1">MID(CELL("filename",C7),FIND("]",CELL("filename",C7))+1,600)</f>
        <v>09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15.9</v>
      </c>
      <c r="C13" s="46">
        <v>15.9</v>
      </c>
      <c r="D13" s="46">
        <v>15.9</v>
      </c>
      <c r="E13" s="46">
        <v>15.9</v>
      </c>
      <c r="F13" s="46">
        <v>15.9</v>
      </c>
      <c r="G13" s="46">
        <v>15.9</v>
      </c>
      <c r="H13" s="46">
        <v>15.9</v>
      </c>
      <c r="I13" s="46">
        <v>15.9</v>
      </c>
      <c r="J13" s="46">
        <v>15.9</v>
      </c>
      <c r="K13" s="46">
        <v>15.9</v>
      </c>
      <c r="L13" s="46">
        <v>15.9</v>
      </c>
      <c r="M13" s="46">
        <v>15.9</v>
      </c>
      <c r="N13" s="46">
        <v>15.9</v>
      </c>
      <c r="O13" s="46">
        <v>15.9</v>
      </c>
      <c r="P13" s="46">
        <v>15.9</v>
      </c>
      <c r="Q13" s="46">
        <v>15.9</v>
      </c>
      <c r="R13" s="46">
        <v>15.9</v>
      </c>
      <c r="S13" s="46"/>
      <c r="T13" s="46">
        <v>15.9</v>
      </c>
      <c r="U13" s="46" t="s">
        <v>287</v>
      </c>
      <c r="V13" s="46">
        <v>15.9</v>
      </c>
      <c r="W13" s="46">
        <v>15.9</v>
      </c>
      <c r="X13" s="46">
        <v>15.9</v>
      </c>
      <c r="Y13" s="46">
        <v>15.9</v>
      </c>
      <c r="Z13" s="46">
        <v>15.9</v>
      </c>
      <c r="AA13" s="46">
        <v>27.3</v>
      </c>
      <c r="AB13" s="46">
        <v>27.7</v>
      </c>
      <c r="AC13" s="46">
        <v>27.7</v>
      </c>
      <c r="AD13" s="46">
        <v>27.6</v>
      </c>
      <c r="AE13" s="46">
        <v>27.6</v>
      </c>
      <c r="AF13" s="46">
        <v>27.6</v>
      </c>
      <c r="AG13" s="50">
        <v>54</v>
      </c>
      <c r="AH13" s="48">
        <f t="shared" si="2"/>
        <v>27.7</v>
      </c>
      <c r="AI13" s="49">
        <f t="shared" si="3"/>
        <v>15.9</v>
      </c>
      <c r="AK13" s="51"/>
      <c r="AL13" s="52" t="str">
        <f ca="1">"Daily Load Curve(Excluding of Export) of Nepal ("&amp;A4&amp;" "&amp;B4&amp;")"</f>
        <v>Daily Load Curve(Excluding of Export) of Nepal (Nepali Date: 2080/10/9)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/>
      <c r="T14" s="46">
        <v>0</v>
      </c>
      <c r="U14" s="46" t="s">
        <v>288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50.6</v>
      </c>
      <c r="C15" s="46">
        <v>50.6</v>
      </c>
      <c r="D15" s="46">
        <v>50.6</v>
      </c>
      <c r="E15" s="46">
        <v>50.6</v>
      </c>
      <c r="F15" s="46">
        <v>50.6</v>
      </c>
      <c r="G15" s="46">
        <v>50.6</v>
      </c>
      <c r="H15" s="46">
        <v>50.6</v>
      </c>
      <c r="I15" s="46">
        <v>50.6</v>
      </c>
      <c r="J15" s="46">
        <v>50.6</v>
      </c>
      <c r="K15" s="46">
        <v>50.6</v>
      </c>
      <c r="L15" s="46">
        <v>50.6</v>
      </c>
      <c r="M15" s="46">
        <v>50.4</v>
      </c>
      <c r="N15" s="46">
        <v>50.4</v>
      </c>
      <c r="O15" s="46">
        <v>50.4</v>
      </c>
      <c r="P15" s="46">
        <v>50.4</v>
      </c>
      <c r="Q15" s="46">
        <v>50.4</v>
      </c>
      <c r="R15" s="46">
        <v>50.4</v>
      </c>
      <c r="S15" s="46"/>
      <c r="T15" s="46">
        <v>50.4</v>
      </c>
      <c r="U15" s="46" t="s">
        <v>289</v>
      </c>
      <c r="V15" s="46">
        <v>50.4</v>
      </c>
      <c r="W15" s="46">
        <v>50.4</v>
      </c>
      <c r="X15" s="46">
        <v>50.4</v>
      </c>
      <c r="Y15" s="46">
        <v>50.4</v>
      </c>
      <c r="Z15" s="46">
        <v>50.4</v>
      </c>
      <c r="AA15" s="53">
        <v>50.4</v>
      </c>
      <c r="AB15" s="53">
        <v>50.4</v>
      </c>
      <c r="AC15" s="53">
        <v>50.4</v>
      </c>
      <c r="AD15" s="53">
        <v>50.4</v>
      </c>
      <c r="AE15" s="53">
        <v>50.4</v>
      </c>
      <c r="AF15" s="53">
        <v>50.4</v>
      </c>
      <c r="AG15" s="50">
        <v>50</v>
      </c>
      <c r="AH15" s="48">
        <f t="shared" si="2"/>
        <v>50.6</v>
      </c>
      <c r="AI15" s="49">
        <f t="shared" si="3"/>
        <v>50.4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16</v>
      </c>
      <c r="C16" s="46">
        <v>16</v>
      </c>
      <c r="D16" s="46">
        <v>16</v>
      </c>
      <c r="E16" s="46">
        <v>16</v>
      </c>
      <c r="F16" s="46">
        <v>16</v>
      </c>
      <c r="G16" s="46">
        <v>16</v>
      </c>
      <c r="H16" s="46">
        <v>16</v>
      </c>
      <c r="I16" s="46">
        <v>16</v>
      </c>
      <c r="J16" s="46">
        <v>16</v>
      </c>
      <c r="K16" s="46">
        <v>16</v>
      </c>
      <c r="L16" s="46">
        <v>16</v>
      </c>
      <c r="M16" s="46">
        <v>16</v>
      </c>
      <c r="N16" s="46">
        <v>16</v>
      </c>
      <c r="O16" s="46">
        <v>16</v>
      </c>
      <c r="P16" s="46">
        <v>16</v>
      </c>
      <c r="Q16" s="46">
        <v>16</v>
      </c>
      <c r="R16" s="46">
        <v>16</v>
      </c>
      <c r="S16" s="46"/>
      <c r="T16" s="46">
        <v>16</v>
      </c>
      <c r="U16" s="46" t="s">
        <v>288</v>
      </c>
      <c r="V16" s="46">
        <v>16</v>
      </c>
      <c r="W16" s="46">
        <v>16</v>
      </c>
      <c r="X16" s="46">
        <v>16</v>
      </c>
      <c r="Y16" s="46">
        <v>16</v>
      </c>
      <c r="Z16" s="46">
        <v>16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16</v>
      </c>
      <c r="AK16" s="51"/>
      <c r="AL16" s="54" t="s">
        <v>7</v>
      </c>
      <c r="AM16" s="59">
        <f t="shared" ref="AM16:AR16" si="4">B58</f>
        <v>557.69000000000005</v>
      </c>
      <c r="AN16" s="59">
        <f t="shared" si="4"/>
        <v>557.69000000000005</v>
      </c>
      <c r="AO16" s="59">
        <f t="shared" si="4"/>
        <v>557.69000000000005</v>
      </c>
      <c r="AP16" s="59">
        <f t="shared" si="4"/>
        <v>559.19000000000005</v>
      </c>
      <c r="AQ16" s="59">
        <f t="shared" si="4"/>
        <v>559.19000000000005</v>
      </c>
      <c r="AR16" s="59">
        <f t="shared" si="4"/>
        <v>559.19000000000005</v>
      </c>
      <c r="AS16" s="59">
        <f>I58</f>
        <v>559.19000000000005</v>
      </c>
      <c r="AT16" s="59">
        <f>K58</f>
        <v>559.19000000000005</v>
      </c>
      <c r="AU16" s="59">
        <f t="shared" ref="AU16:BD16" si="5">M58</f>
        <v>558.09</v>
      </c>
      <c r="AV16" s="59">
        <f t="shared" si="5"/>
        <v>558.14</v>
      </c>
      <c r="AW16" s="59">
        <f t="shared" si="5"/>
        <v>551.08999999999992</v>
      </c>
      <c r="AX16" s="59">
        <f t="shared" si="5"/>
        <v>557.79</v>
      </c>
      <c r="AY16" s="59">
        <f t="shared" si="5"/>
        <v>557.09</v>
      </c>
      <c r="AZ16" s="59">
        <f t="shared" si="5"/>
        <v>556.59</v>
      </c>
      <c r="BA16" s="59">
        <f t="shared" si="5"/>
        <v>0</v>
      </c>
      <c r="BB16" s="59">
        <f t="shared" si="5"/>
        <v>556.59</v>
      </c>
      <c r="BC16" s="59">
        <f t="shared" si="5"/>
        <v>150</v>
      </c>
      <c r="BD16" s="59">
        <f t="shared" si="5"/>
        <v>564.59</v>
      </c>
      <c r="BE16" s="60">
        <f>X58</f>
        <v>564.59</v>
      </c>
      <c r="BF16" s="60">
        <f>Z58</f>
        <v>564.59</v>
      </c>
      <c r="BG16" s="60">
        <f>AB58</f>
        <v>631.19000000000005</v>
      </c>
      <c r="BH16" s="60">
        <f>AD58</f>
        <v>642.89</v>
      </c>
      <c r="BI16" s="60">
        <f>AE58</f>
        <v>642.89</v>
      </c>
      <c r="BJ16" s="60">
        <f>AF58</f>
        <v>642.89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16.899999999999999</v>
      </c>
      <c r="C17" s="46">
        <v>16.899999999999999</v>
      </c>
      <c r="D17" s="46">
        <v>16.899999999999999</v>
      </c>
      <c r="E17" s="46">
        <v>16.899999999999999</v>
      </c>
      <c r="F17" s="46">
        <v>16.899999999999999</v>
      </c>
      <c r="G17" s="46">
        <v>16.899999999999999</v>
      </c>
      <c r="H17" s="46">
        <v>16.899999999999999</v>
      </c>
      <c r="I17" s="46">
        <v>16.899999999999999</v>
      </c>
      <c r="J17" s="46">
        <v>16.899999999999999</v>
      </c>
      <c r="K17" s="46">
        <v>16.899999999999999</v>
      </c>
      <c r="L17" s="46">
        <v>16.899999999999999</v>
      </c>
      <c r="M17" s="46">
        <v>16.899999999999999</v>
      </c>
      <c r="N17" s="46">
        <v>16.899999999999999</v>
      </c>
      <c r="O17" s="46">
        <v>16.899999999999999</v>
      </c>
      <c r="P17" s="46">
        <v>16.899999999999999</v>
      </c>
      <c r="Q17" s="46">
        <v>16.899999999999999</v>
      </c>
      <c r="R17" s="46">
        <v>16.899999999999999</v>
      </c>
      <c r="S17" s="46"/>
      <c r="T17" s="46">
        <v>16.899999999999999</v>
      </c>
      <c r="U17" s="46"/>
      <c r="V17" s="46">
        <v>16.899999999999999</v>
      </c>
      <c r="W17" s="46">
        <v>16.899999999999999</v>
      </c>
      <c r="X17" s="46">
        <v>16.899999999999999</v>
      </c>
      <c r="Y17" s="46">
        <v>16.899999999999999</v>
      </c>
      <c r="Z17" s="46">
        <v>16.899999999999999</v>
      </c>
      <c r="AA17" s="46">
        <v>16.899999999999999</v>
      </c>
      <c r="AB17" s="46">
        <v>16.899999999999999</v>
      </c>
      <c r="AC17" s="46">
        <v>16.899999999999999</v>
      </c>
      <c r="AD17" s="46">
        <v>17</v>
      </c>
      <c r="AE17" s="46">
        <v>17</v>
      </c>
      <c r="AF17" s="46">
        <v>17</v>
      </c>
      <c r="AG17" s="50">
        <v>44</v>
      </c>
      <c r="AH17" s="48">
        <f>MAX(B17:AG17)</f>
        <v>44</v>
      </c>
      <c r="AI17" s="49">
        <f>MIN(B17:AG17)</f>
        <v>16.899999999999999</v>
      </c>
      <c r="AK17" s="51"/>
      <c r="AL17" s="54" t="s">
        <v>27</v>
      </c>
      <c r="AM17" s="59">
        <f t="shared" ref="AM17:AR17" si="6">B62</f>
        <v>278.70000000000005</v>
      </c>
      <c r="AN17" s="59">
        <f t="shared" si="6"/>
        <v>215.7</v>
      </c>
      <c r="AO17" s="59">
        <f t="shared" si="6"/>
        <v>205.7</v>
      </c>
      <c r="AP17" s="59">
        <f t="shared" si="6"/>
        <v>216.5</v>
      </c>
      <c r="AQ17" s="59">
        <f t="shared" si="6"/>
        <v>214.4</v>
      </c>
      <c r="AR17" s="59">
        <f t="shared" si="6"/>
        <v>213.4</v>
      </c>
      <c r="AS17" s="59">
        <f>I62</f>
        <v>213.1</v>
      </c>
      <c r="AT17" s="59">
        <f>K62</f>
        <v>52</v>
      </c>
      <c r="AU17" s="59">
        <f t="shared" ref="AU17:BD17" si="7">M62</f>
        <v>51.7</v>
      </c>
      <c r="AV17" s="59">
        <f t="shared" si="7"/>
        <v>50.8</v>
      </c>
      <c r="AW17" s="59">
        <f t="shared" si="7"/>
        <v>50.8</v>
      </c>
      <c r="AX17" s="59">
        <f t="shared" si="7"/>
        <v>50</v>
      </c>
      <c r="AY17" s="59">
        <f t="shared" si="7"/>
        <v>50</v>
      </c>
      <c r="AZ17" s="59">
        <f t="shared" si="7"/>
        <v>50</v>
      </c>
      <c r="BA17" s="59">
        <f t="shared" si="7"/>
        <v>0</v>
      </c>
      <c r="BB17" s="59">
        <f t="shared" si="7"/>
        <v>50</v>
      </c>
      <c r="BC17" s="59">
        <f t="shared" si="7"/>
        <v>0</v>
      </c>
      <c r="BD17" s="59">
        <f t="shared" si="7"/>
        <v>152.6</v>
      </c>
      <c r="BE17" s="60">
        <f>X62</f>
        <v>206</v>
      </c>
      <c r="BF17" s="60">
        <f>Z62</f>
        <v>281.59999999999997</v>
      </c>
      <c r="BG17" s="60">
        <f>AB62</f>
        <v>384.70000000000005</v>
      </c>
      <c r="BH17" s="60">
        <f>AD62</f>
        <v>350</v>
      </c>
      <c r="BI17" s="60">
        <f>AE62</f>
        <v>343.59999999999997</v>
      </c>
      <c r="BJ17" s="60">
        <f>AF62</f>
        <v>276.60000000000002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16</v>
      </c>
      <c r="C18" s="46">
        <v>16</v>
      </c>
      <c r="D18" s="46">
        <v>16</v>
      </c>
      <c r="E18" s="46">
        <v>16</v>
      </c>
      <c r="F18" s="46">
        <v>16</v>
      </c>
      <c r="G18" s="46">
        <v>16</v>
      </c>
      <c r="H18" s="46">
        <v>16</v>
      </c>
      <c r="I18" s="46">
        <v>16</v>
      </c>
      <c r="J18" s="46">
        <v>16</v>
      </c>
      <c r="K18" s="46">
        <v>16</v>
      </c>
      <c r="L18" s="46">
        <v>16</v>
      </c>
      <c r="M18" s="46">
        <v>16</v>
      </c>
      <c r="N18" s="46">
        <v>16</v>
      </c>
      <c r="O18" s="46">
        <v>16</v>
      </c>
      <c r="P18" s="46">
        <v>16</v>
      </c>
      <c r="Q18" s="46">
        <v>16</v>
      </c>
      <c r="R18" s="46">
        <v>16</v>
      </c>
      <c r="S18" s="46"/>
      <c r="T18" s="46">
        <v>16</v>
      </c>
      <c r="U18" s="46" t="s">
        <v>290</v>
      </c>
      <c r="V18" s="46">
        <v>16</v>
      </c>
      <c r="W18" s="46">
        <v>16</v>
      </c>
      <c r="X18" s="46">
        <v>16</v>
      </c>
      <c r="Y18" s="46">
        <v>16</v>
      </c>
      <c r="Z18" s="46">
        <v>16</v>
      </c>
      <c r="AA18" s="46">
        <v>22</v>
      </c>
      <c r="AB18" s="46">
        <v>22</v>
      </c>
      <c r="AC18" s="46">
        <v>23</v>
      </c>
      <c r="AD18" s="46">
        <v>23</v>
      </c>
      <c r="AE18" s="46">
        <v>23</v>
      </c>
      <c r="AF18" s="46">
        <v>23</v>
      </c>
      <c r="AG18" s="50">
        <v>42</v>
      </c>
      <c r="AH18" s="48">
        <f t="shared" ref="AH18:AH81" si="8">MAX(B18:AF18)</f>
        <v>23</v>
      </c>
      <c r="AI18" s="49">
        <f t="shared" ref="AI18:AI81" si="9">MIN(B18:AF18)</f>
        <v>16</v>
      </c>
      <c r="AK18" s="51"/>
      <c r="AL18" s="54" t="s">
        <v>29</v>
      </c>
      <c r="AM18" s="59">
        <f t="shared" ref="AM18:AR18" si="10">B76</f>
        <v>312.73999999999995</v>
      </c>
      <c r="AN18" s="59">
        <f t="shared" si="10"/>
        <v>342.73999999999995</v>
      </c>
      <c r="AO18" s="59">
        <f t="shared" si="10"/>
        <v>342.73999999999995</v>
      </c>
      <c r="AP18" s="59">
        <f t="shared" si="10"/>
        <v>332.73999999999995</v>
      </c>
      <c r="AQ18" s="59">
        <f t="shared" si="10"/>
        <v>343.24</v>
      </c>
      <c r="AR18" s="59">
        <f t="shared" si="10"/>
        <v>316.24</v>
      </c>
      <c r="AS18" s="59">
        <f>I76</f>
        <v>317.34000000000009</v>
      </c>
      <c r="AT18" s="59">
        <f>K76</f>
        <v>328.84000000000003</v>
      </c>
      <c r="AU18" s="59">
        <f t="shared" ref="AU18:BD18" si="11">M76</f>
        <v>285.44000000000005</v>
      </c>
      <c r="AV18" s="59">
        <f t="shared" si="11"/>
        <v>267.54000000000002</v>
      </c>
      <c r="AW18" s="59">
        <f t="shared" si="11"/>
        <v>296.04000000000002</v>
      </c>
      <c r="AX18" s="59">
        <f t="shared" si="11"/>
        <v>346.04</v>
      </c>
      <c r="AY18" s="59">
        <f t="shared" si="11"/>
        <v>346.04</v>
      </c>
      <c r="AZ18" s="59">
        <f t="shared" si="11"/>
        <v>235.94</v>
      </c>
      <c r="BA18" s="59">
        <f t="shared" si="11"/>
        <v>3.54</v>
      </c>
      <c r="BB18" s="59">
        <f t="shared" si="11"/>
        <v>335.24</v>
      </c>
      <c r="BC18" s="59">
        <f t="shared" si="11"/>
        <v>331.54</v>
      </c>
      <c r="BD18" s="59">
        <f t="shared" si="11"/>
        <v>276.64</v>
      </c>
      <c r="BE18" s="60">
        <f>X76</f>
        <v>234.14000000000001</v>
      </c>
      <c r="BF18" s="60">
        <f>Z76</f>
        <v>335.54</v>
      </c>
      <c r="BG18" s="60">
        <f>AB76</f>
        <v>312.74</v>
      </c>
      <c r="BH18" s="60">
        <f>AD76</f>
        <v>314.03999999999996</v>
      </c>
      <c r="BI18" s="60">
        <f>AE76</f>
        <v>331.53999999999996</v>
      </c>
      <c r="BJ18" s="60">
        <f>AF76</f>
        <v>304.33999999999997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22.1</v>
      </c>
      <c r="C19" s="46">
        <v>22.1</v>
      </c>
      <c r="D19" s="46">
        <v>22.1</v>
      </c>
      <c r="E19" s="46">
        <v>22.1</v>
      </c>
      <c r="F19" s="46">
        <v>22.1</v>
      </c>
      <c r="G19" s="46">
        <v>22.1</v>
      </c>
      <c r="H19" s="46">
        <v>22.1</v>
      </c>
      <c r="I19" s="46">
        <v>22.1</v>
      </c>
      <c r="J19" s="46">
        <v>22.1</v>
      </c>
      <c r="K19" s="46">
        <v>22.1</v>
      </c>
      <c r="L19" s="46">
        <v>22.1</v>
      </c>
      <c r="M19" s="46">
        <v>22.1</v>
      </c>
      <c r="N19" s="46">
        <v>22.1</v>
      </c>
      <c r="O19" s="46">
        <v>22.1</v>
      </c>
      <c r="P19" s="46">
        <v>22.1</v>
      </c>
      <c r="Q19" s="46">
        <v>22.1</v>
      </c>
      <c r="R19" s="46">
        <v>22.1</v>
      </c>
      <c r="S19" s="46"/>
      <c r="T19" s="46">
        <v>22.1</v>
      </c>
      <c r="U19" s="46" t="s">
        <v>291</v>
      </c>
      <c r="V19" s="46">
        <v>22.1</v>
      </c>
      <c r="W19" s="46">
        <v>22.1</v>
      </c>
      <c r="X19" s="46">
        <v>22.1</v>
      </c>
      <c r="Y19" s="46">
        <v>22.1</v>
      </c>
      <c r="Z19" s="46">
        <v>22.1</v>
      </c>
      <c r="AA19" s="46">
        <v>19.7</v>
      </c>
      <c r="AB19" s="46">
        <v>19.7</v>
      </c>
      <c r="AC19" s="46">
        <v>19.7</v>
      </c>
      <c r="AD19" s="46">
        <v>20</v>
      </c>
      <c r="AE19" s="46">
        <v>20</v>
      </c>
      <c r="AF19" s="46">
        <v>20</v>
      </c>
      <c r="AG19" s="50">
        <v>38.46</v>
      </c>
      <c r="AH19" s="48">
        <f t="shared" si="8"/>
        <v>22.1</v>
      </c>
      <c r="AI19" s="49">
        <f t="shared" si="9"/>
        <v>19.7</v>
      </c>
      <c r="AK19" s="51"/>
      <c r="AL19" s="54" t="s">
        <v>31</v>
      </c>
      <c r="AM19" s="59">
        <f t="shared" ref="AM19:AR19" si="12">B92</f>
        <v>102</v>
      </c>
      <c r="AN19" s="59">
        <f t="shared" si="12"/>
        <v>112</v>
      </c>
      <c r="AO19" s="59">
        <f t="shared" si="12"/>
        <v>102</v>
      </c>
      <c r="AP19" s="59">
        <f t="shared" si="12"/>
        <v>110.1</v>
      </c>
      <c r="AQ19" s="59">
        <f t="shared" si="12"/>
        <v>113.99999999999999</v>
      </c>
      <c r="AR19" s="59">
        <f t="shared" si="12"/>
        <v>105.2</v>
      </c>
      <c r="AS19" s="59">
        <f>I92</f>
        <v>187.9</v>
      </c>
      <c r="AT19" s="59">
        <f>K92</f>
        <v>613.49999999999989</v>
      </c>
      <c r="AU19" s="59">
        <f t="shared" ref="AU19:BD19" si="13">M92</f>
        <v>668</v>
      </c>
      <c r="AV19" s="59">
        <f t="shared" si="13"/>
        <v>659.69999999999993</v>
      </c>
      <c r="AW19" s="59">
        <f t="shared" si="13"/>
        <v>697.2</v>
      </c>
      <c r="AX19" s="59">
        <f t="shared" si="13"/>
        <v>726.69999999999993</v>
      </c>
      <c r="AY19" s="59">
        <f t="shared" si="13"/>
        <v>679.8</v>
      </c>
      <c r="AZ19" s="59">
        <f t="shared" si="13"/>
        <v>661.80000000000007</v>
      </c>
      <c r="BA19" s="59">
        <f t="shared" si="13"/>
        <v>0</v>
      </c>
      <c r="BB19" s="59">
        <f t="shared" si="13"/>
        <v>635.30000000000007</v>
      </c>
      <c r="BC19" s="59">
        <f t="shared" si="13"/>
        <v>0</v>
      </c>
      <c r="BD19" s="59">
        <f t="shared" si="13"/>
        <v>432.4</v>
      </c>
      <c r="BE19" s="60">
        <f>X92</f>
        <v>355.59999999999997</v>
      </c>
      <c r="BF19" s="60">
        <f>Z92</f>
        <v>104.6</v>
      </c>
      <c r="BG19" s="60">
        <f>AB92</f>
        <v>71</v>
      </c>
      <c r="BH19" s="60">
        <f>AD92</f>
        <v>87.5</v>
      </c>
      <c r="BI19" s="60">
        <f>AE92</f>
        <v>72</v>
      </c>
      <c r="BJ19" s="60">
        <f>AF92</f>
        <v>87.1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17.600000000000001</v>
      </c>
      <c r="C20" s="46">
        <v>17.600000000000001</v>
      </c>
      <c r="D20" s="46">
        <v>17.600000000000001</v>
      </c>
      <c r="E20" s="46">
        <v>17.600000000000001</v>
      </c>
      <c r="F20" s="46">
        <v>17.600000000000001</v>
      </c>
      <c r="G20" s="46">
        <v>17.600000000000001</v>
      </c>
      <c r="H20" s="46">
        <v>17.600000000000001</v>
      </c>
      <c r="I20" s="46">
        <v>17.600000000000001</v>
      </c>
      <c r="J20" s="46">
        <v>17.600000000000001</v>
      </c>
      <c r="K20" s="46">
        <v>17.600000000000001</v>
      </c>
      <c r="L20" s="46">
        <v>17.600000000000001</v>
      </c>
      <c r="M20" s="46">
        <v>17.600000000000001</v>
      </c>
      <c r="N20" s="46">
        <v>17.600000000000001</v>
      </c>
      <c r="O20" s="46">
        <v>17.600000000000001</v>
      </c>
      <c r="P20" s="46">
        <v>17.600000000000001</v>
      </c>
      <c r="Q20" s="46">
        <v>17.600000000000001</v>
      </c>
      <c r="R20" s="46">
        <v>17.600000000000001</v>
      </c>
      <c r="S20" s="46"/>
      <c r="T20" s="46">
        <v>17.600000000000001</v>
      </c>
      <c r="U20" s="46" t="s">
        <v>292</v>
      </c>
      <c r="V20" s="46">
        <v>17.600000000000001</v>
      </c>
      <c r="W20" s="46">
        <v>17.600000000000001</v>
      </c>
      <c r="X20" s="46">
        <v>17.600000000000001</v>
      </c>
      <c r="Y20" s="46">
        <v>17.600000000000001</v>
      </c>
      <c r="Z20" s="46">
        <v>17.600000000000001</v>
      </c>
      <c r="AA20" s="46">
        <v>17.600000000000001</v>
      </c>
      <c r="AB20" s="46">
        <v>18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18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98.3</v>
      </c>
      <c r="AN20" s="59">
        <f t="shared" si="14"/>
        <v>78</v>
      </c>
      <c r="AO20" s="59">
        <f t="shared" si="14"/>
        <v>78</v>
      </c>
      <c r="AP20" s="59">
        <f t="shared" si="14"/>
        <v>35.5</v>
      </c>
      <c r="AQ20" s="59">
        <f t="shared" si="14"/>
        <v>21.9</v>
      </c>
      <c r="AR20" s="59">
        <f t="shared" si="14"/>
        <v>48.7</v>
      </c>
      <c r="AS20" s="59">
        <f>I80</f>
        <v>49.4</v>
      </c>
      <c r="AT20" s="59">
        <f>K80</f>
        <v>48.5</v>
      </c>
      <c r="AU20" s="59">
        <f t="shared" ref="AU20:BD20" si="15">M80</f>
        <v>99.7</v>
      </c>
      <c r="AV20" s="59">
        <f t="shared" si="15"/>
        <v>79.3</v>
      </c>
      <c r="AW20" s="59">
        <f t="shared" si="15"/>
        <v>90</v>
      </c>
      <c r="AX20" s="59">
        <f t="shared" si="15"/>
        <v>68</v>
      </c>
      <c r="AY20" s="59">
        <f t="shared" si="15"/>
        <v>85.6</v>
      </c>
      <c r="AZ20" s="59">
        <f t="shared" si="15"/>
        <v>33.299999999999997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0</v>
      </c>
      <c r="BG20" s="60">
        <f>AB80</f>
        <v>0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/>
      <c r="T21" s="46">
        <v>12</v>
      </c>
      <c r="U21" s="46" t="s">
        <v>293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250</v>
      </c>
      <c r="AO21" s="59">
        <f t="shared" si="16"/>
        <v>250</v>
      </c>
      <c r="AP21" s="59">
        <f t="shared" si="16"/>
        <v>250</v>
      </c>
      <c r="AQ21" s="59">
        <f t="shared" si="16"/>
        <v>250</v>
      </c>
      <c r="AR21" s="59">
        <f t="shared" si="16"/>
        <v>250</v>
      </c>
      <c r="AS21" s="59">
        <f>I98</f>
        <v>230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250</v>
      </c>
      <c r="BG21" s="60">
        <f>AB98</f>
        <v>250</v>
      </c>
      <c r="BH21" s="60">
        <f>AD98</f>
        <v>250</v>
      </c>
      <c r="BI21" s="60">
        <f>AE98</f>
        <v>250</v>
      </c>
      <c r="BJ21" s="60">
        <f>AF98</f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11.5</v>
      </c>
      <c r="C22" s="46">
        <v>11.5</v>
      </c>
      <c r="D22" s="46">
        <v>11.5</v>
      </c>
      <c r="E22" s="46">
        <v>11.5</v>
      </c>
      <c r="F22" s="46">
        <v>11.5</v>
      </c>
      <c r="G22" s="46">
        <v>11.5</v>
      </c>
      <c r="H22" s="46">
        <v>11.5</v>
      </c>
      <c r="I22" s="46">
        <v>11.5</v>
      </c>
      <c r="J22" s="46">
        <v>11.5</v>
      </c>
      <c r="K22" s="46">
        <v>11.5</v>
      </c>
      <c r="L22" s="46">
        <v>11.5</v>
      </c>
      <c r="M22" s="46">
        <v>11.5</v>
      </c>
      <c r="N22" s="46">
        <v>11.5</v>
      </c>
      <c r="O22" s="46">
        <v>11.5</v>
      </c>
      <c r="P22" s="46">
        <v>11.5</v>
      </c>
      <c r="Q22" s="46">
        <v>11.5</v>
      </c>
      <c r="R22" s="46">
        <v>11.5</v>
      </c>
      <c r="S22" s="46"/>
      <c r="T22" s="46">
        <v>11.5</v>
      </c>
      <c r="U22" s="46"/>
      <c r="V22" s="46">
        <v>11.5</v>
      </c>
      <c r="W22" s="46">
        <v>11.5</v>
      </c>
      <c r="X22" s="46">
        <v>11.5</v>
      </c>
      <c r="Y22" s="46">
        <v>11.5</v>
      </c>
      <c r="Z22" s="46">
        <v>11.5</v>
      </c>
      <c r="AA22" s="46">
        <v>17.899999999999999</v>
      </c>
      <c r="AB22" s="46">
        <v>17.8</v>
      </c>
      <c r="AC22" s="46">
        <v>14.4</v>
      </c>
      <c r="AD22" s="46">
        <v>15.4</v>
      </c>
      <c r="AE22" s="46">
        <v>15.4</v>
      </c>
      <c r="AF22" s="46">
        <v>15.4</v>
      </c>
      <c r="AG22" s="61">
        <v>30</v>
      </c>
      <c r="AH22" s="48">
        <f t="shared" si="8"/>
        <v>17.899999999999999</v>
      </c>
      <c r="AI22" s="49">
        <f t="shared" si="9"/>
        <v>11.5</v>
      </c>
      <c r="AK22" s="51"/>
      <c r="AL22" s="62" t="s">
        <v>37</v>
      </c>
      <c r="AM22" s="63">
        <f t="shared" ref="AM22:BJ22" si="18">SUM(AM16:AM21)</f>
        <v>1599.43</v>
      </c>
      <c r="AN22" s="63">
        <f t="shared" si="18"/>
        <v>1556.13</v>
      </c>
      <c r="AO22" s="63">
        <f t="shared" si="18"/>
        <v>1536.13</v>
      </c>
      <c r="AP22" s="63">
        <f t="shared" si="18"/>
        <v>1504.03</v>
      </c>
      <c r="AQ22" s="63">
        <f t="shared" si="18"/>
        <v>1502.73</v>
      </c>
      <c r="AR22" s="63">
        <f t="shared" si="18"/>
        <v>1492.73</v>
      </c>
      <c r="AS22" s="63">
        <f t="shared" si="18"/>
        <v>1556.9300000000003</v>
      </c>
      <c r="AT22" s="63">
        <f t="shared" si="18"/>
        <v>1602.03</v>
      </c>
      <c r="AU22" s="63">
        <f t="shared" si="18"/>
        <v>1662.93</v>
      </c>
      <c r="AV22" s="63">
        <f t="shared" si="18"/>
        <v>1615.4799999999998</v>
      </c>
      <c r="AW22" s="63">
        <f t="shared" si="18"/>
        <v>1685.1299999999999</v>
      </c>
      <c r="AX22" s="63">
        <f t="shared" si="18"/>
        <v>1748.5299999999997</v>
      </c>
      <c r="AY22" s="63">
        <f t="shared" si="18"/>
        <v>1718.53</v>
      </c>
      <c r="AZ22" s="63">
        <f t="shared" si="18"/>
        <v>1537.6299999999999</v>
      </c>
      <c r="BA22" s="63">
        <f t="shared" si="18"/>
        <v>3.54</v>
      </c>
      <c r="BB22" s="63">
        <f t="shared" si="18"/>
        <v>1577.13</v>
      </c>
      <c r="BC22" s="63">
        <f t="shared" si="18"/>
        <v>481.54</v>
      </c>
      <c r="BD22" s="63">
        <f t="shared" si="18"/>
        <v>1426.23</v>
      </c>
      <c r="BE22" s="63">
        <f t="shared" si="18"/>
        <v>1360.33</v>
      </c>
      <c r="BF22" s="63">
        <f t="shared" si="18"/>
        <v>1536.33</v>
      </c>
      <c r="BG22" s="63">
        <f t="shared" si="18"/>
        <v>1649.63</v>
      </c>
      <c r="BH22" s="63">
        <f t="shared" si="18"/>
        <v>1644.4299999999998</v>
      </c>
      <c r="BI22" s="63">
        <f t="shared" si="18"/>
        <v>1640.03</v>
      </c>
      <c r="BJ22" s="63">
        <f t="shared" si="18"/>
        <v>1560.9299999999998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7.6</v>
      </c>
      <c r="C23" s="46">
        <v>7.6</v>
      </c>
      <c r="D23" s="46">
        <v>7.6</v>
      </c>
      <c r="E23" s="46">
        <v>7.6</v>
      </c>
      <c r="F23" s="46">
        <v>7.6</v>
      </c>
      <c r="G23" s="46">
        <v>7.6</v>
      </c>
      <c r="H23" s="46">
        <v>7.6</v>
      </c>
      <c r="I23" s="46">
        <v>7.6</v>
      </c>
      <c r="J23" s="46">
        <v>7.6</v>
      </c>
      <c r="K23" s="46">
        <v>7.6</v>
      </c>
      <c r="L23" s="46">
        <v>7.6</v>
      </c>
      <c r="M23" s="46">
        <v>7.6</v>
      </c>
      <c r="N23" s="46">
        <v>7.6</v>
      </c>
      <c r="O23" s="46">
        <v>7.6</v>
      </c>
      <c r="P23" s="46">
        <v>7.6</v>
      </c>
      <c r="Q23" s="46">
        <v>7.6</v>
      </c>
      <c r="R23" s="46">
        <v>7.6</v>
      </c>
      <c r="S23" s="46"/>
      <c r="T23" s="46">
        <v>7.6</v>
      </c>
      <c r="U23" s="46"/>
      <c r="V23" s="46">
        <v>7.6</v>
      </c>
      <c r="W23" s="46">
        <v>7.6</v>
      </c>
      <c r="X23" s="46">
        <v>7.6</v>
      </c>
      <c r="Y23" s="46">
        <v>7.6</v>
      </c>
      <c r="Z23" s="46">
        <v>7.6</v>
      </c>
      <c r="AA23" s="46">
        <v>7.6</v>
      </c>
      <c r="AB23" s="46">
        <v>7.6</v>
      </c>
      <c r="AC23" s="46">
        <v>11</v>
      </c>
      <c r="AD23" s="46">
        <v>11</v>
      </c>
      <c r="AE23" s="46">
        <v>11</v>
      </c>
      <c r="AF23" s="46">
        <v>11</v>
      </c>
      <c r="AG23" s="50">
        <v>24.2</v>
      </c>
      <c r="AH23" s="48">
        <f t="shared" si="8"/>
        <v>11</v>
      </c>
      <c r="AI23" s="49">
        <f t="shared" si="9"/>
        <v>7.6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-1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7.5</v>
      </c>
      <c r="C24" s="46">
        <v>7.5</v>
      </c>
      <c r="D24" s="46">
        <v>7.5</v>
      </c>
      <c r="E24" s="46">
        <v>7.5</v>
      </c>
      <c r="F24" s="46">
        <v>7.5</v>
      </c>
      <c r="G24" s="46">
        <v>7.5</v>
      </c>
      <c r="H24" s="46">
        <v>7.5</v>
      </c>
      <c r="I24" s="46">
        <v>7.5</v>
      </c>
      <c r="J24" s="46">
        <v>7.5</v>
      </c>
      <c r="K24" s="46">
        <v>7.5</v>
      </c>
      <c r="L24" s="46">
        <v>7.5</v>
      </c>
      <c r="M24" s="46">
        <v>7.5</v>
      </c>
      <c r="N24" s="46">
        <v>7.5</v>
      </c>
      <c r="O24" s="46">
        <v>7.5</v>
      </c>
      <c r="P24" s="46">
        <v>7.5</v>
      </c>
      <c r="Q24" s="46">
        <v>7.5</v>
      </c>
      <c r="R24" s="46">
        <v>7.5</v>
      </c>
      <c r="S24" s="46"/>
      <c r="T24" s="46">
        <v>7.5</v>
      </c>
      <c r="U24" s="46"/>
      <c r="V24" s="46">
        <v>7.5</v>
      </c>
      <c r="W24" s="46">
        <v>7.5</v>
      </c>
      <c r="X24" s="46">
        <v>7.5</v>
      </c>
      <c r="Y24" s="46">
        <v>7.5</v>
      </c>
      <c r="Z24" s="46">
        <v>7.5</v>
      </c>
      <c r="AA24" s="46">
        <v>6.6</v>
      </c>
      <c r="AB24" s="46">
        <v>6.6</v>
      </c>
      <c r="AC24" s="46">
        <v>11.2</v>
      </c>
      <c r="AD24" s="46">
        <v>11.2</v>
      </c>
      <c r="AE24" s="46">
        <v>11.2</v>
      </c>
      <c r="AF24" s="46">
        <v>11.2</v>
      </c>
      <c r="AG24" s="50">
        <v>28</v>
      </c>
      <c r="AH24" s="48">
        <f t="shared" si="8"/>
        <v>11.2</v>
      </c>
      <c r="AI24" s="49">
        <f t="shared" si="9"/>
        <v>6.6</v>
      </c>
      <c r="AK24" s="51"/>
      <c r="AL24" s="62" t="s">
        <v>41</v>
      </c>
      <c r="AM24" s="63">
        <f t="shared" ref="AM24:BJ24" si="21">AM22+AM23</f>
        <v>1599.43</v>
      </c>
      <c r="AN24" s="63">
        <f t="shared" si="21"/>
        <v>1556.13</v>
      </c>
      <c r="AO24" s="63">
        <f t="shared" si="21"/>
        <v>1536.13</v>
      </c>
      <c r="AP24" s="63">
        <f t="shared" si="21"/>
        <v>1504.03</v>
      </c>
      <c r="AQ24" s="63">
        <f t="shared" si="21"/>
        <v>1502.73</v>
      </c>
      <c r="AR24" s="63">
        <f t="shared" si="21"/>
        <v>1492.73</v>
      </c>
      <c r="AS24" s="63">
        <f t="shared" si="21"/>
        <v>1556.9300000000003</v>
      </c>
      <c r="AT24" s="63">
        <f t="shared" si="21"/>
        <v>1602.03</v>
      </c>
      <c r="AU24" s="63">
        <f t="shared" si="21"/>
        <v>1662.93</v>
      </c>
      <c r="AV24" s="63">
        <f t="shared" si="21"/>
        <v>1615.4799999999998</v>
      </c>
      <c r="AW24" s="63">
        <f t="shared" si="21"/>
        <v>1685.1299999999999</v>
      </c>
      <c r="AX24" s="63">
        <f t="shared" si="21"/>
        <v>1748.5299999999997</v>
      </c>
      <c r="AY24" s="63">
        <f t="shared" si="21"/>
        <v>1718.53</v>
      </c>
      <c r="AZ24" s="63">
        <f t="shared" si="21"/>
        <v>1537.6299999999999</v>
      </c>
      <c r="BA24" s="63">
        <f t="shared" si="21"/>
        <v>2.54</v>
      </c>
      <c r="BB24" s="63">
        <f t="shared" si="21"/>
        <v>1577.13</v>
      </c>
      <c r="BC24" s="63">
        <f t="shared" si="21"/>
        <v>481.54</v>
      </c>
      <c r="BD24" s="63">
        <f t="shared" si="21"/>
        <v>1426.23</v>
      </c>
      <c r="BE24" s="63">
        <f t="shared" si="21"/>
        <v>1360.33</v>
      </c>
      <c r="BF24" s="63">
        <f t="shared" si="21"/>
        <v>1536.33</v>
      </c>
      <c r="BG24" s="63">
        <f t="shared" si="21"/>
        <v>1649.63</v>
      </c>
      <c r="BH24" s="63">
        <f t="shared" si="21"/>
        <v>1644.4299999999998</v>
      </c>
      <c r="BI24" s="63">
        <f t="shared" si="21"/>
        <v>1640.03</v>
      </c>
      <c r="BJ24" s="63">
        <f t="shared" si="21"/>
        <v>1560.9299999999998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8.5</v>
      </c>
      <c r="C25" s="46">
        <v>8.5</v>
      </c>
      <c r="D25" s="46">
        <v>8.5</v>
      </c>
      <c r="E25" s="46">
        <v>8.5</v>
      </c>
      <c r="F25" s="46">
        <v>8.5</v>
      </c>
      <c r="G25" s="46">
        <v>8.5</v>
      </c>
      <c r="H25" s="46">
        <v>8.5</v>
      </c>
      <c r="I25" s="46">
        <v>8.5</v>
      </c>
      <c r="J25" s="46">
        <v>8.5</v>
      </c>
      <c r="K25" s="46">
        <v>8.5</v>
      </c>
      <c r="L25" s="46">
        <v>8.5</v>
      </c>
      <c r="M25" s="46">
        <v>8.5</v>
      </c>
      <c r="N25" s="46">
        <v>8.5</v>
      </c>
      <c r="O25" s="46">
        <v>8.5</v>
      </c>
      <c r="P25" s="46">
        <v>8.5</v>
      </c>
      <c r="Q25" s="46">
        <v>8.5</v>
      </c>
      <c r="R25" s="46">
        <v>8.5</v>
      </c>
      <c r="S25" s="46"/>
      <c r="T25" s="46">
        <v>8.5</v>
      </c>
      <c r="U25" s="46"/>
      <c r="V25" s="46">
        <v>8.5</v>
      </c>
      <c r="W25" s="46">
        <v>8.5</v>
      </c>
      <c r="X25" s="46">
        <v>8.5</v>
      </c>
      <c r="Y25" s="46">
        <v>8.5</v>
      </c>
      <c r="Z25" s="46">
        <v>8.5</v>
      </c>
      <c r="AA25" s="46">
        <v>19.100000000000001</v>
      </c>
      <c r="AB25" s="46">
        <v>19.100000000000001</v>
      </c>
      <c r="AC25" s="46">
        <v>22.9</v>
      </c>
      <c r="AD25" s="46">
        <v>19.100000000000001</v>
      </c>
      <c r="AE25" s="46">
        <v>19.100000000000001</v>
      </c>
      <c r="AF25" s="46">
        <v>19.100000000000001</v>
      </c>
      <c r="AG25" s="61">
        <v>30</v>
      </c>
      <c r="AH25" s="48">
        <f t="shared" si="8"/>
        <v>22.9</v>
      </c>
      <c r="AI25" s="49">
        <f t="shared" si="9"/>
        <v>8.5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</v>
      </c>
      <c r="F26" s="46">
        <v>13</v>
      </c>
      <c r="G26" s="46">
        <v>13</v>
      </c>
      <c r="H26" s="46">
        <v>13</v>
      </c>
      <c r="I26" s="46">
        <v>13</v>
      </c>
      <c r="J26" s="46">
        <v>13</v>
      </c>
      <c r="K26" s="46">
        <v>13</v>
      </c>
      <c r="L26" s="46">
        <v>13</v>
      </c>
      <c r="M26" s="46">
        <v>13</v>
      </c>
      <c r="N26" s="46">
        <v>13</v>
      </c>
      <c r="O26" s="46">
        <v>13</v>
      </c>
      <c r="P26" s="46">
        <v>13</v>
      </c>
      <c r="Q26" s="46">
        <v>13</v>
      </c>
      <c r="R26" s="46">
        <v>13</v>
      </c>
      <c r="S26" s="46"/>
      <c r="T26" s="46">
        <v>13</v>
      </c>
      <c r="U26" s="46"/>
      <c r="V26" s="46">
        <v>13</v>
      </c>
      <c r="W26" s="46">
        <v>13</v>
      </c>
      <c r="X26" s="46">
        <v>13</v>
      </c>
      <c r="Y26" s="46">
        <v>13</v>
      </c>
      <c r="Z26" s="46">
        <v>13</v>
      </c>
      <c r="AA26" s="46">
        <v>13.1</v>
      </c>
      <c r="AB26" s="46">
        <v>13</v>
      </c>
      <c r="AC26" s="46">
        <v>13</v>
      </c>
      <c r="AD26" s="46">
        <v>13</v>
      </c>
      <c r="AE26" s="46">
        <v>13</v>
      </c>
      <c r="AF26" s="46">
        <v>13</v>
      </c>
      <c r="AG26" s="50">
        <v>25</v>
      </c>
      <c r="AH26" s="48">
        <f t="shared" si="8"/>
        <v>13.1</v>
      </c>
      <c r="AI26" s="49">
        <f t="shared" si="9"/>
        <v>13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7</v>
      </c>
      <c r="C27" s="46">
        <v>7</v>
      </c>
      <c r="D27" s="46">
        <v>7</v>
      </c>
      <c r="E27" s="46">
        <v>7</v>
      </c>
      <c r="F27" s="46">
        <v>7</v>
      </c>
      <c r="G27" s="46">
        <v>7</v>
      </c>
      <c r="H27" s="46">
        <v>7</v>
      </c>
      <c r="I27" s="46">
        <v>7</v>
      </c>
      <c r="J27" s="46">
        <v>7</v>
      </c>
      <c r="K27" s="46">
        <v>7</v>
      </c>
      <c r="L27" s="46">
        <v>7</v>
      </c>
      <c r="M27" s="46">
        <v>7</v>
      </c>
      <c r="N27" s="46">
        <v>7</v>
      </c>
      <c r="O27" s="46">
        <v>7</v>
      </c>
      <c r="P27" s="46">
        <v>7</v>
      </c>
      <c r="Q27" s="46">
        <v>7</v>
      </c>
      <c r="R27" s="46">
        <v>7</v>
      </c>
      <c r="S27" s="46" t="s">
        <v>287</v>
      </c>
      <c r="T27" s="46">
        <v>7</v>
      </c>
      <c r="U27" s="46"/>
      <c r="V27" s="46">
        <v>7</v>
      </c>
      <c r="W27" s="46">
        <v>7</v>
      </c>
      <c r="X27" s="46">
        <v>7</v>
      </c>
      <c r="Y27" s="46">
        <v>7</v>
      </c>
      <c r="Z27" s="46">
        <v>7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 t="s">
        <v>288</v>
      </c>
      <c r="T28" s="46">
        <v>7</v>
      </c>
      <c r="U28" s="46"/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10.8</v>
      </c>
      <c r="C29" s="46">
        <v>10.8</v>
      </c>
      <c r="D29" s="46">
        <v>10.8</v>
      </c>
      <c r="E29" s="46">
        <v>10.8</v>
      </c>
      <c r="F29" s="46">
        <v>10.8</v>
      </c>
      <c r="G29" s="46">
        <v>10.8</v>
      </c>
      <c r="H29" s="46">
        <v>10.8</v>
      </c>
      <c r="I29" s="46">
        <v>10.8</v>
      </c>
      <c r="J29" s="46">
        <v>10.8</v>
      </c>
      <c r="K29" s="46">
        <v>10.8</v>
      </c>
      <c r="L29" s="46">
        <v>10.8</v>
      </c>
      <c r="M29" s="46">
        <v>10.8</v>
      </c>
      <c r="N29" s="46">
        <v>10.8</v>
      </c>
      <c r="O29" s="46">
        <v>10.8</v>
      </c>
      <c r="P29" s="46">
        <v>10.8</v>
      </c>
      <c r="Q29" s="46">
        <v>10.8</v>
      </c>
      <c r="R29" s="46">
        <v>10.8</v>
      </c>
      <c r="S29" s="46" t="s">
        <v>289</v>
      </c>
      <c r="T29" s="46">
        <v>10.8</v>
      </c>
      <c r="U29" s="46"/>
      <c r="V29" s="46">
        <v>10.8</v>
      </c>
      <c r="W29" s="46">
        <v>10.8</v>
      </c>
      <c r="X29" s="46">
        <v>10.8</v>
      </c>
      <c r="Y29" s="46">
        <v>10.8</v>
      </c>
      <c r="Z29" s="46">
        <v>10.8</v>
      </c>
      <c r="AA29" s="46">
        <v>25.9</v>
      </c>
      <c r="AB29" s="46">
        <v>25.9</v>
      </c>
      <c r="AC29" s="46">
        <v>22.9</v>
      </c>
      <c r="AD29" s="46">
        <v>22.9</v>
      </c>
      <c r="AE29" s="46">
        <v>22.9</v>
      </c>
      <c r="AF29" s="46">
        <v>22.9</v>
      </c>
      <c r="AG29" s="50">
        <v>25</v>
      </c>
      <c r="AH29" s="48">
        <f t="shared" si="8"/>
        <v>25.9</v>
      </c>
      <c r="AI29" s="49">
        <f t="shared" si="9"/>
        <v>10.8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</v>
      </c>
      <c r="C30" s="46">
        <v>6</v>
      </c>
      <c r="D30" s="46">
        <v>6</v>
      </c>
      <c r="E30" s="46">
        <v>6</v>
      </c>
      <c r="F30" s="46">
        <v>6</v>
      </c>
      <c r="G30" s="46">
        <v>6</v>
      </c>
      <c r="H30" s="46">
        <v>6</v>
      </c>
      <c r="I30" s="46">
        <v>6</v>
      </c>
      <c r="J30" s="46">
        <v>6</v>
      </c>
      <c r="K30" s="46">
        <v>6</v>
      </c>
      <c r="L30" s="46">
        <v>6</v>
      </c>
      <c r="M30" s="46">
        <v>6</v>
      </c>
      <c r="N30" s="46">
        <v>6</v>
      </c>
      <c r="O30" s="46">
        <v>6</v>
      </c>
      <c r="P30" s="46">
        <v>6</v>
      </c>
      <c r="Q30" s="46">
        <v>6</v>
      </c>
      <c r="R30" s="46">
        <v>6</v>
      </c>
      <c r="S30" s="46" t="s">
        <v>288</v>
      </c>
      <c r="T30" s="46">
        <v>6</v>
      </c>
      <c r="U30" s="46"/>
      <c r="V30" s="46">
        <v>6</v>
      </c>
      <c r="W30" s="46">
        <v>6</v>
      </c>
      <c r="X30" s="46">
        <v>6</v>
      </c>
      <c r="Y30" s="46">
        <v>6</v>
      </c>
      <c r="Z30" s="46">
        <v>6</v>
      </c>
      <c r="AA30" s="46">
        <v>8.3000000000000007</v>
      </c>
      <c r="AB30" s="46">
        <v>8.3000000000000007</v>
      </c>
      <c r="AC30" s="46">
        <v>8.3000000000000007</v>
      </c>
      <c r="AD30" s="46">
        <v>10</v>
      </c>
      <c r="AE30" s="46">
        <v>10</v>
      </c>
      <c r="AF30" s="46">
        <v>10</v>
      </c>
      <c r="AG30" s="50">
        <v>23.5</v>
      </c>
      <c r="AH30" s="48">
        <f t="shared" si="8"/>
        <v>10</v>
      </c>
      <c r="AI30" s="49">
        <f t="shared" si="9"/>
        <v>6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/>
      <c r="T31" s="46">
        <v>4</v>
      </c>
      <c r="U31" s="46"/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 t="s">
        <v>290</v>
      </c>
      <c r="T32" s="46">
        <v>5</v>
      </c>
      <c r="U32" s="46"/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 t="s">
        <v>291</v>
      </c>
      <c r="T33" s="46">
        <v>11</v>
      </c>
      <c r="U33" s="46"/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21.7</v>
      </c>
      <c r="C34" s="46">
        <v>21.7</v>
      </c>
      <c r="D34" s="46">
        <v>21.7</v>
      </c>
      <c r="E34" s="46">
        <v>21.7</v>
      </c>
      <c r="F34" s="46">
        <v>21.7</v>
      </c>
      <c r="G34" s="46">
        <v>21.7</v>
      </c>
      <c r="H34" s="46">
        <v>21.7</v>
      </c>
      <c r="I34" s="46">
        <v>21.7</v>
      </c>
      <c r="J34" s="46">
        <v>21.7</v>
      </c>
      <c r="K34" s="46">
        <v>21.7</v>
      </c>
      <c r="L34" s="46">
        <v>21.7</v>
      </c>
      <c r="M34" s="46">
        <v>21.7</v>
      </c>
      <c r="N34" s="46">
        <v>21.7</v>
      </c>
      <c r="O34" s="46">
        <v>21.7</v>
      </c>
      <c r="P34" s="46">
        <v>21.7</v>
      </c>
      <c r="Q34" s="46">
        <v>21.7</v>
      </c>
      <c r="R34" s="46">
        <v>21.7</v>
      </c>
      <c r="S34" s="46" t="s">
        <v>292</v>
      </c>
      <c r="T34" s="46">
        <v>21.7</v>
      </c>
      <c r="U34" s="46"/>
      <c r="V34" s="46">
        <v>21.7</v>
      </c>
      <c r="W34" s="46">
        <v>21.7</v>
      </c>
      <c r="X34" s="46">
        <v>21.7</v>
      </c>
      <c r="Y34" s="46">
        <v>21.7</v>
      </c>
      <c r="Z34" s="46">
        <v>21.7</v>
      </c>
      <c r="AA34" s="46">
        <v>21.7</v>
      </c>
      <c r="AB34" s="46">
        <v>21.7</v>
      </c>
      <c r="AC34" s="46">
        <v>22</v>
      </c>
      <c r="AD34" s="46">
        <v>22</v>
      </c>
      <c r="AE34" s="46">
        <v>22</v>
      </c>
      <c r="AF34" s="46">
        <v>22</v>
      </c>
      <c r="AG34" s="50">
        <v>22</v>
      </c>
      <c r="AH34" s="48">
        <f t="shared" si="8"/>
        <v>22</v>
      </c>
      <c r="AI34" s="49">
        <f t="shared" si="9"/>
        <v>21.7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18.3</v>
      </c>
      <c r="C35" s="46">
        <v>18.3</v>
      </c>
      <c r="D35" s="46">
        <v>18.3</v>
      </c>
      <c r="E35" s="46">
        <v>18.3</v>
      </c>
      <c r="F35" s="46">
        <v>18.3</v>
      </c>
      <c r="G35" s="46">
        <v>18.3</v>
      </c>
      <c r="H35" s="46">
        <v>18.3</v>
      </c>
      <c r="I35" s="46">
        <v>18.3</v>
      </c>
      <c r="J35" s="46">
        <v>18.3</v>
      </c>
      <c r="K35" s="46">
        <v>18.3</v>
      </c>
      <c r="L35" s="46">
        <v>18.3</v>
      </c>
      <c r="M35" s="46">
        <v>18.3</v>
      </c>
      <c r="N35" s="46">
        <v>18.3</v>
      </c>
      <c r="O35" s="46">
        <v>18.3</v>
      </c>
      <c r="P35" s="46">
        <v>18.3</v>
      </c>
      <c r="Q35" s="46">
        <v>18.3</v>
      </c>
      <c r="R35" s="46">
        <v>18.3</v>
      </c>
      <c r="S35" s="46" t="s">
        <v>293</v>
      </c>
      <c r="T35" s="46">
        <v>18.3</v>
      </c>
      <c r="U35" s="46"/>
      <c r="V35" s="46">
        <v>18.3</v>
      </c>
      <c r="W35" s="46">
        <v>18.3</v>
      </c>
      <c r="X35" s="46">
        <v>18.3</v>
      </c>
      <c r="Y35" s="46">
        <v>18.3</v>
      </c>
      <c r="Z35" s="46">
        <v>18.3</v>
      </c>
      <c r="AA35" s="46">
        <v>11.1</v>
      </c>
      <c r="AB35" s="46">
        <v>11.1</v>
      </c>
      <c r="AC35" s="46">
        <v>11.1</v>
      </c>
      <c r="AD35" s="46">
        <v>11.1</v>
      </c>
      <c r="AE35" s="46">
        <v>11.1</v>
      </c>
      <c r="AF35" s="46">
        <v>11.1</v>
      </c>
      <c r="AG35" s="50">
        <v>20</v>
      </c>
      <c r="AH35" s="48">
        <f t="shared" si="8"/>
        <v>18.3</v>
      </c>
      <c r="AI35" s="49">
        <f t="shared" si="9"/>
        <v>11.1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/>
      <c r="T36" s="46">
        <v>6</v>
      </c>
      <c r="U36" s="46"/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9.8000000000000007</v>
      </c>
      <c r="C37" s="46">
        <v>9.8000000000000007</v>
      </c>
      <c r="D37" s="46">
        <v>9.8000000000000007</v>
      </c>
      <c r="E37" s="46">
        <v>9.8000000000000007</v>
      </c>
      <c r="F37" s="46">
        <v>9.8000000000000007</v>
      </c>
      <c r="G37" s="46">
        <v>9.8000000000000007</v>
      </c>
      <c r="H37" s="46">
        <v>9.8000000000000007</v>
      </c>
      <c r="I37" s="46">
        <v>9.8000000000000007</v>
      </c>
      <c r="J37" s="46">
        <v>9.8000000000000007</v>
      </c>
      <c r="K37" s="46">
        <v>9.8000000000000007</v>
      </c>
      <c r="L37" s="46">
        <v>9.8000000000000007</v>
      </c>
      <c r="M37" s="46">
        <v>9.8000000000000007</v>
      </c>
      <c r="N37" s="46">
        <v>9.8000000000000007</v>
      </c>
      <c r="O37" s="46">
        <v>9.8000000000000007</v>
      </c>
      <c r="P37" s="46">
        <v>9.8000000000000007</v>
      </c>
      <c r="Q37" s="46">
        <v>9.8000000000000007</v>
      </c>
      <c r="R37" s="46">
        <v>9.8000000000000007</v>
      </c>
      <c r="S37" s="46"/>
      <c r="T37" s="46">
        <v>9.8000000000000007</v>
      </c>
      <c r="U37" s="46"/>
      <c r="V37" s="46">
        <v>9.8000000000000007</v>
      </c>
      <c r="W37" s="46">
        <v>9.8000000000000007</v>
      </c>
      <c r="X37" s="46">
        <v>9.8000000000000007</v>
      </c>
      <c r="Y37" s="46">
        <v>9.8000000000000007</v>
      </c>
      <c r="Z37" s="46">
        <v>9.8000000000000007</v>
      </c>
      <c r="AA37" s="46">
        <v>8.1999999999999993</v>
      </c>
      <c r="AB37" s="46">
        <v>8.1999999999999993</v>
      </c>
      <c r="AC37" s="46">
        <v>8.1999999999999993</v>
      </c>
      <c r="AD37" s="46">
        <v>8.1999999999999993</v>
      </c>
      <c r="AE37" s="46">
        <v>8.1999999999999993</v>
      </c>
      <c r="AF37" s="46">
        <v>8.1999999999999993</v>
      </c>
      <c r="AG37" s="50">
        <v>18</v>
      </c>
      <c r="AH37" s="48">
        <f t="shared" si="8"/>
        <v>9.8000000000000007</v>
      </c>
      <c r="AI37" s="49">
        <f t="shared" si="9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6.7</v>
      </c>
      <c r="C38" s="46">
        <v>6.7</v>
      </c>
      <c r="D38" s="46">
        <v>6.7</v>
      </c>
      <c r="E38" s="46">
        <v>6.7</v>
      </c>
      <c r="F38" s="46">
        <v>6.7</v>
      </c>
      <c r="G38" s="46">
        <v>6.7</v>
      </c>
      <c r="H38" s="46">
        <v>6.7</v>
      </c>
      <c r="I38" s="46">
        <v>6.7</v>
      </c>
      <c r="J38" s="46">
        <v>6.7</v>
      </c>
      <c r="K38" s="46">
        <v>6.7</v>
      </c>
      <c r="L38" s="46">
        <v>6.7</v>
      </c>
      <c r="M38" s="46">
        <v>6.7</v>
      </c>
      <c r="N38" s="46">
        <v>6.7</v>
      </c>
      <c r="O38" s="178">
        <v>0</v>
      </c>
      <c r="P38" s="46">
        <v>6.7</v>
      </c>
      <c r="Q38" s="46">
        <v>6.7</v>
      </c>
      <c r="R38" s="46">
        <v>6.7</v>
      </c>
      <c r="S38" s="46"/>
      <c r="T38" s="46">
        <v>6.7</v>
      </c>
      <c r="U38" s="46"/>
      <c r="V38" s="46">
        <v>6.7</v>
      </c>
      <c r="W38" s="46">
        <v>6.7</v>
      </c>
      <c r="X38" s="46">
        <v>6.7</v>
      </c>
      <c r="Y38" s="46">
        <v>6.7</v>
      </c>
      <c r="Z38" s="46">
        <v>6.7</v>
      </c>
      <c r="AA38" s="46">
        <v>6.7</v>
      </c>
      <c r="AB38" s="46">
        <v>6.7</v>
      </c>
      <c r="AC38" s="46">
        <v>6.7</v>
      </c>
      <c r="AD38" s="46">
        <v>6.7</v>
      </c>
      <c r="AE38" s="46">
        <v>6.7</v>
      </c>
      <c r="AF38" s="46">
        <v>6.7</v>
      </c>
      <c r="AG38" s="50">
        <v>14.9</v>
      </c>
      <c r="AH38" s="48">
        <f t="shared" si="8"/>
        <v>6.7</v>
      </c>
      <c r="AI38" s="49">
        <f t="shared" si="9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/>
      <c r="T39" s="46">
        <v>0</v>
      </c>
      <c r="U39" s="46"/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/>
      <c r="T40" s="46">
        <v>5</v>
      </c>
      <c r="U40" s="46"/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5</v>
      </c>
      <c r="C41" s="46">
        <v>5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6">
        <v>5</v>
      </c>
      <c r="K41" s="46">
        <v>5</v>
      </c>
      <c r="L41" s="46">
        <v>5</v>
      </c>
      <c r="M41" s="46">
        <v>5</v>
      </c>
      <c r="N41" s="46">
        <v>5</v>
      </c>
      <c r="O41" s="46">
        <v>5</v>
      </c>
      <c r="P41" s="46">
        <v>5</v>
      </c>
      <c r="Q41" s="46">
        <v>5</v>
      </c>
      <c r="R41" s="46">
        <v>5</v>
      </c>
      <c r="S41" s="46"/>
      <c r="T41" s="46">
        <v>5</v>
      </c>
      <c r="U41" s="46"/>
      <c r="V41" s="46">
        <v>5</v>
      </c>
      <c r="W41" s="46">
        <v>5</v>
      </c>
      <c r="X41" s="46">
        <v>5</v>
      </c>
      <c r="Y41" s="46">
        <v>5</v>
      </c>
      <c r="Z41" s="46">
        <v>5</v>
      </c>
      <c r="AA41" s="46">
        <v>5</v>
      </c>
      <c r="AB41" s="46">
        <v>5</v>
      </c>
      <c r="AC41" s="46">
        <v>5</v>
      </c>
      <c r="AD41" s="46">
        <v>5</v>
      </c>
      <c r="AE41" s="46">
        <v>5</v>
      </c>
      <c r="AF41" s="46">
        <v>5</v>
      </c>
      <c r="AG41" s="50">
        <v>14.9</v>
      </c>
      <c r="AH41" s="48">
        <f t="shared" si="8"/>
        <v>5</v>
      </c>
      <c r="AI41" s="49">
        <f t="shared" si="9"/>
        <v>5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/>
      <c r="T42" s="46">
        <v>5</v>
      </c>
      <c r="U42" s="46"/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/>
      <c r="T43" s="46">
        <v>2</v>
      </c>
      <c r="U43" s="46"/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/>
      <c r="T44" s="46">
        <v>3</v>
      </c>
      <c r="U44" s="46"/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/>
      <c r="T45" s="46">
        <v>0</v>
      </c>
      <c r="U45" s="46"/>
      <c r="V45" s="46">
        <v>8</v>
      </c>
      <c r="W45" s="46">
        <v>8</v>
      </c>
      <c r="X45" s="46">
        <v>8</v>
      </c>
      <c r="Y45" s="46">
        <v>8</v>
      </c>
      <c r="Z45" s="46">
        <v>8</v>
      </c>
      <c r="AA45" s="46">
        <v>6</v>
      </c>
      <c r="AB45" s="46">
        <v>5</v>
      </c>
      <c r="AC45" s="46">
        <v>5</v>
      </c>
      <c r="AD45" s="46">
        <v>5</v>
      </c>
      <c r="AE45" s="46">
        <v>5</v>
      </c>
      <c r="AF45" s="46">
        <v>5</v>
      </c>
      <c r="AG45" s="50">
        <v>12</v>
      </c>
      <c r="AH45" s="48">
        <f t="shared" si="8"/>
        <v>8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/>
      <c r="T46" s="46">
        <v>3</v>
      </c>
      <c r="U46" s="46"/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/>
      <c r="T47" s="46">
        <v>4</v>
      </c>
      <c r="U47" s="46"/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/>
      <c r="T48" s="46">
        <v>0</v>
      </c>
      <c r="U48" s="46"/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/>
      <c r="T49" s="46">
        <v>3</v>
      </c>
      <c r="U49" s="46"/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1.89</v>
      </c>
      <c r="C50" s="46">
        <v>1.89</v>
      </c>
      <c r="D50" s="46">
        <v>1.89</v>
      </c>
      <c r="E50" s="46">
        <v>1.89</v>
      </c>
      <c r="F50" s="46">
        <v>1.89</v>
      </c>
      <c r="G50" s="46">
        <v>1.89</v>
      </c>
      <c r="H50" s="46">
        <v>1.89</v>
      </c>
      <c r="I50" s="46">
        <v>1.89</v>
      </c>
      <c r="J50" s="46">
        <v>1.89</v>
      </c>
      <c r="K50" s="46">
        <v>1.89</v>
      </c>
      <c r="L50" s="46">
        <v>1.89</v>
      </c>
      <c r="M50" s="46">
        <v>1.89</v>
      </c>
      <c r="N50" s="46">
        <v>1.89</v>
      </c>
      <c r="O50" s="46">
        <v>1.89</v>
      </c>
      <c r="P50" s="46">
        <v>1.89</v>
      </c>
      <c r="Q50" s="46">
        <v>1.89</v>
      </c>
      <c r="R50" s="46">
        <v>1.89</v>
      </c>
      <c r="S50" s="46"/>
      <c r="T50" s="46">
        <v>1.89</v>
      </c>
      <c r="U50" s="46"/>
      <c r="V50" s="46">
        <v>1.89</v>
      </c>
      <c r="W50" s="46">
        <v>1.89</v>
      </c>
      <c r="X50" s="46">
        <v>1.89</v>
      </c>
      <c r="Y50" s="46">
        <v>1.89</v>
      </c>
      <c r="Z50" s="46">
        <v>1.89</v>
      </c>
      <c r="AA50" s="46">
        <v>1.89</v>
      </c>
      <c r="AB50" s="46">
        <v>1.89</v>
      </c>
      <c r="AC50" s="46">
        <v>1.89</v>
      </c>
      <c r="AD50" s="46">
        <v>1.89</v>
      </c>
      <c r="AE50" s="46">
        <v>1.89</v>
      </c>
      <c r="AF50" s="46">
        <v>1.89</v>
      </c>
      <c r="AG50" s="66">
        <v>11</v>
      </c>
      <c r="AH50" s="48">
        <f t="shared" si="8"/>
        <v>1.89</v>
      </c>
      <c r="AI50" s="49">
        <f t="shared" si="9"/>
        <v>1.89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1.8</v>
      </c>
      <c r="F51" s="46">
        <v>1.8</v>
      </c>
      <c r="G51" s="46">
        <v>1.8</v>
      </c>
      <c r="H51" s="46">
        <v>1.8</v>
      </c>
      <c r="I51" s="46">
        <v>1.8</v>
      </c>
      <c r="J51" s="46">
        <v>1.8</v>
      </c>
      <c r="K51" s="46">
        <v>1.8</v>
      </c>
      <c r="L51" s="46">
        <v>1.8</v>
      </c>
      <c r="M51" s="46">
        <v>1.8</v>
      </c>
      <c r="N51" s="46">
        <v>1.8</v>
      </c>
      <c r="O51" s="46">
        <v>1.8</v>
      </c>
      <c r="P51" s="46">
        <v>1.8</v>
      </c>
      <c r="Q51" s="46">
        <v>1.8</v>
      </c>
      <c r="R51" s="46">
        <v>1.8</v>
      </c>
      <c r="S51" s="46"/>
      <c r="T51" s="46">
        <v>1.8</v>
      </c>
      <c r="U51" s="46"/>
      <c r="V51" s="46">
        <v>1.8</v>
      </c>
      <c r="W51" s="46">
        <v>1.8</v>
      </c>
      <c r="X51" s="46">
        <v>1.8</v>
      </c>
      <c r="Y51" s="46">
        <v>1.8</v>
      </c>
      <c r="Z51" s="46">
        <v>1.8</v>
      </c>
      <c r="AA51" s="46">
        <v>1.8</v>
      </c>
      <c r="AB51" s="46">
        <v>1.8</v>
      </c>
      <c r="AC51" s="46">
        <v>1.8</v>
      </c>
      <c r="AD51" s="46">
        <v>1.8</v>
      </c>
      <c r="AE51" s="46">
        <v>1.8</v>
      </c>
      <c r="AF51" s="46">
        <v>1.8</v>
      </c>
      <c r="AG51" s="66">
        <v>11</v>
      </c>
      <c r="AH51" s="48">
        <f t="shared" si="8"/>
        <v>1.8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/>
      <c r="T52" s="46">
        <v>6</v>
      </c>
      <c r="U52" s="46"/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/>
      <c r="T53" s="46">
        <v>5</v>
      </c>
      <c r="U53" s="46"/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/>
      <c r="T54" s="46">
        <v>0</v>
      </c>
      <c r="U54" s="46"/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/>
      <c r="T55" s="46">
        <v>0</v>
      </c>
      <c r="U55" s="46"/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/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60</v>
      </c>
      <c r="C57" s="68">
        <v>60</v>
      </c>
      <c r="D57" s="68">
        <v>60</v>
      </c>
      <c r="E57" s="68">
        <v>60</v>
      </c>
      <c r="F57" s="68">
        <f t="shared" ref="F57:L57" si="22">22.1+34.2</f>
        <v>56.300000000000004</v>
      </c>
      <c r="G57" s="68">
        <f t="shared" si="22"/>
        <v>56.300000000000004</v>
      </c>
      <c r="H57" s="68">
        <f t="shared" si="22"/>
        <v>56.300000000000004</v>
      </c>
      <c r="I57" s="68">
        <f t="shared" si="22"/>
        <v>56.300000000000004</v>
      </c>
      <c r="J57" s="68">
        <f t="shared" si="22"/>
        <v>56.300000000000004</v>
      </c>
      <c r="K57" s="68">
        <f t="shared" si="22"/>
        <v>56.300000000000004</v>
      </c>
      <c r="L57" s="68">
        <f t="shared" si="22"/>
        <v>56.300000000000004</v>
      </c>
      <c r="M57" s="68">
        <f>22.6+33.2</f>
        <v>55.800000000000004</v>
      </c>
      <c r="N57" s="68">
        <f>35.9+23.6</f>
        <v>59.5</v>
      </c>
      <c r="O57" s="53">
        <f>35.4+24</f>
        <v>59.4</v>
      </c>
      <c r="P57" s="53">
        <f>42.4+26.4</f>
        <v>68.8</v>
      </c>
      <c r="Q57" s="53">
        <f>45.3+41.6</f>
        <v>86.9</v>
      </c>
      <c r="R57" s="53">
        <f>45.3+41.6</f>
        <v>86.9</v>
      </c>
      <c r="S57" s="53"/>
      <c r="T57" s="53">
        <f>45.3+41.6</f>
        <v>86.9</v>
      </c>
      <c r="U57" s="53"/>
      <c r="V57" s="53">
        <f>45.3+41.6</f>
        <v>86.9</v>
      </c>
      <c r="W57" s="53">
        <f>34.5+75.6</f>
        <v>110.1</v>
      </c>
      <c r="X57" s="53">
        <v>104.63</v>
      </c>
      <c r="Y57" s="53">
        <v>99.8</v>
      </c>
      <c r="Z57" s="53">
        <v>98.2</v>
      </c>
      <c r="AA57" s="68">
        <v>98.2</v>
      </c>
      <c r="AB57" s="68">
        <v>107.6</v>
      </c>
      <c r="AC57" s="68">
        <v>112.6</v>
      </c>
      <c r="AD57" s="68">
        <v>112.3</v>
      </c>
      <c r="AE57" s="68">
        <v>112.3</v>
      </c>
      <c r="AF57" s="68">
        <v>112.3</v>
      </c>
      <c r="AG57" s="66">
        <v>240</v>
      </c>
      <c r="AH57" s="48">
        <f t="shared" si="8"/>
        <v>112.6</v>
      </c>
      <c r="AI57" s="49">
        <f t="shared" si="9"/>
        <v>55.800000000000004</v>
      </c>
      <c r="AK57" s="51"/>
    </row>
    <row r="58" spans="1:88" ht="15.75" thickBot="1" x14ac:dyDescent="0.3">
      <c r="A58" s="70" t="s">
        <v>75</v>
      </c>
      <c r="B58" s="71">
        <f>SUM(B11:B56)</f>
        <v>557.69000000000005</v>
      </c>
      <c r="C58" s="71">
        <f>SUM(C11:C56)</f>
        <v>557.69000000000005</v>
      </c>
      <c r="D58" s="71">
        <f>SUM(D11:D56)</f>
        <v>557.69000000000005</v>
      </c>
      <c r="E58" s="71">
        <f t="shared" ref="E58:AF58" si="23">SUM(E11:E56)</f>
        <v>559.19000000000005</v>
      </c>
      <c r="F58" s="71">
        <f t="shared" si="23"/>
        <v>559.19000000000005</v>
      </c>
      <c r="G58" s="71">
        <f t="shared" si="23"/>
        <v>559.19000000000005</v>
      </c>
      <c r="H58" s="71">
        <f t="shared" si="23"/>
        <v>559.19000000000005</v>
      </c>
      <c r="I58" s="71">
        <f t="shared" si="23"/>
        <v>559.19000000000005</v>
      </c>
      <c r="J58" s="71">
        <f t="shared" si="23"/>
        <v>559.19000000000005</v>
      </c>
      <c r="K58" s="71">
        <f t="shared" si="23"/>
        <v>559.19000000000005</v>
      </c>
      <c r="L58" s="71">
        <f t="shared" si="23"/>
        <v>559.19000000000005</v>
      </c>
      <c r="M58" s="71">
        <f>SUM(M11:M56)</f>
        <v>558.09</v>
      </c>
      <c r="N58" s="71">
        <f t="shared" si="23"/>
        <v>558.14</v>
      </c>
      <c r="O58" s="71">
        <f t="shared" si="23"/>
        <v>551.08999999999992</v>
      </c>
      <c r="P58" s="71">
        <f t="shared" si="23"/>
        <v>557.79</v>
      </c>
      <c r="Q58" s="71">
        <f>SUM(Q11:Q56)</f>
        <v>557.09</v>
      </c>
      <c r="R58" s="71">
        <f>SUM(R11:R56)</f>
        <v>556.59</v>
      </c>
      <c r="S58" s="71">
        <f>SUM(S11:S56)</f>
        <v>0</v>
      </c>
      <c r="T58" s="71">
        <f>SUM(T11:T56)</f>
        <v>556.59</v>
      </c>
      <c r="U58" s="71">
        <f t="shared" si="23"/>
        <v>150</v>
      </c>
      <c r="V58" s="71">
        <f t="shared" si="23"/>
        <v>564.59</v>
      </c>
      <c r="W58" s="71">
        <f t="shared" si="23"/>
        <v>564.59</v>
      </c>
      <c r="X58" s="71">
        <f>SUM(X11:X56)</f>
        <v>564.59</v>
      </c>
      <c r="Y58" s="71">
        <f>SUM(Y11:Y56)</f>
        <v>564.59</v>
      </c>
      <c r="Z58" s="71">
        <f>SUM(Z11:Z56)</f>
        <v>564.59</v>
      </c>
      <c r="AA58" s="71">
        <f>SUM(AA11:AA56)</f>
        <v>629.09</v>
      </c>
      <c r="AB58" s="71">
        <f t="shared" si="23"/>
        <v>631.19000000000005</v>
      </c>
      <c r="AC58" s="71">
        <f t="shared" si="23"/>
        <v>643.79</v>
      </c>
      <c r="AD58" s="71">
        <f t="shared" si="23"/>
        <v>642.89</v>
      </c>
      <c r="AE58" s="71">
        <f t="shared" si="23"/>
        <v>642.89</v>
      </c>
      <c r="AF58" s="71">
        <f t="shared" si="23"/>
        <v>642.89</v>
      </c>
      <c r="AG58" s="72">
        <f>SUM(AG14:AG56)</f>
        <v>1042.4000000000001</v>
      </c>
      <c r="AH58" s="48">
        <f t="shared" si="8"/>
        <v>643.79</v>
      </c>
      <c r="AI58" s="49">
        <f t="shared" si="9"/>
        <v>0</v>
      </c>
      <c r="AK58" s="51"/>
    </row>
    <row r="59" spans="1:88" x14ac:dyDescent="0.25">
      <c r="A59" s="73" t="s">
        <v>76</v>
      </c>
      <c r="B59" s="46">
        <v>233</v>
      </c>
      <c r="C59" s="46">
        <v>170</v>
      </c>
      <c r="D59" s="46">
        <v>160</v>
      </c>
      <c r="E59" s="46">
        <v>160</v>
      </c>
      <c r="F59" s="46">
        <v>160</v>
      </c>
      <c r="G59" s="46">
        <v>160</v>
      </c>
      <c r="H59" s="46">
        <v>160</v>
      </c>
      <c r="I59" s="46">
        <v>160</v>
      </c>
      <c r="J59" s="46">
        <v>0</v>
      </c>
      <c r="K59" s="46">
        <v>0</v>
      </c>
      <c r="L59" s="46">
        <v>0</v>
      </c>
      <c r="M59" s="46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/>
      <c r="T59" s="74">
        <v>0</v>
      </c>
      <c r="U59" s="74"/>
      <c r="V59" s="74">
        <v>102.6</v>
      </c>
      <c r="W59" s="46">
        <v>153.9</v>
      </c>
      <c r="X59" s="46">
        <v>154</v>
      </c>
      <c r="Y59" s="46">
        <v>211.8</v>
      </c>
      <c r="Z59" s="46">
        <v>199.2</v>
      </c>
      <c r="AA59" s="46">
        <v>280</v>
      </c>
      <c r="AB59" s="46">
        <v>301.5</v>
      </c>
      <c r="AC59" s="46">
        <v>277</v>
      </c>
      <c r="AD59" s="46">
        <v>275</v>
      </c>
      <c r="AE59" s="46">
        <v>267</v>
      </c>
      <c r="AF59" s="46">
        <v>200</v>
      </c>
      <c r="AG59" s="61">
        <v>456</v>
      </c>
      <c r="AH59" s="48">
        <f t="shared" si="8"/>
        <v>301.5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25.1</v>
      </c>
      <c r="C60" s="76">
        <v>25.1</v>
      </c>
      <c r="D60" s="76">
        <v>25.1</v>
      </c>
      <c r="E60" s="76">
        <v>34</v>
      </c>
      <c r="F60" s="76">
        <v>31.9</v>
      </c>
      <c r="G60" s="76">
        <v>30.9</v>
      </c>
      <c r="H60" s="76">
        <v>31.3</v>
      </c>
      <c r="I60" s="76">
        <v>30.6</v>
      </c>
      <c r="J60" s="76">
        <v>29.5</v>
      </c>
      <c r="K60" s="76">
        <v>29.5</v>
      </c>
      <c r="L60" s="76">
        <v>29.6</v>
      </c>
      <c r="M60" s="76">
        <v>29.9</v>
      </c>
      <c r="N60" s="76">
        <v>28.3</v>
      </c>
      <c r="O60" s="76">
        <v>28.3</v>
      </c>
      <c r="P60" s="76">
        <v>27.5</v>
      </c>
      <c r="Q60" s="76">
        <v>27.5</v>
      </c>
      <c r="R60" s="76">
        <v>27.5</v>
      </c>
      <c r="S60" s="76"/>
      <c r="T60" s="76">
        <v>27.5</v>
      </c>
      <c r="U60" s="76"/>
      <c r="V60" s="76">
        <v>27.5</v>
      </c>
      <c r="W60" s="76">
        <v>29.6</v>
      </c>
      <c r="X60" s="76">
        <v>29.6</v>
      </c>
      <c r="Y60" s="76">
        <v>60</v>
      </c>
      <c r="Z60" s="76">
        <v>60</v>
      </c>
      <c r="AA60" s="76">
        <v>60</v>
      </c>
      <c r="AB60" s="76">
        <v>60.6</v>
      </c>
      <c r="AC60" s="76">
        <v>52.9</v>
      </c>
      <c r="AD60" s="76">
        <v>52.3</v>
      </c>
      <c r="AE60" s="76">
        <v>53.9</v>
      </c>
      <c r="AF60" s="76">
        <v>53.9</v>
      </c>
      <c r="AG60" s="66">
        <v>60</v>
      </c>
      <c r="AH60" s="48">
        <f t="shared" si="8"/>
        <v>60.6</v>
      </c>
      <c r="AI60" s="49">
        <f t="shared" si="9"/>
        <v>25.1</v>
      </c>
      <c r="AK60" s="51"/>
    </row>
    <row r="61" spans="1:88" ht="15.75" thickBot="1" x14ac:dyDescent="0.3">
      <c r="A61" s="77" t="s">
        <v>78</v>
      </c>
      <c r="B61" s="78">
        <v>20.6</v>
      </c>
      <c r="C61" s="78">
        <v>20.6</v>
      </c>
      <c r="D61" s="78">
        <v>20.6</v>
      </c>
      <c r="E61" s="78">
        <v>22.5</v>
      </c>
      <c r="F61" s="78">
        <v>22.5</v>
      </c>
      <c r="G61" s="78">
        <v>22.5</v>
      </c>
      <c r="H61" s="78">
        <v>22.5</v>
      </c>
      <c r="I61" s="78">
        <v>22.5</v>
      </c>
      <c r="J61" s="78">
        <v>22.5</v>
      </c>
      <c r="K61" s="78">
        <v>22.5</v>
      </c>
      <c r="L61" s="78">
        <v>22.5</v>
      </c>
      <c r="M61" s="78">
        <v>21.8</v>
      </c>
      <c r="N61" s="78">
        <v>22.5</v>
      </c>
      <c r="O61" s="78">
        <v>22.5</v>
      </c>
      <c r="P61" s="78">
        <v>22.5</v>
      </c>
      <c r="Q61" s="78">
        <v>22.5</v>
      </c>
      <c r="R61" s="78">
        <v>22.5</v>
      </c>
      <c r="S61" s="78"/>
      <c r="T61" s="78">
        <v>22.5</v>
      </c>
      <c r="U61" s="78"/>
      <c r="V61" s="78">
        <v>22.5</v>
      </c>
      <c r="W61" s="78">
        <v>22.4</v>
      </c>
      <c r="X61" s="78">
        <v>22.4</v>
      </c>
      <c r="Y61" s="78">
        <v>22.4</v>
      </c>
      <c r="Z61" s="78">
        <v>22.4</v>
      </c>
      <c r="AA61" s="78">
        <v>22.4</v>
      </c>
      <c r="AB61" s="78">
        <v>22.6</v>
      </c>
      <c r="AC61" s="78">
        <v>22.6</v>
      </c>
      <c r="AD61" s="78">
        <v>22.7</v>
      </c>
      <c r="AE61" s="78">
        <v>22.7</v>
      </c>
      <c r="AF61" s="78">
        <v>22.7</v>
      </c>
      <c r="AG61" s="79">
        <v>22.1</v>
      </c>
      <c r="AH61" s="48">
        <f t="shared" si="8"/>
        <v>22.7</v>
      </c>
      <c r="AI61" s="49">
        <f t="shared" si="9"/>
        <v>20.6</v>
      </c>
      <c r="AK61" s="51"/>
    </row>
    <row r="62" spans="1:88" ht="15.75" thickBot="1" x14ac:dyDescent="0.3">
      <c r="A62" s="80" t="s">
        <v>79</v>
      </c>
      <c r="B62" s="71">
        <f>SUM(B59:B61)</f>
        <v>278.70000000000005</v>
      </c>
      <c r="C62" s="71">
        <f>SUM(C59:C61)</f>
        <v>215.7</v>
      </c>
      <c r="D62" s="71">
        <f>SUM(D59:D61)</f>
        <v>205.7</v>
      </c>
      <c r="E62" s="71">
        <f t="shared" ref="E62:AG62" si="24">SUM(E59:E61)</f>
        <v>216.5</v>
      </c>
      <c r="F62" s="71">
        <f t="shared" si="24"/>
        <v>214.4</v>
      </c>
      <c r="G62" s="71">
        <f t="shared" si="24"/>
        <v>213.4</v>
      </c>
      <c r="H62" s="71">
        <f t="shared" si="24"/>
        <v>213.8</v>
      </c>
      <c r="I62" s="71">
        <f t="shared" si="24"/>
        <v>213.1</v>
      </c>
      <c r="J62" s="71">
        <f t="shared" si="24"/>
        <v>52</v>
      </c>
      <c r="K62" s="71">
        <f t="shared" si="24"/>
        <v>52</v>
      </c>
      <c r="L62" s="71">
        <f t="shared" si="24"/>
        <v>52.1</v>
      </c>
      <c r="M62" s="71">
        <f>SUM(M59:M61)</f>
        <v>51.7</v>
      </c>
      <c r="N62" s="71">
        <f t="shared" si="24"/>
        <v>50.8</v>
      </c>
      <c r="O62" s="71">
        <f t="shared" si="24"/>
        <v>50.8</v>
      </c>
      <c r="P62" s="71">
        <f t="shared" si="24"/>
        <v>50</v>
      </c>
      <c r="Q62" s="71">
        <f>SUM(Q59:Q61)</f>
        <v>50</v>
      </c>
      <c r="R62" s="71">
        <f>SUM(R59:R61)</f>
        <v>50</v>
      </c>
      <c r="S62" s="71">
        <f>SUM(S59:S61)</f>
        <v>0</v>
      </c>
      <c r="T62" s="71">
        <f>SUM(T59:T61)</f>
        <v>50</v>
      </c>
      <c r="U62" s="71">
        <f t="shared" si="24"/>
        <v>0</v>
      </c>
      <c r="V62" s="71">
        <f t="shared" si="24"/>
        <v>152.6</v>
      </c>
      <c r="W62" s="71">
        <f t="shared" si="24"/>
        <v>205.9</v>
      </c>
      <c r="X62" s="71">
        <f>SUM(X59:X61)</f>
        <v>206</v>
      </c>
      <c r="Y62" s="71">
        <f>SUM(Y59:Y61)</f>
        <v>294.2</v>
      </c>
      <c r="Z62" s="71">
        <f>SUM(Z59:Z61)</f>
        <v>281.59999999999997</v>
      </c>
      <c r="AA62" s="71">
        <f>SUM(AA59:AA61)</f>
        <v>362.4</v>
      </c>
      <c r="AB62" s="71">
        <f t="shared" si="24"/>
        <v>384.70000000000005</v>
      </c>
      <c r="AC62" s="71">
        <f t="shared" si="24"/>
        <v>352.5</v>
      </c>
      <c r="AD62" s="71">
        <f t="shared" si="24"/>
        <v>350</v>
      </c>
      <c r="AE62" s="71">
        <f t="shared" si="24"/>
        <v>343.59999999999997</v>
      </c>
      <c r="AF62" s="71">
        <f t="shared" si="24"/>
        <v>276.60000000000002</v>
      </c>
      <c r="AG62" s="72">
        <f t="shared" si="24"/>
        <v>538.1</v>
      </c>
      <c r="AH62" s="48">
        <f t="shared" si="8"/>
        <v>384.70000000000005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100</v>
      </c>
      <c r="C63" s="46">
        <v>120</v>
      </c>
      <c r="D63" s="46">
        <v>120</v>
      </c>
      <c r="E63" s="46">
        <v>120</v>
      </c>
      <c r="F63" s="46">
        <v>121</v>
      </c>
      <c r="G63" s="46">
        <v>110</v>
      </c>
      <c r="H63" s="46">
        <v>111.4</v>
      </c>
      <c r="I63" s="46">
        <v>111.4</v>
      </c>
      <c r="J63" s="46">
        <v>111.3</v>
      </c>
      <c r="K63" s="46">
        <v>111</v>
      </c>
      <c r="L63" s="46">
        <v>94</v>
      </c>
      <c r="M63" s="46">
        <v>94</v>
      </c>
      <c r="N63" s="46">
        <v>75</v>
      </c>
      <c r="O63" s="46">
        <v>75</v>
      </c>
      <c r="P63" s="46">
        <v>90</v>
      </c>
      <c r="Q63" s="46">
        <v>90</v>
      </c>
      <c r="R63" s="46">
        <v>0</v>
      </c>
      <c r="S63" s="46"/>
      <c r="T63" s="46">
        <v>144</v>
      </c>
      <c r="U63" s="46">
        <v>142.80000000000001</v>
      </c>
      <c r="V63" s="46">
        <v>107.6</v>
      </c>
      <c r="W63" s="46">
        <v>60</v>
      </c>
      <c r="X63" s="46">
        <v>61.2</v>
      </c>
      <c r="Y63" s="46">
        <v>61.2</v>
      </c>
      <c r="Z63" s="46">
        <v>81.2</v>
      </c>
      <c r="AA63" s="46">
        <v>109</v>
      </c>
      <c r="AB63" s="46">
        <v>111.2</v>
      </c>
      <c r="AC63" s="46">
        <v>80</v>
      </c>
      <c r="AD63" s="46">
        <v>80</v>
      </c>
      <c r="AE63" s="46">
        <v>97</v>
      </c>
      <c r="AF63" s="46">
        <v>97</v>
      </c>
      <c r="AG63" s="61">
        <v>144</v>
      </c>
      <c r="AH63" s="48">
        <f t="shared" si="8"/>
        <v>144</v>
      </c>
      <c r="AI63" s="49">
        <f t="shared" si="9"/>
        <v>0</v>
      </c>
      <c r="AK63" s="51"/>
    </row>
    <row r="64" spans="1:88" x14ac:dyDescent="0.25">
      <c r="A64" s="65" t="s">
        <v>81</v>
      </c>
      <c r="B64" s="76">
        <v>50</v>
      </c>
      <c r="C64" s="76">
        <v>50</v>
      </c>
      <c r="D64" s="76">
        <v>50</v>
      </c>
      <c r="E64" s="76">
        <v>50</v>
      </c>
      <c r="F64" s="76">
        <v>49.9</v>
      </c>
      <c r="G64" s="76">
        <v>35</v>
      </c>
      <c r="H64" s="76">
        <v>33.9</v>
      </c>
      <c r="I64" s="76">
        <v>33.9</v>
      </c>
      <c r="J64" s="76">
        <v>33.6</v>
      </c>
      <c r="K64" s="76">
        <v>33.5</v>
      </c>
      <c r="L64" s="76">
        <v>22.9</v>
      </c>
      <c r="M64" s="76">
        <v>23</v>
      </c>
      <c r="N64" s="76">
        <v>22.7</v>
      </c>
      <c r="O64" s="76">
        <v>33.200000000000003</v>
      </c>
      <c r="P64" s="76">
        <v>60.3</v>
      </c>
      <c r="Q64" s="76">
        <v>60.3</v>
      </c>
      <c r="R64" s="76">
        <v>44</v>
      </c>
      <c r="S64" s="76"/>
      <c r="T64" s="76">
        <v>45</v>
      </c>
      <c r="U64" s="76">
        <v>46.2</v>
      </c>
      <c r="V64" s="76">
        <v>46.3</v>
      </c>
      <c r="W64" s="46">
        <v>45.5</v>
      </c>
      <c r="X64" s="46">
        <v>45.5</v>
      </c>
      <c r="Y64" s="46">
        <v>66.3</v>
      </c>
      <c r="Z64" s="46">
        <v>67.400000000000006</v>
      </c>
      <c r="AA64" s="46">
        <v>67.400000000000006</v>
      </c>
      <c r="AB64" s="46">
        <v>64.400000000000006</v>
      </c>
      <c r="AC64" s="46">
        <v>53.5</v>
      </c>
      <c r="AD64" s="46">
        <v>53.5</v>
      </c>
      <c r="AE64" s="46">
        <v>54</v>
      </c>
      <c r="AF64" s="46">
        <v>35</v>
      </c>
      <c r="AG64" s="66">
        <v>70</v>
      </c>
      <c r="AH64" s="48">
        <f t="shared" si="8"/>
        <v>67.400000000000006</v>
      </c>
      <c r="AI64" s="49">
        <f t="shared" si="9"/>
        <v>22.7</v>
      </c>
      <c r="AK64" s="51"/>
    </row>
    <row r="65" spans="1:75" x14ac:dyDescent="0.25">
      <c r="A65" s="65" t="s">
        <v>82</v>
      </c>
      <c r="B65" s="76">
        <v>50</v>
      </c>
      <c r="C65" s="76">
        <v>60</v>
      </c>
      <c r="D65" s="76">
        <v>60</v>
      </c>
      <c r="E65" s="76">
        <v>60</v>
      </c>
      <c r="F65" s="76">
        <v>69.400000000000006</v>
      </c>
      <c r="G65" s="76">
        <v>68.7</v>
      </c>
      <c r="H65" s="76">
        <v>69.099999999999994</v>
      </c>
      <c r="I65" s="76">
        <v>69.099999999999994</v>
      </c>
      <c r="J65" s="76">
        <v>68.2</v>
      </c>
      <c r="K65" s="76">
        <v>68.2</v>
      </c>
      <c r="L65" s="76">
        <v>40.9</v>
      </c>
      <c r="M65" s="76">
        <v>32.9</v>
      </c>
      <c r="N65" s="76">
        <v>33.1</v>
      </c>
      <c r="O65" s="76">
        <v>45.3</v>
      </c>
      <c r="P65" s="76">
        <v>45.4</v>
      </c>
      <c r="Q65" s="76">
        <v>45.4</v>
      </c>
      <c r="R65" s="76">
        <v>45.4</v>
      </c>
      <c r="S65" s="76"/>
      <c r="T65" s="76">
        <v>32.5</v>
      </c>
      <c r="U65" s="76">
        <v>32.4</v>
      </c>
      <c r="V65" s="76">
        <v>16.600000000000001</v>
      </c>
      <c r="W65" s="46">
        <v>22.7</v>
      </c>
      <c r="X65" s="46">
        <v>22.7</v>
      </c>
      <c r="Y65" s="46">
        <v>22.6</v>
      </c>
      <c r="Z65" s="46">
        <v>57.3</v>
      </c>
      <c r="AA65" s="46">
        <v>57.3</v>
      </c>
      <c r="AB65" s="46">
        <v>69.5</v>
      </c>
      <c r="AC65" s="46">
        <v>69.099999999999994</v>
      </c>
      <c r="AD65" s="46">
        <v>69.2</v>
      </c>
      <c r="AE65" s="46">
        <v>69.2</v>
      </c>
      <c r="AF65" s="46">
        <v>61</v>
      </c>
      <c r="AG65" s="66">
        <v>69</v>
      </c>
      <c r="AH65" s="48">
        <f t="shared" si="8"/>
        <v>69.5</v>
      </c>
      <c r="AI65" s="49">
        <f t="shared" si="9"/>
        <v>16.600000000000001</v>
      </c>
      <c r="AK65" s="51"/>
    </row>
    <row r="66" spans="1:75" x14ac:dyDescent="0.25">
      <c r="A66" s="65" t="s">
        <v>83</v>
      </c>
      <c r="B66" s="76">
        <v>60.4</v>
      </c>
      <c r="C66" s="76">
        <v>60.4</v>
      </c>
      <c r="D66" s="76">
        <v>60.4</v>
      </c>
      <c r="E66" s="76">
        <v>60.4</v>
      </c>
      <c r="F66" s="76">
        <v>60.9</v>
      </c>
      <c r="G66" s="76">
        <v>60.9</v>
      </c>
      <c r="H66" s="76">
        <v>60.9</v>
      </c>
      <c r="I66" s="76">
        <v>60.9</v>
      </c>
      <c r="J66" s="76">
        <v>60.9</v>
      </c>
      <c r="K66" s="68">
        <v>60.9</v>
      </c>
      <c r="L66" s="68">
        <v>60.9</v>
      </c>
      <c r="M66" s="68">
        <v>60.9</v>
      </c>
      <c r="N66" s="68">
        <v>60.9</v>
      </c>
      <c r="O66" s="76">
        <v>60.9</v>
      </c>
      <c r="P66" s="76">
        <v>60.9</v>
      </c>
      <c r="Q66" s="76">
        <v>60.9</v>
      </c>
      <c r="R66" s="76">
        <v>60.9</v>
      </c>
      <c r="S66" s="76"/>
      <c r="T66" s="76">
        <v>60.9</v>
      </c>
      <c r="U66" s="76">
        <v>60.7</v>
      </c>
      <c r="V66" s="76">
        <v>60.7</v>
      </c>
      <c r="W66" s="76">
        <v>60.7</v>
      </c>
      <c r="X66" s="76">
        <v>60.7</v>
      </c>
      <c r="Y66" s="76">
        <v>60.7</v>
      </c>
      <c r="Z66" s="76">
        <v>60.7</v>
      </c>
      <c r="AA66" s="46">
        <v>60.7</v>
      </c>
      <c r="AB66" s="46">
        <v>0</v>
      </c>
      <c r="AC66" s="46">
        <v>56.9</v>
      </c>
      <c r="AD66" s="46">
        <v>57.2</v>
      </c>
      <c r="AE66" s="46">
        <v>57.2</v>
      </c>
      <c r="AF66" s="46">
        <v>57.2</v>
      </c>
      <c r="AG66" s="66">
        <v>60</v>
      </c>
      <c r="AH66" s="48">
        <f t="shared" si="8"/>
        <v>60.9</v>
      </c>
      <c r="AI66" s="49">
        <f t="shared" si="9"/>
        <v>0</v>
      </c>
      <c r="AK66" s="51"/>
    </row>
    <row r="67" spans="1:75" x14ac:dyDescent="0.25">
      <c r="A67" s="65" t="s">
        <v>84</v>
      </c>
      <c r="B67" s="46">
        <v>10</v>
      </c>
      <c r="C67" s="46">
        <v>10</v>
      </c>
      <c r="D67" s="46">
        <v>10</v>
      </c>
      <c r="E67" s="4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10</v>
      </c>
      <c r="K67" s="76">
        <v>10.6</v>
      </c>
      <c r="L67" s="76">
        <v>10.6</v>
      </c>
      <c r="M67" s="76">
        <v>28</v>
      </c>
      <c r="N67" s="76">
        <v>28</v>
      </c>
      <c r="O67" s="76">
        <v>28</v>
      </c>
      <c r="P67" s="76">
        <v>28</v>
      </c>
      <c r="Q67" s="76">
        <v>28</v>
      </c>
      <c r="R67" s="76">
        <v>28</v>
      </c>
      <c r="S67" s="76"/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22.2</v>
      </c>
      <c r="Z67" s="76">
        <v>22.2</v>
      </c>
      <c r="AA67" s="46">
        <v>22.2</v>
      </c>
      <c r="AB67" s="46">
        <v>27.2</v>
      </c>
      <c r="AC67" s="46">
        <v>14.2</v>
      </c>
      <c r="AD67" s="46">
        <v>14.2</v>
      </c>
      <c r="AE67" s="46">
        <v>14.2</v>
      </c>
      <c r="AF67" s="46">
        <v>14.2</v>
      </c>
      <c r="AG67" s="66">
        <v>30</v>
      </c>
      <c r="AH67" s="48">
        <f t="shared" si="8"/>
        <v>28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0.5</v>
      </c>
      <c r="I68" s="46">
        <v>0.5</v>
      </c>
      <c r="J68" s="46">
        <v>1.7</v>
      </c>
      <c r="K68" s="46">
        <v>4.3</v>
      </c>
      <c r="L68" s="46">
        <v>4.3</v>
      </c>
      <c r="M68" s="46">
        <v>9.9</v>
      </c>
      <c r="N68" s="46">
        <v>9.9</v>
      </c>
      <c r="O68" s="46">
        <v>9.9</v>
      </c>
      <c r="P68" s="46">
        <v>17.7</v>
      </c>
      <c r="Q68" s="46">
        <v>17.7</v>
      </c>
      <c r="R68" s="46">
        <v>13.9</v>
      </c>
      <c r="S68" s="46"/>
      <c r="T68" s="76">
        <v>9.1</v>
      </c>
      <c r="U68" s="76">
        <v>5.7</v>
      </c>
      <c r="V68" s="76">
        <v>1.7</v>
      </c>
      <c r="W68" s="76">
        <v>1.7</v>
      </c>
      <c r="X68" s="76">
        <v>0.3</v>
      </c>
      <c r="Y68" s="76">
        <v>0</v>
      </c>
      <c r="Z68" s="7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17.7</v>
      </c>
      <c r="AI68" s="49">
        <f t="shared" si="9"/>
        <v>0</v>
      </c>
      <c r="AK68" s="51"/>
      <c r="AY68" s="1" t="s">
        <v>86</v>
      </c>
      <c r="AZ68" s="82">
        <f>ROUND(C81,0)</f>
        <v>19</v>
      </c>
      <c r="BA68" s="81">
        <f t="shared" ref="BA68:BD72" si="25">D81</f>
        <v>20</v>
      </c>
      <c r="BB68" s="81">
        <f t="shared" si="25"/>
        <v>18.5</v>
      </c>
      <c r="BC68" s="81">
        <f t="shared" si="25"/>
        <v>31.4</v>
      </c>
      <c r="BD68" s="81">
        <f t="shared" si="25"/>
        <v>30.6</v>
      </c>
      <c r="BE68" s="82">
        <f>I81</f>
        <v>30</v>
      </c>
      <c r="BF68" s="82">
        <f>K81</f>
        <v>44.1</v>
      </c>
      <c r="BG68" s="82">
        <f t="shared" ref="BG68:BP72" si="26">M81</f>
        <v>66.599999999999994</v>
      </c>
      <c r="BH68" s="82">
        <f t="shared" si="26"/>
        <v>49</v>
      </c>
      <c r="BI68" s="82">
        <f t="shared" si="26"/>
        <v>64</v>
      </c>
      <c r="BJ68" s="82">
        <f t="shared" si="26"/>
        <v>65</v>
      </c>
      <c r="BK68" s="82">
        <f t="shared" si="26"/>
        <v>64</v>
      </c>
      <c r="BL68" s="82">
        <f t="shared" si="26"/>
        <v>60</v>
      </c>
      <c r="BM68" s="82">
        <f t="shared" si="26"/>
        <v>0</v>
      </c>
      <c r="BN68" s="82">
        <f t="shared" si="26"/>
        <v>64.5</v>
      </c>
      <c r="BO68" s="82">
        <f t="shared" si="26"/>
        <v>0</v>
      </c>
      <c r="BP68" s="82">
        <f t="shared" si="26"/>
        <v>65</v>
      </c>
      <c r="BQ68" s="82">
        <f>X81</f>
        <v>65.900000000000006</v>
      </c>
      <c r="BR68" s="82">
        <f>Z81</f>
        <v>33</v>
      </c>
      <c r="BS68" s="81">
        <f>AB81</f>
        <v>28.8</v>
      </c>
      <c r="BT68" s="81">
        <f t="shared" ref="BT68:BV72" si="27">AD81</f>
        <v>44</v>
      </c>
      <c r="BU68" s="81">
        <f t="shared" si="27"/>
        <v>29</v>
      </c>
      <c r="BV68" s="81">
        <f t="shared" si="27"/>
        <v>39.5</v>
      </c>
      <c r="BW68" s="81">
        <f>B81</f>
        <v>25</v>
      </c>
    </row>
    <row r="69" spans="1:75" x14ac:dyDescent="0.25">
      <c r="A69" s="65" t="s">
        <v>87</v>
      </c>
      <c r="B69" s="76">
        <v>12.9</v>
      </c>
      <c r="C69" s="76">
        <v>12.9</v>
      </c>
      <c r="D69" s="76">
        <v>12.9</v>
      </c>
      <c r="E69" s="76">
        <v>12.9</v>
      </c>
      <c r="F69" s="76">
        <v>13.7</v>
      </c>
      <c r="G69" s="76">
        <v>13.6</v>
      </c>
      <c r="H69" s="76">
        <v>13.6</v>
      </c>
      <c r="I69" s="76">
        <v>13.6</v>
      </c>
      <c r="J69" s="76">
        <v>13.6</v>
      </c>
      <c r="K69" s="76">
        <v>13.6</v>
      </c>
      <c r="L69" s="76">
        <v>13.6</v>
      </c>
      <c r="M69" s="76">
        <v>8.9</v>
      </c>
      <c r="N69" s="76">
        <v>10.1</v>
      </c>
      <c r="O69" s="76">
        <v>15.9</v>
      </c>
      <c r="P69" s="76">
        <v>15.9</v>
      </c>
      <c r="Q69" s="76">
        <v>15.9</v>
      </c>
      <c r="R69" s="76">
        <v>15.9</v>
      </c>
      <c r="S69" s="76"/>
      <c r="T69" s="76">
        <v>15.9</v>
      </c>
      <c r="U69" s="76">
        <v>15.9</v>
      </c>
      <c r="V69" s="76">
        <v>15.9</v>
      </c>
      <c r="W69" s="76">
        <v>15.9</v>
      </c>
      <c r="X69" s="76">
        <v>15.9</v>
      </c>
      <c r="Y69" s="76">
        <v>15.9</v>
      </c>
      <c r="Z69" s="76">
        <v>15.9</v>
      </c>
      <c r="AA69" s="76">
        <v>15.9</v>
      </c>
      <c r="AB69" s="76">
        <v>13.2</v>
      </c>
      <c r="AC69" s="76">
        <v>13</v>
      </c>
      <c r="AD69" s="76">
        <v>12.5</v>
      </c>
      <c r="AE69" s="76">
        <v>12.5</v>
      </c>
      <c r="AF69" s="76">
        <v>12.5</v>
      </c>
      <c r="AG69" s="66">
        <v>24</v>
      </c>
      <c r="AH69" s="48">
        <f t="shared" si="8"/>
        <v>15.9</v>
      </c>
      <c r="AI69" s="49">
        <f t="shared" si="9"/>
        <v>8.9</v>
      </c>
      <c r="AK69" s="51"/>
      <c r="AY69" s="1" t="s">
        <v>88</v>
      </c>
      <c r="AZ69" s="82">
        <f>ROUND(C82,0)</f>
        <v>0</v>
      </c>
      <c r="BA69" s="81">
        <f t="shared" si="25"/>
        <v>0</v>
      </c>
      <c r="BB69" s="81">
        <f t="shared" si="25"/>
        <v>0</v>
      </c>
      <c r="BC69" s="81">
        <f t="shared" si="25"/>
        <v>0</v>
      </c>
      <c r="BD69" s="81">
        <f t="shared" si="25"/>
        <v>0</v>
      </c>
      <c r="BE69" s="82">
        <f>I82</f>
        <v>0</v>
      </c>
      <c r="BF69" s="82">
        <f>K82</f>
        <v>80.099999999999994</v>
      </c>
      <c r="BG69" s="82">
        <f t="shared" si="26"/>
        <v>78.099999999999994</v>
      </c>
      <c r="BH69" s="82">
        <f t="shared" si="26"/>
        <v>78</v>
      </c>
      <c r="BI69" s="82">
        <f t="shared" si="26"/>
        <v>84</v>
      </c>
      <c r="BJ69" s="82">
        <f t="shared" si="26"/>
        <v>85</v>
      </c>
      <c r="BK69" s="82">
        <f t="shared" si="26"/>
        <v>70</v>
      </c>
      <c r="BL69" s="82">
        <f t="shared" si="26"/>
        <v>66.599999999999994</v>
      </c>
      <c r="BM69" s="82">
        <f t="shared" si="26"/>
        <v>0</v>
      </c>
      <c r="BN69" s="82">
        <f t="shared" si="26"/>
        <v>76.400000000000006</v>
      </c>
      <c r="BO69" s="82">
        <f t="shared" si="26"/>
        <v>0</v>
      </c>
      <c r="BP69" s="82">
        <f t="shared" si="26"/>
        <v>68.5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/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45</v>
      </c>
      <c r="BA70" s="81">
        <f t="shared" si="25"/>
        <v>34</v>
      </c>
      <c r="BB70" s="81">
        <f t="shared" si="25"/>
        <v>44.3</v>
      </c>
      <c r="BC70" s="81">
        <f t="shared" si="25"/>
        <v>36.299999999999997</v>
      </c>
      <c r="BD70" s="81">
        <f t="shared" si="25"/>
        <v>32</v>
      </c>
      <c r="BE70" s="82">
        <f>I83</f>
        <v>111</v>
      </c>
      <c r="BF70" s="82">
        <f>K83</f>
        <v>267</v>
      </c>
      <c r="BG70" s="82">
        <f t="shared" si="26"/>
        <v>290</v>
      </c>
      <c r="BH70" s="82">
        <f t="shared" si="26"/>
        <v>312</v>
      </c>
      <c r="BI70" s="82">
        <f t="shared" si="26"/>
        <v>333.1</v>
      </c>
      <c r="BJ70" s="82">
        <f t="shared" si="26"/>
        <v>328.3</v>
      </c>
      <c r="BK70" s="82">
        <f t="shared" si="26"/>
        <v>348</v>
      </c>
      <c r="BL70" s="82">
        <f t="shared" si="26"/>
        <v>315</v>
      </c>
      <c r="BM70" s="82">
        <f t="shared" si="26"/>
        <v>0</v>
      </c>
      <c r="BN70" s="82">
        <f t="shared" si="26"/>
        <v>280.60000000000002</v>
      </c>
      <c r="BO70" s="82">
        <f t="shared" si="26"/>
        <v>0</v>
      </c>
      <c r="BP70" s="82">
        <f t="shared" si="26"/>
        <v>110.3</v>
      </c>
      <c r="BQ70" s="82">
        <f>X83</f>
        <v>117.3</v>
      </c>
      <c r="BR70" s="82">
        <f>Z83</f>
        <v>29</v>
      </c>
      <c r="BS70" s="81">
        <f>AB83</f>
        <v>0</v>
      </c>
      <c r="BT70" s="81">
        <f t="shared" si="27"/>
        <v>0</v>
      </c>
      <c r="BU70" s="81">
        <f t="shared" si="27"/>
        <v>0</v>
      </c>
      <c r="BV70" s="81">
        <f t="shared" si="27"/>
        <v>0</v>
      </c>
      <c r="BW70" s="81">
        <f>B83</f>
        <v>29</v>
      </c>
    </row>
    <row r="71" spans="1:75" s="83" customFormat="1" x14ac:dyDescent="0.25">
      <c r="A71" s="65" t="s">
        <v>91</v>
      </c>
      <c r="B71" s="76">
        <v>11.4</v>
      </c>
      <c r="C71" s="76">
        <v>11.4</v>
      </c>
      <c r="D71" s="76">
        <v>11.4</v>
      </c>
      <c r="E71" s="76">
        <v>11.4</v>
      </c>
      <c r="F71" s="76">
        <v>12</v>
      </c>
      <c r="G71" s="76">
        <v>11.7</v>
      </c>
      <c r="H71" s="76">
        <v>11.6</v>
      </c>
      <c r="I71" s="76">
        <v>11.6</v>
      </c>
      <c r="J71" s="76">
        <v>10.5</v>
      </c>
      <c r="K71" s="76">
        <v>10.5</v>
      </c>
      <c r="L71" s="76">
        <v>10.5</v>
      </c>
      <c r="M71" s="76">
        <v>11.6</v>
      </c>
      <c r="N71" s="76">
        <v>11.6</v>
      </c>
      <c r="O71" s="76">
        <v>11.6</v>
      </c>
      <c r="P71" s="76">
        <v>11.6</v>
      </c>
      <c r="Q71" s="76">
        <v>11.6</v>
      </c>
      <c r="R71" s="76">
        <v>11.6</v>
      </c>
      <c r="S71" s="76"/>
      <c r="T71" s="76">
        <v>11.6</v>
      </c>
      <c r="U71" s="76">
        <v>11.6</v>
      </c>
      <c r="V71" s="76">
        <v>11.6</v>
      </c>
      <c r="W71" s="76">
        <v>11.6</v>
      </c>
      <c r="X71" s="76">
        <v>11.6</v>
      </c>
      <c r="Y71" s="76">
        <v>11.6</v>
      </c>
      <c r="Z71" s="76">
        <v>11.6</v>
      </c>
      <c r="AA71" s="76">
        <v>11.6</v>
      </c>
      <c r="AB71" s="76">
        <v>10</v>
      </c>
      <c r="AC71" s="76">
        <v>10</v>
      </c>
      <c r="AD71" s="76">
        <v>10.199999999999999</v>
      </c>
      <c r="AE71" s="76">
        <v>10.199999999999999</v>
      </c>
      <c r="AF71" s="76">
        <v>10.199999999999999</v>
      </c>
      <c r="AG71" s="66">
        <v>14.1</v>
      </c>
      <c r="AH71" s="48">
        <f t="shared" si="8"/>
        <v>12</v>
      </c>
      <c r="AI71" s="49">
        <f t="shared" si="9"/>
        <v>10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5"/>
        <v>0</v>
      </c>
      <c r="BB71" s="81">
        <f t="shared" si="25"/>
        <v>0</v>
      </c>
      <c r="BC71" s="81">
        <f t="shared" si="25"/>
        <v>0</v>
      </c>
      <c r="BD71" s="81">
        <f t="shared" si="25"/>
        <v>0</v>
      </c>
      <c r="BE71" s="82">
        <f>I84</f>
        <v>0</v>
      </c>
      <c r="BF71" s="82">
        <f>K84</f>
        <v>45.4</v>
      </c>
      <c r="BG71" s="82">
        <f t="shared" si="26"/>
        <v>50</v>
      </c>
      <c r="BH71" s="82">
        <f t="shared" si="26"/>
        <v>50</v>
      </c>
      <c r="BI71" s="82">
        <f t="shared" si="26"/>
        <v>50</v>
      </c>
      <c r="BJ71" s="82">
        <f t="shared" si="26"/>
        <v>50</v>
      </c>
      <c r="BK71" s="82">
        <f t="shared" si="26"/>
        <v>50.7</v>
      </c>
      <c r="BL71" s="82">
        <f t="shared" si="26"/>
        <v>32</v>
      </c>
      <c r="BM71" s="82">
        <f t="shared" si="26"/>
        <v>0</v>
      </c>
      <c r="BN71" s="82">
        <f t="shared" si="26"/>
        <v>38.5</v>
      </c>
      <c r="BO71" s="82">
        <f t="shared" si="26"/>
        <v>0</v>
      </c>
      <c r="BP71" s="82">
        <f t="shared" si="26"/>
        <v>8.6</v>
      </c>
      <c r="BQ71" s="82">
        <f>X84</f>
        <v>11.4</v>
      </c>
      <c r="BR71" s="82">
        <f>Z84</f>
        <v>0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10</v>
      </c>
      <c r="C72" s="76">
        <v>10</v>
      </c>
      <c r="D72" s="76">
        <v>10</v>
      </c>
      <c r="E72" s="76">
        <v>10</v>
      </c>
      <c r="F72" s="76">
        <v>8.3000000000000007</v>
      </c>
      <c r="G72" s="76">
        <v>8.3000000000000007</v>
      </c>
      <c r="H72" s="76">
        <v>8.3000000000000007</v>
      </c>
      <c r="I72" s="76">
        <v>8.3000000000000007</v>
      </c>
      <c r="J72" s="76">
        <v>8.1999999999999993</v>
      </c>
      <c r="K72" s="76">
        <v>8.1999999999999993</v>
      </c>
      <c r="L72" s="76">
        <v>8.1999999999999993</v>
      </c>
      <c r="M72" s="76">
        <v>8.1999999999999993</v>
      </c>
      <c r="N72" s="76">
        <v>8.1999999999999993</v>
      </c>
      <c r="O72" s="76">
        <v>8.1999999999999993</v>
      </c>
      <c r="P72" s="76">
        <v>8.1999999999999993</v>
      </c>
      <c r="Q72" s="76">
        <v>8.1999999999999993</v>
      </c>
      <c r="R72" s="76">
        <v>8.1999999999999993</v>
      </c>
      <c r="S72" s="76"/>
      <c r="T72" s="76">
        <v>8.1999999999999993</v>
      </c>
      <c r="U72" s="76">
        <v>8.1999999999999993</v>
      </c>
      <c r="V72" s="76">
        <v>8.1999999999999993</v>
      </c>
      <c r="W72" s="76">
        <v>8.1999999999999993</v>
      </c>
      <c r="X72" s="76">
        <v>8.1999999999999993</v>
      </c>
      <c r="Y72" s="76">
        <v>8.1999999999999993</v>
      </c>
      <c r="Z72" s="76">
        <v>8.1999999999999993</v>
      </c>
      <c r="AA72" s="76">
        <v>8.1999999999999993</v>
      </c>
      <c r="AB72" s="76">
        <v>6.2</v>
      </c>
      <c r="AC72" s="76">
        <v>6.2</v>
      </c>
      <c r="AD72" s="76">
        <v>6.2</v>
      </c>
      <c r="AE72" s="76">
        <v>6.2</v>
      </c>
      <c r="AF72" s="76">
        <v>6.2</v>
      </c>
      <c r="AG72" s="66">
        <v>14</v>
      </c>
      <c r="AH72" s="48">
        <f t="shared" si="8"/>
        <v>10</v>
      </c>
      <c r="AI72" s="49">
        <f t="shared" si="9"/>
        <v>6.2</v>
      </c>
      <c r="AK72" s="51"/>
      <c r="AY72" s="1" t="s">
        <v>94</v>
      </c>
      <c r="AZ72" s="82">
        <f>ROUND(C85,0)</f>
        <v>0</v>
      </c>
      <c r="BA72" s="81">
        <f t="shared" si="25"/>
        <v>0</v>
      </c>
      <c r="BB72" s="81">
        <f t="shared" si="25"/>
        <v>0</v>
      </c>
      <c r="BC72" s="81">
        <f t="shared" si="25"/>
        <v>0</v>
      </c>
      <c r="BD72" s="81">
        <f t="shared" si="25"/>
        <v>0</v>
      </c>
      <c r="BE72" s="82">
        <f>I85</f>
        <v>0</v>
      </c>
      <c r="BF72" s="82">
        <f>K85</f>
        <v>125</v>
      </c>
      <c r="BG72" s="82">
        <f t="shared" si="26"/>
        <v>131.80000000000001</v>
      </c>
      <c r="BH72" s="82">
        <f t="shared" si="26"/>
        <v>119.3</v>
      </c>
      <c r="BI72" s="82">
        <f t="shared" si="26"/>
        <v>118.1</v>
      </c>
      <c r="BJ72" s="82">
        <f t="shared" si="26"/>
        <v>143.4</v>
      </c>
      <c r="BK72" s="82">
        <f t="shared" si="26"/>
        <v>100.8</v>
      </c>
      <c r="BL72" s="82">
        <f t="shared" si="26"/>
        <v>135</v>
      </c>
      <c r="BM72" s="82">
        <f t="shared" si="26"/>
        <v>0</v>
      </c>
      <c r="BN72" s="82">
        <f t="shared" si="26"/>
        <v>126.6</v>
      </c>
      <c r="BO72" s="82">
        <f t="shared" si="26"/>
        <v>0</v>
      </c>
      <c r="BP72" s="82">
        <f t="shared" si="26"/>
        <v>133.5</v>
      </c>
      <c r="BQ72" s="82">
        <f>X85</f>
        <v>114.1</v>
      </c>
      <c r="BR72" s="82">
        <f>Z85</f>
        <v>0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/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48</v>
      </c>
      <c r="BA73" s="82">
        <f>D91</f>
        <v>48</v>
      </c>
      <c r="BB73" s="82">
        <f>E91</f>
        <v>47.3</v>
      </c>
      <c r="BC73" s="82">
        <f>F91</f>
        <v>46.3</v>
      </c>
      <c r="BD73" s="82">
        <f>G91</f>
        <v>42.6</v>
      </c>
      <c r="BE73" s="82">
        <f>I91</f>
        <v>46.9</v>
      </c>
      <c r="BF73" s="82">
        <f>K91</f>
        <v>51.9</v>
      </c>
      <c r="BG73" s="82">
        <f t="shared" ref="BG73:BP73" si="28">M91</f>
        <v>51.5</v>
      </c>
      <c r="BH73" s="82">
        <f t="shared" si="28"/>
        <v>51.4</v>
      </c>
      <c r="BI73" s="82">
        <f t="shared" si="28"/>
        <v>48</v>
      </c>
      <c r="BJ73" s="82">
        <f t="shared" si="28"/>
        <v>55</v>
      </c>
      <c r="BK73" s="82">
        <f t="shared" si="28"/>
        <v>46.3</v>
      </c>
      <c r="BL73" s="82">
        <f t="shared" si="28"/>
        <v>53.2</v>
      </c>
      <c r="BM73" s="82">
        <f t="shared" si="28"/>
        <v>0</v>
      </c>
      <c r="BN73" s="82">
        <f t="shared" si="28"/>
        <v>48.7</v>
      </c>
      <c r="BO73" s="82">
        <f t="shared" si="28"/>
        <v>0</v>
      </c>
      <c r="BP73" s="82">
        <f t="shared" si="28"/>
        <v>46.5</v>
      </c>
      <c r="BQ73" s="82">
        <f>X91</f>
        <v>46.9</v>
      </c>
      <c r="BR73" s="82">
        <f>Z91</f>
        <v>42.6</v>
      </c>
      <c r="BS73" s="82">
        <f>AB91</f>
        <v>42.2</v>
      </c>
      <c r="BT73" s="82">
        <f>AD91</f>
        <v>43.5</v>
      </c>
      <c r="BU73" s="82">
        <f>AE91</f>
        <v>43</v>
      </c>
      <c r="BV73" s="82">
        <f>AF91</f>
        <v>47.6</v>
      </c>
      <c r="BW73" s="82">
        <f>B91</f>
        <v>48</v>
      </c>
    </row>
    <row r="74" spans="1:75" x14ac:dyDescent="0.25">
      <c r="A74" s="65" t="s">
        <v>97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/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3.54</v>
      </c>
      <c r="Z75" s="85">
        <v>3.54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2">
        <f t="shared" ref="AZ75:BW80" si="29">VALUE(AZ68)</f>
        <v>19</v>
      </c>
      <c r="BA75" s="82">
        <f t="shared" si="29"/>
        <v>20</v>
      </c>
      <c r="BB75" s="82">
        <f t="shared" si="29"/>
        <v>18.5</v>
      </c>
      <c r="BC75" s="82">
        <f t="shared" si="29"/>
        <v>31.4</v>
      </c>
      <c r="BD75" s="82">
        <f t="shared" si="29"/>
        <v>30.6</v>
      </c>
      <c r="BE75" s="82">
        <f t="shared" si="29"/>
        <v>30</v>
      </c>
      <c r="BF75" s="82">
        <f t="shared" si="29"/>
        <v>44.1</v>
      </c>
      <c r="BG75" s="82">
        <f t="shared" si="29"/>
        <v>66.599999999999994</v>
      </c>
      <c r="BH75" s="82">
        <f t="shared" si="29"/>
        <v>49</v>
      </c>
      <c r="BI75" s="82">
        <f t="shared" si="29"/>
        <v>64</v>
      </c>
      <c r="BJ75" s="82">
        <f t="shared" si="29"/>
        <v>65</v>
      </c>
      <c r="BK75" s="82">
        <f t="shared" si="29"/>
        <v>64</v>
      </c>
      <c r="BL75" s="82">
        <f t="shared" si="29"/>
        <v>60</v>
      </c>
      <c r="BM75" s="82">
        <f t="shared" si="29"/>
        <v>0</v>
      </c>
      <c r="BN75" s="82">
        <f t="shared" si="29"/>
        <v>64.5</v>
      </c>
      <c r="BO75" s="82">
        <f t="shared" si="29"/>
        <v>0</v>
      </c>
      <c r="BP75" s="82">
        <f t="shared" si="29"/>
        <v>65</v>
      </c>
      <c r="BQ75" s="82">
        <f t="shared" si="29"/>
        <v>65.900000000000006</v>
      </c>
      <c r="BR75" s="82">
        <f t="shared" si="29"/>
        <v>33</v>
      </c>
      <c r="BS75" s="82">
        <f t="shared" si="29"/>
        <v>28.8</v>
      </c>
      <c r="BT75" s="82">
        <f t="shared" si="29"/>
        <v>44</v>
      </c>
      <c r="BU75" s="82">
        <f t="shared" si="29"/>
        <v>29</v>
      </c>
      <c r="BV75" s="82">
        <f t="shared" si="29"/>
        <v>39.5</v>
      </c>
      <c r="BW75" s="82">
        <f t="shared" si="29"/>
        <v>25</v>
      </c>
    </row>
    <row r="76" spans="1:75" ht="15.75" thickBot="1" x14ac:dyDescent="0.3">
      <c r="A76" s="87" t="s">
        <v>99</v>
      </c>
      <c r="B76" s="71">
        <f>SUM(B63:B75)</f>
        <v>312.73999999999995</v>
      </c>
      <c r="C76" s="71">
        <f>SUM(C63:C75)</f>
        <v>342.73999999999995</v>
      </c>
      <c r="D76" s="71">
        <f>SUM(D63:D75)</f>
        <v>342.73999999999995</v>
      </c>
      <c r="E76" s="71">
        <f t="shared" ref="E76:AG76" si="30">SUM(E63:E75)</f>
        <v>332.73999999999995</v>
      </c>
      <c r="F76" s="71">
        <f t="shared" si="30"/>
        <v>343.24</v>
      </c>
      <c r="G76" s="71">
        <f t="shared" si="30"/>
        <v>316.24</v>
      </c>
      <c r="H76" s="71">
        <f t="shared" si="30"/>
        <v>317.34000000000009</v>
      </c>
      <c r="I76" s="71">
        <f t="shared" si="30"/>
        <v>317.34000000000009</v>
      </c>
      <c r="J76" s="71">
        <f t="shared" si="30"/>
        <v>326.04000000000002</v>
      </c>
      <c r="K76" s="71">
        <f t="shared" si="30"/>
        <v>328.84000000000003</v>
      </c>
      <c r="L76" s="71">
        <f t="shared" si="30"/>
        <v>273.94000000000005</v>
      </c>
      <c r="M76" s="71">
        <f>SUM(M63:M75)</f>
        <v>285.44000000000005</v>
      </c>
      <c r="N76" s="71">
        <f t="shared" si="30"/>
        <v>267.54000000000002</v>
      </c>
      <c r="O76" s="71">
        <f t="shared" si="30"/>
        <v>296.04000000000002</v>
      </c>
      <c r="P76" s="71">
        <f t="shared" si="30"/>
        <v>346.04</v>
      </c>
      <c r="Q76" s="71">
        <f t="shared" si="30"/>
        <v>346.04</v>
      </c>
      <c r="R76" s="71">
        <f t="shared" si="30"/>
        <v>235.94</v>
      </c>
      <c r="S76" s="71">
        <f>SUM(S63:S75)</f>
        <v>3.54</v>
      </c>
      <c r="T76" s="71">
        <f>SUM(T63:T75)</f>
        <v>335.24</v>
      </c>
      <c r="U76" s="71">
        <f t="shared" si="30"/>
        <v>331.54</v>
      </c>
      <c r="V76" s="71">
        <f t="shared" si="30"/>
        <v>276.64</v>
      </c>
      <c r="W76" s="71">
        <f t="shared" si="30"/>
        <v>234.33999999999995</v>
      </c>
      <c r="X76" s="71">
        <f>SUM(X63:X75)</f>
        <v>234.14000000000001</v>
      </c>
      <c r="Y76" s="71">
        <f>SUM(Y63:Y75)</f>
        <v>276.74</v>
      </c>
      <c r="Z76" s="71">
        <f>SUM(Z63:Z75)</f>
        <v>335.54</v>
      </c>
      <c r="AA76" s="71">
        <f>SUM(AA63:AA75)</f>
        <v>363.34</v>
      </c>
      <c r="AB76" s="71">
        <f t="shared" si="30"/>
        <v>312.74</v>
      </c>
      <c r="AC76" s="71">
        <f t="shared" si="30"/>
        <v>313.94</v>
      </c>
      <c r="AD76" s="71">
        <f t="shared" si="30"/>
        <v>314.03999999999996</v>
      </c>
      <c r="AE76" s="71">
        <f t="shared" si="30"/>
        <v>331.53999999999996</v>
      </c>
      <c r="AF76" s="71">
        <f t="shared" si="30"/>
        <v>304.33999999999997</v>
      </c>
      <c r="AG76" s="72">
        <f t="shared" si="30"/>
        <v>489.91</v>
      </c>
      <c r="AH76" s="48">
        <f t="shared" si="8"/>
        <v>363.34</v>
      </c>
      <c r="AI76" s="49">
        <f t="shared" si="9"/>
        <v>3.54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80.099999999999994</v>
      </c>
      <c r="BG76" s="82">
        <f t="shared" si="29"/>
        <v>78.099999999999994</v>
      </c>
      <c r="BH76" s="82">
        <f t="shared" si="29"/>
        <v>78</v>
      </c>
      <c r="BI76" s="82">
        <f t="shared" si="29"/>
        <v>84</v>
      </c>
      <c r="BJ76" s="82">
        <f t="shared" si="29"/>
        <v>85</v>
      </c>
      <c r="BK76" s="82">
        <f t="shared" si="29"/>
        <v>70</v>
      </c>
      <c r="BL76" s="82">
        <f t="shared" si="29"/>
        <v>66.599999999999994</v>
      </c>
      <c r="BM76" s="82">
        <f t="shared" si="29"/>
        <v>0</v>
      </c>
      <c r="BN76" s="82">
        <f t="shared" si="29"/>
        <v>76.400000000000006</v>
      </c>
      <c r="BO76" s="82">
        <f t="shared" si="29"/>
        <v>0</v>
      </c>
      <c r="BP76" s="82">
        <f t="shared" si="29"/>
        <v>68.5</v>
      </c>
      <c r="BQ76" s="82">
        <f t="shared" si="29"/>
        <v>0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>
        <v>60</v>
      </c>
      <c r="C77" s="46">
        <v>50</v>
      </c>
      <c r="D77" s="46">
        <v>50</v>
      </c>
      <c r="E77" s="46">
        <v>15.4</v>
      </c>
      <c r="F77" s="46">
        <v>14.4</v>
      </c>
      <c r="G77" s="46">
        <v>29.5</v>
      </c>
      <c r="H77" s="46">
        <v>29.5</v>
      </c>
      <c r="I77" s="46">
        <v>29.5</v>
      </c>
      <c r="J77" s="46">
        <v>29.5</v>
      </c>
      <c r="K77" s="46">
        <v>29.4</v>
      </c>
      <c r="L77" s="46">
        <v>29.5</v>
      </c>
      <c r="M77" s="46">
        <v>59.3</v>
      </c>
      <c r="N77" s="46">
        <v>49.3</v>
      </c>
      <c r="O77" s="46">
        <v>59.3</v>
      </c>
      <c r="P77" s="46">
        <v>40</v>
      </c>
      <c r="Q77" s="46">
        <v>50</v>
      </c>
      <c r="R77" s="46">
        <v>28</v>
      </c>
      <c r="S77" s="46"/>
      <c r="T77" s="46">
        <v>0</v>
      </c>
      <c r="U77" s="46">
        <v>0</v>
      </c>
      <c r="V77" s="46">
        <v>0</v>
      </c>
      <c r="W77" s="46">
        <v>0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61">
        <v>60</v>
      </c>
      <c r="AH77" s="48">
        <f t="shared" si="8"/>
        <v>60</v>
      </c>
      <c r="AI77" s="49">
        <f t="shared" si="9"/>
        <v>0</v>
      </c>
      <c r="AK77" s="51"/>
      <c r="AZ77" s="82">
        <f t="shared" si="29"/>
        <v>45</v>
      </c>
      <c r="BA77" s="82">
        <f t="shared" si="29"/>
        <v>34</v>
      </c>
      <c r="BB77" s="82">
        <f t="shared" si="29"/>
        <v>44.3</v>
      </c>
      <c r="BC77" s="82">
        <f t="shared" si="29"/>
        <v>36.299999999999997</v>
      </c>
      <c r="BD77" s="82">
        <f t="shared" si="29"/>
        <v>32</v>
      </c>
      <c r="BE77" s="82">
        <f t="shared" si="29"/>
        <v>111</v>
      </c>
      <c r="BF77" s="82">
        <f t="shared" si="29"/>
        <v>267</v>
      </c>
      <c r="BG77" s="82">
        <f t="shared" si="29"/>
        <v>290</v>
      </c>
      <c r="BH77" s="82">
        <f t="shared" si="29"/>
        <v>312</v>
      </c>
      <c r="BI77" s="82">
        <f t="shared" si="29"/>
        <v>333.1</v>
      </c>
      <c r="BJ77" s="82">
        <f t="shared" si="29"/>
        <v>328.3</v>
      </c>
      <c r="BK77" s="82">
        <f t="shared" si="29"/>
        <v>348</v>
      </c>
      <c r="BL77" s="82">
        <f t="shared" si="29"/>
        <v>315</v>
      </c>
      <c r="BM77" s="82">
        <f t="shared" si="29"/>
        <v>0</v>
      </c>
      <c r="BN77" s="82">
        <f t="shared" si="29"/>
        <v>280.60000000000002</v>
      </c>
      <c r="BO77" s="82">
        <f t="shared" si="29"/>
        <v>0</v>
      </c>
      <c r="BP77" s="82">
        <f t="shared" si="29"/>
        <v>110.3</v>
      </c>
      <c r="BQ77" s="82">
        <f t="shared" si="29"/>
        <v>117.3</v>
      </c>
      <c r="BR77" s="82">
        <f t="shared" si="29"/>
        <v>29</v>
      </c>
      <c r="BS77" s="82">
        <f t="shared" si="29"/>
        <v>0</v>
      </c>
      <c r="BT77" s="82">
        <f t="shared" si="29"/>
        <v>0</v>
      </c>
      <c r="BU77" s="82">
        <f t="shared" si="29"/>
        <v>0</v>
      </c>
      <c r="BV77" s="82">
        <f t="shared" si="29"/>
        <v>0</v>
      </c>
      <c r="BW77" s="82">
        <f t="shared" si="29"/>
        <v>29</v>
      </c>
    </row>
    <row r="78" spans="1:75" x14ac:dyDescent="0.25">
      <c r="A78" s="65" t="s">
        <v>101</v>
      </c>
      <c r="B78" s="76">
        <v>28.3</v>
      </c>
      <c r="C78" s="76">
        <v>21</v>
      </c>
      <c r="D78" s="76">
        <v>21</v>
      </c>
      <c r="E78" s="76">
        <v>14.7</v>
      </c>
      <c r="F78" s="76">
        <v>5.5</v>
      </c>
      <c r="G78" s="76">
        <v>14.1</v>
      </c>
      <c r="H78" s="76">
        <v>14.6</v>
      </c>
      <c r="I78" s="76">
        <v>14.6</v>
      </c>
      <c r="J78" s="76">
        <v>17</v>
      </c>
      <c r="K78" s="76">
        <v>14</v>
      </c>
      <c r="L78" s="76">
        <v>14.8</v>
      </c>
      <c r="M78" s="76">
        <v>29.6</v>
      </c>
      <c r="N78" s="76">
        <v>22</v>
      </c>
      <c r="O78" s="76">
        <v>22.5</v>
      </c>
      <c r="P78" s="76">
        <v>21</v>
      </c>
      <c r="Q78" s="76">
        <v>26</v>
      </c>
      <c r="R78" s="76">
        <v>3.9</v>
      </c>
      <c r="S78" s="76"/>
      <c r="T78" s="76">
        <v>0</v>
      </c>
      <c r="U78" s="76">
        <v>0</v>
      </c>
      <c r="V78" s="76">
        <v>0</v>
      </c>
      <c r="W78" s="76">
        <v>6.6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66">
        <v>32</v>
      </c>
      <c r="AH78" s="48">
        <f t="shared" si="8"/>
        <v>29.6</v>
      </c>
      <c r="AI78" s="49">
        <f t="shared" si="9"/>
        <v>0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45.4</v>
      </c>
      <c r="BG78" s="82">
        <f t="shared" si="29"/>
        <v>50</v>
      </c>
      <c r="BH78" s="82">
        <f t="shared" si="29"/>
        <v>50</v>
      </c>
      <c r="BI78" s="82">
        <f t="shared" si="29"/>
        <v>50</v>
      </c>
      <c r="BJ78" s="82">
        <f t="shared" si="29"/>
        <v>50</v>
      </c>
      <c r="BK78" s="82">
        <f t="shared" si="29"/>
        <v>50.7</v>
      </c>
      <c r="BL78" s="82">
        <f t="shared" si="29"/>
        <v>32</v>
      </c>
      <c r="BM78" s="82">
        <f t="shared" si="29"/>
        <v>0</v>
      </c>
      <c r="BN78" s="82">
        <f t="shared" si="29"/>
        <v>38.5</v>
      </c>
      <c r="BO78" s="82">
        <f t="shared" si="29"/>
        <v>0</v>
      </c>
      <c r="BP78" s="82">
        <f t="shared" si="29"/>
        <v>8.6</v>
      </c>
      <c r="BQ78" s="82">
        <f t="shared" si="29"/>
        <v>11.4</v>
      </c>
      <c r="BR78" s="82">
        <f t="shared" si="29"/>
        <v>0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>
        <v>10</v>
      </c>
      <c r="C79" s="78">
        <v>7</v>
      </c>
      <c r="D79" s="78">
        <v>7</v>
      </c>
      <c r="E79" s="78">
        <v>5.4</v>
      </c>
      <c r="F79" s="78">
        <v>2</v>
      </c>
      <c r="G79" s="78">
        <v>5.0999999999999996</v>
      </c>
      <c r="H79" s="78">
        <v>5.3</v>
      </c>
      <c r="I79" s="78">
        <v>5.3</v>
      </c>
      <c r="J79" s="78">
        <v>6.2</v>
      </c>
      <c r="K79" s="78">
        <v>5.0999999999999996</v>
      </c>
      <c r="L79" s="78">
        <v>5.4</v>
      </c>
      <c r="M79" s="78">
        <v>10.8</v>
      </c>
      <c r="N79" s="78">
        <v>8</v>
      </c>
      <c r="O79" s="78">
        <v>8.1999999999999993</v>
      </c>
      <c r="P79" s="78">
        <v>7</v>
      </c>
      <c r="Q79" s="78">
        <v>9.6</v>
      </c>
      <c r="R79" s="78">
        <v>1.4</v>
      </c>
      <c r="S79" s="78"/>
      <c r="T79" s="78">
        <v>0</v>
      </c>
      <c r="U79" s="78">
        <v>0</v>
      </c>
      <c r="V79" s="78">
        <v>0</v>
      </c>
      <c r="W79" s="78">
        <v>2.4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79">
        <v>14</v>
      </c>
      <c r="AH79" s="48">
        <f t="shared" si="8"/>
        <v>10.8</v>
      </c>
      <c r="AI79" s="49">
        <f t="shared" si="9"/>
        <v>0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125</v>
      </c>
      <c r="BG79" s="82">
        <f t="shared" si="29"/>
        <v>131.80000000000001</v>
      </c>
      <c r="BH79" s="82">
        <f t="shared" si="29"/>
        <v>119.3</v>
      </c>
      <c r="BI79" s="82">
        <f t="shared" si="29"/>
        <v>118.1</v>
      </c>
      <c r="BJ79" s="82">
        <f t="shared" si="29"/>
        <v>143.4</v>
      </c>
      <c r="BK79" s="82">
        <f t="shared" si="29"/>
        <v>100.8</v>
      </c>
      <c r="BL79" s="82">
        <f t="shared" si="29"/>
        <v>135</v>
      </c>
      <c r="BM79" s="82">
        <f t="shared" si="29"/>
        <v>0</v>
      </c>
      <c r="BN79" s="82">
        <f t="shared" si="29"/>
        <v>126.6</v>
      </c>
      <c r="BO79" s="82">
        <f t="shared" si="29"/>
        <v>0</v>
      </c>
      <c r="BP79" s="82">
        <f t="shared" si="29"/>
        <v>133.5</v>
      </c>
      <c r="BQ79" s="82">
        <f t="shared" si="29"/>
        <v>114.1</v>
      </c>
      <c r="BR79" s="82">
        <f t="shared" si="29"/>
        <v>0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>B77+B78+B79</f>
        <v>98.3</v>
      </c>
      <c r="C80" s="71">
        <f>C77+C78+C79</f>
        <v>78</v>
      </c>
      <c r="D80" s="71">
        <f>D77+D78+D79</f>
        <v>78</v>
      </c>
      <c r="E80" s="71">
        <f t="shared" ref="E80:AF80" si="31">E77+E78+E79</f>
        <v>35.5</v>
      </c>
      <c r="F80" s="71">
        <f t="shared" si="31"/>
        <v>21.9</v>
      </c>
      <c r="G80" s="71">
        <f t="shared" si="31"/>
        <v>48.7</v>
      </c>
      <c r="H80" s="71">
        <f t="shared" si="31"/>
        <v>49.4</v>
      </c>
      <c r="I80" s="71">
        <f t="shared" si="31"/>
        <v>49.4</v>
      </c>
      <c r="J80" s="71">
        <f t="shared" si="31"/>
        <v>52.7</v>
      </c>
      <c r="K80" s="71">
        <f t="shared" si="31"/>
        <v>48.5</v>
      </c>
      <c r="L80" s="71">
        <f t="shared" si="31"/>
        <v>49.699999999999996</v>
      </c>
      <c r="M80" s="71">
        <f>M77+M78+M79</f>
        <v>99.7</v>
      </c>
      <c r="N80" s="71">
        <f t="shared" si="31"/>
        <v>79.3</v>
      </c>
      <c r="O80" s="71">
        <f t="shared" si="31"/>
        <v>90</v>
      </c>
      <c r="P80" s="71">
        <f t="shared" si="31"/>
        <v>68</v>
      </c>
      <c r="Q80" s="71">
        <f t="shared" si="31"/>
        <v>85.6</v>
      </c>
      <c r="R80" s="71">
        <f t="shared" si="31"/>
        <v>33.299999999999997</v>
      </c>
      <c r="S80" s="71">
        <f>S77+S78+S79</f>
        <v>0</v>
      </c>
      <c r="T80" s="71">
        <f>T77+T78+T79</f>
        <v>0</v>
      </c>
      <c r="U80" s="71">
        <f t="shared" si="31"/>
        <v>0</v>
      </c>
      <c r="V80" s="71">
        <f t="shared" si="31"/>
        <v>0</v>
      </c>
      <c r="W80" s="71">
        <f t="shared" si="31"/>
        <v>9</v>
      </c>
      <c r="X80" s="71">
        <f>X77+X78+X79</f>
        <v>0</v>
      </c>
      <c r="Y80" s="71">
        <f>Y77+Y78+Y79</f>
        <v>0</v>
      </c>
      <c r="Z80" s="71">
        <f>Z77+Z78+Z79</f>
        <v>0</v>
      </c>
      <c r="AA80" s="71">
        <f>AA77+AA78+AA79</f>
        <v>0</v>
      </c>
      <c r="AB80" s="71">
        <f t="shared" si="31"/>
        <v>0</v>
      </c>
      <c r="AC80" s="71">
        <f t="shared" si="31"/>
        <v>0</v>
      </c>
      <c r="AD80" s="71">
        <v>0</v>
      </c>
      <c r="AE80" s="71">
        <f t="shared" si="31"/>
        <v>0</v>
      </c>
      <c r="AF80" s="71">
        <f t="shared" si="31"/>
        <v>0</v>
      </c>
      <c r="AG80" s="72">
        <f>SUM(AG77:AG79)</f>
        <v>106</v>
      </c>
      <c r="AH80" s="48">
        <f t="shared" si="8"/>
        <v>99.7</v>
      </c>
      <c r="AI80" s="49">
        <f t="shared" si="9"/>
        <v>0</v>
      </c>
      <c r="AK80" s="51"/>
      <c r="AZ80" s="82">
        <f t="shared" si="29"/>
        <v>48</v>
      </c>
      <c r="BA80" s="82">
        <f t="shared" si="29"/>
        <v>48</v>
      </c>
      <c r="BB80" s="82">
        <f t="shared" si="29"/>
        <v>47.3</v>
      </c>
      <c r="BC80" s="82">
        <f t="shared" si="29"/>
        <v>46.3</v>
      </c>
      <c r="BD80" s="82">
        <f t="shared" si="29"/>
        <v>42.6</v>
      </c>
      <c r="BE80" s="82">
        <f t="shared" si="29"/>
        <v>46.9</v>
      </c>
      <c r="BF80" s="82">
        <f t="shared" si="29"/>
        <v>51.9</v>
      </c>
      <c r="BG80" s="82">
        <f t="shared" si="29"/>
        <v>51.5</v>
      </c>
      <c r="BH80" s="82">
        <f t="shared" si="29"/>
        <v>51.4</v>
      </c>
      <c r="BI80" s="82">
        <f t="shared" si="29"/>
        <v>48</v>
      </c>
      <c r="BJ80" s="82">
        <f t="shared" si="29"/>
        <v>55</v>
      </c>
      <c r="BK80" s="82">
        <f t="shared" si="29"/>
        <v>46.3</v>
      </c>
      <c r="BL80" s="82">
        <f t="shared" si="29"/>
        <v>53.2</v>
      </c>
      <c r="BM80" s="82">
        <f t="shared" si="29"/>
        <v>0</v>
      </c>
      <c r="BN80" s="82">
        <f t="shared" si="29"/>
        <v>48.7</v>
      </c>
      <c r="BO80" s="82">
        <f t="shared" si="29"/>
        <v>0</v>
      </c>
      <c r="BP80" s="82">
        <f t="shared" si="29"/>
        <v>46.5</v>
      </c>
      <c r="BQ80" s="82">
        <f t="shared" si="29"/>
        <v>46.9</v>
      </c>
      <c r="BR80" s="82">
        <f t="shared" si="29"/>
        <v>42.6</v>
      </c>
      <c r="BS80" s="82">
        <f t="shared" si="29"/>
        <v>42.2</v>
      </c>
      <c r="BT80" s="82">
        <f t="shared" si="29"/>
        <v>43.5</v>
      </c>
      <c r="BU80" s="82">
        <f t="shared" si="29"/>
        <v>43</v>
      </c>
      <c r="BV80" s="82">
        <f t="shared" si="29"/>
        <v>47.6</v>
      </c>
      <c r="BW80" s="82">
        <f t="shared" si="29"/>
        <v>48</v>
      </c>
    </row>
    <row r="81" spans="1:64" x14ac:dyDescent="0.25">
      <c r="A81" s="45" t="s">
        <v>104</v>
      </c>
      <c r="B81" s="46">
        <v>25</v>
      </c>
      <c r="C81" s="46">
        <v>19</v>
      </c>
      <c r="D81" s="46">
        <v>20</v>
      </c>
      <c r="E81" s="46">
        <v>18.5</v>
      </c>
      <c r="F81" s="46">
        <v>31.4</v>
      </c>
      <c r="G81" s="46">
        <v>30.6</v>
      </c>
      <c r="H81" s="46">
        <v>29</v>
      </c>
      <c r="I81" s="46">
        <v>30</v>
      </c>
      <c r="J81" s="46">
        <v>48.5</v>
      </c>
      <c r="K81" s="46">
        <v>44.1</v>
      </c>
      <c r="L81" s="46">
        <v>66.599999999999994</v>
      </c>
      <c r="M81" s="46">
        <v>66.599999999999994</v>
      </c>
      <c r="N81" s="46">
        <v>49</v>
      </c>
      <c r="O81" s="46">
        <v>64</v>
      </c>
      <c r="P81" s="46">
        <v>65</v>
      </c>
      <c r="Q81" s="46">
        <v>64</v>
      </c>
      <c r="R81" s="46">
        <v>60</v>
      </c>
      <c r="S81" s="46"/>
      <c r="T81" s="46">
        <v>64.5</v>
      </c>
      <c r="U81" s="46"/>
      <c r="V81" s="46">
        <v>65</v>
      </c>
      <c r="W81" s="46">
        <v>62.8</v>
      </c>
      <c r="X81" s="46">
        <v>65.900000000000006</v>
      </c>
      <c r="Y81" s="46">
        <v>36.200000000000003</v>
      </c>
      <c r="Z81" s="46">
        <v>33</v>
      </c>
      <c r="AA81" s="46">
        <v>18.5</v>
      </c>
      <c r="AB81" s="46">
        <v>28.8</v>
      </c>
      <c r="AC81" s="46">
        <v>46.3</v>
      </c>
      <c r="AD81" s="46">
        <v>44</v>
      </c>
      <c r="AE81" s="46">
        <v>29</v>
      </c>
      <c r="AF81" s="46">
        <v>39.5</v>
      </c>
      <c r="AG81" s="61"/>
      <c r="AH81" s="48">
        <f t="shared" si="8"/>
        <v>66.599999999999994</v>
      </c>
      <c r="AI81" s="49">
        <f t="shared" si="9"/>
        <v>18.5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80.099999999999994</v>
      </c>
      <c r="L82" s="76">
        <v>77.900000000000006</v>
      </c>
      <c r="M82" s="76">
        <v>78.099999999999994</v>
      </c>
      <c r="N82" s="76">
        <v>78</v>
      </c>
      <c r="O82" s="76">
        <f>41+43</f>
        <v>84</v>
      </c>
      <c r="P82" s="76">
        <v>85</v>
      </c>
      <c r="Q82" s="76">
        <v>70</v>
      </c>
      <c r="R82" s="76">
        <v>66.599999999999994</v>
      </c>
      <c r="S82" s="76"/>
      <c r="T82" s="76">
        <v>76.400000000000006</v>
      </c>
      <c r="U82" s="76"/>
      <c r="V82" s="76">
        <v>68.5</v>
      </c>
      <c r="W82" s="76">
        <v>62.4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/>
      <c r="AF82" s="76"/>
      <c r="AG82" s="66"/>
      <c r="AH82" s="48">
        <f t="shared" ref="AH82:AH125" si="32">MAX(B82:AF82)</f>
        <v>85</v>
      </c>
      <c r="AI82" s="49">
        <f t="shared" ref="AI82:AI125" si="33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29</v>
      </c>
      <c r="C83" s="76">
        <v>45</v>
      </c>
      <c r="D83" s="76">
        <v>34</v>
      </c>
      <c r="E83" s="76">
        <v>44.3</v>
      </c>
      <c r="F83" s="76">
        <v>36.299999999999997</v>
      </c>
      <c r="G83" s="76">
        <v>32</v>
      </c>
      <c r="H83" s="76">
        <v>70</v>
      </c>
      <c r="I83" s="76">
        <v>111</v>
      </c>
      <c r="J83" s="76">
        <v>265</v>
      </c>
      <c r="K83" s="76">
        <v>267</v>
      </c>
      <c r="L83" s="76">
        <v>324</v>
      </c>
      <c r="M83" s="76">
        <v>290</v>
      </c>
      <c r="N83" s="76">
        <v>312</v>
      </c>
      <c r="O83" s="76">
        <v>333.1</v>
      </c>
      <c r="P83" s="76">
        <v>328.3</v>
      </c>
      <c r="Q83" s="76">
        <v>348</v>
      </c>
      <c r="R83" s="76">
        <v>315</v>
      </c>
      <c r="S83" s="76"/>
      <c r="T83" s="76">
        <v>280.60000000000002</v>
      </c>
      <c r="U83" s="76"/>
      <c r="V83" s="76">
        <v>110.3</v>
      </c>
      <c r="W83" s="76">
        <v>121.7</v>
      </c>
      <c r="X83" s="76">
        <v>117.3</v>
      </c>
      <c r="Y83" s="76">
        <v>22.2</v>
      </c>
      <c r="Z83" s="76">
        <v>29</v>
      </c>
      <c r="AA83" s="76">
        <v>4.8</v>
      </c>
      <c r="AB83" s="76">
        <v>0</v>
      </c>
      <c r="AC83" s="76">
        <v>0</v>
      </c>
      <c r="AD83" s="76"/>
      <c r="AE83" s="76">
        <v>0</v>
      </c>
      <c r="AF83" s="76"/>
      <c r="AG83" s="88"/>
      <c r="AH83" s="48">
        <f t="shared" si="32"/>
        <v>348</v>
      </c>
      <c r="AI83" s="49">
        <f t="shared" si="33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31.6</v>
      </c>
      <c r="K84" s="89">
        <v>45.4</v>
      </c>
      <c r="L84" s="89">
        <v>48.8</v>
      </c>
      <c r="M84" s="89">
        <v>50</v>
      </c>
      <c r="N84" s="89">
        <v>50</v>
      </c>
      <c r="O84" s="89">
        <v>50</v>
      </c>
      <c r="P84" s="89">
        <v>50</v>
      </c>
      <c r="Q84" s="89">
        <v>50.7</v>
      </c>
      <c r="R84" s="89">
        <v>32</v>
      </c>
      <c r="S84" s="89"/>
      <c r="T84" s="89">
        <v>38.5</v>
      </c>
      <c r="U84" s="89"/>
      <c r="V84" s="89">
        <v>8.6</v>
      </c>
      <c r="W84" s="89">
        <v>11.6</v>
      </c>
      <c r="X84" s="89">
        <v>11.4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/>
      <c r="AE84" s="89"/>
      <c r="AF84" s="89"/>
      <c r="AG84" s="88"/>
      <c r="AH84" s="48">
        <f t="shared" si="32"/>
        <v>50.7</v>
      </c>
      <c r="AI84" s="49">
        <f t="shared" si="33"/>
        <v>0</v>
      </c>
      <c r="AK84" s="51"/>
      <c r="AY84" s="82"/>
      <c r="BF84" s="81"/>
      <c r="BG84" s="82">
        <f t="array" ref="BG84:BL107">TRANSPOSE(AZ68:BW73)</f>
        <v>19</v>
      </c>
      <c r="BH84" s="82">
        <v>0</v>
      </c>
      <c r="BI84" s="82">
        <v>45</v>
      </c>
      <c r="BJ84" s="82">
        <v>0</v>
      </c>
      <c r="BK84" s="82">
        <v>0</v>
      </c>
      <c r="BL84" s="82">
        <v>48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117.1</v>
      </c>
      <c r="K85" s="46">
        <v>125</v>
      </c>
      <c r="L85" s="46">
        <v>131</v>
      </c>
      <c r="M85" s="46">
        <v>131.80000000000001</v>
      </c>
      <c r="N85" s="46">
        <v>119.3</v>
      </c>
      <c r="O85" s="46">
        <v>118.1</v>
      </c>
      <c r="P85" s="46">
        <v>143.4</v>
      </c>
      <c r="Q85" s="46">
        <v>100.8</v>
      </c>
      <c r="R85" s="46">
        <v>135</v>
      </c>
      <c r="S85" s="46"/>
      <c r="T85" s="46">
        <v>126.6</v>
      </c>
      <c r="U85" s="46"/>
      <c r="V85" s="46">
        <v>133.5</v>
      </c>
      <c r="W85" s="46">
        <v>131</v>
      </c>
      <c r="X85" s="46">
        <v>114.1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/>
      <c r="AE85" s="46"/>
      <c r="AF85" s="46"/>
      <c r="AG85" s="88"/>
      <c r="AH85" s="48">
        <f t="shared" si="32"/>
        <v>143.4</v>
      </c>
      <c r="AI85" s="49">
        <f t="shared" si="33"/>
        <v>0</v>
      </c>
      <c r="AK85" s="51"/>
      <c r="AY85" s="82"/>
      <c r="BF85" s="81"/>
      <c r="BG85" s="82">
        <v>20</v>
      </c>
      <c r="BH85" s="82">
        <v>0</v>
      </c>
      <c r="BI85" s="82">
        <v>34</v>
      </c>
      <c r="BJ85" s="82">
        <v>0</v>
      </c>
      <c r="BK85" s="82">
        <v>0</v>
      </c>
      <c r="BL85" s="82">
        <v>48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2"/>
        <v>0</v>
      </c>
      <c r="AI86" s="49">
        <f t="shared" si="33"/>
        <v>0</v>
      </c>
      <c r="AK86" s="51"/>
      <c r="AY86" s="82"/>
      <c r="BF86" s="81"/>
      <c r="BG86" s="82">
        <v>18.5</v>
      </c>
      <c r="BH86" s="82">
        <v>0</v>
      </c>
      <c r="BI86" s="82">
        <v>44.3</v>
      </c>
      <c r="BJ86" s="82">
        <v>0</v>
      </c>
      <c r="BK86" s="82">
        <v>0</v>
      </c>
      <c r="BL86" s="82">
        <v>47.3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2"/>
        <v>0</v>
      </c>
      <c r="AI87" s="49">
        <f t="shared" si="33"/>
        <v>0</v>
      </c>
      <c r="AK87" s="51"/>
      <c r="AL87" s="91" t="s">
        <v>111</v>
      </c>
      <c r="AM87" s="91"/>
      <c r="AY87" s="82"/>
      <c r="BF87" s="82"/>
      <c r="BG87" s="82">
        <v>31.4</v>
      </c>
      <c r="BH87" s="82">
        <v>0</v>
      </c>
      <c r="BI87" s="82">
        <v>36.299999999999997</v>
      </c>
      <c r="BJ87" s="82">
        <v>0</v>
      </c>
      <c r="BK87" s="82">
        <v>0</v>
      </c>
      <c r="BL87" s="82">
        <v>46.3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2"/>
        <v>0</v>
      </c>
      <c r="AI88" s="49">
        <f t="shared" si="33"/>
        <v>0</v>
      </c>
      <c r="AK88" s="92"/>
      <c r="AL88" s="93"/>
      <c r="AM88" s="93"/>
      <c r="AN88" s="94"/>
      <c r="AY88" s="82"/>
      <c r="BF88" s="82"/>
      <c r="BG88" s="82">
        <v>30.6</v>
      </c>
      <c r="BH88" s="82">
        <v>0</v>
      </c>
      <c r="BI88" s="82">
        <v>32</v>
      </c>
      <c r="BJ88" s="82">
        <v>0</v>
      </c>
      <c r="BK88" s="82">
        <v>0</v>
      </c>
      <c r="BL88" s="82">
        <v>42.6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2"/>
        <v>0</v>
      </c>
      <c r="AI89" s="49">
        <f t="shared" si="33"/>
        <v>0</v>
      </c>
      <c r="AK89" s="95" t="s">
        <v>114</v>
      </c>
      <c r="AL89" s="76"/>
      <c r="AM89" s="89"/>
      <c r="AN89" s="96"/>
      <c r="AY89" s="82"/>
      <c r="BF89" s="82"/>
      <c r="BG89" s="82">
        <v>30</v>
      </c>
      <c r="BH89" s="82">
        <v>0</v>
      </c>
      <c r="BI89" s="82">
        <v>111</v>
      </c>
      <c r="BJ89" s="82">
        <v>0</v>
      </c>
      <c r="BK89" s="82">
        <v>0</v>
      </c>
      <c r="BL89" s="82">
        <v>46.9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2"/>
        <v>0</v>
      </c>
      <c r="AI90" s="49">
        <f t="shared" si="33"/>
        <v>0</v>
      </c>
      <c r="AK90" s="95" t="s">
        <v>116</v>
      </c>
      <c r="AL90" s="89"/>
      <c r="AM90" s="89"/>
      <c r="AN90" s="96"/>
      <c r="AY90" s="82"/>
      <c r="BF90" s="82"/>
      <c r="BG90" s="82">
        <v>44.1</v>
      </c>
      <c r="BH90" s="82">
        <v>80.099999999999994</v>
      </c>
      <c r="BI90" s="82">
        <v>267</v>
      </c>
      <c r="BJ90" s="82">
        <v>45.4</v>
      </c>
      <c r="BK90" s="82">
        <v>125</v>
      </c>
      <c r="BL90" s="82">
        <v>51.9</v>
      </c>
    </row>
    <row r="91" spans="1:64" ht="15.75" thickBot="1" x14ac:dyDescent="0.3">
      <c r="A91" s="97" t="s">
        <v>117</v>
      </c>
      <c r="B91" s="90">
        <v>48</v>
      </c>
      <c r="C91" s="90">
        <v>48</v>
      </c>
      <c r="D91" s="90">
        <v>48</v>
      </c>
      <c r="E91" s="90">
        <v>47.3</v>
      </c>
      <c r="F91" s="90">
        <v>46.3</v>
      </c>
      <c r="G91" s="90">
        <v>42.6</v>
      </c>
      <c r="H91" s="90">
        <v>45</v>
      </c>
      <c r="I91" s="90">
        <v>46.9</v>
      </c>
      <c r="J91" s="90">
        <v>47.8</v>
      </c>
      <c r="K91" s="90">
        <v>51.9</v>
      </c>
      <c r="L91" s="90">
        <v>51.7</v>
      </c>
      <c r="M91" s="90">
        <v>51.5</v>
      </c>
      <c r="N91" s="90">
        <v>51.4</v>
      </c>
      <c r="O91" s="90">
        <v>48</v>
      </c>
      <c r="P91" s="90">
        <v>55</v>
      </c>
      <c r="Q91" s="90">
        <v>46.3</v>
      </c>
      <c r="R91" s="90">
        <v>53.2</v>
      </c>
      <c r="S91" s="90"/>
      <c r="T91" s="90">
        <v>48.7</v>
      </c>
      <c r="U91" s="90"/>
      <c r="V91" s="90">
        <v>46.5</v>
      </c>
      <c r="W91" s="90">
        <v>47</v>
      </c>
      <c r="X91" s="90">
        <v>46.9</v>
      </c>
      <c r="Y91" s="90">
        <v>43.7</v>
      </c>
      <c r="Z91" s="90">
        <v>42.6</v>
      </c>
      <c r="AA91" s="90">
        <v>42.7</v>
      </c>
      <c r="AB91" s="90">
        <v>42.2</v>
      </c>
      <c r="AC91" s="90">
        <v>43.4</v>
      </c>
      <c r="AD91" s="90">
        <v>43.5</v>
      </c>
      <c r="AE91" s="90">
        <v>43</v>
      </c>
      <c r="AF91" s="90">
        <v>47.6</v>
      </c>
      <c r="AG91" s="98"/>
      <c r="AH91" s="48">
        <f t="shared" si="32"/>
        <v>55</v>
      </c>
      <c r="AI91" s="49">
        <f t="shared" si="33"/>
        <v>42.2</v>
      </c>
      <c r="AK91" s="99"/>
      <c r="AL91" s="46"/>
      <c r="AM91" s="46"/>
      <c r="AN91" s="100"/>
      <c r="AY91" s="82"/>
      <c r="BF91" s="82"/>
      <c r="BG91" s="82">
        <v>66.599999999999994</v>
      </c>
      <c r="BH91" s="82">
        <v>78.099999999999994</v>
      </c>
      <c r="BI91" s="82">
        <v>290</v>
      </c>
      <c r="BJ91" s="82">
        <v>50</v>
      </c>
      <c r="BK91" s="82">
        <v>131.80000000000001</v>
      </c>
      <c r="BL91" s="82">
        <v>51.5</v>
      </c>
    </row>
    <row r="92" spans="1:64" ht="15.75" thickBot="1" x14ac:dyDescent="0.3">
      <c r="A92" s="87" t="s">
        <v>118</v>
      </c>
      <c r="B92" s="71">
        <f>SUMIF(B81:B91,"&gt;0")</f>
        <v>102</v>
      </c>
      <c r="C92" s="71">
        <f>SUMIF(C81:C91,"&gt;0")</f>
        <v>112</v>
      </c>
      <c r="D92" s="71">
        <f>SUMIF(D81:D91,"&gt;0")</f>
        <v>102</v>
      </c>
      <c r="E92" s="71">
        <f t="shared" ref="E92:AF92" si="34">SUMIF(E81:E91,"&gt;0")</f>
        <v>110.1</v>
      </c>
      <c r="F92" s="71">
        <f t="shared" si="34"/>
        <v>113.99999999999999</v>
      </c>
      <c r="G92" s="71">
        <f t="shared" si="34"/>
        <v>105.2</v>
      </c>
      <c r="H92" s="71">
        <f t="shared" si="34"/>
        <v>144</v>
      </c>
      <c r="I92" s="71">
        <f t="shared" si="34"/>
        <v>187.9</v>
      </c>
      <c r="J92" s="71">
        <f t="shared" si="34"/>
        <v>510.00000000000006</v>
      </c>
      <c r="K92" s="71">
        <f t="shared" si="34"/>
        <v>613.49999999999989</v>
      </c>
      <c r="L92" s="71">
        <f t="shared" si="34"/>
        <v>700</v>
      </c>
      <c r="M92" s="71">
        <f t="shared" si="34"/>
        <v>668</v>
      </c>
      <c r="N92" s="71">
        <f t="shared" si="34"/>
        <v>659.69999999999993</v>
      </c>
      <c r="O92" s="71">
        <f t="shared" si="34"/>
        <v>697.2</v>
      </c>
      <c r="P92" s="71">
        <f t="shared" si="34"/>
        <v>726.69999999999993</v>
      </c>
      <c r="Q92" s="71">
        <f t="shared" si="34"/>
        <v>679.8</v>
      </c>
      <c r="R92" s="71">
        <f t="shared" si="34"/>
        <v>661.80000000000007</v>
      </c>
      <c r="S92" s="71">
        <f>SUMIF(S81:S91,"&gt;0")</f>
        <v>0</v>
      </c>
      <c r="T92" s="71">
        <f>SUMIF(T81:T91,"&gt;0")</f>
        <v>635.30000000000007</v>
      </c>
      <c r="U92" s="71">
        <f t="shared" si="34"/>
        <v>0</v>
      </c>
      <c r="V92" s="71">
        <f t="shared" si="34"/>
        <v>432.4</v>
      </c>
      <c r="W92" s="71">
        <f t="shared" si="34"/>
        <v>436.5</v>
      </c>
      <c r="X92" s="71">
        <f>SUMIF(X81:X91,"&gt;0")</f>
        <v>355.59999999999997</v>
      </c>
      <c r="Y92" s="71">
        <f>SUMIF(Y81:Y91,"&gt;0")</f>
        <v>102.10000000000001</v>
      </c>
      <c r="Z92" s="71">
        <f>SUMIF(Z81:Z91,"&gt;0")</f>
        <v>104.6</v>
      </c>
      <c r="AA92" s="71">
        <f>SUMIF(AA81:AA91,"&gt;0")</f>
        <v>66</v>
      </c>
      <c r="AB92" s="71">
        <f t="shared" si="34"/>
        <v>71</v>
      </c>
      <c r="AC92" s="71">
        <f t="shared" si="34"/>
        <v>89.699999999999989</v>
      </c>
      <c r="AD92" s="71">
        <f t="shared" si="34"/>
        <v>87.5</v>
      </c>
      <c r="AE92" s="71">
        <f t="shared" si="34"/>
        <v>72</v>
      </c>
      <c r="AF92" s="71">
        <f t="shared" si="34"/>
        <v>87.1</v>
      </c>
      <c r="AG92" s="101">
        <f>SUM(AG81:AG91)</f>
        <v>0</v>
      </c>
      <c r="AH92" s="48">
        <f t="shared" si="32"/>
        <v>726.69999999999993</v>
      </c>
      <c r="AI92" s="49">
        <f t="shared" si="33"/>
        <v>0</v>
      </c>
      <c r="AK92" s="99"/>
      <c r="AL92" s="90"/>
      <c r="AM92" s="102"/>
      <c r="AN92" s="202"/>
      <c r="AY92" s="82"/>
      <c r="BF92" s="82"/>
      <c r="BG92" s="82">
        <v>49</v>
      </c>
      <c r="BH92" s="82">
        <v>78</v>
      </c>
      <c r="BI92" s="82">
        <v>312</v>
      </c>
      <c r="BJ92" s="82">
        <v>50</v>
      </c>
      <c r="BK92" s="82">
        <v>119.3</v>
      </c>
      <c r="BL92" s="82">
        <v>51.4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2"/>
        <v>0</v>
      </c>
      <c r="AI93" s="49">
        <f t="shared" si="33"/>
        <v>0</v>
      </c>
      <c r="AK93" s="99"/>
      <c r="AL93" s="90"/>
      <c r="AM93" s="90"/>
      <c r="AN93" s="203"/>
      <c r="BF93" s="82"/>
      <c r="BG93" s="82">
        <v>64</v>
      </c>
      <c r="BH93" s="82">
        <v>84</v>
      </c>
      <c r="BI93" s="82">
        <v>333.1</v>
      </c>
      <c r="BJ93" s="82">
        <v>50</v>
      </c>
      <c r="BK93" s="82">
        <v>118.1</v>
      </c>
      <c r="BL93" s="82">
        <v>48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2"/>
        <v>0</v>
      </c>
      <c r="AI94" s="49">
        <f t="shared" si="33"/>
        <v>0</v>
      </c>
      <c r="AK94" s="104"/>
      <c r="AL94" s="105"/>
      <c r="AM94" s="105"/>
      <c r="AN94" s="106"/>
      <c r="BF94" s="82"/>
      <c r="BG94" s="82">
        <v>65</v>
      </c>
      <c r="BH94" s="82">
        <v>85</v>
      </c>
      <c r="BI94" s="82">
        <v>328.3</v>
      </c>
      <c r="BJ94" s="82">
        <v>50</v>
      </c>
      <c r="BK94" s="82">
        <v>143.4</v>
      </c>
      <c r="BL94" s="82">
        <v>55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2"/>
        <v>0</v>
      </c>
      <c r="AI95" s="49">
        <f t="shared" si="33"/>
        <v>0</v>
      </c>
      <c r="BF95" s="82"/>
      <c r="BG95" s="82">
        <v>64</v>
      </c>
      <c r="BH95" s="82">
        <v>70</v>
      </c>
      <c r="BI95" s="82">
        <v>348</v>
      </c>
      <c r="BJ95" s="82">
        <v>50.7</v>
      </c>
      <c r="BK95" s="82">
        <v>100.8</v>
      </c>
      <c r="BL95" s="82">
        <v>46.3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2"/>
        <v>0</v>
      </c>
      <c r="AI96" s="49">
        <f t="shared" si="33"/>
        <v>0</v>
      </c>
      <c r="BF96" s="82"/>
      <c r="BG96" s="82">
        <v>60</v>
      </c>
      <c r="BH96" s="82">
        <v>66.599999999999994</v>
      </c>
      <c r="BI96" s="82">
        <v>315</v>
      </c>
      <c r="BJ96" s="82">
        <v>32</v>
      </c>
      <c r="BK96" s="82">
        <v>135</v>
      </c>
      <c r="BL96" s="82">
        <v>53.2</v>
      </c>
    </row>
    <row r="97" spans="1:64" ht="15.75" thickBot="1" x14ac:dyDescent="0.3">
      <c r="A97" s="87" t="s">
        <v>123</v>
      </c>
      <c r="B97" s="108">
        <f>B58+B62+B80+B76+B92+B96</f>
        <v>1349.43</v>
      </c>
      <c r="C97" s="108">
        <f>C58+C62+C80+C76+C92+C96</f>
        <v>1306.1300000000001</v>
      </c>
      <c r="D97" s="108">
        <f>D58+D62+D80+D76+D92+D96</f>
        <v>1286.1300000000001</v>
      </c>
      <c r="E97" s="108">
        <f t="shared" ref="E97:AG97" si="35">E58+E62+E80+E76+E92+E96</f>
        <v>1254.03</v>
      </c>
      <c r="F97" s="108">
        <f t="shared" si="35"/>
        <v>1252.73</v>
      </c>
      <c r="G97" s="108">
        <f t="shared" si="35"/>
        <v>1242.7300000000002</v>
      </c>
      <c r="H97" s="108">
        <f t="shared" si="35"/>
        <v>1283.73</v>
      </c>
      <c r="I97" s="108">
        <f t="shared" si="35"/>
        <v>1326.9300000000003</v>
      </c>
      <c r="J97" s="108">
        <f t="shared" si="35"/>
        <v>1499.93</v>
      </c>
      <c r="K97" s="108">
        <f t="shared" si="35"/>
        <v>1602.03</v>
      </c>
      <c r="L97" s="108">
        <f t="shared" si="35"/>
        <v>1634.9300000000003</v>
      </c>
      <c r="M97" s="108">
        <f t="shared" si="35"/>
        <v>1662.9300000000003</v>
      </c>
      <c r="N97" s="108">
        <f t="shared" si="35"/>
        <v>1615.48</v>
      </c>
      <c r="O97" s="108">
        <f t="shared" si="35"/>
        <v>1685.1299999999999</v>
      </c>
      <c r="P97" s="108">
        <f t="shared" si="35"/>
        <v>1748.5299999999997</v>
      </c>
      <c r="Q97" s="108">
        <f t="shared" si="35"/>
        <v>1718.53</v>
      </c>
      <c r="R97" s="108">
        <f t="shared" si="35"/>
        <v>1537.63</v>
      </c>
      <c r="S97" s="108">
        <f>S58+S62+S80+S76+S92+S96</f>
        <v>3.54</v>
      </c>
      <c r="T97" s="108">
        <f>T58+T62+T80+T76+T92+T96</f>
        <v>1577.13</v>
      </c>
      <c r="U97" s="108">
        <f t="shared" si="35"/>
        <v>481.54</v>
      </c>
      <c r="V97" s="108">
        <f t="shared" si="35"/>
        <v>1426.23</v>
      </c>
      <c r="W97" s="108">
        <f t="shared" si="35"/>
        <v>1450.33</v>
      </c>
      <c r="X97" s="108">
        <f>X58+X62+X80+X76+X92+X96</f>
        <v>1360.33</v>
      </c>
      <c r="Y97" s="108">
        <f>Y58+Y62+Y80+Y76+Y92+Y96</f>
        <v>1237.6299999999999</v>
      </c>
      <c r="Z97" s="108">
        <f>Z58+Z62+Z80+Z76+Z92+Z96</f>
        <v>1286.33</v>
      </c>
      <c r="AA97" s="108">
        <f>AA58+AA62+AA80+AA76+AA92+AA96</f>
        <v>1420.83</v>
      </c>
      <c r="AB97" s="108">
        <f t="shared" si="35"/>
        <v>1399.63</v>
      </c>
      <c r="AC97" s="108">
        <f t="shared" si="35"/>
        <v>1399.93</v>
      </c>
      <c r="AD97" s="108">
        <f t="shared" si="35"/>
        <v>1394.4299999999998</v>
      </c>
      <c r="AE97" s="108">
        <f t="shared" si="35"/>
        <v>1390.03</v>
      </c>
      <c r="AF97" s="108">
        <f t="shared" si="35"/>
        <v>1310.9299999999998</v>
      </c>
      <c r="AG97" s="72">
        <f t="shared" si="35"/>
        <v>2231.81</v>
      </c>
      <c r="AH97" s="48">
        <f t="shared" si="32"/>
        <v>1748.5299999999997</v>
      </c>
      <c r="AI97" s="49">
        <f t="shared" si="33"/>
        <v>3.54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109" t="s">
        <v>124</v>
      </c>
      <c r="B98" s="110">
        <v>250</v>
      </c>
      <c r="C98" s="110">
        <v>250</v>
      </c>
      <c r="D98" s="110">
        <v>250</v>
      </c>
      <c r="E98" s="110">
        <v>250</v>
      </c>
      <c r="F98" s="110">
        <v>250</v>
      </c>
      <c r="G98" s="110">
        <v>250</v>
      </c>
      <c r="H98" s="110">
        <v>250</v>
      </c>
      <c r="I98" s="110">
        <v>230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>
        <v>250</v>
      </c>
      <c r="AA98" s="110">
        <v>250</v>
      </c>
      <c r="AB98" s="110">
        <v>250</v>
      </c>
      <c r="AC98" s="110">
        <v>250</v>
      </c>
      <c r="AD98" s="110">
        <v>250</v>
      </c>
      <c r="AE98" s="110">
        <v>250</v>
      </c>
      <c r="AF98" s="110">
        <v>250</v>
      </c>
      <c r="AG98" s="101"/>
      <c r="AH98" s="48">
        <f t="shared" si="32"/>
        <v>250</v>
      </c>
      <c r="AI98" s="49">
        <f t="shared" si="33"/>
        <v>230</v>
      </c>
      <c r="BF98" s="82"/>
      <c r="BG98" s="82">
        <v>64.5</v>
      </c>
      <c r="BH98" s="82">
        <v>76.400000000000006</v>
      </c>
      <c r="BI98" s="82">
        <v>280.60000000000002</v>
      </c>
      <c r="BJ98" s="82">
        <v>38.5</v>
      </c>
      <c r="BK98" s="82">
        <v>126.6</v>
      </c>
      <c r="BL98" s="82">
        <v>48.7</v>
      </c>
    </row>
    <row r="99" spans="1:64" ht="15.75" thickBot="1" x14ac:dyDescent="0.3">
      <c r="A99" s="87" t="s">
        <v>125</v>
      </c>
      <c r="B99" s="108">
        <f>B97+B98</f>
        <v>1599.43</v>
      </c>
      <c r="C99" s="108">
        <f>C97+C98</f>
        <v>1556.13</v>
      </c>
      <c r="D99" s="108">
        <f>D97+D98</f>
        <v>1536.13</v>
      </c>
      <c r="E99" s="108">
        <f t="shared" ref="E99:AF99" si="36">E97+E98</f>
        <v>1504.03</v>
      </c>
      <c r="F99" s="108">
        <f t="shared" si="36"/>
        <v>1502.73</v>
      </c>
      <c r="G99" s="108">
        <f t="shared" si="36"/>
        <v>1492.7300000000002</v>
      </c>
      <c r="H99" s="108">
        <f t="shared" si="36"/>
        <v>1533.73</v>
      </c>
      <c r="I99" s="108">
        <f t="shared" si="36"/>
        <v>1556.9300000000003</v>
      </c>
      <c r="J99" s="108">
        <f t="shared" si="36"/>
        <v>1499.93</v>
      </c>
      <c r="K99" s="108">
        <f t="shared" si="36"/>
        <v>1602.03</v>
      </c>
      <c r="L99" s="108">
        <f t="shared" si="36"/>
        <v>1634.9300000000003</v>
      </c>
      <c r="M99" s="108">
        <f t="shared" si="36"/>
        <v>1662.9300000000003</v>
      </c>
      <c r="N99" s="108">
        <f t="shared" si="36"/>
        <v>1615.48</v>
      </c>
      <c r="O99" s="108">
        <f t="shared" si="36"/>
        <v>1685.1299999999999</v>
      </c>
      <c r="P99" s="108">
        <f t="shared" si="36"/>
        <v>1748.5299999999997</v>
      </c>
      <c r="Q99" s="108">
        <f t="shared" si="36"/>
        <v>1718.53</v>
      </c>
      <c r="R99" s="108">
        <f t="shared" si="36"/>
        <v>1537.63</v>
      </c>
      <c r="S99" s="108">
        <f>S97+S98</f>
        <v>3.54</v>
      </c>
      <c r="T99" s="108">
        <f>T97+T98</f>
        <v>1577.13</v>
      </c>
      <c r="U99" s="108">
        <f t="shared" si="36"/>
        <v>481.54</v>
      </c>
      <c r="V99" s="108">
        <f t="shared" si="36"/>
        <v>1426.23</v>
      </c>
      <c r="W99" s="108">
        <f t="shared" si="36"/>
        <v>1450.33</v>
      </c>
      <c r="X99" s="108">
        <f>X97+X98</f>
        <v>1360.33</v>
      </c>
      <c r="Y99" s="108">
        <f>Y97+Y98</f>
        <v>1237.6299999999999</v>
      </c>
      <c r="Z99" s="108">
        <f>Z97+Z98</f>
        <v>1536.33</v>
      </c>
      <c r="AA99" s="108">
        <f>AA97+AA98</f>
        <v>1670.83</v>
      </c>
      <c r="AB99" s="108">
        <f t="shared" si="36"/>
        <v>1649.63</v>
      </c>
      <c r="AC99" s="108">
        <f t="shared" si="36"/>
        <v>1649.93</v>
      </c>
      <c r="AD99" s="108">
        <f t="shared" si="36"/>
        <v>1644.4299999999998</v>
      </c>
      <c r="AE99" s="108">
        <f t="shared" si="36"/>
        <v>1640.03</v>
      </c>
      <c r="AF99" s="108">
        <f t="shared" si="36"/>
        <v>1560.9299999999998</v>
      </c>
      <c r="AG99" s="101">
        <f>AG96+AG92+AG80+AG76+AG58+AG98</f>
        <v>1693.71</v>
      </c>
      <c r="AH99" s="48">
        <f t="shared" si="32"/>
        <v>1748.5299999999997</v>
      </c>
      <c r="AI99" s="49">
        <f t="shared" si="33"/>
        <v>3.54</v>
      </c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126</v>
      </c>
      <c r="B100" s="108">
        <f>B99-(B107)</f>
        <v>1599.43</v>
      </c>
      <c r="C100" s="108">
        <f>C99-(C107)</f>
        <v>1556.13</v>
      </c>
      <c r="D100" s="108">
        <f>D99-(D107)</f>
        <v>1536.13</v>
      </c>
      <c r="E100" s="108">
        <f t="shared" ref="E100:AF100" si="37">E99-(E107)</f>
        <v>1504.03</v>
      </c>
      <c r="F100" s="108">
        <f t="shared" si="37"/>
        <v>1502.73</v>
      </c>
      <c r="G100" s="108">
        <f t="shared" si="37"/>
        <v>1492.7300000000002</v>
      </c>
      <c r="H100" s="108">
        <f t="shared" si="37"/>
        <v>1533.73</v>
      </c>
      <c r="I100" s="108">
        <f t="shared" si="37"/>
        <v>1556.9300000000003</v>
      </c>
      <c r="J100" s="108">
        <f t="shared" si="37"/>
        <v>1499.93</v>
      </c>
      <c r="K100" s="108">
        <f t="shared" si="37"/>
        <v>1602.03</v>
      </c>
      <c r="L100" s="108">
        <f t="shared" si="37"/>
        <v>1634.9300000000003</v>
      </c>
      <c r="M100" s="108">
        <f t="shared" si="37"/>
        <v>1662.9300000000003</v>
      </c>
      <c r="N100" s="108">
        <f t="shared" si="37"/>
        <v>1615.48</v>
      </c>
      <c r="O100" s="108">
        <f t="shared" si="37"/>
        <v>1685.1299999999999</v>
      </c>
      <c r="P100" s="108">
        <f t="shared" si="37"/>
        <v>1748.5299999999997</v>
      </c>
      <c r="Q100" s="108">
        <f t="shared" si="37"/>
        <v>1718.53</v>
      </c>
      <c r="R100" s="108">
        <f t="shared" si="37"/>
        <v>1537.63</v>
      </c>
      <c r="S100" s="108">
        <f>S99-(S107)</f>
        <v>2.54</v>
      </c>
      <c r="T100" s="108">
        <f>T99-(T107)</f>
        <v>1577.13</v>
      </c>
      <c r="U100" s="108">
        <f t="shared" si="37"/>
        <v>481.54</v>
      </c>
      <c r="V100" s="108">
        <f t="shared" si="37"/>
        <v>1426.23</v>
      </c>
      <c r="W100" s="108">
        <f t="shared" si="37"/>
        <v>1450.33</v>
      </c>
      <c r="X100" s="108">
        <f>X99-(X107)</f>
        <v>1360.33</v>
      </c>
      <c r="Y100" s="108">
        <f>Y99-(Y107)</f>
        <v>1237.6299999999999</v>
      </c>
      <c r="Z100" s="108">
        <f>Z99-(Z107)</f>
        <v>1536.33</v>
      </c>
      <c r="AA100" s="108">
        <f>AA99-(AA107)</f>
        <v>1670.83</v>
      </c>
      <c r="AB100" s="108">
        <f t="shared" si="37"/>
        <v>1649.63</v>
      </c>
      <c r="AC100" s="108">
        <f t="shared" si="37"/>
        <v>1649.93</v>
      </c>
      <c r="AD100" s="108">
        <f t="shared" si="37"/>
        <v>1644.4299999999998</v>
      </c>
      <c r="AE100" s="108">
        <f t="shared" si="37"/>
        <v>1640.03</v>
      </c>
      <c r="AF100" s="108">
        <f t="shared" si="37"/>
        <v>1560.9299999999998</v>
      </c>
      <c r="AG100" s="101"/>
      <c r="AH100" s="48">
        <f t="shared" si="32"/>
        <v>1748.5299999999997</v>
      </c>
      <c r="AI100" s="49">
        <f t="shared" si="33"/>
        <v>2.54</v>
      </c>
      <c r="BF100" s="82"/>
      <c r="BG100" s="82">
        <v>65</v>
      </c>
      <c r="BH100" s="82">
        <v>68.5</v>
      </c>
      <c r="BI100" s="82">
        <v>110.3</v>
      </c>
      <c r="BJ100" s="82">
        <v>8.6</v>
      </c>
      <c r="BK100" s="82">
        <v>133.5</v>
      </c>
      <c r="BL100" s="82">
        <v>46.5</v>
      </c>
    </row>
    <row r="101" spans="1:64" x14ac:dyDescent="0.25">
      <c r="A101" s="45" t="s">
        <v>107</v>
      </c>
      <c r="B101" s="89">
        <f>IF(B84&lt;0,B84*-1,0)</f>
        <v>0</v>
      </c>
      <c r="C101" s="89">
        <f>IF(C84&lt;0,C84*-1,0)</f>
        <v>0</v>
      </c>
      <c r="D101" s="89">
        <f>IF(D84&lt;0,D84*-1,0)</f>
        <v>0</v>
      </c>
      <c r="E101" s="89">
        <f t="shared" ref="E101:AF101" si="38">IF(E84&lt;0,E84*-1,0)</f>
        <v>0</v>
      </c>
      <c r="F101" s="89">
        <f t="shared" si="38"/>
        <v>0</v>
      </c>
      <c r="G101" s="89">
        <f t="shared" si="38"/>
        <v>0</v>
      </c>
      <c r="H101" s="89">
        <f t="shared" si="38"/>
        <v>0</v>
      </c>
      <c r="I101" s="89">
        <f t="shared" si="38"/>
        <v>0</v>
      </c>
      <c r="J101" s="89">
        <f t="shared" si="38"/>
        <v>0</v>
      </c>
      <c r="K101" s="89">
        <f t="shared" si="38"/>
        <v>0</v>
      </c>
      <c r="L101" s="89">
        <f t="shared" si="38"/>
        <v>0</v>
      </c>
      <c r="M101" s="89">
        <f t="shared" si="38"/>
        <v>0</v>
      </c>
      <c r="N101" s="89">
        <f t="shared" si="38"/>
        <v>0</v>
      </c>
      <c r="O101" s="89">
        <f t="shared" si="38"/>
        <v>0</v>
      </c>
      <c r="P101" s="89">
        <f t="shared" si="38"/>
        <v>0</v>
      </c>
      <c r="Q101" s="89">
        <f t="shared" si="38"/>
        <v>0</v>
      </c>
      <c r="R101" s="89">
        <f t="shared" si="38"/>
        <v>0</v>
      </c>
      <c r="S101" s="89">
        <f>IF(S84&lt;0,S84*-1,0)</f>
        <v>0</v>
      </c>
      <c r="T101" s="89">
        <f>IF(T84&lt;0,T84*-1,0)</f>
        <v>0</v>
      </c>
      <c r="U101" s="89">
        <f t="shared" si="38"/>
        <v>0</v>
      </c>
      <c r="V101" s="89">
        <f t="shared" si="38"/>
        <v>0</v>
      </c>
      <c r="W101" s="89">
        <f t="shared" si="38"/>
        <v>0</v>
      </c>
      <c r="X101" s="89">
        <f>IF(X84&lt;0,X84*-1,0)</f>
        <v>0</v>
      </c>
      <c r="Y101" s="89">
        <f>IF(Y84&lt;0,Y84*-1,0)</f>
        <v>0</v>
      </c>
      <c r="Z101" s="89">
        <f>IF(Z84&lt;0,Z84*-1,0)</f>
        <v>0</v>
      </c>
      <c r="AA101" s="89">
        <f>IF(AA84&lt;0,AA84*-1,0)</f>
        <v>0</v>
      </c>
      <c r="AB101" s="89">
        <f t="shared" si="38"/>
        <v>0</v>
      </c>
      <c r="AC101" s="89">
        <f t="shared" si="38"/>
        <v>0</v>
      </c>
      <c r="AD101" s="89">
        <f t="shared" si="38"/>
        <v>0</v>
      </c>
      <c r="AE101" s="89">
        <f t="shared" si="38"/>
        <v>0</v>
      </c>
      <c r="AF101" s="89">
        <f t="shared" si="38"/>
        <v>0</v>
      </c>
      <c r="AG101" s="61"/>
      <c r="AH101" s="48">
        <f t="shared" si="32"/>
        <v>0</v>
      </c>
      <c r="AI101" s="49">
        <f t="shared" si="33"/>
        <v>0</v>
      </c>
      <c r="BF101" s="81"/>
      <c r="BG101" s="82">
        <v>65.900000000000006</v>
      </c>
      <c r="BH101" s="82">
        <v>0</v>
      </c>
      <c r="BI101" s="82">
        <v>117.3</v>
      </c>
      <c r="BJ101" s="82">
        <v>11.4</v>
      </c>
      <c r="BK101" s="82">
        <v>114.1</v>
      </c>
      <c r="BL101" s="82">
        <v>46.9</v>
      </c>
    </row>
    <row r="102" spans="1:64" x14ac:dyDescent="0.25">
      <c r="A102" s="65" t="s">
        <v>105</v>
      </c>
      <c r="B102" s="89">
        <f>IF(B82&lt;0,B82*-1,0)</f>
        <v>0</v>
      </c>
      <c r="C102" s="89">
        <f>IF(C82&lt;0,C82*-1,0)</f>
        <v>0</v>
      </c>
      <c r="D102" s="89">
        <f>IF(D82&lt;0,D82*-1,0)</f>
        <v>0</v>
      </c>
      <c r="E102" s="89">
        <f t="shared" ref="E102:AF102" si="39">IF(E82&lt;0,E82*-1,0)</f>
        <v>0</v>
      </c>
      <c r="F102" s="89">
        <f t="shared" si="39"/>
        <v>0</v>
      </c>
      <c r="G102" s="89">
        <f t="shared" si="39"/>
        <v>0</v>
      </c>
      <c r="H102" s="89">
        <f t="shared" si="39"/>
        <v>0</v>
      </c>
      <c r="I102" s="89">
        <f t="shared" si="39"/>
        <v>0</v>
      </c>
      <c r="J102" s="89">
        <f t="shared" si="39"/>
        <v>0</v>
      </c>
      <c r="K102" s="89">
        <f t="shared" si="39"/>
        <v>0</v>
      </c>
      <c r="L102" s="89">
        <f t="shared" si="39"/>
        <v>0</v>
      </c>
      <c r="M102" s="89">
        <f t="shared" si="39"/>
        <v>0</v>
      </c>
      <c r="N102" s="89">
        <f t="shared" si="39"/>
        <v>0</v>
      </c>
      <c r="O102" s="89">
        <f t="shared" si="39"/>
        <v>0</v>
      </c>
      <c r="P102" s="89">
        <f t="shared" si="39"/>
        <v>0</v>
      </c>
      <c r="Q102" s="89">
        <f t="shared" si="39"/>
        <v>0</v>
      </c>
      <c r="R102" s="89">
        <f t="shared" si="39"/>
        <v>0</v>
      </c>
      <c r="S102" s="89">
        <f>IF(S82&lt;0,S82*-1,0)</f>
        <v>0</v>
      </c>
      <c r="T102" s="89">
        <f>IF(T82&lt;0,T82*-1,0)</f>
        <v>0</v>
      </c>
      <c r="U102" s="89">
        <f t="shared" si="39"/>
        <v>0</v>
      </c>
      <c r="V102" s="89">
        <f t="shared" si="39"/>
        <v>0</v>
      </c>
      <c r="W102" s="89">
        <f t="shared" si="39"/>
        <v>0</v>
      </c>
      <c r="X102" s="89">
        <f>IF(X82&lt;0,X82*-1,0)</f>
        <v>0</v>
      </c>
      <c r="Y102" s="89">
        <f>IF(Y82&lt;0,Y82*-1,0)</f>
        <v>0</v>
      </c>
      <c r="Z102" s="89">
        <f>IF(Z82&lt;0,Z82*-1,0)</f>
        <v>0</v>
      </c>
      <c r="AA102" s="89">
        <f>IF(AA82&lt;0,AA82*-1,0)</f>
        <v>0</v>
      </c>
      <c r="AB102" s="89">
        <f t="shared" si="39"/>
        <v>0</v>
      </c>
      <c r="AC102" s="89">
        <f t="shared" si="39"/>
        <v>0</v>
      </c>
      <c r="AD102" s="89">
        <f t="shared" si="39"/>
        <v>0</v>
      </c>
      <c r="AE102" s="89">
        <f t="shared" si="39"/>
        <v>0</v>
      </c>
      <c r="AF102" s="89">
        <f t="shared" si="39"/>
        <v>0</v>
      </c>
      <c r="AG102" s="66"/>
      <c r="AH102" s="48">
        <f t="shared" si="32"/>
        <v>0</v>
      </c>
      <c r="AI102" s="49">
        <f t="shared" si="33"/>
        <v>0</v>
      </c>
      <c r="BF102" s="81"/>
      <c r="BG102" s="82">
        <v>33</v>
      </c>
      <c r="BH102" s="82">
        <v>0</v>
      </c>
      <c r="BI102" s="82">
        <v>29</v>
      </c>
      <c r="BJ102" s="82">
        <v>0</v>
      </c>
      <c r="BK102" s="82">
        <v>0</v>
      </c>
      <c r="BL102" s="82">
        <v>42.6</v>
      </c>
    </row>
    <row r="103" spans="1:64" x14ac:dyDescent="0.25">
      <c r="A103" s="97" t="s">
        <v>127</v>
      </c>
      <c r="B103" s="89">
        <f>IF(B85&lt;0,B85*-1,0)</f>
        <v>0</v>
      </c>
      <c r="C103" s="89">
        <f>IF(C85&lt;0,C85*-1,0)</f>
        <v>0</v>
      </c>
      <c r="D103" s="89">
        <f>IF(D85&lt;0,D85*-1,0)</f>
        <v>0</v>
      </c>
      <c r="E103" s="89">
        <f t="shared" ref="E103:AF103" si="40">IF(E85&lt;0,E85*-1,0)</f>
        <v>0</v>
      </c>
      <c r="F103" s="89">
        <f t="shared" si="40"/>
        <v>0</v>
      </c>
      <c r="G103" s="89">
        <f t="shared" si="40"/>
        <v>0</v>
      </c>
      <c r="H103" s="89">
        <f t="shared" si="40"/>
        <v>0</v>
      </c>
      <c r="I103" s="89">
        <f t="shared" si="40"/>
        <v>0</v>
      </c>
      <c r="J103" s="89">
        <f t="shared" si="40"/>
        <v>0</v>
      </c>
      <c r="K103" s="89">
        <f t="shared" si="40"/>
        <v>0</v>
      </c>
      <c r="L103" s="89">
        <f t="shared" si="40"/>
        <v>0</v>
      </c>
      <c r="M103" s="89">
        <f t="shared" si="40"/>
        <v>0</v>
      </c>
      <c r="N103" s="89">
        <f t="shared" si="40"/>
        <v>0</v>
      </c>
      <c r="O103" s="89">
        <f t="shared" si="40"/>
        <v>0</v>
      </c>
      <c r="P103" s="89">
        <f t="shared" si="40"/>
        <v>0</v>
      </c>
      <c r="Q103" s="89">
        <f t="shared" si="40"/>
        <v>0</v>
      </c>
      <c r="R103" s="89">
        <f t="shared" si="40"/>
        <v>0</v>
      </c>
      <c r="S103" s="89">
        <f>IF(S85&lt;0,S85*-1,0)</f>
        <v>0</v>
      </c>
      <c r="T103" s="89">
        <f>IF(T85&lt;0,T85*-1,0)</f>
        <v>0</v>
      </c>
      <c r="U103" s="89">
        <f t="shared" si="40"/>
        <v>0</v>
      </c>
      <c r="V103" s="89">
        <f t="shared" si="40"/>
        <v>0</v>
      </c>
      <c r="W103" s="89">
        <f t="shared" si="40"/>
        <v>0</v>
      </c>
      <c r="X103" s="89">
        <f>IF(X85&lt;0,X85*-1,0)</f>
        <v>0</v>
      </c>
      <c r="Y103" s="89">
        <f>IF(Y85&lt;0,Y85*-1,0)</f>
        <v>0</v>
      </c>
      <c r="Z103" s="89">
        <f>IF(Z85&lt;0,Z85*-1,0)</f>
        <v>0</v>
      </c>
      <c r="AA103" s="89">
        <f>IF(AA85&lt;0,AA85*-1,0)</f>
        <v>0</v>
      </c>
      <c r="AB103" s="89">
        <f t="shared" si="40"/>
        <v>0</v>
      </c>
      <c r="AC103" s="89">
        <f t="shared" si="40"/>
        <v>0</v>
      </c>
      <c r="AD103" s="89">
        <f t="shared" si="40"/>
        <v>0</v>
      </c>
      <c r="AE103" s="89">
        <f t="shared" si="40"/>
        <v>0</v>
      </c>
      <c r="AF103" s="89">
        <f t="shared" si="40"/>
        <v>0</v>
      </c>
      <c r="AG103" s="111"/>
      <c r="AH103" s="48">
        <f t="shared" si="32"/>
        <v>0</v>
      </c>
      <c r="AI103" s="49">
        <f t="shared" si="33"/>
        <v>0</v>
      </c>
      <c r="BF103" s="81"/>
      <c r="BG103" s="82">
        <v>28.8</v>
      </c>
      <c r="BH103" s="82">
        <v>0</v>
      </c>
      <c r="BI103" s="82">
        <v>0</v>
      </c>
      <c r="BJ103" s="82">
        <v>0</v>
      </c>
      <c r="BK103" s="82">
        <v>0</v>
      </c>
      <c r="BL103" s="82">
        <v>42.2</v>
      </c>
    </row>
    <row r="104" spans="1:64" x14ac:dyDescent="0.25">
      <c r="A104" s="97" t="s">
        <v>128</v>
      </c>
      <c r="B104" s="89">
        <f>IF(B83&lt;0,B83*-1,0)</f>
        <v>0</v>
      </c>
      <c r="C104" s="89">
        <f>IF(C83&lt;0,C83*-1,0)</f>
        <v>0</v>
      </c>
      <c r="D104" s="89">
        <f>IF(D83&lt;0,D83*-1,0)</f>
        <v>0</v>
      </c>
      <c r="E104" s="89">
        <f t="shared" ref="E104:AF104" si="41">IF(E83&lt;0,E83*-1,0)</f>
        <v>0</v>
      </c>
      <c r="F104" s="89">
        <f t="shared" si="41"/>
        <v>0</v>
      </c>
      <c r="G104" s="89">
        <f t="shared" si="41"/>
        <v>0</v>
      </c>
      <c r="H104" s="89">
        <f t="shared" si="41"/>
        <v>0</v>
      </c>
      <c r="I104" s="89">
        <f t="shared" si="41"/>
        <v>0</v>
      </c>
      <c r="J104" s="89">
        <f t="shared" si="41"/>
        <v>0</v>
      </c>
      <c r="K104" s="89">
        <f t="shared" si="41"/>
        <v>0</v>
      </c>
      <c r="L104" s="89">
        <f t="shared" si="41"/>
        <v>0</v>
      </c>
      <c r="M104" s="89">
        <f t="shared" si="41"/>
        <v>0</v>
      </c>
      <c r="N104" s="89">
        <f t="shared" si="41"/>
        <v>0</v>
      </c>
      <c r="O104" s="89">
        <f t="shared" si="41"/>
        <v>0</v>
      </c>
      <c r="P104" s="89">
        <f t="shared" si="41"/>
        <v>0</v>
      </c>
      <c r="Q104" s="89">
        <f t="shared" si="41"/>
        <v>0</v>
      </c>
      <c r="R104" s="89">
        <f t="shared" si="41"/>
        <v>0</v>
      </c>
      <c r="S104" s="89">
        <f>IF(S83&lt;0,S83*-1,0)</f>
        <v>0</v>
      </c>
      <c r="T104" s="89">
        <f>IF(T83&lt;0,T83*-1,0)</f>
        <v>0</v>
      </c>
      <c r="U104" s="89">
        <f t="shared" si="41"/>
        <v>0</v>
      </c>
      <c r="V104" s="89">
        <f t="shared" si="41"/>
        <v>0</v>
      </c>
      <c r="W104" s="89">
        <f t="shared" si="41"/>
        <v>0</v>
      </c>
      <c r="X104" s="89">
        <f>IF(X83&lt;0,X83*-1,0)</f>
        <v>0</v>
      </c>
      <c r="Y104" s="89">
        <f>IF(Y83&lt;0,Y83*-1,0)</f>
        <v>0</v>
      </c>
      <c r="Z104" s="89">
        <f>IF(Z83&lt;0,Z83*-1,0)</f>
        <v>0</v>
      </c>
      <c r="AA104" s="89">
        <f>IF(AA83&lt;0,AA83*-1,0)</f>
        <v>0</v>
      </c>
      <c r="AB104" s="89">
        <f t="shared" si="41"/>
        <v>0</v>
      </c>
      <c r="AC104" s="89">
        <f t="shared" si="41"/>
        <v>0</v>
      </c>
      <c r="AD104" s="89">
        <f t="shared" si="41"/>
        <v>0</v>
      </c>
      <c r="AE104" s="89">
        <f t="shared" si="41"/>
        <v>0</v>
      </c>
      <c r="AF104" s="89">
        <f t="shared" si="41"/>
        <v>0</v>
      </c>
      <c r="AG104" s="111"/>
      <c r="AH104" s="48">
        <f t="shared" si="32"/>
        <v>0</v>
      </c>
      <c r="AI104" s="49">
        <f t="shared" si="33"/>
        <v>0</v>
      </c>
      <c r="BF104" s="81"/>
      <c r="BG104" s="82">
        <v>44</v>
      </c>
      <c r="BH104" s="82">
        <v>0</v>
      </c>
      <c r="BI104" s="82">
        <v>0</v>
      </c>
      <c r="BJ104" s="82">
        <v>0</v>
      </c>
      <c r="BK104" s="82">
        <v>0</v>
      </c>
      <c r="BL104" s="82">
        <v>43.5</v>
      </c>
    </row>
    <row r="105" spans="1:64" x14ac:dyDescent="0.25">
      <c r="A105" s="97" t="s">
        <v>104</v>
      </c>
      <c r="B105" s="89">
        <f>IF(B81&lt;0,B81*-1,0)</f>
        <v>0</v>
      </c>
      <c r="C105" s="89">
        <f>IF(C81&lt;0,C81*-1,0)</f>
        <v>0</v>
      </c>
      <c r="D105" s="89">
        <f>IF(D81&lt;0,D81*-1,0)</f>
        <v>0</v>
      </c>
      <c r="E105" s="89">
        <f t="shared" ref="E105:AF105" si="42">IF(E81&lt;0,E81*-1,0)</f>
        <v>0</v>
      </c>
      <c r="F105" s="89">
        <f t="shared" si="42"/>
        <v>0</v>
      </c>
      <c r="G105" s="89">
        <f t="shared" si="42"/>
        <v>0</v>
      </c>
      <c r="H105" s="89">
        <f t="shared" si="42"/>
        <v>0</v>
      </c>
      <c r="I105" s="89">
        <f t="shared" si="42"/>
        <v>0</v>
      </c>
      <c r="J105" s="89">
        <f t="shared" si="42"/>
        <v>0</v>
      </c>
      <c r="K105" s="89">
        <f t="shared" si="42"/>
        <v>0</v>
      </c>
      <c r="L105" s="89">
        <f t="shared" si="42"/>
        <v>0</v>
      </c>
      <c r="M105" s="89">
        <f t="shared" si="42"/>
        <v>0</v>
      </c>
      <c r="N105" s="89">
        <f t="shared" si="42"/>
        <v>0</v>
      </c>
      <c r="O105" s="89">
        <f t="shared" si="42"/>
        <v>0</v>
      </c>
      <c r="P105" s="89">
        <f t="shared" si="42"/>
        <v>0</v>
      </c>
      <c r="Q105" s="89">
        <f t="shared" si="42"/>
        <v>0</v>
      </c>
      <c r="R105" s="89">
        <f t="shared" si="42"/>
        <v>0</v>
      </c>
      <c r="S105" s="89">
        <f>IF(S81&lt;0,S81*-1,0)</f>
        <v>0</v>
      </c>
      <c r="T105" s="89">
        <f>IF(T81&lt;0,T81*-1,0)</f>
        <v>0</v>
      </c>
      <c r="U105" s="89">
        <f t="shared" si="42"/>
        <v>0</v>
      </c>
      <c r="V105" s="89">
        <f t="shared" si="42"/>
        <v>0</v>
      </c>
      <c r="W105" s="89">
        <f t="shared" si="42"/>
        <v>0</v>
      </c>
      <c r="X105" s="89">
        <f>IF(X81&lt;0,X81*-1,0)</f>
        <v>0</v>
      </c>
      <c r="Y105" s="89">
        <f>IF(Y81&lt;0,Y81*-1,0)</f>
        <v>0</v>
      </c>
      <c r="Z105" s="89">
        <f>IF(Z81&lt;0,Z81*-1,0)</f>
        <v>0</v>
      </c>
      <c r="AA105" s="89">
        <f>IF(AA81&lt;0,AA81*-1,0)</f>
        <v>0</v>
      </c>
      <c r="AB105" s="89">
        <f t="shared" si="42"/>
        <v>0</v>
      </c>
      <c r="AC105" s="89">
        <f t="shared" si="42"/>
        <v>0</v>
      </c>
      <c r="AD105" s="89">
        <f t="shared" si="42"/>
        <v>0</v>
      </c>
      <c r="AE105" s="89">
        <f t="shared" si="42"/>
        <v>0</v>
      </c>
      <c r="AF105" s="89">
        <f t="shared" si="42"/>
        <v>0</v>
      </c>
      <c r="AG105" s="111"/>
      <c r="AH105" s="48">
        <f t="shared" si="32"/>
        <v>0</v>
      </c>
      <c r="AI105" s="49">
        <f t="shared" si="33"/>
        <v>0</v>
      </c>
      <c r="BF105" s="81"/>
      <c r="BG105" s="82">
        <v>29</v>
      </c>
      <c r="BH105" s="82">
        <v>0</v>
      </c>
      <c r="BI105" s="82">
        <v>0</v>
      </c>
      <c r="BJ105" s="82">
        <v>0</v>
      </c>
      <c r="BK105" s="82">
        <v>0</v>
      </c>
      <c r="BL105" s="82">
        <v>43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1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2"/>
        <v>1</v>
      </c>
      <c r="AI106" s="49">
        <f t="shared" si="33"/>
        <v>0</v>
      </c>
      <c r="BG106" s="82">
        <v>39.5</v>
      </c>
      <c r="BH106" s="82">
        <v>0</v>
      </c>
      <c r="BI106" s="82">
        <v>0</v>
      </c>
      <c r="BJ106" s="82">
        <v>0</v>
      </c>
      <c r="BK106" s="82">
        <v>0</v>
      </c>
      <c r="BL106" s="82">
        <v>47.6</v>
      </c>
    </row>
    <row r="107" spans="1:64" ht="15.75" thickBot="1" x14ac:dyDescent="0.3">
      <c r="A107" s="112" t="s">
        <v>130</v>
      </c>
      <c r="B107" s="71">
        <v>0</v>
      </c>
      <c r="C107" s="71">
        <v>0</v>
      </c>
      <c r="D107" s="71">
        <v>0</v>
      </c>
      <c r="E107" s="71">
        <f t="shared" ref="E107:AF107" si="43">SUM(E101:E106)</f>
        <v>0</v>
      </c>
      <c r="F107" s="71">
        <f t="shared" si="43"/>
        <v>0</v>
      </c>
      <c r="G107" s="71">
        <f t="shared" si="43"/>
        <v>0</v>
      </c>
      <c r="H107" s="71">
        <f t="shared" si="43"/>
        <v>0</v>
      </c>
      <c r="I107" s="71">
        <f t="shared" si="43"/>
        <v>0</v>
      </c>
      <c r="J107" s="71">
        <f t="shared" si="43"/>
        <v>0</v>
      </c>
      <c r="K107" s="71">
        <f t="shared" si="43"/>
        <v>0</v>
      </c>
      <c r="L107" s="71">
        <f t="shared" si="43"/>
        <v>0</v>
      </c>
      <c r="M107" s="71">
        <f t="shared" si="43"/>
        <v>0</v>
      </c>
      <c r="N107" s="71">
        <f t="shared" si="43"/>
        <v>0</v>
      </c>
      <c r="O107" s="71">
        <f t="shared" si="43"/>
        <v>0</v>
      </c>
      <c r="P107" s="71">
        <f t="shared" si="43"/>
        <v>0</v>
      </c>
      <c r="Q107" s="71">
        <f t="shared" si="43"/>
        <v>0</v>
      </c>
      <c r="R107" s="71">
        <f t="shared" si="43"/>
        <v>0</v>
      </c>
      <c r="S107" s="71">
        <f>SUM(S101:S106)</f>
        <v>1</v>
      </c>
      <c r="T107" s="71">
        <f>SUM(T101:T106)</f>
        <v>0</v>
      </c>
      <c r="U107" s="71">
        <f t="shared" si="43"/>
        <v>0</v>
      </c>
      <c r="V107" s="71">
        <f t="shared" si="43"/>
        <v>0</v>
      </c>
      <c r="W107" s="71">
        <f t="shared" si="43"/>
        <v>0</v>
      </c>
      <c r="X107" s="71">
        <f>SUM(X101:X106)</f>
        <v>0</v>
      </c>
      <c r="Y107" s="71">
        <f>SUM(Y101:Y106)</f>
        <v>0</v>
      </c>
      <c r="Z107" s="71">
        <f>SUM(Z101:Z106)</f>
        <v>0</v>
      </c>
      <c r="AA107" s="71">
        <f>SUM(AA101:AA106)</f>
        <v>0</v>
      </c>
      <c r="AB107" s="71">
        <f t="shared" si="43"/>
        <v>0</v>
      </c>
      <c r="AC107" s="71">
        <f t="shared" si="43"/>
        <v>0</v>
      </c>
      <c r="AD107" s="71">
        <f t="shared" si="43"/>
        <v>0</v>
      </c>
      <c r="AE107" s="71">
        <f t="shared" si="43"/>
        <v>0</v>
      </c>
      <c r="AF107" s="71">
        <f t="shared" si="43"/>
        <v>0</v>
      </c>
      <c r="AG107" s="101"/>
      <c r="AH107" s="48">
        <f t="shared" si="32"/>
        <v>1</v>
      </c>
      <c r="AI107" s="49">
        <f t="shared" si="33"/>
        <v>0</v>
      </c>
      <c r="AK107" s="51"/>
      <c r="BG107" s="82">
        <v>25</v>
      </c>
      <c r="BH107" s="82">
        <v>0</v>
      </c>
      <c r="BI107" s="82">
        <v>29</v>
      </c>
      <c r="BJ107" s="82">
        <v>0</v>
      </c>
      <c r="BK107" s="82">
        <v>0</v>
      </c>
      <c r="BL107" s="82">
        <v>48</v>
      </c>
    </row>
    <row r="108" spans="1:64" ht="15.75" thickBot="1" x14ac:dyDescent="0.3">
      <c r="A108" s="87" t="s">
        <v>131</v>
      </c>
      <c r="B108" s="71">
        <f>B92-B107</f>
        <v>102</v>
      </c>
      <c r="C108" s="71">
        <f>C92-C107</f>
        <v>112</v>
      </c>
      <c r="D108" s="71">
        <f>D92-D107</f>
        <v>102</v>
      </c>
      <c r="E108" s="71">
        <f t="shared" ref="E108:AF108" si="44">E92-E107</f>
        <v>110.1</v>
      </c>
      <c r="F108" s="71">
        <f t="shared" si="44"/>
        <v>113.99999999999999</v>
      </c>
      <c r="G108" s="71">
        <f t="shared" si="44"/>
        <v>105.2</v>
      </c>
      <c r="H108" s="71">
        <f t="shared" si="44"/>
        <v>144</v>
      </c>
      <c r="I108" s="71">
        <f t="shared" si="44"/>
        <v>187.9</v>
      </c>
      <c r="J108" s="71">
        <f t="shared" si="44"/>
        <v>510.00000000000006</v>
      </c>
      <c r="K108" s="71">
        <f t="shared" si="44"/>
        <v>613.49999999999989</v>
      </c>
      <c r="L108" s="71">
        <f t="shared" si="44"/>
        <v>700</v>
      </c>
      <c r="M108" s="71">
        <f t="shared" si="44"/>
        <v>668</v>
      </c>
      <c r="N108" s="71">
        <f t="shared" si="44"/>
        <v>659.69999999999993</v>
      </c>
      <c r="O108" s="71">
        <f t="shared" si="44"/>
        <v>697.2</v>
      </c>
      <c r="P108" s="71">
        <f t="shared" si="44"/>
        <v>726.69999999999993</v>
      </c>
      <c r="Q108" s="71">
        <f t="shared" si="44"/>
        <v>679.8</v>
      </c>
      <c r="R108" s="71">
        <f t="shared" si="44"/>
        <v>661.80000000000007</v>
      </c>
      <c r="S108" s="71">
        <f>S92-S107</f>
        <v>-1</v>
      </c>
      <c r="T108" s="71">
        <f>T92-T107</f>
        <v>635.30000000000007</v>
      </c>
      <c r="U108" s="71">
        <f t="shared" si="44"/>
        <v>0</v>
      </c>
      <c r="V108" s="71">
        <f t="shared" si="44"/>
        <v>432.4</v>
      </c>
      <c r="W108" s="71">
        <f t="shared" si="44"/>
        <v>436.5</v>
      </c>
      <c r="X108" s="71">
        <f>X92-X107</f>
        <v>355.59999999999997</v>
      </c>
      <c r="Y108" s="71">
        <f>Y92-Y107</f>
        <v>102.10000000000001</v>
      </c>
      <c r="Z108" s="71">
        <f>Z92-Z107</f>
        <v>104.6</v>
      </c>
      <c r="AA108" s="71">
        <f>AA92-AA107</f>
        <v>66</v>
      </c>
      <c r="AB108" s="71">
        <f t="shared" si="44"/>
        <v>71</v>
      </c>
      <c r="AC108" s="71">
        <f t="shared" si="44"/>
        <v>89.699999999999989</v>
      </c>
      <c r="AD108" s="71">
        <f t="shared" si="44"/>
        <v>87.5</v>
      </c>
      <c r="AE108" s="71">
        <f t="shared" si="44"/>
        <v>72</v>
      </c>
      <c r="AF108" s="71">
        <f t="shared" si="44"/>
        <v>87.1</v>
      </c>
      <c r="AG108" s="101"/>
      <c r="AH108" s="48">
        <f t="shared" si="32"/>
        <v>726.69999999999993</v>
      </c>
      <c r="AI108" s="49">
        <f t="shared" si="33"/>
        <v>-1</v>
      </c>
    </row>
    <row r="109" spans="1:64" x14ac:dyDescent="0.25">
      <c r="A109" s="113" t="s">
        <v>132</v>
      </c>
      <c r="B109" s="114">
        <v>50.05</v>
      </c>
      <c r="C109" s="114">
        <v>50.03</v>
      </c>
      <c r="D109" s="114">
        <v>50</v>
      </c>
      <c r="E109" s="114">
        <v>49.991</v>
      </c>
      <c r="F109" s="114">
        <v>50.003999999999998</v>
      </c>
      <c r="G109" s="114">
        <v>49.987000000000002</v>
      </c>
      <c r="H109" s="114">
        <v>50.042000000000002</v>
      </c>
      <c r="I109" s="114">
        <v>50.06</v>
      </c>
      <c r="J109" s="114">
        <v>50.058999999999997</v>
      </c>
      <c r="K109" s="114">
        <v>50.021000000000001</v>
      </c>
      <c r="L109" s="114">
        <v>50.006</v>
      </c>
      <c r="M109" s="114">
        <v>49.96</v>
      </c>
      <c r="N109" s="114">
        <v>50.024999999999999</v>
      </c>
      <c r="O109" s="114">
        <v>49.976999999999997</v>
      </c>
      <c r="P109" s="114">
        <v>50.012</v>
      </c>
      <c r="Q109" s="114">
        <v>49.965000000000003</v>
      </c>
      <c r="R109" s="114">
        <v>50.034999999999997</v>
      </c>
      <c r="S109" s="114"/>
      <c r="T109" s="114">
        <v>50.07</v>
      </c>
      <c r="U109" s="114">
        <v>49.99</v>
      </c>
      <c r="V109" s="114">
        <v>49.99</v>
      </c>
      <c r="W109" s="114">
        <v>50.045000000000002</v>
      </c>
      <c r="X109" s="114">
        <v>50.06</v>
      </c>
      <c r="Y109" s="114">
        <v>49.96</v>
      </c>
      <c r="Z109" s="114">
        <v>49.97</v>
      </c>
      <c r="AA109" s="114">
        <v>49.93</v>
      </c>
      <c r="AB109" s="114">
        <v>50.030999999999999</v>
      </c>
      <c r="AC109" s="114">
        <v>49.976999999999997</v>
      </c>
      <c r="AD109" s="114">
        <v>49.985999999999997</v>
      </c>
      <c r="AE109" s="114">
        <v>50.033999999999999</v>
      </c>
      <c r="AF109" s="114">
        <v>50.04</v>
      </c>
      <c r="AG109" s="115"/>
      <c r="AH109" s="48">
        <f t="shared" si="32"/>
        <v>50.07</v>
      </c>
      <c r="AI109" s="49">
        <f t="shared" si="33"/>
        <v>49.93</v>
      </c>
    </row>
    <row r="110" spans="1:64" x14ac:dyDescent="0.25">
      <c r="A110" s="116" t="s">
        <v>133</v>
      </c>
      <c r="B110" s="76">
        <v>128</v>
      </c>
      <c r="C110" s="76">
        <v>128</v>
      </c>
      <c r="D110" s="76">
        <v>127.6</v>
      </c>
      <c r="E110" s="76">
        <v>127.9</v>
      </c>
      <c r="F110" s="76">
        <v>129.19999999999999</v>
      </c>
      <c r="G110" s="76">
        <v>128</v>
      </c>
      <c r="H110" s="76">
        <v>128</v>
      </c>
      <c r="I110" s="76">
        <v>129.4</v>
      </c>
      <c r="J110" s="76">
        <v>129.1</v>
      </c>
      <c r="K110" s="76">
        <v>128.19999999999999</v>
      </c>
      <c r="L110" s="76">
        <v>126.8</v>
      </c>
      <c r="M110" s="76">
        <v>127.3</v>
      </c>
      <c r="N110" s="76">
        <v>126.7</v>
      </c>
      <c r="O110" s="76">
        <v>125.6</v>
      </c>
      <c r="P110" s="76">
        <v>123.9</v>
      </c>
      <c r="Q110" s="76">
        <v>123.9</v>
      </c>
      <c r="R110" s="76">
        <v>123.4</v>
      </c>
      <c r="S110" s="76"/>
      <c r="T110" s="76">
        <v>122.2</v>
      </c>
      <c r="U110" s="76"/>
      <c r="V110" s="76">
        <v>124.4</v>
      </c>
      <c r="W110" s="76">
        <v>123.1</v>
      </c>
      <c r="X110" s="76">
        <v>123.1</v>
      </c>
      <c r="Y110" s="76">
        <v>123.7</v>
      </c>
      <c r="Z110" s="76">
        <v>123.7</v>
      </c>
      <c r="AA110" s="76">
        <v>124.8</v>
      </c>
      <c r="AB110" s="76">
        <v>122.8</v>
      </c>
      <c r="AC110" s="76">
        <v>124.4</v>
      </c>
      <c r="AD110" s="76">
        <v>124.4</v>
      </c>
      <c r="AE110" s="76">
        <v>124.7</v>
      </c>
      <c r="AF110" s="76">
        <v>124.6</v>
      </c>
      <c r="AG110" s="117"/>
      <c r="AH110" s="48">
        <f t="shared" si="32"/>
        <v>129.4</v>
      </c>
      <c r="AI110" s="49">
        <f t="shared" si="33"/>
        <v>122.2</v>
      </c>
    </row>
    <row r="111" spans="1:64" x14ac:dyDescent="0.25">
      <c r="A111" s="116" t="s">
        <v>134</v>
      </c>
      <c r="B111" s="76">
        <v>132.6</v>
      </c>
      <c r="C111" s="76">
        <v>132.6</v>
      </c>
      <c r="D111" s="76">
        <v>132</v>
      </c>
      <c r="E111" s="76">
        <v>132.1</v>
      </c>
      <c r="F111" s="76">
        <v>133.30000000000001</v>
      </c>
      <c r="G111" s="76">
        <v>132.30000000000001</v>
      </c>
      <c r="H111" s="76">
        <v>131.80000000000001</v>
      </c>
      <c r="I111" s="76">
        <v>132</v>
      </c>
      <c r="J111" s="76">
        <v>131.4</v>
      </c>
      <c r="K111" s="76">
        <v>130.4</v>
      </c>
      <c r="L111" s="76">
        <v>129.30000000000001</v>
      </c>
      <c r="M111" s="76">
        <v>129.69999999999999</v>
      </c>
      <c r="N111" s="76">
        <v>129.69999999999999</v>
      </c>
      <c r="O111" s="76">
        <v>128.4</v>
      </c>
      <c r="P111" s="76">
        <v>126.8</v>
      </c>
      <c r="Q111" s="76">
        <v>126.6</v>
      </c>
      <c r="R111" s="76">
        <v>126.5</v>
      </c>
      <c r="S111" s="76"/>
      <c r="T111" s="76">
        <v>125.4</v>
      </c>
      <c r="U111" s="76">
        <v>126.7</v>
      </c>
      <c r="V111" s="76">
        <v>126.9</v>
      </c>
      <c r="W111" s="76">
        <v>125.3</v>
      </c>
      <c r="X111" s="76">
        <v>125.3</v>
      </c>
      <c r="Y111" s="76">
        <v>126.4</v>
      </c>
      <c r="Z111" s="76">
        <v>126.4</v>
      </c>
      <c r="AA111" s="76">
        <v>128.30000000000001</v>
      </c>
      <c r="AB111" s="76">
        <v>127.2</v>
      </c>
      <c r="AC111" s="76">
        <v>129</v>
      </c>
      <c r="AD111" s="76">
        <v>129.4</v>
      </c>
      <c r="AE111" s="76">
        <v>129.6</v>
      </c>
      <c r="AF111" s="76">
        <v>129.9</v>
      </c>
      <c r="AG111" s="117"/>
      <c r="AH111" s="48">
        <f t="shared" si="32"/>
        <v>133.30000000000001</v>
      </c>
      <c r="AI111" s="49">
        <f t="shared" si="33"/>
        <v>125.3</v>
      </c>
    </row>
    <row r="112" spans="1:64" x14ac:dyDescent="0.25">
      <c r="A112" s="116" t="s">
        <v>135</v>
      </c>
      <c r="B112" s="76">
        <v>132</v>
      </c>
      <c r="C112" s="76">
        <v>132</v>
      </c>
      <c r="D112" s="76">
        <v>132</v>
      </c>
      <c r="E112" s="76">
        <v>132.9</v>
      </c>
      <c r="F112" s="76">
        <v>132.5</v>
      </c>
      <c r="G112" s="76">
        <v>133.4</v>
      </c>
      <c r="H112" s="76">
        <v>129.9</v>
      </c>
      <c r="I112" s="76">
        <v>130</v>
      </c>
      <c r="J112" s="76">
        <v>127.7</v>
      </c>
      <c r="K112" s="76">
        <v>127.3</v>
      </c>
      <c r="L112" s="76">
        <v>129.9</v>
      </c>
      <c r="M112" s="76">
        <v>129.69999999999999</v>
      </c>
      <c r="N112" s="76">
        <v>129.69999999999999</v>
      </c>
      <c r="O112" s="76">
        <v>129</v>
      </c>
      <c r="P112" s="76">
        <v>128.30000000000001</v>
      </c>
      <c r="Q112" s="76">
        <v>128.19999999999999</v>
      </c>
      <c r="R112" s="76">
        <v>129.30000000000001</v>
      </c>
      <c r="S112" s="76"/>
      <c r="T112" s="76">
        <v>133</v>
      </c>
      <c r="U112" s="76"/>
      <c r="V112" s="76">
        <v>131.4</v>
      </c>
      <c r="W112" s="76">
        <v>130.4</v>
      </c>
      <c r="X112" s="76">
        <v>130.4</v>
      </c>
      <c r="Y112" s="76">
        <v>129.69999999999999</v>
      </c>
      <c r="Z112" s="76">
        <v>129.69999999999999</v>
      </c>
      <c r="AA112" s="76">
        <v>129.69999999999999</v>
      </c>
      <c r="AB112" s="76">
        <v>131.4</v>
      </c>
      <c r="AC112" s="76">
        <v>129.19999999999999</v>
      </c>
      <c r="AD112" s="76">
        <v>129.19999999999999</v>
      </c>
      <c r="AE112" s="76">
        <v>129.69999999999999</v>
      </c>
      <c r="AF112" s="76">
        <v>131.9</v>
      </c>
      <c r="AG112" s="117"/>
      <c r="AH112" s="48">
        <f t="shared" si="32"/>
        <v>133.4</v>
      </c>
      <c r="AI112" s="49">
        <f t="shared" si="33"/>
        <v>127.3</v>
      </c>
    </row>
    <row r="113" spans="1:35" x14ac:dyDescent="0.25">
      <c r="A113" s="118" t="s">
        <v>136</v>
      </c>
      <c r="B113" s="76">
        <v>132.80000000000001</v>
      </c>
      <c r="C113" s="76">
        <v>132.80000000000001</v>
      </c>
      <c r="D113" s="76">
        <v>133</v>
      </c>
      <c r="E113" s="76">
        <v>132</v>
      </c>
      <c r="F113" s="76">
        <v>131.6</v>
      </c>
      <c r="G113" s="76">
        <v>132.5</v>
      </c>
      <c r="H113" s="76">
        <v>128.80000000000001</v>
      </c>
      <c r="I113" s="76">
        <v>132</v>
      </c>
      <c r="J113" s="76">
        <v>129.19999999999999</v>
      </c>
      <c r="K113" s="76">
        <v>128.5</v>
      </c>
      <c r="L113" s="76">
        <v>129.9</v>
      </c>
      <c r="M113" s="76">
        <v>130.19999999999999</v>
      </c>
      <c r="N113" s="76">
        <v>132.6</v>
      </c>
      <c r="O113" s="76">
        <v>131.69999999999999</v>
      </c>
      <c r="P113" s="76">
        <v>133.5</v>
      </c>
      <c r="Q113" s="76">
        <v>132.5</v>
      </c>
      <c r="R113" s="76">
        <v>134.30000000000001</v>
      </c>
      <c r="S113" s="76"/>
      <c r="T113" s="76">
        <v>129.4</v>
      </c>
      <c r="U113" s="76"/>
      <c r="V113" s="76">
        <v>131.9</v>
      </c>
      <c r="W113" s="76">
        <v>128.69999999999999</v>
      </c>
      <c r="X113" s="76">
        <v>128.69999999999999</v>
      </c>
      <c r="Y113" s="76">
        <v>130.6</v>
      </c>
      <c r="Z113" s="76">
        <v>130.6</v>
      </c>
      <c r="AA113" s="76">
        <v>130.6</v>
      </c>
      <c r="AB113" s="76">
        <v>130.6</v>
      </c>
      <c r="AC113" s="76">
        <v>131.6</v>
      </c>
      <c r="AD113" s="76">
        <v>131.6</v>
      </c>
      <c r="AE113" s="76">
        <v>131.1</v>
      </c>
      <c r="AF113" s="76">
        <v>133.69999999999999</v>
      </c>
      <c r="AG113" s="117"/>
      <c r="AH113" s="48">
        <f t="shared" si="32"/>
        <v>134.30000000000001</v>
      </c>
      <c r="AI113" s="49">
        <f t="shared" si="33"/>
        <v>128.5</v>
      </c>
    </row>
    <row r="114" spans="1:35" x14ac:dyDescent="0.25">
      <c r="A114" s="118" t="s">
        <v>137</v>
      </c>
      <c r="B114" s="119">
        <v>133.80000000000001</v>
      </c>
      <c r="C114" s="119">
        <v>133.80000000000001</v>
      </c>
      <c r="D114" s="119">
        <v>133.80000000000001</v>
      </c>
      <c r="E114" s="119">
        <v>133.30000000000001</v>
      </c>
      <c r="F114" s="119"/>
      <c r="G114" s="119">
        <v>136.5</v>
      </c>
      <c r="H114" s="119">
        <v>136.1</v>
      </c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>
        <v>133.30000000000001</v>
      </c>
      <c r="W114" s="119">
        <v>131.6</v>
      </c>
      <c r="X114" s="119">
        <v>131.6</v>
      </c>
      <c r="Y114" s="119">
        <v>131.6</v>
      </c>
      <c r="Z114" s="119">
        <v>131.6</v>
      </c>
      <c r="AA114" s="119">
        <v>131.6</v>
      </c>
      <c r="AB114" s="119">
        <v>133.9</v>
      </c>
      <c r="AC114" s="119">
        <v>130.9</v>
      </c>
      <c r="AD114" s="119">
        <v>134.9</v>
      </c>
      <c r="AE114" s="119">
        <v>132.30000000000001</v>
      </c>
      <c r="AF114" s="119"/>
      <c r="AG114" s="120"/>
      <c r="AH114" s="48">
        <f t="shared" si="32"/>
        <v>136.5</v>
      </c>
      <c r="AI114" s="49">
        <f t="shared" si="33"/>
        <v>130.9</v>
      </c>
    </row>
    <row r="115" spans="1:35" x14ac:dyDescent="0.25">
      <c r="A115" s="116" t="s">
        <v>138</v>
      </c>
      <c r="B115" s="76">
        <v>132</v>
      </c>
      <c r="C115" s="76">
        <v>132</v>
      </c>
      <c r="D115" s="76">
        <v>133</v>
      </c>
      <c r="E115" s="76">
        <v>127.5</v>
      </c>
      <c r="F115" s="76">
        <v>128</v>
      </c>
      <c r="G115" s="76">
        <v>127.1</v>
      </c>
      <c r="H115" s="76">
        <v>131.1</v>
      </c>
      <c r="I115" s="76">
        <v>131.80000000000001</v>
      </c>
      <c r="J115" s="76">
        <v>129.5</v>
      </c>
      <c r="K115" s="76">
        <v>128.5</v>
      </c>
      <c r="L115" s="76">
        <v>129.1</v>
      </c>
      <c r="M115" s="76"/>
      <c r="N115" s="76"/>
      <c r="O115" s="76"/>
      <c r="P115" s="76"/>
      <c r="Q115" s="76"/>
      <c r="R115" s="76"/>
      <c r="S115" s="76"/>
      <c r="T115" s="76"/>
      <c r="U115" s="76"/>
      <c r="V115" s="76">
        <v>126</v>
      </c>
      <c r="W115" s="76">
        <v>127.7</v>
      </c>
      <c r="X115" s="76">
        <v>127.7</v>
      </c>
      <c r="Y115" s="76">
        <v>128.80000000000001</v>
      </c>
      <c r="Z115" s="76">
        <v>128.80000000000001</v>
      </c>
      <c r="AA115" s="76">
        <v>128.80000000000001</v>
      </c>
      <c r="AB115" s="76">
        <v>129.69999999999999</v>
      </c>
      <c r="AC115" s="76">
        <v>128.9</v>
      </c>
      <c r="AD115" s="76">
        <v>123.2</v>
      </c>
      <c r="AE115" s="76">
        <v>121.8</v>
      </c>
      <c r="AF115" s="76">
        <v>131.5</v>
      </c>
      <c r="AG115" s="117"/>
      <c r="AH115" s="48">
        <f t="shared" si="32"/>
        <v>133</v>
      </c>
      <c r="AI115" s="49">
        <f t="shared" si="33"/>
        <v>121.8</v>
      </c>
    </row>
    <row r="116" spans="1:35" ht="15.75" thickBot="1" x14ac:dyDescent="0.3">
      <c r="A116" s="116" t="s">
        <v>139</v>
      </c>
      <c r="B116" s="105">
        <v>66.7</v>
      </c>
      <c r="C116" s="105">
        <v>66.7</v>
      </c>
      <c r="D116" s="105">
        <v>66.599999999999994</v>
      </c>
      <c r="E116" s="105">
        <v>66.7</v>
      </c>
      <c r="F116" s="105">
        <v>67.2</v>
      </c>
      <c r="G116" s="105">
        <v>66.599999999999994</v>
      </c>
      <c r="H116" s="105">
        <v>66.2</v>
      </c>
      <c r="I116" s="105">
        <v>66.2</v>
      </c>
      <c r="J116" s="105">
        <v>65.7</v>
      </c>
      <c r="K116" s="105">
        <v>65</v>
      </c>
      <c r="L116" s="105">
        <v>64.900000000000006</v>
      </c>
      <c r="M116" s="105">
        <v>65.3</v>
      </c>
      <c r="N116" s="105">
        <v>65.2</v>
      </c>
      <c r="O116" s="105">
        <v>64.400000000000006</v>
      </c>
      <c r="P116" s="105">
        <v>63.7</v>
      </c>
      <c r="Q116" s="105">
        <v>63.4</v>
      </c>
      <c r="R116" s="105">
        <v>63.6</v>
      </c>
      <c r="S116" s="105"/>
      <c r="T116" s="105">
        <v>63.3</v>
      </c>
      <c r="U116" s="105"/>
      <c r="V116" s="105">
        <v>64</v>
      </c>
      <c r="W116" s="105">
        <v>63.3</v>
      </c>
      <c r="X116" s="105">
        <v>63.3</v>
      </c>
      <c r="Y116" s="105">
        <v>63.9</v>
      </c>
      <c r="Z116" s="105">
        <v>63.9</v>
      </c>
      <c r="AA116" s="105">
        <v>63.9</v>
      </c>
      <c r="AB116" s="105">
        <v>64.5</v>
      </c>
      <c r="AC116" s="105">
        <v>65.2</v>
      </c>
      <c r="AD116" s="105">
        <v>65.400000000000006</v>
      </c>
      <c r="AE116" s="105">
        <v>65.5</v>
      </c>
      <c r="AF116" s="105">
        <v>65.400000000000006</v>
      </c>
      <c r="AG116" s="121"/>
      <c r="AH116" s="48">
        <f t="shared" si="32"/>
        <v>67.2</v>
      </c>
      <c r="AI116" s="49">
        <f t="shared" si="33"/>
        <v>63.3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2"/>
        <v>0</v>
      </c>
      <c r="AI117" s="49">
        <f t="shared" si="33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85.640000000000015</v>
      </c>
      <c r="C118" s="124">
        <f>SUM(C22,C28,C31:C32,C66,C68:C69,C71,C73,C119:C123,C155,C161,C167,C176,C178,C190,C197,C200:C201,C208,C210,C212,C216:C218,C220:C222,C227,C233:C234,C236:C238,C246,C251)</f>
        <v>85.640000000000015</v>
      </c>
      <c r="D118" s="124">
        <f>SUM(D22,D28,D31:D32,D66,D68:D69,D71,D73,D119:D123,D155,D161,D167,D176,D178,D190,D197,D200:D201,D208,D210,D212,D216:D218,D220:D222,D227,D233:D234,D236:D238,D246,D251)</f>
        <v>80.140000000000015</v>
      </c>
      <c r="E118" s="124">
        <f t="shared" ref="E118:O118" si="45">SUM(E22,E28,E31:E32,E66,E68:E69,E71,E73,E119:E123,E155,E161,E167,E176,E178,E190,E197,E200:E201,E208,E210,E212,E216:E218,E220:E222,E227,E233:E234,E236:E238,E246,E251)</f>
        <v>85.140000000000029</v>
      </c>
      <c r="F118" s="124">
        <f t="shared" si="45"/>
        <v>104.14000000000001</v>
      </c>
      <c r="G118" s="124">
        <f t="shared" si="45"/>
        <v>122.34000000000003</v>
      </c>
      <c r="H118" s="124">
        <f t="shared" si="45"/>
        <v>152.23999999999998</v>
      </c>
      <c r="I118" s="124">
        <f t="shared" si="45"/>
        <v>189.74</v>
      </c>
      <c r="J118" s="124">
        <f t="shared" si="45"/>
        <v>226.74</v>
      </c>
      <c r="K118" s="124">
        <f t="shared" si="45"/>
        <v>249.44</v>
      </c>
      <c r="L118" s="124">
        <f t="shared" si="45"/>
        <v>275.64</v>
      </c>
      <c r="M118" s="124">
        <f t="shared" si="45"/>
        <v>288.74</v>
      </c>
      <c r="N118" s="124">
        <f t="shared" si="45"/>
        <v>294.14</v>
      </c>
      <c r="O118" s="124">
        <f t="shared" si="45"/>
        <v>313.24</v>
      </c>
      <c r="P118" s="124">
        <v>42</v>
      </c>
      <c r="Q118" s="124">
        <f t="shared" ref="Q118:W118" si="46">SUM(Q22,Q28,Q31:Q32,Q66,Q68:Q69,Q71,Q73,Q119:Q123,Q155,Q161,Q167,Q176,Q178,Q190,Q197,Q200:Q201,Q208,Q210,Q212,Q216:Q218,Q220:Q222,Q227,Q233:Q234,Q236:Q238,Q246,Q251)</f>
        <v>312.14000000000004</v>
      </c>
      <c r="R118" s="124">
        <f t="shared" si="46"/>
        <v>289.64</v>
      </c>
      <c r="S118" s="124">
        <f>SUM(S22,S28,S31:S32,S66,S68:S69,S71,S73,S119:S123,S155,S161,S167,S176,S178,S190,S197,S200:S201,S208,S210,S212,S216:S218,S220:S222,S227,S233:S234,S236:S238,S246,S251)</f>
        <v>0.94</v>
      </c>
      <c r="T118" s="124">
        <f>SUM(T22,T28,T31:T32,T66,T68:T69,T71,T73,T119:T123,T155,T161,T167,T176,T178,T190,T197,T200:T201,T208,T210,T212,T216:T218,T220:T222,T227,T233:T234,T236:T238,T246,T251)</f>
        <v>285.44</v>
      </c>
      <c r="U118" s="124">
        <f t="shared" si="46"/>
        <v>99.34</v>
      </c>
      <c r="V118" s="124">
        <f t="shared" si="46"/>
        <v>267.44</v>
      </c>
      <c r="W118" s="124">
        <f t="shared" si="46"/>
        <v>333.74</v>
      </c>
      <c r="X118" s="124">
        <f t="shared" ref="X118:AF118" si="47">SUM(X22,X28,X31:X32,X66,X68:X69,X71,X73,X119:X123,X155,X161,X167,X176,X178,X190,X197,X200:X201,X208,X210,X212,X216:X218,X220:X222,X227,X233:X234,X236:X238,X246,X251)</f>
        <v>307.23999999999995</v>
      </c>
      <c r="Y118" s="124">
        <f t="shared" si="47"/>
        <v>342.14</v>
      </c>
      <c r="Z118" s="124">
        <f t="shared" si="47"/>
        <v>306.24</v>
      </c>
      <c r="AA118" s="124">
        <f t="shared" si="47"/>
        <v>319.33999999999997</v>
      </c>
      <c r="AB118" s="124">
        <f t="shared" si="47"/>
        <v>253.04000000000002</v>
      </c>
      <c r="AC118" s="124">
        <f t="shared" si="47"/>
        <v>222.84000000000003</v>
      </c>
      <c r="AD118" s="124">
        <f t="shared" si="47"/>
        <v>221.83999999999997</v>
      </c>
      <c r="AE118" s="124">
        <f t="shared" si="47"/>
        <v>199.54</v>
      </c>
      <c r="AF118" s="124">
        <f t="shared" si="47"/>
        <v>123.74000000000001</v>
      </c>
      <c r="AG118" s="125"/>
      <c r="AH118" s="48">
        <f t="shared" si="32"/>
        <v>342.14</v>
      </c>
      <c r="AI118" s="49">
        <f t="shared" si="33"/>
        <v>0.94</v>
      </c>
    </row>
    <row r="119" spans="1:35" x14ac:dyDescent="0.25">
      <c r="A119" s="126" t="s">
        <v>142</v>
      </c>
      <c r="B119" s="127">
        <v>19</v>
      </c>
      <c r="C119" s="127">
        <v>32</v>
      </c>
      <c r="D119" s="127">
        <v>32</v>
      </c>
      <c r="E119" s="127">
        <v>38.200000000000003</v>
      </c>
      <c r="F119" s="127">
        <v>39.5</v>
      </c>
      <c r="G119" s="127">
        <v>35.700000000000003</v>
      </c>
      <c r="H119" s="127">
        <v>25.9</v>
      </c>
      <c r="I119" s="127">
        <v>25.7</v>
      </c>
      <c r="J119" s="127">
        <v>28.6</v>
      </c>
      <c r="K119" s="127">
        <v>26.5</v>
      </c>
      <c r="L119" s="127">
        <v>15.9</v>
      </c>
      <c r="M119" s="127">
        <v>12.8</v>
      </c>
      <c r="N119" s="127">
        <v>12.6</v>
      </c>
      <c r="O119" s="127">
        <v>10.5</v>
      </c>
      <c r="P119" s="127">
        <v>10.5</v>
      </c>
      <c r="Q119" s="127">
        <v>8.6</v>
      </c>
      <c r="R119" s="127">
        <v>21</v>
      </c>
      <c r="S119" s="127"/>
      <c r="T119" s="127">
        <v>26.9</v>
      </c>
      <c r="U119" s="127"/>
      <c r="V119" s="127">
        <v>27.2</v>
      </c>
      <c r="W119" s="127">
        <v>21.6</v>
      </c>
      <c r="X119" s="127">
        <v>23.6</v>
      </c>
      <c r="Y119" s="127">
        <v>54.1</v>
      </c>
      <c r="Z119" s="127">
        <v>49.4</v>
      </c>
      <c r="AA119" s="127">
        <v>38.4</v>
      </c>
      <c r="AB119" s="127">
        <v>54.5</v>
      </c>
      <c r="AC119" s="127">
        <v>42.5</v>
      </c>
      <c r="AD119" s="127">
        <v>49.4</v>
      </c>
      <c r="AE119" s="127">
        <v>42.1</v>
      </c>
      <c r="AF119" s="127">
        <v>40</v>
      </c>
      <c r="AG119" s="128">
        <v>75</v>
      </c>
      <c r="AH119" s="48">
        <f t="shared" si="32"/>
        <v>54.5</v>
      </c>
      <c r="AI119" s="49">
        <f t="shared" si="33"/>
        <v>8.6</v>
      </c>
    </row>
    <row r="120" spans="1:35" x14ac:dyDescent="0.25">
      <c r="A120" s="129" t="s">
        <v>143</v>
      </c>
      <c r="B120" s="130">
        <v>34</v>
      </c>
      <c r="C120" s="130">
        <v>53</v>
      </c>
      <c r="D120" s="130">
        <v>53</v>
      </c>
      <c r="E120" s="130">
        <v>58.7</v>
      </c>
      <c r="F120" s="130">
        <v>61.1</v>
      </c>
      <c r="G120" s="130">
        <v>56.7</v>
      </c>
      <c r="H120" s="130">
        <v>39.1</v>
      </c>
      <c r="I120" s="130">
        <v>37.700000000000003</v>
      </c>
      <c r="J120" s="130">
        <v>37.799999999999997</v>
      </c>
      <c r="K120" s="130">
        <v>29.1</v>
      </c>
      <c r="L120" s="130">
        <v>18.600000000000001</v>
      </c>
      <c r="M120" s="130">
        <v>13.5</v>
      </c>
      <c r="N120" s="130">
        <v>12</v>
      </c>
      <c r="O120" s="130">
        <v>9.4</v>
      </c>
      <c r="P120" s="130">
        <v>11.4</v>
      </c>
      <c r="Q120" s="130">
        <v>8.4</v>
      </c>
      <c r="R120" s="130">
        <v>24.5</v>
      </c>
      <c r="S120" s="130"/>
      <c r="T120" s="130">
        <v>33.6</v>
      </c>
      <c r="U120" s="130"/>
      <c r="V120" s="130">
        <v>36</v>
      </c>
      <c r="W120" s="130">
        <v>30.3</v>
      </c>
      <c r="X120" s="130">
        <v>31.5</v>
      </c>
      <c r="Y120" s="130">
        <v>78.900000000000006</v>
      </c>
      <c r="Z120" s="130">
        <v>72.400000000000006</v>
      </c>
      <c r="AA120" s="130">
        <v>56.7</v>
      </c>
      <c r="AB120" s="130">
        <v>81.3</v>
      </c>
      <c r="AC120" s="130">
        <v>64.3</v>
      </c>
      <c r="AD120" s="130">
        <v>74.3</v>
      </c>
      <c r="AE120" s="130">
        <v>64.5</v>
      </c>
      <c r="AF120" s="130">
        <v>63</v>
      </c>
      <c r="AG120" s="128">
        <v>240</v>
      </c>
      <c r="AH120" s="48">
        <f t="shared" si="32"/>
        <v>81.3</v>
      </c>
      <c r="AI120" s="49">
        <f t="shared" si="33"/>
        <v>8.4</v>
      </c>
    </row>
    <row r="121" spans="1:35" x14ac:dyDescent="0.25">
      <c r="A121" s="129" t="s">
        <v>144</v>
      </c>
      <c r="B121" s="130">
        <v>-130</v>
      </c>
      <c r="C121" s="130">
        <v>-146</v>
      </c>
      <c r="D121" s="130">
        <v>-150</v>
      </c>
      <c r="E121" s="130">
        <v>-140</v>
      </c>
      <c r="F121" s="130">
        <v>-129</v>
      </c>
      <c r="G121" s="130">
        <v>-124</v>
      </c>
      <c r="H121" s="130">
        <v>-89</v>
      </c>
      <c r="I121" s="130">
        <v>-72</v>
      </c>
      <c r="J121" s="130">
        <v>-58.4</v>
      </c>
      <c r="K121" s="130">
        <v>-45.4</v>
      </c>
      <c r="L121" s="130">
        <v>-16.399999999999999</v>
      </c>
      <c r="M121" s="130">
        <f>6.2-2</f>
        <v>4.2</v>
      </c>
      <c r="N121" s="130">
        <v>10</v>
      </c>
      <c r="O121" s="130">
        <v>18.100000000000001</v>
      </c>
      <c r="P121" s="130">
        <v>11.5</v>
      </c>
      <c r="Q121" s="130">
        <v>16.5</v>
      </c>
      <c r="R121" s="130">
        <v>-5</v>
      </c>
      <c r="S121" s="130"/>
      <c r="T121" s="130">
        <v>-9.5</v>
      </c>
      <c r="U121" s="130"/>
      <c r="V121" s="130">
        <v>-17</v>
      </c>
      <c r="W121" s="130">
        <v>18</v>
      </c>
      <c r="X121" s="130">
        <v>-1.5</v>
      </c>
      <c r="Y121" s="130">
        <v>-29.9</v>
      </c>
      <c r="Z121" s="130">
        <v>-63.6</v>
      </c>
      <c r="AA121" s="130">
        <v>-38.9</v>
      </c>
      <c r="AB121" s="130">
        <v>-58.2</v>
      </c>
      <c r="AC121" s="130">
        <v>-74.599999999999994</v>
      </c>
      <c r="AD121" s="130">
        <v>-87.8</v>
      </c>
      <c r="AE121" s="130">
        <v>-84</v>
      </c>
      <c r="AF121" s="130">
        <v>-123</v>
      </c>
      <c r="AG121" s="128">
        <v>240</v>
      </c>
      <c r="AH121" s="48">
        <f t="shared" si="32"/>
        <v>18.100000000000001</v>
      </c>
      <c r="AI121" s="49">
        <f t="shared" si="33"/>
        <v>-150</v>
      </c>
    </row>
    <row r="122" spans="1:35" ht="15.75" thickBot="1" x14ac:dyDescent="0.3">
      <c r="A122" s="129" t="s">
        <v>145</v>
      </c>
      <c r="B122" s="130">
        <v>19</v>
      </c>
      <c r="C122" s="130">
        <v>9</v>
      </c>
      <c r="D122" s="130">
        <v>9.5</v>
      </c>
      <c r="E122" s="130">
        <v>-5.0999999999999996</v>
      </c>
      <c r="F122" s="130">
        <v>-5.6</v>
      </c>
      <c r="G122" s="130">
        <v>4.9000000000000004</v>
      </c>
      <c r="H122" s="130">
        <v>6.8</v>
      </c>
      <c r="I122" s="130">
        <v>8.1</v>
      </c>
      <c r="J122" s="130">
        <v>11</v>
      </c>
      <c r="K122" s="130">
        <v>14.4</v>
      </c>
      <c r="L122" s="130">
        <v>20.100000000000001</v>
      </c>
      <c r="M122" s="130">
        <v>30.4</v>
      </c>
      <c r="N122" s="130">
        <v>31.4</v>
      </c>
      <c r="O122" s="130">
        <v>40.1</v>
      </c>
      <c r="P122" s="130">
        <v>24.4</v>
      </c>
      <c r="Q122" s="130">
        <v>23.1</v>
      </c>
      <c r="R122" s="130">
        <v>11.2</v>
      </c>
      <c r="S122" s="130"/>
      <c r="T122" s="130">
        <v>1.5</v>
      </c>
      <c r="U122" s="130"/>
      <c r="V122" s="130">
        <v>4.7</v>
      </c>
      <c r="W122" s="130">
        <v>12.5</v>
      </c>
      <c r="X122" s="130">
        <v>11.1</v>
      </c>
      <c r="Y122" s="130">
        <v>13.2</v>
      </c>
      <c r="Z122" s="130">
        <v>10.5</v>
      </c>
      <c r="AA122" s="130">
        <v>14.6</v>
      </c>
      <c r="AB122" s="130">
        <v>10.7</v>
      </c>
      <c r="AC122" s="130">
        <v>3.5</v>
      </c>
      <c r="AD122" s="130">
        <v>0.6</v>
      </c>
      <c r="AE122" s="130">
        <v>1.7</v>
      </c>
      <c r="AF122" s="130">
        <v>-11</v>
      </c>
      <c r="AG122" s="128">
        <v>60</v>
      </c>
      <c r="AH122" s="48">
        <f t="shared" si="32"/>
        <v>40.1</v>
      </c>
      <c r="AI122" s="49">
        <f t="shared" si="33"/>
        <v>-11</v>
      </c>
    </row>
    <row r="123" spans="1:35" x14ac:dyDescent="0.25">
      <c r="A123" s="126" t="s">
        <v>146</v>
      </c>
      <c r="B123" s="131">
        <v>26</v>
      </c>
      <c r="C123" s="131">
        <v>20</v>
      </c>
      <c r="D123" s="131">
        <v>18</v>
      </c>
      <c r="E123" s="131">
        <v>15.7</v>
      </c>
      <c r="F123" s="131">
        <v>18.600000000000001</v>
      </c>
      <c r="G123" s="131">
        <v>29.9</v>
      </c>
      <c r="H123" s="131">
        <v>49.9</v>
      </c>
      <c r="I123" s="131">
        <v>70.7</v>
      </c>
      <c r="J123" s="131">
        <v>88.1</v>
      </c>
      <c r="K123" s="131">
        <v>102.6</v>
      </c>
      <c r="L123" s="131">
        <v>115.2</v>
      </c>
      <c r="M123" s="131">
        <v>103.6</v>
      </c>
      <c r="N123" s="131">
        <v>102.7</v>
      </c>
      <c r="O123" s="131">
        <v>103.9</v>
      </c>
      <c r="P123" s="131">
        <v>120.4</v>
      </c>
      <c r="Q123" s="131">
        <v>116.5</v>
      </c>
      <c r="R123" s="131">
        <v>102.7</v>
      </c>
      <c r="S123" s="131"/>
      <c r="T123" s="131">
        <v>102.5</v>
      </c>
      <c r="U123" s="131"/>
      <c r="V123" s="131">
        <v>93.7</v>
      </c>
      <c r="W123" s="131">
        <v>128.5</v>
      </c>
      <c r="X123" s="131">
        <v>121.1</v>
      </c>
      <c r="Y123" s="131">
        <v>104.7</v>
      </c>
      <c r="Z123" s="131">
        <v>116.4</v>
      </c>
      <c r="AA123" s="131">
        <v>121</v>
      </c>
      <c r="AB123" s="131">
        <v>102.3</v>
      </c>
      <c r="AC123" s="131">
        <v>71.400000000000006</v>
      </c>
      <c r="AD123" s="131">
        <v>68.599999999999994</v>
      </c>
      <c r="AE123" s="131">
        <v>58.5</v>
      </c>
      <c r="AF123" s="131">
        <v>38</v>
      </c>
      <c r="AG123" s="132">
        <v>120</v>
      </c>
      <c r="AH123" s="48">
        <f t="shared" si="32"/>
        <v>128.5</v>
      </c>
      <c r="AI123" s="49">
        <f t="shared" si="33"/>
        <v>15.7</v>
      </c>
    </row>
    <row r="124" spans="1:35" x14ac:dyDescent="0.25">
      <c r="A124" s="129" t="s">
        <v>147</v>
      </c>
      <c r="B124" s="131">
        <v>40</v>
      </c>
      <c r="C124" s="131">
        <v>38</v>
      </c>
      <c r="D124" s="131">
        <v>36</v>
      </c>
      <c r="E124" s="131">
        <v>35</v>
      </c>
      <c r="F124" s="131">
        <v>36.4</v>
      </c>
      <c r="G124" s="131">
        <v>41.8</v>
      </c>
      <c r="H124" s="131">
        <v>51.7</v>
      </c>
      <c r="I124" s="131">
        <v>62.2</v>
      </c>
      <c r="J124" s="131">
        <v>70.5</v>
      </c>
      <c r="K124" s="131">
        <v>77.400000000000006</v>
      </c>
      <c r="L124" s="131">
        <v>82.2</v>
      </c>
      <c r="M124" s="131">
        <v>78</v>
      </c>
      <c r="N124" s="131">
        <v>77</v>
      </c>
      <c r="O124" s="131">
        <v>77.400000000000006</v>
      </c>
      <c r="P124" s="131">
        <v>85.4</v>
      </c>
      <c r="Q124" s="131">
        <v>83.8</v>
      </c>
      <c r="R124" s="131"/>
      <c r="S124" s="131"/>
      <c r="T124" s="131">
        <v>73.099999999999994</v>
      </c>
      <c r="U124" s="131"/>
      <c r="V124" s="131">
        <v>71.400000000000006</v>
      </c>
      <c r="W124" s="131">
        <v>94.9</v>
      </c>
      <c r="X124" s="131">
        <v>85.2</v>
      </c>
      <c r="Y124" s="131">
        <v>79</v>
      </c>
      <c r="Z124" s="131">
        <v>84.4</v>
      </c>
      <c r="AA124" s="131">
        <v>88.7</v>
      </c>
      <c r="AB124" s="131">
        <v>87.5</v>
      </c>
      <c r="AC124" s="131">
        <v>67.7</v>
      </c>
      <c r="AD124" s="131">
        <v>70.5</v>
      </c>
      <c r="AE124" s="131">
        <v>65.7</v>
      </c>
      <c r="AF124" s="131">
        <v>56</v>
      </c>
      <c r="AG124" s="132"/>
      <c r="AH124" s="48">
        <f t="shared" si="32"/>
        <v>94.9</v>
      </c>
      <c r="AI124" s="49">
        <f t="shared" si="33"/>
        <v>35</v>
      </c>
    </row>
    <row r="125" spans="1:35" x14ac:dyDescent="0.25">
      <c r="A125" s="129" t="s">
        <v>148</v>
      </c>
      <c r="B125" s="131">
        <v>2</v>
      </c>
      <c r="C125" s="131">
        <v>0</v>
      </c>
      <c r="D125" s="131">
        <v>0</v>
      </c>
      <c r="E125" s="131">
        <v>-3.8</v>
      </c>
      <c r="F125" s="131">
        <v>-4.5</v>
      </c>
      <c r="G125" s="131">
        <v>-2.8</v>
      </c>
      <c r="H125" s="131">
        <v>-6.1</v>
      </c>
      <c r="I125" s="131">
        <v>-9.9</v>
      </c>
      <c r="J125" s="131">
        <v>-12.1</v>
      </c>
      <c r="K125" s="131">
        <v>-13.6</v>
      </c>
      <c r="L125" s="131">
        <v>-13.7</v>
      </c>
      <c r="M125" s="131">
        <v>-10.8</v>
      </c>
      <c r="N125" s="131">
        <v>-11</v>
      </c>
      <c r="O125" s="131">
        <v>-11.3</v>
      </c>
      <c r="P125" s="131">
        <v>5</v>
      </c>
      <c r="Q125" s="131">
        <v>3.1</v>
      </c>
      <c r="R125" s="131"/>
      <c r="S125" s="131"/>
      <c r="T125" s="131">
        <v>-5</v>
      </c>
      <c r="U125" s="131"/>
      <c r="V125" s="131">
        <v>-12.2</v>
      </c>
      <c r="W125" s="131">
        <v>21.4</v>
      </c>
      <c r="X125" s="131">
        <v>4.0999999999999996</v>
      </c>
      <c r="Y125" s="131">
        <v>-17.8</v>
      </c>
      <c r="Z125" s="131">
        <v>-20.2</v>
      </c>
      <c r="AA125" s="131">
        <v>-18.7</v>
      </c>
      <c r="AB125" s="131">
        <v>-16.3</v>
      </c>
      <c r="AC125" s="131">
        <v>-14.6</v>
      </c>
      <c r="AD125" s="131">
        <v>-14.9</v>
      </c>
      <c r="AE125" s="131">
        <v>-13</v>
      </c>
      <c r="AF125" s="131">
        <v>12</v>
      </c>
      <c r="AG125" s="132"/>
      <c r="AH125" s="48">
        <f t="shared" si="32"/>
        <v>21.4</v>
      </c>
      <c r="AI125" s="49">
        <f t="shared" si="33"/>
        <v>-20.2</v>
      </c>
    </row>
    <row r="126" spans="1:35" ht="15.75" thickBot="1" x14ac:dyDescent="0.3">
      <c r="A126" s="129" t="s">
        <v>149</v>
      </c>
      <c r="B126" s="131">
        <v>30</v>
      </c>
      <c r="C126" s="131">
        <v>25</v>
      </c>
      <c r="D126" s="131">
        <v>21</v>
      </c>
      <c r="E126" s="131">
        <v>26.4</v>
      </c>
      <c r="F126" s="131">
        <v>24.4</v>
      </c>
      <c r="G126" s="131">
        <v>25.4</v>
      </c>
      <c r="H126" s="131">
        <v>53.9</v>
      </c>
      <c r="I126" s="131">
        <v>22.8</v>
      </c>
      <c r="J126" s="131">
        <v>26.3</v>
      </c>
      <c r="K126" s="131">
        <v>53.8</v>
      </c>
      <c r="L126" s="131">
        <v>72.099999999999994</v>
      </c>
      <c r="M126" s="131">
        <v>63.4</v>
      </c>
      <c r="N126" s="131">
        <v>72.8</v>
      </c>
      <c r="O126" s="131">
        <v>95</v>
      </c>
      <c r="P126" s="131">
        <v>92.4</v>
      </c>
      <c r="Q126" s="131">
        <v>79.599999999999994</v>
      </c>
      <c r="R126" s="131"/>
      <c r="S126" s="131"/>
      <c r="T126" s="131">
        <v>83</v>
      </c>
      <c r="U126" s="131"/>
      <c r="V126" s="131">
        <v>69.400000000000006</v>
      </c>
      <c r="W126" s="131">
        <v>94</v>
      </c>
      <c r="X126" s="131">
        <v>75.400000000000006</v>
      </c>
      <c r="Y126" s="131">
        <v>54.7</v>
      </c>
      <c r="Z126" s="131">
        <v>44.9</v>
      </c>
      <c r="AA126" s="131">
        <v>71.400000000000006</v>
      </c>
      <c r="AB126" s="131">
        <v>78.5</v>
      </c>
      <c r="AC126" s="131">
        <v>73.599999999999994</v>
      </c>
      <c r="AD126" s="131">
        <v>68.3</v>
      </c>
      <c r="AE126" s="131">
        <v>73</v>
      </c>
      <c r="AF126" s="131">
        <v>38.5</v>
      </c>
      <c r="AG126" s="128"/>
      <c r="AH126" s="48">
        <f>MAX(B126:AF126)</f>
        <v>95</v>
      </c>
      <c r="AI126" s="49">
        <f>MIN(B126:AF126)</f>
        <v>21</v>
      </c>
    </row>
    <row r="127" spans="1:35" x14ac:dyDescent="0.25">
      <c r="A127" s="126" t="s">
        <v>150</v>
      </c>
      <c r="B127" s="131">
        <v>-132</v>
      </c>
      <c r="C127" s="131">
        <v>-115</v>
      </c>
      <c r="D127" s="131">
        <v>-110</v>
      </c>
      <c r="E127" s="131">
        <v>-111.3</v>
      </c>
      <c r="F127" s="131">
        <v>-108.1</v>
      </c>
      <c r="G127" s="131">
        <v>-101.2</v>
      </c>
      <c r="H127" s="131">
        <v>-90.9</v>
      </c>
      <c r="I127" s="131">
        <v>-4.5999999999999996</v>
      </c>
      <c r="J127" s="131">
        <v>8.8000000000000007</v>
      </c>
      <c r="K127" s="131">
        <v>16.5</v>
      </c>
      <c r="L127" s="131">
        <v>21.4</v>
      </c>
      <c r="M127" s="131">
        <v>17.2</v>
      </c>
      <c r="N127" s="131">
        <v>17.399999999999999</v>
      </c>
      <c r="O127" s="131">
        <v>18.600000000000001</v>
      </c>
      <c r="P127" s="131">
        <v>25.7</v>
      </c>
      <c r="Q127" s="131">
        <v>21.9</v>
      </c>
      <c r="R127" s="131"/>
      <c r="S127" s="131"/>
      <c r="T127" s="131">
        <v>17.899999999999999</v>
      </c>
      <c r="U127" s="131"/>
      <c r="V127" s="131">
        <v>-67.599999999999994</v>
      </c>
      <c r="W127" s="131">
        <v>-54</v>
      </c>
      <c r="X127" s="131">
        <v>-77</v>
      </c>
      <c r="Y127" s="131">
        <v>-100.1</v>
      </c>
      <c r="Z127" s="131">
        <v>-113.8</v>
      </c>
      <c r="AA127" s="131">
        <v>-145.69999999999999</v>
      </c>
      <c r="AB127" s="131">
        <v>-162.4</v>
      </c>
      <c r="AC127" s="131">
        <v>-160.19999999999999</v>
      </c>
      <c r="AD127" s="131">
        <v>-166.8</v>
      </c>
      <c r="AE127" s="131">
        <v>-159</v>
      </c>
      <c r="AF127" s="131">
        <v>-136</v>
      </c>
      <c r="AG127" s="128"/>
      <c r="AH127" s="48">
        <f>MAX(B127:AF127)</f>
        <v>25.7</v>
      </c>
      <c r="AI127" s="49">
        <f>MIN(B127:AF127)</f>
        <v>-166.8</v>
      </c>
    </row>
    <row r="128" spans="1:35" x14ac:dyDescent="0.25">
      <c r="A128" s="129" t="s">
        <v>151</v>
      </c>
      <c r="B128" s="119">
        <v>-15</v>
      </c>
      <c r="C128" s="119">
        <v>-17</v>
      </c>
      <c r="D128" s="119">
        <v>-13</v>
      </c>
      <c r="E128" s="119">
        <v>-5.5</v>
      </c>
      <c r="F128" s="119">
        <v>-6</v>
      </c>
      <c r="G128" s="119">
        <v>-6.6</v>
      </c>
      <c r="H128" s="119">
        <v>-10</v>
      </c>
      <c r="I128" s="119">
        <v>-9.5</v>
      </c>
      <c r="J128" s="119">
        <v>-9.9</v>
      </c>
      <c r="K128" s="119">
        <v>-16.5</v>
      </c>
      <c r="L128" s="119">
        <v>-16.7</v>
      </c>
      <c r="M128" s="119">
        <v>-10.8</v>
      </c>
      <c r="N128" s="119">
        <v>-1.8</v>
      </c>
      <c r="O128" s="119">
        <v>1.2</v>
      </c>
      <c r="P128" s="119">
        <v>-15</v>
      </c>
      <c r="Q128" s="119">
        <v>30.3</v>
      </c>
      <c r="R128" s="119"/>
      <c r="S128" s="119"/>
      <c r="T128" s="119">
        <v>46.8</v>
      </c>
      <c r="U128" s="119"/>
      <c r="V128" s="119">
        <v>47.3</v>
      </c>
      <c r="W128" s="119">
        <v>40</v>
      </c>
      <c r="X128" s="119">
        <v>34.200000000000003</v>
      </c>
      <c r="Y128" s="119">
        <v>27.3</v>
      </c>
      <c r="Z128" s="119">
        <v>7.1</v>
      </c>
      <c r="AA128" s="119">
        <v>6.8</v>
      </c>
      <c r="AB128" s="119">
        <v>29.2</v>
      </c>
      <c r="AC128" s="119">
        <v>35.1</v>
      </c>
      <c r="AD128" s="119">
        <v>32.200000000000003</v>
      </c>
      <c r="AE128" s="119">
        <v>34</v>
      </c>
      <c r="AF128" s="119">
        <v>45</v>
      </c>
      <c r="AG128" s="128"/>
      <c r="AH128" s="48">
        <f>MAX(B128:AF128)</f>
        <v>47.3</v>
      </c>
      <c r="AI128" s="49">
        <f>MIN(B128:AF128)</f>
        <v>-17</v>
      </c>
    </row>
    <row r="129" spans="1:37" x14ac:dyDescent="0.25">
      <c r="A129" s="129" t="s">
        <v>152</v>
      </c>
      <c r="B129" s="119">
        <v>75</v>
      </c>
      <c r="C129" s="119">
        <v>74</v>
      </c>
      <c r="D129" s="119">
        <v>67</v>
      </c>
      <c r="E129" s="119">
        <v>62.3</v>
      </c>
      <c r="F129" s="119">
        <v>58</v>
      </c>
      <c r="G129" s="119">
        <v>46.8</v>
      </c>
      <c r="H129" s="119">
        <v>48.1</v>
      </c>
      <c r="I129" s="119">
        <v>53</v>
      </c>
      <c r="J129" s="119">
        <v>71.900000000000006</v>
      </c>
      <c r="K129" s="119">
        <v>32.6</v>
      </c>
      <c r="L129" s="119">
        <v>44.8</v>
      </c>
      <c r="M129" s="119">
        <v>44.5</v>
      </c>
      <c r="N129" s="119">
        <v>40</v>
      </c>
      <c r="O129" s="119">
        <v>43.6</v>
      </c>
      <c r="P129" s="119">
        <v>34.5</v>
      </c>
      <c r="Q129" s="119">
        <v>15.5</v>
      </c>
      <c r="R129" s="119"/>
      <c r="S129" s="119"/>
      <c r="T129" s="119">
        <v>9.6</v>
      </c>
      <c r="U129" s="119"/>
      <c r="V129" s="119">
        <v>-2.2000000000000002</v>
      </c>
      <c r="W129" s="119">
        <v>-0.8</v>
      </c>
      <c r="X129" s="119">
        <v>25.2</v>
      </c>
      <c r="Y129" s="119">
        <v>20.100000000000001</v>
      </c>
      <c r="Z129" s="119">
        <v>46.9</v>
      </c>
      <c r="AA129" s="119">
        <v>52.4</v>
      </c>
      <c r="AB129" s="119">
        <v>34</v>
      </c>
      <c r="AC129" s="119">
        <v>50.4</v>
      </c>
      <c r="AD129" s="119">
        <v>54.3</v>
      </c>
      <c r="AE129" s="119">
        <v>47</v>
      </c>
      <c r="AF129" s="119">
        <v>38.5</v>
      </c>
      <c r="AG129" s="128"/>
      <c r="AH129" s="48">
        <f>MAX(B129:AF129)</f>
        <v>75</v>
      </c>
      <c r="AI129" s="49">
        <f>MIN(B129:AF129)</f>
        <v>-2.2000000000000002</v>
      </c>
    </row>
    <row r="130" spans="1:37" ht="15.75" thickBot="1" x14ac:dyDescent="0.3">
      <c r="A130" s="129" t="s">
        <v>153</v>
      </c>
      <c r="B130" s="119">
        <v>90</v>
      </c>
      <c r="C130" s="119">
        <v>83</v>
      </c>
      <c r="D130" s="119">
        <v>78</v>
      </c>
      <c r="E130" s="119">
        <v>72.5</v>
      </c>
      <c r="F130" s="119">
        <v>68.2</v>
      </c>
      <c r="G130" s="119">
        <v>58.6</v>
      </c>
      <c r="H130" s="119">
        <v>59.3</v>
      </c>
      <c r="I130" s="119">
        <v>63.8</v>
      </c>
      <c r="J130" s="119">
        <v>81.099999999999994</v>
      </c>
      <c r="K130" s="119">
        <v>35.4</v>
      </c>
      <c r="L130" s="119">
        <v>50</v>
      </c>
      <c r="M130" s="119">
        <v>48.9</v>
      </c>
      <c r="N130" s="119">
        <v>39.5</v>
      </c>
      <c r="O130" s="119">
        <v>44.4</v>
      </c>
      <c r="P130" s="119">
        <v>35.4</v>
      </c>
      <c r="Q130" s="119">
        <v>19.7</v>
      </c>
      <c r="R130" s="119"/>
      <c r="S130" s="119"/>
      <c r="T130" s="119">
        <v>14.7</v>
      </c>
      <c r="U130" s="119"/>
      <c r="V130" s="119">
        <v>8</v>
      </c>
      <c r="W130" s="119">
        <v>9.8000000000000007</v>
      </c>
      <c r="X130" s="119">
        <v>34.200000000000003</v>
      </c>
      <c r="Y130" s="119">
        <v>36.799999999999997</v>
      </c>
      <c r="Z130" s="119">
        <v>58.8</v>
      </c>
      <c r="AA130" s="119">
        <v>63.9</v>
      </c>
      <c r="AB130" s="119">
        <v>53.21</v>
      </c>
      <c r="AC130" s="119">
        <v>70.099999999999994</v>
      </c>
      <c r="AD130" s="119">
        <v>70.7</v>
      </c>
      <c r="AE130" s="119">
        <v>63.2</v>
      </c>
      <c r="AF130" s="119">
        <v>49.8</v>
      </c>
      <c r="AG130" s="128"/>
      <c r="AH130" s="48">
        <f>MAX(B130:AF130)</f>
        <v>90</v>
      </c>
      <c r="AI130" s="49">
        <f>MIN(B130:AF130)</f>
        <v>8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1983.69</v>
      </c>
      <c r="C132" s="137">
        <v>1983.42</v>
      </c>
      <c r="D132" s="137">
        <v>1983.3</v>
      </c>
      <c r="E132" s="137">
        <v>1983.2</v>
      </c>
      <c r="F132" s="137">
        <v>1983.1</v>
      </c>
      <c r="G132" s="137">
        <v>1983</v>
      </c>
      <c r="H132" s="137"/>
      <c r="I132" s="137">
        <v>1982.92</v>
      </c>
      <c r="J132" s="137"/>
      <c r="K132" s="137">
        <v>1983.32</v>
      </c>
      <c r="L132" s="137"/>
      <c r="M132" s="137">
        <v>1983.8</v>
      </c>
      <c r="N132" s="137">
        <v>1984.22</v>
      </c>
      <c r="O132" s="137">
        <v>1984.6</v>
      </c>
      <c r="P132" s="137">
        <v>1984.95</v>
      </c>
      <c r="Q132" s="137">
        <v>1985.31</v>
      </c>
      <c r="R132" s="137"/>
      <c r="S132" s="137">
        <v>1985.95</v>
      </c>
      <c r="T132" s="137">
        <v>1986.28</v>
      </c>
      <c r="U132" s="137">
        <v>1986.62</v>
      </c>
      <c r="V132" s="137">
        <v>1986.72</v>
      </c>
      <c r="W132" s="137">
        <v>1986.68</v>
      </c>
      <c r="X132" s="137">
        <v>1986.62</v>
      </c>
      <c r="Y132" s="137"/>
      <c r="Z132" s="137">
        <v>1986.59</v>
      </c>
      <c r="AA132" s="137"/>
      <c r="AB132" s="137">
        <v>1986.15</v>
      </c>
      <c r="AC132" s="137"/>
      <c r="AD132" s="137">
        <v>1985.9</v>
      </c>
      <c r="AE132" s="137">
        <v>1985.6</v>
      </c>
      <c r="AF132" s="138">
        <v>1985.49</v>
      </c>
      <c r="AG132" s="139"/>
      <c r="AH132" s="48"/>
      <c r="AI132" s="49"/>
    </row>
    <row r="133" spans="1:37" x14ac:dyDescent="0.25">
      <c r="A133" s="136" t="s">
        <v>156</v>
      </c>
      <c r="B133" s="140">
        <v>521.73</v>
      </c>
      <c r="C133" s="140">
        <v>521.71</v>
      </c>
      <c r="D133" s="140">
        <v>521.58000000000004</v>
      </c>
      <c r="E133" s="140">
        <v>521.46</v>
      </c>
      <c r="F133" s="140">
        <v>521.35</v>
      </c>
      <c r="G133" s="140">
        <v>521.25</v>
      </c>
      <c r="H133" s="140"/>
      <c r="I133" s="140">
        <v>521.23</v>
      </c>
      <c r="J133" s="140"/>
      <c r="K133" s="140">
        <v>521.21</v>
      </c>
      <c r="L133" s="140"/>
      <c r="M133" s="140">
        <v>521.26</v>
      </c>
      <c r="N133" s="140">
        <v>521.44000000000005</v>
      </c>
      <c r="O133" s="140">
        <v>521.66</v>
      </c>
      <c r="P133" s="140"/>
      <c r="Q133" s="140"/>
      <c r="R133" s="140"/>
      <c r="S133" s="140">
        <v>522.37</v>
      </c>
      <c r="T133" s="140">
        <v>522.1</v>
      </c>
      <c r="U133" s="140">
        <v>521.9</v>
      </c>
      <c r="V133" s="140">
        <v>521.67999999999995</v>
      </c>
      <c r="W133" s="140"/>
      <c r="X133" s="140">
        <v>521.78</v>
      </c>
      <c r="Y133" s="140"/>
      <c r="Z133" s="140">
        <v>521.67999999999995</v>
      </c>
      <c r="AA133" s="140"/>
      <c r="AB133" s="140">
        <v>521.49</v>
      </c>
      <c r="AC133" s="140"/>
      <c r="AD133" s="140">
        <v>521.47</v>
      </c>
      <c r="AE133" s="140">
        <v>521.45000000000005</v>
      </c>
      <c r="AF133" s="141">
        <v>521.41999999999996</v>
      </c>
      <c r="AG133" s="139"/>
      <c r="AH133" s="48"/>
      <c r="AI133" s="49"/>
    </row>
    <row r="134" spans="1:37" x14ac:dyDescent="0.25">
      <c r="A134" s="136" t="s">
        <v>157</v>
      </c>
      <c r="B134" s="140">
        <v>623.04999999999995</v>
      </c>
      <c r="C134" s="140">
        <v>623.16</v>
      </c>
      <c r="D134" s="140">
        <v>623.15</v>
      </c>
      <c r="E134" s="140">
        <v>623.21</v>
      </c>
      <c r="F134" s="140">
        <v>623.29</v>
      </c>
      <c r="G134" s="140">
        <v>623.29999999999995</v>
      </c>
      <c r="H134" s="140"/>
      <c r="I134" s="140">
        <v>623.66</v>
      </c>
      <c r="J134" s="140"/>
      <c r="K134" s="140">
        <v>623.9</v>
      </c>
      <c r="L134" s="140"/>
      <c r="M134" s="140">
        <v>624.48</v>
      </c>
      <c r="N134" s="140"/>
      <c r="O134" s="140">
        <v>624.9</v>
      </c>
      <c r="P134" s="140">
        <v>624.82000000000005</v>
      </c>
      <c r="Q134" s="140">
        <v>624.65</v>
      </c>
      <c r="R134" s="140"/>
      <c r="S134" s="140">
        <v>624.63</v>
      </c>
      <c r="T134" s="140">
        <v>624.69000000000005</v>
      </c>
      <c r="U134" s="140">
        <v>624.72</v>
      </c>
      <c r="V134" s="140">
        <v>624.70000000000005</v>
      </c>
      <c r="W134" s="140"/>
      <c r="X134" s="140">
        <v>624.72</v>
      </c>
      <c r="Y134" s="140"/>
      <c r="Z134" s="140">
        <v>624.69000000000005</v>
      </c>
      <c r="AA134" s="140"/>
      <c r="AB134" s="140">
        <v>624.4</v>
      </c>
      <c r="AC134" s="140"/>
      <c r="AD134" s="140">
        <v>624.22</v>
      </c>
      <c r="AE134" s="140"/>
      <c r="AF134" s="141">
        <v>624.52</v>
      </c>
      <c r="AG134" s="139"/>
      <c r="AH134" s="48"/>
      <c r="AI134" s="49"/>
    </row>
    <row r="135" spans="1:37" x14ac:dyDescent="0.25">
      <c r="A135" s="136" t="s">
        <v>158</v>
      </c>
      <c r="B135" s="140">
        <v>336.65</v>
      </c>
      <c r="C135" s="140"/>
      <c r="D135" s="140">
        <v>336.70100000000002</v>
      </c>
      <c r="E135" s="140">
        <v>336.55</v>
      </c>
      <c r="F135" s="140">
        <v>336.36</v>
      </c>
      <c r="G135" s="140">
        <v>336.14</v>
      </c>
      <c r="H135" s="140"/>
      <c r="I135" s="140">
        <v>335.84</v>
      </c>
      <c r="J135" s="140"/>
      <c r="K135" s="140">
        <v>335.68</v>
      </c>
      <c r="L135" s="140"/>
      <c r="M135" s="140">
        <v>335.64</v>
      </c>
      <c r="N135" s="140"/>
      <c r="O135" s="140">
        <v>335.97</v>
      </c>
      <c r="P135" s="140">
        <v>336</v>
      </c>
      <c r="Q135" s="140">
        <v>335.99</v>
      </c>
      <c r="R135" s="140"/>
      <c r="S135" s="140">
        <v>336</v>
      </c>
      <c r="T135" s="140">
        <v>335.96</v>
      </c>
      <c r="U135" s="140">
        <v>336.01</v>
      </c>
      <c r="V135" s="140">
        <v>336.33</v>
      </c>
      <c r="W135" s="140"/>
      <c r="X135" s="140">
        <v>336.64</v>
      </c>
      <c r="Y135" s="140"/>
      <c r="Z135" s="140">
        <v>336.71</v>
      </c>
      <c r="AA135" s="140"/>
      <c r="AB135" s="140">
        <v>336.59</v>
      </c>
      <c r="AC135" s="140"/>
      <c r="AD135" s="140">
        <v>336.33</v>
      </c>
      <c r="AE135" s="140">
        <v>336.08</v>
      </c>
      <c r="AF135" s="141">
        <v>335.89</v>
      </c>
      <c r="AG135" s="139"/>
      <c r="AH135" s="48"/>
      <c r="AI135" s="49"/>
    </row>
    <row r="136" spans="1:37" x14ac:dyDescent="0.25">
      <c r="A136" s="136" t="s">
        <v>159</v>
      </c>
      <c r="B136" s="140"/>
      <c r="C136" s="140"/>
      <c r="D136" s="140">
        <v>883.6</v>
      </c>
      <c r="E136" s="140">
        <v>884.2</v>
      </c>
      <c r="F136" s="140">
        <v>885.3</v>
      </c>
      <c r="G136" s="140">
        <v>886.2</v>
      </c>
      <c r="H136" s="140"/>
      <c r="I136" s="140">
        <v>886.7</v>
      </c>
      <c r="J136" s="140"/>
      <c r="K136" s="140">
        <v>887</v>
      </c>
      <c r="L136" s="140"/>
      <c r="M136" s="140">
        <v>887.2</v>
      </c>
      <c r="N136" s="140">
        <v>886.7</v>
      </c>
      <c r="O136" s="140"/>
      <c r="P136" s="140"/>
      <c r="Q136" s="140">
        <v>884.2</v>
      </c>
      <c r="R136" s="140"/>
      <c r="S136" s="140">
        <v>881.7</v>
      </c>
      <c r="T136" s="140">
        <v>881.8</v>
      </c>
      <c r="U136" s="140">
        <v>883.5</v>
      </c>
      <c r="V136" s="140">
        <v>884.5</v>
      </c>
      <c r="W136" s="140"/>
      <c r="X136" s="140">
        <v>885.4</v>
      </c>
      <c r="Y136" s="140"/>
      <c r="Z136" s="140">
        <v>884.8</v>
      </c>
      <c r="AA136" s="140"/>
      <c r="AB136" s="140">
        <v>883.6</v>
      </c>
      <c r="AC136" s="140"/>
      <c r="AD136" s="140">
        <v>883</v>
      </c>
      <c r="AE136" s="140">
        <v>882.8</v>
      </c>
      <c r="AF136" s="141">
        <v>882.7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1494.35</v>
      </c>
      <c r="C137" s="142"/>
      <c r="D137" s="142"/>
      <c r="E137" s="142"/>
      <c r="F137" s="142"/>
      <c r="G137" s="142"/>
      <c r="H137" s="142"/>
      <c r="I137" s="142"/>
      <c r="J137" s="142"/>
      <c r="K137" s="142">
        <v>1494.18</v>
      </c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8">SUM(B139:B243)</f>
        <v>0</v>
      </c>
      <c r="C244" s="161">
        <f t="shared" si="48"/>
        <v>0</v>
      </c>
      <c r="D244" s="161">
        <f t="shared" si="48"/>
        <v>0</v>
      </c>
      <c r="E244" s="161">
        <f t="shared" si="48"/>
        <v>0</v>
      </c>
      <c r="F244" s="161">
        <f t="shared" si="48"/>
        <v>0</v>
      </c>
      <c r="G244" s="161">
        <f t="shared" si="48"/>
        <v>0</v>
      </c>
      <c r="H244" s="161">
        <f t="shared" si="48"/>
        <v>0</v>
      </c>
      <c r="I244" s="161">
        <f t="shared" si="48"/>
        <v>0</v>
      </c>
      <c r="J244" s="161">
        <f t="shared" si="48"/>
        <v>0</v>
      </c>
      <c r="K244" s="161">
        <f t="shared" si="48"/>
        <v>0</v>
      </c>
      <c r="L244" s="161">
        <f t="shared" si="48"/>
        <v>0</v>
      </c>
      <c r="M244" s="161">
        <f t="shared" si="48"/>
        <v>0</v>
      </c>
      <c r="N244" s="161">
        <f t="shared" si="48"/>
        <v>0</v>
      </c>
      <c r="O244" s="161">
        <f t="shared" si="48"/>
        <v>0</v>
      </c>
      <c r="P244" s="161">
        <f t="shared" si="48"/>
        <v>0</v>
      </c>
      <c r="Q244" s="161">
        <f t="shared" si="48"/>
        <v>0</v>
      </c>
      <c r="R244" s="161">
        <f t="shared" si="48"/>
        <v>0</v>
      </c>
      <c r="S244" s="161">
        <f t="shared" si="48"/>
        <v>0</v>
      </c>
      <c r="T244" s="161">
        <f t="shared" si="48"/>
        <v>0</v>
      </c>
      <c r="U244" s="161">
        <f t="shared" si="48"/>
        <v>0</v>
      </c>
      <c r="V244" s="161">
        <f t="shared" si="48"/>
        <v>0</v>
      </c>
      <c r="W244" s="161">
        <f t="shared" si="48"/>
        <v>0</v>
      </c>
      <c r="X244" s="161">
        <f t="shared" si="48"/>
        <v>0</v>
      </c>
      <c r="Y244" s="161">
        <f t="shared" si="48"/>
        <v>0</v>
      </c>
      <c r="Z244" s="161">
        <f t="shared" si="48"/>
        <v>0</v>
      </c>
      <c r="AA244" s="161">
        <f t="shared" si="48"/>
        <v>0</v>
      </c>
      <c r="AB244" s="161">
        <f t="shared" si="48"/>
        <v>0</v>
      </c>
      <c r="AC244" s="161">
        <f t="shared" si="48"/>
        <v>0</v>
      </c>
      <c r="AD244" s="161">
        <f t="shared" si="48"/>
        <v>0</v>
      </c>
      <c r="AE244" s="161">
        <f t="shared" si="48"/>
        <v>0</v>
      </c>
      <c r="AF244" s="162">
        <f t="shared" si="48"/>
        <v>0</v>
      </c>
      <c r="AG244" s="163">
        <f t="shared" si="4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9">AF246</f>
        <v>0.3</v>
      </c>
      <c r="C246" s="166">
        <v>0.3</v>
      </c>
      <c r="D246" s="166">
        <f t="shared" ref="D246:S251" si="50">C246</f>
        <v>0.3</v>
      </c>
      <c r="E246" s="166">
        <f t="shared" si="50"/>
        <v>0.3</v>
      </c>
      <c r="F246" s="166">
        <f t="shared" si="50"/>
        <v>0.3</v>
      </c>
      <c r="G246" s="166">
        <f t="shared" si="50"/>
        <v>0.3</v>
      </c>
      <c r="H246" s="166">
        <f t="shared" si="50"/>
        <v>0.3</v>
      </c>
      <c r="I246" s="166">
        <f t="shared" si="50"/>
        <v>0.3</v>
      </c>
      <c r="J246" s="166">
        <f t="shared" si="50"/>
        <v>0.3</v>
      </c>
      <c r="K246" s="166">
        <f t="shared" si="50"/>
        <v>0.3</v>
      </c>
      <c r="L246" s="166">
        <f t="shared" si="50"/>
        <v>0.3</v>
      </c>
      <c r="M246" s="166">
        <f t="shared" si="50"/>
        <v>0.3</v>
      </c>
      <c r="N246" s="166">
        <f t="shared" si="50"/>
        <v>0.3</v>
      </c>
      <c r="O246" s="166">
        <f t="shared" si="50"/>
        <v>0.3</v>
      </c>
      <c r="P246" s="166">
        <f t="shared" si="50"/>
        <v>0.3</v>
      </c>
      <c r="Q246" s="166">
        <f t="shared" si="50"/>
        <v>0.3</v>
      </c>
      <c r="R246" s="166">
        <f t="shared" si="50"/>
        <v>0.3</v>
      </c>
      <c r="S246" s="166">
        <f t="shared" si="50"/>
        <v>0.3</v>
      </c>
      <c r="T246" s="166">
        <f t="shared" ref="T246:AF251" si="51">S246</f>
        <v>0.3</v>
      </c>
      <c r="U246" s="166">
        <f t="shared" si="51"/>
        <v>0.3</v>
      </c>
      <c r="V246" s="166">
        <f t="shared" si="51"/>
        <v>0.3</v>
      </c>
      <c r="W246" s="166">
        <f t="shared" si="51"/>
        <v>0.3</v>
      </c>
      <c r="X246" s="166">
        <f t="shared" si="51"/>
        <v>0.3</v>
      </c>
      <c r="Y246" s="166">
        <f t="shared" si="51"/>
        <v>0.3</v>
      </c>
      <c r="Z246" s="166">
        <f t="shared" si="51"/>
        <v>0.3</v>
      </c>
      <c r="AA246" s="166">
        <f t="shared" si="51"/>
        <v>0.3</v>
      </c>
      <c r="AB246" s="166">
        <f t="shared" si="51"/>
        <v>0.3</v>
      </c>
      <c r="AC246" s="166">
        <f t="shared" si="51"/>
        <v>0.3</v>
      </c>
      <c r="AD246" s="166">
        <f t="shared" si="51"/>
        <v>0.3</v>
      </c>
      <c r="AE246" s="166">
        <f t="shared" si="51"/>
        <v>0.3</v>
      </c>
      <c r="AF246" s="166">
        <f t="shared" si="51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9"/>
        <v>0.4</v>
      </c>
      <c r="C247" s="152">
        <v>0.4</v>
      </c>
      <c r="D247" s="152">
        <f t="shared" si="50"/>
        <v>0.4</v>
      </c>
      <c r="E247" s="152">
        <f t="shared" si="50"/>
        <v>0.4</v>
      </c>
      <c r="F247" s="152">
        <f t="shared" si="50"/>
        <v>0.4</v>
      </c>
      <c r="G247" s="152">
        <f t="shared" si="50"/>
        <v>0.4</v>
      </c>
      <c r="H247" s="152">
        <f t="shared" si="50"/>
        <v>0.4</v>
      </c>
      <c r="I247" s="152">
        <f t="shared" si="50"/>
        <v>0.4</v>
      </c>
      <c r="J247" s="152">
        <f t="shared" si="50"/>
        <v>0.4</v>
      </c>
      <c r="K247" s="152">
        <f t="shared" si="50"/>
        <v>0.4</v>
      </c>
      <c r="L247" s="152">
        <f t="shared" si="50"/>
        <v>0.4</v>
      </c>
      <c r="M247" s="152">
        <f t="shared" si="50"/>
        <v>0.4</v>
      </c>
      <c r="N247" s="152">
        <f t="shared" si="50"/>
        <v>0.4</v>
      </c>
      <c r="O247" s="152">
        <f t="shared" si="50"/>
        <v>0.4</v>
      </c>
      <c r="P247" s="152">
        <f t="shared" si="50"/>
        <v>0.4</v>
      </c>
      <c r="Q247" s="152">
        <f t="shared" si="50"/>
        <v>0.4</v>
      </c>
      <c r="R247" s="152">
        <f t="shared" si="50"/>
        <v>0.4</v>
      </c>
      <c r="S247" s="152">
        <f t="shared" si="50"/>
        <v>0.4</v>
      </c>
      <c r="T247" s="152">
        <f t="shared" si="51"/>
        <v>0.4</v>
      </c>
      <c r="U247" s="152">
        <f t="shared" si="51"/>
        <v>0.4</v>
      </c>
      <c r="V247" s="152">
        <f t="shared" si="51"/>
        <v>0.4</v>
      </c>
      <c r="W247" s="152">
        <f t="shared" si="51"/>
        <v>0.4</v>
      </c>
      <c r="X247" s="152">
        <f t="shared" si="51"/>
        <v>0.4</v>
      </c>
      <c r="Y247" s="152">
        <f t="shared" si="51"/>
        <v>0.4</v>
      </c>
      <c r="Z247" s="152">
        <f t="shared" si="51"/>
        <v>0.4</v>
      </c>
      <c r="AA247" s="152">
        <f t="shared" si="51"/>
        <v>0.4</v>
      </c>
      <c r="AB247" s="152">
        <f t="shared" si="51"/>
        <v>0.4</v>
      </c>
      <c r="AC247" s="152">
        <f t="shared" si="51"/>
        <v>0.4</v>
      </c>
      <c r="AD247" s="152">
        <f t="shared" si="51"/>
        <v>0.4</v>
      </c>
      <c r="AE247" s="152">
        <f t="shared" si="51"/>
        <v>0.4</v>
      </c>
      <c r="AF247" s="152">
        <f t="shared" si="51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9"/>
        <v>1.5</v>
      </c>
      <c r="C248" s="152">
        <v>1.5</v>
      </c>
      <c r="D248" s="152">
        <f t="shared" si="50"/>
        <v>1.5</v>
      </c>
      <c r="E248" s="152">
        <f t="shared" si="50"/>
        <v>1.5</v>
      </c>
      <c r="F248" s="152">
        <f t="shared" si="50"/>
        <v>1.5</v>
      </c>
      <c r="G248" s="152">
        <f t="shared" si="50"/>
        <v>1.5</v>
      </c>
      <c r="H248" s="152">
        <f t="shared" si="50"/>
        <v>1.5</v>
      </c>
      <c r="I248" s="152">
        <f t="shared" si="50"/>
        <v>1.5</v>
      </c>
      <c r="J248" s="152">
        <f t="shared" si="50"/>
        <v>1.5</v>
      </c>
      <c r="K248" s="152">
        <f t="shared" si="50"/>
        <v>1.5</v>
      </c>
      <c r="L248" s="152">
        <f t="shared" si="50"/>
        <v>1.5</v>
      </c>
      <c r="M248" s="152">
        <f t="shared" si="50"/>
        <v>1.5</v>
      </c>
      <c r="N248" s="152">
        <f t="shared" si="50"/>
        <v>1.5</v>
      </c>
      <c r="O248" s="152">
        <f t="shared" si="50"/>
        <v>1.5</v>
      </c>
      <c r="P248" s="152">
        <f t="shared" si="50"/>
        <v>1.5</v>
      </c>
      <c r="Q248" s="152">
        <f t="shared" si="50"/>
        <v>1.5</v>
      </c>
      <c r="R248" s="152">
        <f t="shared" si="50"/>
        <v>1.5</v>
      </c>
      <c r="S248" s="152">
        <f t="shared" si="50"/>
        <v>1.5</v>
      </c>
      <c r="T248" s="152">
        <f t="shared" si="51"/>
        <v>1.5</v>
      </c>
      <c r="U248" s="152">
        <f t="shared" si="51"/>
        <v>1.5</v>
      </c>
      <c r="V248" s="152">
        <f t="shared" si="51"/>
        <v>1.5</v>
      </c>
      <c r="W248" s="152">
        <f t="shared" si="51"/>
        <v>1.5</v>
      </c>
      <c r="X248" s="152">
        <f t="shared" si="51"/>
        <v>1.5</v>
      </c>
      <c r="Y248" s="152">
        <f t="shared" si="51"/>
        <v>1.5</v>
      </c>
      <c r="Z248" s="152">
        <f t="shared" si="51"/>
        <v>1.5</v>
      </c>
      <c r="AA248" s="152">
        <f t="shared" si="51"/>
        <v>1.5</v>
      </c>
      <c r="AB248" s="152">
        <f t="shared" si="51"/>
        <v>1.5</v>
      </c>
      <c r="AC248" s="152">
        <f t="shared" si="51"/>
        <v>1.5</v>
      </c>
      <c r="AD248" s="152">
        <f t="shared" si="51"/>
        <v>1.5</v>
      </c>
      <c r="AE248" s="152">
        <f t="shared" si="51"/>
        <v>1.5</v>
      </c>
      <c r="AF248" s="152">
        <f t="shared" si="51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9"/>
        <v>0.3</v>
      </c>
      <c r="C249" s="152">
        <v>0.3</v>
      </c>
      <c r="D249" s="152">
        <f t="shared" si="50"/>
        <v>0.3</v>
      </c>
      <c r="E249" s="152">
        <f t="shared" si="50"/>
        <v>0.3</v>
      </c>
      <c r="F249" s="152">
        <f t="shared" si="50"/>
        <v>0.3</v>
      </c>
      <c r="G249" s="152">
        <f t="shared" si="50"/>
        <v>0.3</v>
      </c>
      <c r="H249" s="152">
        <f t="shared" si="50"/>
        <v>0.3</v>
      </c>
      <c r="I249" s="152">
        <f t="shared" si="50"/>
        <v>0.3</v>
      </c>
      <c r="J249" s="152">
        <f t="shared" si="50"/>
        <v>0.3</v>
      </c>
      <c r="K249" s="152">
        <f t="shared" si="50"/>
        <v>0.3</v>
      </c>
      <c r="L249" s="152">
        <f t="shared" si="50"/>
        <v>0.3</v>
      </c>
      <c r="M249" s="152">
        <f t="shared" si="50"/>
        <v>0.3</v>
      </c>
      <c r="N249" s="152">
        <f t="shared" si="50"/>
        <v>0.3</v>
      </c>
      <c r="O249" s="152">
        <f t="shared" si="50"/>
        <v>0.3</v>
      </c>
      <c r="P249" s="152">
        <f t="shared" si="50"/>
        <v>0.3</v>
      </c>
      <c r="Q249" s="152">
        <f t="shared" si="50"/>
        <v>0.3</v>
      </c>
      <c r="R249" s="152">
        <f t="shared" si="50"/>
        <v>0.3</v>
      </c>
      <c r="S249" s="152">
        <f t="shared" si="50"/>
        <v>0.3</v>
      </c>
      <c r="T249" s="152">
        <f t="shared" si="51"/>
        <v>0.3</v>
      </c>
      <c r="U249" s="152">
        <f t="shared" si="51"/>
        <v>0.3</v>
      </c>
      <c r="V249" s="152">
        <f t="shared" si="51"/>
        <v>0.3</v>
      </c>
      <c r="W249" s="152">
        <f t="shared" si="51"/>
        <v>0.3</v>
      </c>
      <c r="X249" s="152">
        <f t="shared" si="51"/>
        <v>0.3</v>
      </c>
      <c r="Y249" s="152">
        <f t="shared" si="51"/>
        <v>0.3</v>
      </c>
      <c r="Z249" s="152">
        <f t="shared" si="51"/>
        <v>0.3</v>
      </c>
      <c r="AA249" s="152">
        <f t="shared" si="51"/>
        <v>0.3</v>
      </c>
      <c r="AB249" s="152">
        <f t="shared" si="51"/>
        <v>0.3</v>
      </c>
      <c r="AC249" s="152">
        <f t="shared" si="51"/>
        <v>0.3</v>
      </c>
      <c r="AD249" s="152">
        <f t="shared" si="51"/>
        <v>0.3</v>
      </c>
      <c r="AE249" s="152">
        <f t="shared" si="51"/>
        <v>0.3</v>
      </c>
      <c r="AF249" s="152">
        <f t="shared" si="51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9"/>
        <v>0.4</v>
      </c>
      <c r="C250" s="152">
        <v>0.4</v>
      </c>
      <c r="D250" s="152">
        <f t="shared" si="50"/>
        <v>0.4</v>
      </c>
      <c r="E250" s="152">
        <f t="shared" si="50"/>
        <v>0.4</v>
      </c>
      <c r="F250" s="152">
        <f t="shared" si="50"/>
        <v>0.4</v>
      </c>
      <c r="G250" s="152">
        <f t="shared" si="50"/>
        <v>0.4</v>
      </c>
      <c r="H250" s="152">
        <f t="shared" si="50"/>
        <v>0.4</v>
      </c>
      <c r="I250" s="152">
        <f t="shared" si="50"/>
        <v>0.4</v>
      </c>
      <c r="J250" s="152">
        <f t="shared" si="50"/>
        <v>0.4</v>
      </c>
      <c r="K250" s="152">
        <f t="shared" si="50"/>
        <v>0.4</v>
      </c>
      <c r="L250" s="152">
        <f t="shared" si="50"/>
        <v>0.4</v>
      </c>
      <c r="M250" s="152">
        <f t="shared" si="50"/>
        <v>0.4</v>
      </c>
      <c r="N250" s="152">
        <f t="shared" si="50"/>
        <v>0.4</v>
      </c>
      <c r="O250" s="152">
        <f t="shared" si="50"/>
        <v>0.4</v>
      </c>
      <c r="P250" s="152">
        <f t="shared" si="50"/>
        <v>0.4</v>
      </c>
      <c r="Q250" s="152">
        <f t="shared" si="50"/>
        <v>0.4</v>
      </c>
      <c r="R250" s="152">
        <f t="shared" si="50"/>
        <v>0.4</v>
      </c>
      <c r="S250" s="152">
        <f t="shared" si="50"/>
        <v>0.4</v>
      </c>
      <c r="T250" s="152">
        <f t="shared" si="51"/>
        <v>0.4</v>
      </c>
      <c r="U250" s="152">
        <f t="shared" si="51"/>
        <v>0.4</v>
      </c>
      <c r="V250" s="152">
        <f t="shared" si="51"/>
        <v>0.4</v>
      </c>
      <c r="W250" s="152">
        <f t="shared" si="51"/>
        <v>0.4</v>
      </c>
      <c r="X250" s="152">
        <f t="shared" si="51"/>
        <v>0.4</v>
      </c>
      <c r="Y250" s="152">
        <f t="shared" si="51"/>
        <v>0.4</v>
      </c>
      <c r="Z250" s="152">
        <f t="shared" si="51"/>
        <v>0.4</v>
      </c>
      <c r="AA250" s="152">
        <f t="shared" si="51"/>
        <v>0.4</v>
      </c>
      <c r="AB250" s="152">
        <f t="shared" si="51"/>
        <v>0.4</v>
      </c>
      <c r="AC250" s="152">
        <f t="shared" si="51"/>
        <v>0.4</v>
      </c>
      <c r="AD250" s="152">
        <f t="shared" si="51"/>
        <v>0.4</v>
      </c>
      <c r="AE250" s="152">
        <f t="shared" si="51"/>
        <v>0.4</v>
      </c>
      <c r="AF250" s="152">
        <f t="shared" si="51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9"/>
        <v>0.64</v>
      </c>
      <c r="C251" s="157">
        <v>0.64</v>
      </c>
      <c r="D251" s="157">
        <f t="shared" si="50"/>
        <v>0.64</v>
      </c>
      <c r="E251" s="157">
        <f t="shared" si="50"/>
        <v>0.64</v>
      </c>
      <c r="F251" s="157">
        <f t="shared" si="50"/>
        <v>0.64</v>
      </c>
      <c r="G251" s="157">
        <f t="shared" si="50"/>
        <v>0.64</v>
      </c>
      <c r="H251" s="157">
        <f t="shared" si="50"/>
        <v>0.64</v>
      </c>
      <c r="I251" s="157">
        <f t="shared" si="50"/>
        <v>0.64</v>
      </c>
      <c r="J251" s="157">
        <f t="shared" si="50"/>
        <v>0.64</v>
      </c>
      <c r="K251" s="157">
        <f t="shared" si="50"/>
        <v>0.64</v>
      </c>
      <c r="L251" s="157">
        <f t="shared" si="50"/>
        <v>0.64</v>
      </c>
      <c r="M251" s="157">
        <f t="shared" si="50"/>
        <v>0.64</v>
      </c>
      <c r="N251" s="157">
        <f t="shared" si="50"/>
        <v>0.64</v>
      </c>
      <c r="O251" s="157">
        <f t="shared" si="50"/>
        <v>0.64</v>
      </c>
      <c r="P251" s="157">
        <f t="shared" si="50"/>
        <v>0.64</v>
      </c>
      <c r="Q251" s="157">
        <f t="shared" si="50"/>
        <v>0.64</v>
      </c>
      <c r="R251" s="157">
        <f t="shared" si="50"/>
        <v>0.64</v>
      </c>
      <c r="S251" s="157">
        <f t="shared" si="50"/>
        <v>0.64</v>
      </c>
      <c r="T251" s="157">
        <f t="shared" si="51"/>
        <v>0.64</v>
      </c>
      <c r="U251" s="157">
        <f t="shared" si="51"/>
        <v>0.64</v>
      </c>
      <c r="V251" s="157">
        <f t="shared" si="51"/>
        <v>0.64</v>
      </c>
      <c r="W251" s="157">
        <f t="shared" si="51"/>
        <v>0.64</v>
      </c>
      <c r="X251" s="157">
        <f t="shared" si="51"/>
        <v>0.64</v>
      </c>
      <c r="Y251" s="157">
        <f t="shared" si="51"/>
        <v>0.64</v>
      </c>
      <c r="Z251" s="157">
        <f t="shared" si="51"/>
        <v>0.64</v>
      </c>
      <c r="AA251" s="157">
        <f t="shared" si="51"/>
        <v>0.64</v>
      </c>
      <c r="AB251" s="157">
        <f t="shared" si="51"/>
        <v>0.64</v>
      </c>
      <c r="AC251" s="157">
        <f t="shared" si="51"/>
        <v>0.64</v>
      </c>
      <c r="AD251" s="157">
        <f t="shared" si="51"/>
        <v>0.64</v>
      </c>
      <c r="AE251" s="157">
        <f t="shared" si="51"/>
        <v>0.64</v>
      </c>
      <c r="AF251" s="157">
        <f t="shared" si="51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2">SUM(B246:B251)</f>
        <v>3.54</v>
      </c>
      <c r="C252" s="161">
        <f t="shared" si="52"/>
        <v>3.54</v>
      </c>
      <c r="D252" s="161">
        <f t="shared" si="52"/>
        <v>3.54</v>
      </c>
      <c r="E252" s="161">
        <f t="shared" si="52"/>
        <v>3.54</v>
      </c>
      <c r="F252" s="161">
        <f t="shared" si="52"/>
        <v>3.54</v>
      </c>
      <c r="G252" s="161">
        <f t="shared" si="52"/>
        <v>3.54</v>
      </c>
      <c r="H252" s="161">
        <f t="shared" si="52"/>
        <v>3.54</v>
      </c>
      <c r="I252" s="161">
        <f t="shared" si="52"/>
        <v>3.54</v>
      </c>
      <c r="J252" s="161">
        <f t="shared" si="52"/>
        <v>3.54</v>
      </c>
      <c r="K252" s="161">
        <f t="shared" si="52"/>
        <v>3.54</v>
      </c>
      <c r="L252" s="161">
        <f t="shared" si="52"/>
        <v>3.54</v>
      </c>
      <c r="M252" s="161">
        <f t="shared" si="52"/>
        <v>3.54</v>
      </c>
      <c r="N252" s="161">
        <f t="shared" si="52"/>
        <v>3.54</v>
      </c>
      <c r="O252" s="161">
        <f t="shared" si="52"/>
        <v>3.54</v>
      </c>
      <c r="P252" s="161">
        <f t="shared" si="52"/>
        <v>3.54</v>
      </c>
      <c r="Q252" s="161">
        <f t="shared" si="52"/>
        <v>3.54</v>
      </c>
      <c r="R252" s="161">
        <f t="shared" si="52"/>
        <v>3.54</v>
      </c>
      <c r="S252" s="161">
        <f t="shared" si="52"/>
        <v>3.54</v>
      </c>
      <c r="T252" s="161">
        <f t="shared" si="52"/>
        <v>3.54</v>
      </c>
      <c r="U252" s="161">
        <f t="shared" si="52"/>
        <v>3.54</v>
      </c>
      <c r="V252" s="161">
        <f t="shared" si="52"/>
        <v>3.54</v>
      </c>
      <c r="W252" s="161">
        <f t="shared" si="52"/>
        <v>3.54</v>
      </c>
      <c r="X252" s="161">
        <f t="shared" si="52"/>
        <v>3.54</v>
      </c>
      <c r="Y252" s="161">
        <f t="shared" si="52"/>
        <v>3.54</v>
      </c>
      <c r="Z252" s="161">
        <f t="shared" si="52"/>
        <v>3.54</v>
      </c>
      <c r="AA252" s="161">
        <f t="shared" si="52"/>
        <v>3.54</v>
      </c>
      <c r="AB252" s="161">
        <f t="shared" si="52"/>
        <v>3.54</v>
      </c>
      <c r="AC252" s="161">
        <f t="shared" si="52"/>
        <v>3.54</v>
      </c>
      <c r="AD252" s="161">
        <f t="shared" si="52"/>
        <v>3.54</v>
      </c>
      <c r="AE252" s="161">
        <f t="shared" si="52"/>
        <v>3.54</v>
      </c>
      <c r="AF252" s="161">
        <f t="shared" si="52"/>
        <v>3.54</v>
      </c>
      <c r="AG252" s="171">
        <f t="shared" si="5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1662.9300000000003</v>
      </c>
      <c r="C256" s="174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2080/10/9)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559" priority="89">
      <formula>$AH11=0</formula>
    </cfRule>
  </conditionalFormatting>
  <conditionalFormatting sqref="A132:A253">
    <cfRule type="expression" dxfId="3558" priority="90">
      <formula>$AH132=0</formula>
    </cfRule>
  </conditionalFormatting>
  <conditionalFormatting sqref="B8">
    <cfRule type="expression" dxfId="3557" priority="144">
      <formula>AND(C$9&gt;=14/24,C$9&lt;20/24)</formula>
    </cfRule>
    <cfRule type="expression" dxfId="3556" priority="145">
      <formula>AND(C$9&gt;=8/24,C$9&lt;14/24)</formula>
    </cfRule>
    <cfRule type="expression" dxfId="3555" priority="146">
      <formula>C$9&lt;8/24</formula>
    </cfRule>
    <cfRule type="expression" dxfId="3554" priority="147">
      <formula>C$9&gt;=20/24</formula>
    </cfRule>
  </conditionalFormatting>
  <conditionalFormatting sqref="B11:M52 N12:S52 T13:Z52 S37:S55 B59:D74 E63:E74 E69:AF74 B77:AF99 B9:AF10 B101:AF117 B119:AF137 B244:AF244 B246:B252">
    <cfRule type="expression" dxfId="3553" priority="41">
      <formula>B$9&gt;=20/24</formula>
    </cfRule>
  </conditionalFormatting>
  <conditionalFormatting sqref="B11:M80 P12:S55 O12:O56 N12:N57 T13:Z55 AA56:AF61 O57:P57 Q57:R74 S57:Z80 N58:P74 AA62:AG62 AA63:AF80 N75:R80 AG80">
    <cfRule type="expression" dxfId="3552" priority="40">
      <formula>B11&gt;$AG11</formula>
    </cfRule>
  </conditionalFormatting>
  <conditionalFormatting sqref="B53:Z57">
    <cfRule type="expression" dxfId="3551" priority="53">
      <formula>B$9&lt;8/24</formula>
    </cfRule>
  </conditionalFormatting>
  <conditionalFormatting sqref="B9:AF10 B11:M52 N12:S52 T13:Z52 S37:S55 B59:D74 E63:E74 E69:AF74 B77:AF99 B101:AF117 B119:AF137 B244:AF244 B246:B252">
    <cfRule type="expression" dxfId="3550" priority="42">
      <formula>AND(B$9&gt;=14/24,B$9&lt;20/24)</formula>
    </cfRule>
    <cfRule type="expression" dxfId="3549" priority="43">
      <formula>AND(B$9&gt;=8/24,B$9&lt;14/24)</formula>
    </cfRule>
    <cfRule type="expression" dxfId="3548" priority="44">
      <formula>B$9&lt;8/24</formula>
    </cfRule>
  </conditionalFormatting>
  <conditionalFormatting sqref="D246:AF252">
    <cfRule type="expression" dxfId="3547" priority="129">
      <formula>D$9&gt;=20/24</formula>
    </cfRule>
    <cfRule type="expression" dxfId="3546" priority="130">
      <formula>AND(D$9&gt;=14/24,D$9&lt;20/24)</formula>
    </cfRule>
    <cfRule type="expression" dxfId="3545" priority="131">
      <formula>AND(D$9&gt;=8/24,D$9&lt;14/24)</formula>
    </cfRule>
    <cfRule type="expression" dxfId="3544" priority="132">
      <formula>D$9&lt;8/24</formula>
    </cfRule>
  </conditionalFormatting>
  <conditionalFormatting sqref="E63:I67 J64:J67 K67:S67">
    <cfRule type="expression" dxfId="3543" priority="54">
      <formula>E$9&gt;=20/24</formula>
    </cfRule>
    <cfRule type="expression" dxfId="3542" priority="55">
      <formula>AND(E$9&gt;=14/24,E$9&lt;20/24)</formula>
    </cfRule>
    <cfRule type="expression" dxfId="3541" priority="56">
      <formula>AND(E$9&gt;=8/24,E$9&lt;14/24)</formula>
    </cfRule>
    <cfRule type="expression" dxfId="3540" priority="57">
      <formula>E$9&lt;8/24</formula>
    </cfRule>
  </conditionalFormatting>
  <conditionalFormatting sqref="E68:S68">
    <cfRule type="expression" dxfId="3539" priority="49">
      <formula>E$9&gt;=20/24</formula>
    </cfRule>
    <cfRule type="expression" dxfId="3538" priority="50">
      <formula>AND(E$9&gt;=14/24,E$9&lt;20/24)</formula>
    </cfRule>
    <cfRule type="expression" dxfId="3537" priority="51">
      <formula>AND(E$9&gt;=8/24,E$9&lt;14/24)</formula>
    </cfRule>
    <cfRule type="expression" dxfId="3536" priority="52">
      <formula>E$9&lt;8/24</formula>
    </cfRule>
  </conditionalFormatting>
  <conditionalFormatting sqref="E11:V11 W11:Z12 AA11:AF52 T12:V12">
    <cfRule type="expression" dxfId="3535" priority="58">
      <formula>E11&gt;$AG11</formula>
    </cfRule>
    <cfRule type="expression" dxfId="3534" priority="59">
      <formula>E$9&gt;=20/24</formula>
    </cfRule>
    <cfRule type="expression" dxfId="3533" priority="60">
      <formula>AND(E$9&gt;=14/24,E$9&lt;20/24)</formula>
    </cfRule>
    <cfRule type="expression" dxfId="3532" priority="61">
      <formula>AND(E$9&gt;=8/24,E$9&lt;14/24)</formula>
    </cfRule>
  </conditionalFormatting>
  <conditionalFormatting sqref="E11:V11 W11:Z12 AA11:AF57 T12:V12">
    <cfRule type="expression" dxfId="3531" priority="62">
      <formula>E$9&lt;8/24</formula>
    </cfRule>
  </conditionalFormatting>
  <conditionalFormatting sqref="E59:AF62">
    <cfRule type="expression" dxfId="3530" priority="67">
      <formula>E$9&gt;=20/24</formula>
    </cfRule>
    <cfRule type="expression" dxfId="3529" priority="68">
      <formula>AND(E$9&gt;=14/24,E$9&lt;20/24)</formula>
    </cfRule>
    <cfRule type="expression" dxfId="3528" priority="69">
      <formula>AND(E$9&gt;=8/24,E$9&lt;14/24)</formula>
    </cfRule>
    <cfRule type="expression" dxfId="3527" priority="70">
      <formula>E$9&lt;8/24</formula>
    </cfRule>
  </conditionalFormatting>
  <conditionalFormatting sqref="F63:N65">
    <cfRule type="expression" dxfId="3526" priority="81">
      <formula>F$9&gt;=20/24</formula>
    </cfRule>
    <cfRule type="expression" dxfId="3525" priority="82">
      <formula>AND(F$9&gt;=14/24,F$9&lt;20/24)</formula>
    </cfRule>
    <cfRule type="expression" dxfId="3524" priority="83">
      <formula>AND(F$9&gt;=8/24,F$9&lt;14/24)</formula>
    </cfRule>
    <cfRule type="expression" dxfId="3523" priority="84">
      <formula>F$9&lt;8/24</formula>
    </cfRule>
  </conditionalFormatting>
  <conditionalFormatting sqref="L68:Z68">
    <cfRule type="expression" dxfId="3522" priority="77">
      <formula>L$9&gt;=20/24</formula>
    </cfRule>
    <cfRule type="expression" dxfId="3521" priority="78">
      <formula>AND(L$9&gt;=14/24,L$9&lt;20/24)</formula>
    </cfRule>
    <cfRule type="expression" dxfId="3520" priority="79">
      <formula>AND(L$9&gt;=8/24,L$9&lt;14/24)</formula>
    </cfRule>
    <cfRule type="expression" dxfId="3519" priority="80">
      <formula>L$9&lt;8/24</formula>
    </cfRule>
  </conditionalFormatting>
  <conditionalFormatting sqref="M8 S8 AB8">
    <cfRule type="expression" dxfId="3518" priority="136">
      <formula>AND(N$9&gt;=14/24,N$9&lt;20/24)</formula>
    </cfRule>
    <cfRule type="expression" dxfId="3517" priority="137">
      <formula>AND(N$9&gt;=8/24,N$9&lt;14/24)</formula>
    </cfRule>
    <cfRule type="expression" dxfId="3516" priority="138">
      <formula>N$9&lt;8/24</formula>
    </cfRule>
  </conditionalFormatting>
  <conditionalFormatting sqref="N63:V67 W66:Z67">
    <cfRule type="expression" dxfId="3515" priority="85">
      <formula>N$9&gt;=20/24</formula>
    </cfRule>
    <cfRule type="expression" dxfId="3514" priority="86">
      <formula>AND(N$9&gt;=14/24,N$9&lt;20/24)</formula>
    </cfRule>
    <cfRule type="expression" dxfId="3513" priority="87">
      <formula>AND(N$9&gt;=8/24,N$9&lt;14/24)</formula>
    </cfRule>
    <cfRule type="expression" dxfId="3512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P56:Z56">
    <cfRule type="expression" dxfId="3511" priority="45">
      <formula>P56&gt;$AG56</formula>
    </cfRule>
  </conditionalFormatting>
  <conditionalFormatting sqref="S8 AB8 M8">
    <cfRule type="expression" dxfId="3510" priority="135">
      <formula>N$9&gt;=20/24</formula>
    </cfRule>
  </conditionalFormatting>
  <conditionalFormatting sqref="S8">
    <cfRule type="expression" dxfId="3509" priority="122">
      <formula>U$9&gt;=20/24</formula>
    </cfRule>
    <cfRule type="expression" dxfId="3508" priority="123">
      <formula>AND(U$9&gt;=14/24,U$9&lt;20/24)</formula>
    </cfRule>
    <cfRule type="expression" dxfId="3507" priority="124">
      <formula>AND(U$9&gt;=8/24,U$9&lt;14/24)</formula>
    </cfRule>
    <cfRule type="expression" dxfId="3506" priority="125">
      <formula>U$9&lt;8/24</formula>
    </cfRule>
  </conditionalFormatting>
  <conditionalFormatting sqref="T55:W55 X55:AF57 P56 Q56:W57 O57:P57">
    <cfRule type="expression" dxfId="3505" priority="47">
      <formula>AND(O$9&gt;=14/24,O$9&lt;20/24)</formula>
    </cfRule>
    <cfRule type="expression" dxfId="3504" priority="48">
      <formula>AND(O$9&gt;=8/24,O$9&lt;14/24)</formula>
    </cfRule>
  </conditionalFormatting>
  <conditionalFormatting sqref="T53:AF54 P53:S55 O53:O56 B53:N57">
    <cfRule type="expression" dxfId="3503" priority="37">
      <formula>B$9&gt;=20/24</formula>
    </cfRule>
    <cfRule type="expression" dxfId="3502" priority="38">
      <formula>AND(B$9&gt;=14/24,B$9&lt;20/24)</formula>
    </cfRule>
    <cfRule type="expression" dxfId="3501" priority="39">
      <formula>AND(B$9&gt;=8/24,B$9&lt;14/24)</formula>
    </cfRule>
  </conditionalFormatting>
  <conditionalFormatting sqref="T63:AF68">
    <cfRule type="expression" dxfId="3500" priority="71">
      <formula>T$9&gt;=20/24</formula>
    </cfRule>
    <cfRule type="expression" dxfId="3499" priority="72">
      <formula>AND(T$9&gt;=14/24,T$9&lt;20/24)</formula>
    </cfRule>
    <cfRule type="expression" dxfId="3498" priority="73">
      <formula>AND(T$9&gt;=8/24,T$9&lt;14/24)</formula>
    </cfRule>
    <cfRule type="expression" dxfId="3497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X55:AF57 P56 Q56:W57 T55:W55 O57:P57">
    <cfRule type="expression" dxfId="3496" priority="46">
      <formula>O$9&gt;=20/24</formula>
    </cfRule>
  </conditionalFormatting>
  <conditionalFormatting sqref="AA53:AF55">
    <cfRule type="expression" dxfId="3495" priority="76">
      <formula>AA53&gt;$AG53</formula>
    </cfRule>
  </conditionalFormatting>
  <conditionalFormatting sqref="AB8">
    <cfRule type="expression" dxfId="3494" priority="118">
      <formula>AD$9&gt;=20/24</formula>
    </cfRule>
    <cfRule type="expression" dxfId="3493" priority="119">
      <formula>AND(AD$9&gt;=14/24,AD$9&lt;20/24)</formula>
    </cfRule>
    <cfRule type="expression" dxfId="3492" priority="120">
      <formula>AND(AD$9&gt;=8/24,AD$9&lt;14/24)</formula>
    </cfRule>
    <cfRule type="expression" dxfId="3491" priority="121">
      <formula>AD$9&lt;8/24</formula>
    </cfRule>
  </conditionalFormatting>
  <conditionalFormatting sqref="AG58">
    <cfRule type="expression" dxfId="3490" priority="113">
      <formula>AG58&gt;$AG58</formula>
    </cfRule>
  </conditionalFormatting>
  <conditionalFormatting sqref="AG62">
    <cfRule type="expression" dxfId="3489" priority="96">
      <formula>AG$9&gt;=20/24</formula>
    </cfRule>
    <cfRule type="expression" dxfId="3488" priority="97">
      <formula>AND(AG$9&gt;=14/24,AG$9&lt;20/24)</formula>
    </cfRule>
    <cfRule type="expression" dxfId="3487" priority="98">
      <formula>AND(AG$9&gt;=8/24,AG$9&lt;14/24)</formula>
    </cfRule>
    <cfRule type="expression" dxfId="3486" priority="99">
      <formula>AG$9&lt;8/24</formula>
    </cfRule>
  </conditionalFormatting>
  <conditionalFormatting sqref="AG75:AG76">
    <cfRule type="expression" dxfId="3485" priority="91">
      <formula>AG75&gt;$AG75</formula>
    </cfRule>
  </conditionalFormatting>
  <conditionalFormatting sqref="AG80">
    <cfRule type="expression" dxfId="3484" priority="92">
      <formula>AG$9&gt;=20/24</formula>
    </cfRule>
    <cfRule type="expression" dxfId="3483" priority="93">
      <formula>AND(AG$9&gt;=14/24,AG$9&lt;20/24)</formula>
    </cfRule>
    <cfRule type="expression" dxfId="3482" priority="94">
      <formula>AND(AG$9&gt;=8/24,AG$9&lt;14/24)</formula>
    </cfRule>
    <cfRule type="expression" dxfId="3481" priority="95">
      <formula>AG$9&lt;8/24</formula>
    </cfRule>
  </conditionalFormatting>
  <conditionalFormatting sqref="AG97">
    <cfRule type="expression" dxfId="3480" priority="114">
      <formula>AG$9&gt;=20/24</formula>
    </cfRule>
    <cfRule type="expression" dxfId="3479" priority="115">
      <formula>AND(AG$9&gt;=14/24,AG$9&lt;20/24)</formula>
    </cfRule>
    <cfRule type="expression" dxfId="3478" priority="116">
      <formula>AND(AG$9&gt;=8/24,AG$9&lt;14/24)</formula>
    </cfRule>
    <cfRule type="expression" dxfId="3477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476" priority="139">
      <formula>AJ$9&gt;=20/24</formula>
    </cfRule>
    <cfRule type="expression" dxfId="3475" priority="140">
      <formula>AND(AJ$9&gt;=14/24,AJ$9&lt;20/24)</formula>
    </cfRule>
    <cfRule type="expression" dxfId="3474" priority="141">
      <formula>AND(AJ$9&gt;=8/24,AJ$9&lt;14/24)</formula>
    </cfRule>
    <cfRule type="expression" dxfId="3473" priority="142">
      <formula>AJ$9&lt;8/24</formula>
    </cfRule>
  </conditionalFormatting>
  <conditionalFormatting sqref="AL88:AN88 AL94:AN94">
    <cfRule type="expression" dxfId="3472" priority="106">
      <formula>AL$9&gt;=20/24</formula>
    </cfRule>
    <cfRule type="expression" dxfId="3471" priority="107">
      <formula>AND(AL$9&gt;=14/24,AL$9&lt;20/24)</formula>
    </cfRule>
    <cfRule type="expression" dxfId="3470" priority="108">
      <formula>AND(AL$9&gt;=8/24,AL$9&lt;14/24)</formula>
    </cfRule>
    <cfRule type="expression" dxfId="3469" priority="109">
      <formula>AL$9&lt;8/24</formula>
    </cfRule>
  </conditionalFormatting>
  <conditionalFormatting sqref="AM15:AM21 AN16:AR21">
    <cfRule type="expression" dxfId="3468" priority="13">
      <formula>AX$9&gt;=20/24</formula>
    </cfRule>
    <cfRule type="expression" dxfId="3467" priority="14">
      <formula>AND(AX$9&gt;=14/24,AX$9&lt;20/24)</formula>
    </cfRule>
    <cfRule type="expression" dxfId="3466" priority="15">
      <formula>AND(AX$9&gt;=8/24,AX$9&lt;14/24)</formula>
    </cfRule>
    <cfRule type="expression" dxfId="3465" priority="16">
      <formula>AX$9&lt;8/24</formula>
    </cfRule>
  </conditionalFormatting>
  <conditionalFormatting sqref="AN89:AN92">
    <cfRule type="expression" dxfId="3464" priority="102">
      <formula>AN$9&gt;=20/24</formula>
    </cfRule>
    <cfRule type="expression" dxfId="3463" priority="103">
      <formula>AND(AN$9&gt;=14/24,AN$9&lt;20/24)</formula>
    </cfRule>
    <cfRule type="expression" dxfId="3462" priority="104">
      <formula>AND(AN$9&gt;=8/24,AN$9&lt;14/24)</formula>
    </cfRule>
    <cfRule type="expression" dxfId="3461" priority="105">
      <formula>AN$9&lt;8/24</formula>
    </cfRule>
  </conditionalFormatting>
  <conditionalFormatting sqref="AN15:AR15">
    <cfRule type="expression" dxfId="3460" priority="1">
      <formula>U$9&gt;=20/24</formula>
    </cfRule>
    <cfRule type="expression" dxfId="3459" priority="2">
      <formula>AND(U$9&gt;=14/24,U$9&lt;20/24)</formula>
    </cfRule>
    <cfRule type="expression" dxfId="3458" priority="3">
      <formula>AND(U$9&gt;=8/24,U$9&lt;14/24)</formula>
    </cfRule>
    <cfRule type="expression" dxfId="3457" priority="4">
      <formula>U$9&lt;8/24</formula>
    </cfRule>
  </conditionalFormatting>
  <conditionalFormatting sqref="AS15">
    <cfRule type="expression" dxfId="3456" priority="9">
      <formula>AA$9&gt;=20/24</formula>
    </cfRule>
    <cfRule type="expression" dxfId="3455" priority="10">
      <formula>AND(AA$9&gt;=14/24,AA$9&lt;20/24)</formula>
    </cfRule>
    <cfRule type="expression" dxfId="3454" priority="11">
      <formula>AND(AA$9&gt;=8/24,AA$9&lt;14/24)</formula>
    </cfRule>
    <cfRule type="expression" dxfId="3453" priority="12">
      <formula>AA$9&lt;8/24</formula>
    </cfRule>
  </conditionalFormatting>
  <conditionalFormatting sqref="AS16:AS21">
    <cfRule type="expression" dxfId="3452" priority="17">
      <formula>BE$9&gt;=20/24</formula>
    </cfRule>
    <cfRule type="expression" dxfId="3451" priority="18">
      <formula>AND(BE$9&gt;=14/24,BE$9&lt;20/24)</formula>
    </cfRule>
    <cfRule type="expression" dxfId="3450" priority="19">
      <formula>AND(BE$9&gt;=8/24,BE$9&lt;14/24)</formula>
    </cfRule>
    <cfRule type="expression" dxfId="3449" priority="20">
      <formula>BE$9&lt;8/24</formula>
    </cfRule>
  </conditionalFormatting>
  <conditionalFormatting sqref="AT15 AX15:BJ15">
    <cfRule type="expression" dxfId="3448" priority="21">
      <formula>AC$9&gt;=20/24</formula>
    </cfRule>
    <cfRule type="expression" dxfId="3447" priority="22">
      <formula>AND(AC$9&gt;=14/24,AC$9&lt;20/24)</formula>
    </cfRule>
    <cfRule type="expression" dxfId="3446" priority="23">
      <formula>AND(AC$9&gt;=8/24,AC$9&lt;14/24)</formula>
    </cfRule>
    <cfRule type="expression" dxfId="3445" priority="24">
      <formula>AC$9&lt;8/24</formula>
    </cfRule>
  </conditionalFormatting>
  <conditionalFormatting sqref="AT16:AT21">
    <cfRule type="expression" dxfId="3444" priority="25">
      <formula>BG$9&gt;=20/24</formula>
    </cfRule>
    <cfRule type="expression" dxfId="3443" priority="26">
      <formula>AND(BG$9&gt;=14/24,BG$9&lt;20/24)</formula>
    </cfRule>
    <cfRule type="expression" dxfId="3442" priority="27">
      <formula>AND(BG$9&gt;=8/24,BG$9&lt;14/24)</formula>
    </cfRule>
    <cfRule type="expression" dxfId="3441" priority="28">
      <formula>BG$9&lt;8/24</formula>
    </cfRule>
  </conditionalFormatting>
  <conditionalFormatting sqref="AU15:AV15">
    <cfRule type="expression" dxfId="3440" priority="29">
      <formula>AE$9&gt;=20/24</formula>
    </cfRule>
    <cfRule type="expression" dxfId="3439" priority="30">
      <formula>AND(AE$9&gt;=14/24,AE$9&lt;20/24)</formula>
    </cfRule>
    <cfRule type="expression" dxfId="3438" priority="31">
      <formula>AND(AE$9&gt;=8/24,AE$9&lt;14/24)</formula>
    </cfRule>
    <cfRule type="expression" dxfId="3437" priority="32">
      <formula>AE$9&lt;8/24</formula>
    </cfRule>
  </conditionalFormatting>
  <conditionalFormatting sqref="AU16:BJ21">
    <cfRule type="expression" dxfId="3436" priority="33">
      <formula>BI$9&gt;=20/24</formula>
    </cfRule>
    <cfRule type="expression" dxfId="3435" priority="34">
      <formula>AND(BI$9&gt;=14/24,BI$9&lt;20/24)</formula>
    </cfRule>
    <cfRule type="expression" dxfId="3434" priority="35">
      <formula>AND(BI$9&gt;=8/24,BI$9&lt;14/24)</formula>
    </cfRule>
    <cfRule type="expression" dxfId="3433" priority="36">
      <formula>BI$9&lt;8/24</formula>
    </cfRule>
  </conditionalFormatting>
  <conditionalFormatting sqref="AW15">
    <cfRule type="expression" dxfId="3432" priority="5">
      <formula>B$9&gt;=20/24</formula>
    </cfRule>
    <cfRule type="expression" dxfId="3431" priority="6">
      <formula>AND(B$9&gt;=14/24,B$9&lt;20/24)</formula>
    </cfRule>
    <cfRule type="expression" dxfId="3430" priority="7">
      <formula>AND(B$9&gt;=8/24,B$9&lt;14/24)</formula>
    </cfRule>
    <cfRule type="expression" dxfId="342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2BDA-F994-443A-BCDE-E227E2018D8E}">
  <sheetPr codeName="Sheet10"/>
  <dimension ref="A1:CJ294"/>
  <sheetViews>
    <sheetView zoomScale="106" workbookViewId="0">
      <pane xSplit="1" ySplit="10" topLeftCell="B11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2080/10/10</v>
      </c>
      <c r="C4" s="187"/>
      <c r="D4" s="187"/>
      <c r="E4" s="188" t="str">
        <f ca="1">"2080/"&amp;"10/"&amp;INT(MID(CELL("filename",G6),FIND("]",CELL("filename",G6))+1,200))</f>
        <v>2080/10/10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83</v>
      </c>
      <c r="C5" s="30">
        <f t="shared" si="0"/>
        <v>66.599999999999994</v>
      </c>
      <c r="D5" s="30">
        <f t="shared" si="0"/>
        <v>66.099999999999994</v>
      </c>
      <c r="E5" s="30">
        <f t="shared" si="0"/>
        <v>70.8</v>
      </c>
      <c r="F5" s="30">
        <f t="shared" si="0"/>
        <v>58.7</v>
      </c>
      <c r="G5" s="30">
        <f t="shared" si="0"/>
        <v>68.2</v>
      </c>
      <c r="H5" s="30">
        <f t="shared" si="0"/>
        <v>76.5</v>
      </c>
      <c r="I5" s="30">
        <f t="shared" si="0"/>
        <v>351</v>
      </c>
      <c r="J5" s="30">
        <f t="shared" si="0"/>
        <v>474.8</v>
      </c>
      <c r="K5" s="30">
        <f t="shared" si="0"/>
        <v>508.9</v>
      </c>
      <c r="L5" s="30">
        <f t="shared" si="0"/>
        <v>507.69999999999993</v>
      </c>
      <c r="M5" s="30">
        <f t="shared" si="0"/>
        <v>585</v>
      </c>
      <c r="N5" s="30">
        <f t="shared" si="0"/>
        <v>585.59999999999991</v>
      </c>
      <c r="O5" s="30">
        <f t="shared" si="0"/>
        <v>596.40000000000009</v>
      </c>
      <c r="P5" s="30">
        <f t="shared" si="0"/>
        <v>557</v>
      </c>
      <c r="Q5" s="30">
        <f t="shared" si="0"/>
        <v>521.70000000000005</v>
      </c>
      <c r="R5" s="30">
        <f t="shared" si="0"/>
        <v>595</v>
      </c>
      <c r="S5" s="30">
        <f t="shared" si="0"/>
        <v>569.20000000000005</v>
      </c>
      <c r="T5" s="30">
        <f t="shared" si="0"/>
        <v>571.4</v>
      </c>
      <c r="U5" s="30">
        <f t="shared" si="0"/>
        <v>551</v>
      </c>
      <c r="V5" s="30">
        <f t="shared" si="0"/>
        <v>557</v>
      </c>
      <c r="W5" s="30">
        <f t="shared" si="0"/>
        <v>477.30000000000007</v>
      </c>
      <c r="X5" s="30">
        <f t="shared" si="0"/>
        <v>286.2</v>
      </c>
      <c r="Y5" s="30">
        <f t="shared" si="0"/>
        <v>225.3</v>
      </c>
      <c r="Z5" s="30">
        <f t="shared" si="0"/>
        <v>137.80000000000001</v>
      </c>
      <c r="AA5" s="30">
        <f t="shared" si="0"/>
        <v>109.19999999999999</v>
      </c>
      <c r="AB5" s="30">
        <f t="shared" si="0"/>
        <v>109.19999999999999</v>
      </c>
      <c r="AC5" s="30">
        <f t="shared" si="0"/>
        <v>128</v>
      </c>
      <c r="AD5" s="30">
        <f t="shared" si="0"/>
        <v>129.19999999999999</v>
      </c>
      <c r="AE5" s="30">
        <f t="shared" si="0"/>
        <v>129.19999999999999</v>
      </c>
      <c r="AF5" s="30">
        <f>B92</f>
        <v>80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1616MW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Load=1378</v>
      </c>
      <c r="B7" s="35">
        <f t="shared" ref="B7:AF7" si="1">B100</f>
        <v>1555.83</v>
      </c>
      <c r="C7" s="35">
        <f t="shared" si="1"/>
        <v>1538.83</v>
      </c>
      <c r="D7" s="35">
        <f t="shared" si="1"/>
        <v>1480.23</v>
      </c>
      <c r="E7" s="35">
        <f t="shared" si="1"/>
        <v>1423.62</v>
      </c>
      <c r="F7" s="35">
        <f t="shared" si="1"/>
        <v>1418.32</v>
      </c>
      <c r="G7" s="35">
        <f t="shared" si="1"/>
        <v>1390.22</v>
      </c>
      <c r="H7" s="35">
        <f t="shared" si="1"/>
        <v>1377.8400000000001</v>
      </c>
      <c r="I7" s="35">
        <f t="shared" si="1"/>
        <v>1421.94</v>
      </c>
      <c r="J7" s="35">
        <f t="shared" si="1"/>
        <v>1390.74</v>
      </c>
      <c r="K7" s="35">
        <f t="shared" si="1"/>
        <v>1480.14</v>
      </c>
      <c r="L7" s="35">
        <f t="shared" si="1"/>
        <v>1495.239</v>
      </c>
      <c r="M7" s="35">
        <f t="shared" si="1"/>
        <v>1527.54</v>
      </c>
      <c r="N7" s="35">
        <f t="shared" si="1"/>
        <v>1615.64</v>
      </c>
      <c r="O7" s="35">
        <f t="shared" si="1"/>
        <v>1630.94</v>
      </c>
      <c r="P7" s="35">
        <f t="shared" si="1"/>
        <v>1644.3400000000001</v>
      </c>
      <c r="Q7" s="35">
        <f t="shared" si="1"/>
        <v>1667.44</v>
      </c>
      <c r="R7" s="35">
        <f t="shared" si="1"/>
        <v>1652.0400000000002</v>
      </c>
      <c r="S7" s="35">
        <f t="shared" si="1"/>
        <v>1729.8400000000001</v>
      </c>
      <c r="T7" s="35">
        <f t="shared" si="1"/>
        <v>1720.3400000000001</v>
      </c>
      <c r="U7" s="35">
        <f t="shared" si="1"/>
        <v>1719.2400000000002</v>
      </c>
      <c r="V7" s="35">
        <f t="shared" si="1"/>
        <v>1630.04</v>
      </c>
      <c r="W7" s="35">
        <f t="shared" si="1"/>
        <v>1635.04</v>
      </c>
      <c r="X7" s="35">
        <f t="shared" si="1"/>
        <v>1515.6399999999999</v>
      </c>
      <c r="Y7" s="35">
        <f t="shared" si="1"/>
        <v>1530.1000000000001</v>
      </c>
      <c r="Z7" s="35">
        <f t="shared" si="1"/>
        <v>1748.8999999999999</v>
      </c>
      <c r="AA7" s="35">
        <f t="shared" si="1"/>
        <v>1890.6399999999999</v>
      </c>
      <c r="AB7" s="35">
        <f t="shared" si="1"/>
        <v>1868.9399999999998</v>
      </c>
      <c r="AC7" s="35">
        <f t="shared" si="1"/>
        <v>1869.9399999999998</v>
      </c>
      <c r="AD7" s="35">
        <f t="shared" si="1"/>
        <v>1822.7399999999998</v>
      </c>
      <c r="AE7" s="35">
        <f t="shared" si="1"/>
        <v>1713.9399999999998</v>
      </c>
      <c r="AF7" s="35">
        <f t="shared" si="1"/>
        <v>1699.94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1868.94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1868.94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31.6</v>
      </c>
      <c r="C11" s="46">
        <v>31.6</v>
      </c>
      <c r="D11" s="46">
        <v>31.6</v>
      </c>
      <c r="E11" s="46">
        <v>30.1</v>
      </c>
      <c r="F11" s="46">
        <v>30.1</v>
      </c>
      <c r="G11" s="46">
        <v>30.1</v>
      </c>
      <c r="H11" s="46">
        <v>27.6</v>
      </c>
      <c r="I11" s="46">
        <v>25.3</v>
      </c>
      <c r="J11" s="46">
        <v>24.7</v>
      </c>
      <c r="K11" s="46">
        <v>24.9</v>
      </c>
      <c r="L11" s="46">
        <v>25.1</v>
      </c>
      <c r="M11" s="46">
        <v>25.3</v>
      </c>
      <c r="N11" s="46">
        <v>25.3</v>
      </c>
      <c r="O11" s="46">
        <v>25.9</v>
      </c>
      <c r="P11" s="46">
        <v>25.9</v>
      </c>
      <c r="Q11" s="46">
        <v>23.2</v>
      </c>
      <c r="R11" s="46">
        <v>26</v>
      </c>
      <c r="S11" s="46">
        <v>26</v>
      </c>
      <c r="T11" s="46">
        <v>26</v>
      </c>
      <c r="U11" s="46">
        <v>24.8</v>
      </c>
      <c r="V11" s="46">
        <v>24.8</v>
      </c>
      <c r="W11" s="46">
        <v>24.8</v>
      </c>
      <c r="X11" s="46">
        <v>24.8</v>
      </c>
      <c r="Y11" s="46">
        <v>24.8</v>
      </c>
      <c r="Z11" s="46">
        <v>22.8</v>
      </c>
      <c r="AA11" s="46">
        <v>25.1</v>
      </c>
      <c r="AB11" s="46">
        <v>25.1</v>
      </c>
      <c r="AC11" s="46">
        <v>25.1</v>
      </c>
      <c r="AD11" s="46">
        <v>25.1</v>
      </c>
      <c r="AE11" s="46">
        <v>25.1</v>
      </c>
      <c r="AF11" s="46">
        <v>25.1</v>
      </c>
      <c r="AG11" s="47">
        <v>86</v>
      </c>
      <c r="AH11" s="48">
        <f t="shared" ref="AH11:AH16" si="2">MAX(B11:AF11)</f>
        <v>31.6</v>
      </c>
      <c r="AI11" s="49">
        <f t="shared" ref="AI11:AI16" si="3">MIN(B11:AF11)</f>
        <v>22.8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20</v>
      </c>
      <c r="C12" s="46">
        <v>20</v>
      </c>
      <c r="D12" s="46">
        <v>20</v>
      </c>
      <c r="E12" s="46">
        <v>20</v>
      </c>
      <c r="F12" s="46">
        <v>20</v>
      </c>
      <c r="G12" s="46">
        <v>20</v>
      </c>
      <c r="H12" s="46">
        <v>20</v>
      </c>
      <c r="I12" s="46">
        <v>20</v>
      </c>
      <c r="J12" s="46">
        <v>20</v>
      </c>
      <c r="K12" s="46">
        <v>20</v>
      </c>
      <c r="L12" s="46">
        <v>20</v>
      </c>
      <c r="M12" s="46">
        <v>20</v>
      </c>
      <c r="N12" s="46">
        <v>20</v>
      </c>
      <c r="O12" s="46">
        <v>20</v>
      </c>
      <c r="P12" s="46">
        <v>20</v>
      </c>
      <c r="Q12" s="46">
        <v>20</v>
      </c>
      <c r="R12" s="46">
        <v>20</v>
      </c>
      <c r="S12" s="46">
        <v>11</v>
      </c>
      <c r="T12" s="46">
        <v>11</v>
      </c>
      <c r="U12" s="46">
        <v>11</v>
      </c>
      <c r="V12" s="46">
        <v>11</v>
      </c>
      <c r="W12" s="46">
        <v>11</v>
      </c>
      <c r="X12" s="46">
        <v>11</v>
      </c>
      <c r="Y12" s="46">
        <v>11</v>
      </c>
      <c r="Z12" s="46">
        <v>11</v>
      </c>
      <c r="AA12" s="46">
        <v>11</v>
      </c>
      <c r="AB12" s="46">
        <v>11</v>
      </c>
      <c r="AC12" s="46">
        <v>11</v>
      </c>
      <c r="AD12" s="46">
        <v>11</v>
      </c>
      <c r="AE12" s="46">
        <v>11</v>
      </c>
      <c r="AF12" s="46">
        <v>11</v>
      </c>
      <c r="AG12" s="50">
        <v>54</v>
      </c>
      <c r="AH12" s="48">
        <f t="shared" si="2"/>
        <v>20</v>
      </c>
      <c r="AI12" s="49">
        <f t="shared" si="3"/>
        <v>11</v>
      </c>
      <c r="AK12" s="51"/>
      <c r="AL12" s="52" t="str">
        <f ca="1">MID(CELL("filename",C7),FIND("]",CELL("filename",C7))+1,600)</f>
        <v>10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27.6</v>
      </c>
      <c r="C13" s="46">
        <v>27.6</v>
      </c>
      <c r="D13" s="46">
        <v>27.6</v>
      </c>
      <c r="E13" s="46">
        <v>23</v>
      </c>
      <c r="F13" s="46">
        <v>23</v>
      </c>
      <c r="G13" s="46">
        <v>23</v>
      </c>
      <c r="H13" s="46">
        <v>23</v>
      </c>
      <c r="I13" s="46">
        <v>20.9</v>
      </c>
      <c r="J13" s="46">
        <v>20.9</v>
      </c>
      <c r="K13" s="46">
        <v>20</v>
      </c>
      <c r="L13" s="46">
        <v>20</v>
      </c>
      <c r="M13" s="46">
        <v>20</v>
      </c>
      <c r="N13" s="46">
        <v>20</v>
      </c>
      <c r="O13" s="46">
        <v>18.399999999999999</v>
      </c>
      <c r="P13" s="46">
        <v>18.399999999999999</v>
      </c>
      <c r="Q13" s="46">
        <v>18.399999999999999</v>
      </c>
      <c r="R13" s="46">
        <v>18.399999999999999</v>
      </c>
      <c r="S13" s="46">
        <v>17</v>
      </c>
      <c r="T13" s="46">
        <v>17</v>
      </c>
      <c r="U13" s="46">
        <v>17</v>
      </c>
      <c r="V13" s="46">
        <v>17</v>
      </c>
      <c r="W13" s="46">
        <v>17</v>
      </c>
      <c r="X13" s="46">
        <v>17</v>
      </c>
      <c r="Y13" s="46">
        <v>17</v>
      </c>
      <c r="Z13" s="46">
        <v>17</v>
      </c>
      <c r="AA13" s="46">
        <v>17</v>
      </c>
      <c r="AB13" s="46">
        <v>17</v>
      </c>
      <c r="AC13" s="46">
        <v>17</v>
      </c>
      <c r="AD13" s="46">
        <v>17</v>
      </c>
      <c r="AE13" s="46">
        <v>17</v>
      </c>
      <c r="AF13" s="46">
        <v>17</v>
      </c>
      <c r="AG13" s="50">
        <v>54</v>
      </c>
      <c r="AH13" s="48">
        <f t="shared" si="2"/>
        <v>27.6</v>
      </c>
      <c r="AI13" s="49">
        <f t="shared" si="3"/>
        <v>17</v>
      </c>
      <c r="AK13" s="51"/>
      <c r="AL13" s="52" t="str">
        <f ca="1">"Daily Load Curve(Excluding of Export) of Nepal ("&amp;A4&amp;" "&amp;B4&amp;")"</f>
        <v>Daily Load Curve(Excluding of Export) of Nepal (Nepali Date: 2080/10/10)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50.4</v>
      </c>
      <c r="C15" s="46">
        <v>50.4</v>
      </c>
      <c r="D15" s="46">
        <v>50.4</v>
      </c>
      <c r="E15" s="46">
        <v>50.4</v>
      </c>
      <c r="F15" s="46">
        <v>50.4</v>
      </c>
      <c r="G15" s="46">
        <v>50.4</v>
      </c>
      <c r="H15" s="46">
        <v>50.4</v>
      </c>
      <c r="I15" s="46">
        <v>50.3</v>
      </c>
      <c r="J15" s="46">
        <v>50.3</v>
      </c>
      <c r="K15" s="46">
        <v>50.5</v>
      </c>
      <c r="L15" s="46">
        <v>50.5</v>
      </c>
      <c r="M15" s="46">
        <v>50.5</v>
      </c>
      <c r="N15" s="46">
        <v>50.5</v>
      </c>
      <c r="O15" s="46">
        <v>50.2</v>
      </c>
      <c r="P15" s="46">
        <v>50.2</v>
      </c>
      <c r="Q15" s="46">
        <v>50.2</v>
      </c>
      <c r="R15" s="46">
        <v>50.2</v>
      </c>
      <c r="S15" s="46">
        <v>50.2</v>
      </c>
      <c r="T15" s="46">
        <v>50.2</v>
      </c>
      <c r="U15" s="46">
        <v>50.2</v>
      </c>
      <c r="V15" s="46">
        <v>50.2</v>
      </c>
      <c r="W15" s="46">
        <v>50.2</v>
      </c>
      <c r="X15" s="46">
        <v>50.2</v>
      </c>
      <c r="Y15" s="46">
        <v>50.2</v>
      </c>
      <c r="Z15" s="46">
        <v>50.2</v>
      </c>
      <c r="AA15" s="46">
        <v>50.2</v>
      </c>
      <c r="AB15" s="46">
        <v>50.2</v>
      </c>
      <c r="AC15" s="46">
        <v>50.2</v>
      </c>
      <c r="AD15" s="46">
        <v>50.2</v>
      </c>
      <c r="AE15" s="46">
        <v>50.2</v>
      </c>
      <c r="AF15" s="46">
        <v>50.2</v>
      </c>
      <c r="AG15" s="50">
        <v>50</v>
      </c>
      <c r="AH15" s="48">
        <f t="shared" si="2"/>
        <v>50.5</v>
      </c>
      <c r="AI15" s="49">
        <f t="shared" si="3"/>
        <v>50.2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23</v>
      </c>
      <c r="C16" s="46">
        <v>23</v>
      </c>
      <c r="D16" s="46">
        <v>23</v>
      </c>
      <c r="E16" s="46">
        <v>23</v>
      </c>
      <c r="F16" s="46">
        <v>23</v>
      </c>
      <c r="G16" s="46">
        <v>23</v>
      </c>
      <c r="H16" s="46">
        <v>23</v>
      </c>
      <c r="I16" s="46">
        <v>23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23</v>
      </c>
      <c r="S16" s="46">
        <v>23</v>
      </c>
      <c r="T16" s="46">
        <v>23</v>
      </c>
      <c r="U16" s="46">
        <v>23</v>
      </c>
      <c r="V16" s="46">
        <v>23</v>
      </c>
      <c r="W16" s="46">
        <v>23</v>
      </c>
      <c r="X16" s="46">
        <v>23</v>
      </c>
      <c r="Y16" s="46">
        <v>23</v>
      </c>
      <c r="Z16" s="46">
        <v>23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23</v>
      </c>
      <c r="AK16" s="51"/>
      <c r="AL16" s="54" t="s">
        <v>7</v>
      </c>
      <c r="AM16" s="59">
        <f t="shared" ref="AM16:AR16" si="4">B58</f>
        <v>644.89</v>
      </c>
      <c r="AN16" s="59">
        <f t="shared" si="4"/>
        <v>644.89</v>
      </c>
      <c r="AO16" s="59">
        <f t="shared" si="4"/>
        <v>644.89</v>
      </c>
      <c r="AP16" s="59">
        <f t="shared" si="4"/>
        <v>628.07999999999993</v>
      </c>
      <c r="AQ16" s="59">
        <f t="shared" si="4"/>
        <v>628.07999999999993</v>
      </c>
      <c r="AR16" s="59">
        <f t="shared" si="4"/>
        <v>628.07999999999993</v>
      </c>
      <c r="AS16" s="59">
        <f>I58</f>
        <v>603</v>
      </c>
      <c r="AT16" s="59">
        <f>K58</f>
        <v>601.4</v>
      </c>
      <c r="AU16" s="59">
        <f t="shared" ref="AU16:BD16" si="5">M58</f>
        <v>601.79999999999995</v>
      </c>
      <c r="AV16" s="59">
        <f t="shared" si="5"/>
        <v>601.79999999999995</v>
      </c>
      <c r="AW16" s="59">
        <f t="shared" si="5"/>
        <v>595.29999999999995</v>
      </c>
      <c r="AX16" s="59">
        <f t="shared" si="5"/>
        <v>595.29999999999995</v>
      </c>
      <c r="AY16" s="59">
        <f t="shared" si="5"/>
        <v>592.59999999999991</v>
      </c>
      <c r="AZ16" s="59">
        <f t="shared" si="5"/>
        <v>595.4</v>
      </c>
      <c r="BA16" s="59">
        <f t="shared" si="5"/>
        <v>585</v>
      </c>
      <c r="BB16" s="59">
        <f t="shared" si="5"/>
        <v>585</v>
      </c>
      <c r="BC16" s="59">
        <f t="shared" si="5"/>
        <v>583.79999999999995</v>
      </c>
      <c r="BD16" s="59">
        <f t="shared" si="5"/>
        <v>583.79999999999995</v>
      </c>
      <c r="BE16" s="60">
        <f>X58</f>
        <v>583.79999999999995</v>
      </c>
      <c r="BF16" s="60">
        <f>Z58</f>
        <v>581.79999999999995</v>
      </c>
      <c r="BG16" s="60">
        <f>AB58</f>
        <v>584.09999999999991</v>
      </c>
      <c r="BH16" s="60">
        <f>AD58</f>
        <v>584.09999999999991</v>
      </c>
      <c r="BI16" s="60">
        <f>AE58</f>
        <v>584.09999999999991</v>
      </c>
      <c r="BJ16" s="60">
        <f>AF58</f>
        <v>584.09999999999991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17</v>
      </c>
      <c r="C17" s="46">
        <v>17</v>
      </c>
      <c r="D17" s="46">
        <v>17</v>
      </c>
      <c r="E17" s="46">
        <v>17</v>
      </c>
      <c r="F17" s="46">
        <v>17</v>
      </c>
      <c r="G17" s="46">
        <v>17</v>
      </c>
      <c r="H17" s="46">
        <v>17</v>
      </c>
      <c r="I17" s="46">
        <v>17</v>
      </c>
      <c r="J17" s="46">
        <v>17</v>
      </c>
      <c r="K17" s="46">
        <v>17</v>
      </c>
      <c r="L17" s="46">
        <v>17</v>
      </c>
      <c r="M17" s="46">
        <v>17</v>
      </c>
      <c r="N17" s="46">
        <v>17</v>
      </c>
      <c r="O17" s="46">
        <v>17</v>
      </c>
      <c r="P17" s="46">
        <v>17</v>
      </c>
      <c r="Q17" s="46">
        <v>17</v>
      </c>
      <c r="R17" s="46">
        <v>17</v>
      </c>
      <c r="S17" s="46">
        <v>17</v>
      </c>
      <c r="T17" s="46">
        <v>17</v>
      </c>
      <c r="U17" s="46">
        <v>17</v>
      </c>
      <c r="V17" s="46">
        <v>17</v>
      </c>
      <c r="W17" s="46">
        <v>17</v>
      </c>
      <c r="X17" s="46">
        <v>17</v>
      </c>
      <c r="Y17" s="46">
        <v>17</v>
      </c>
      <c r="Z17" s="46">
        <v>17</v>
      </c>
      <c r="AA17" s="46">
        <v>17</v>
      </c>
      <c r="AB17" s="46">
        <v>17</v>
      </c>
      <c r="AC17" s="46">
        <v>17</v>
      </c>
      <c r="AD17" s="46">
        <v>17</v>
      </c>
      <c r="AE17" s="46">
        <v>17</v>
      </c>
      <c r="AF17" s="46">
        <v>17</v>
      </c>
      <c r="AG17" s="50">
        <v>44</v>
      </c>
      <c r="AH17" s="48">
        <f>MAX(B17:AG17)</f>
        <v>44</v>
      </c>
      <c r="AI17" s="49">
        <f>MIN(B17:AG17)</f>
        <v>17</v>
      </c>
      <c r="AK17" s="51"/>
      <c r="AL17" s="54" t="s">
        <v>27</v>
      </c>
      <c r="AM17" s="59">
        <f t="shared" ref="AM17:AR17" si="6">B62</f>
        <v>276.60000000000002</v>
      </c>
      <c r="AN17" s="59">
        <f t="shared" si="6"/>
        <v>276.60000000000002</v>
      </c>
      <c r="AO17" s="59">
        <f t="shared" si="6"/>
        <v>257.60000000000002</v>
      </c>
      <c r="AP17" s="59">
        <f t="shared" si="6"/>
        <v>215.79999999999998</v>
      </c>
      <c r="AQ17" s="59">
        <f t="shared" si="6"/>
        <v>215.79999999999998</v>
      </c>
      <c r="AR17" s="59">
        <f t="shared" si="6"/>
        <v>215.79999999999998</v>
      </c>
      <c r="AS17" s="59">
        <f>I62</f>
        <v>304.8</v>
      </c>
      <c r="AT17" s="59">
        <f>K62</f>
        <v>107.6</v>
      </c>
      <c r="AU17" s="59">
        <f t="shared" ref="AU17:BD17" si="7">M62</f>
        <v>108.5</v>
      </c>
      <c r="AV17" s="59">
        <f t="shared" si="7"/>
        <v>108.6</v>
      </c>
      <c r="AW17" s="59">
        <f t="shared" si="7"/>
        <v>125.7</v>
      </c>
      <c r="AX17" s="59">
        <f t="shared" si="7"/>
        <v>135.69999999999999</v>
      </c>
      <c r="AY17" s="59">
        <f t="shared" si="7"/>
        <v>207.7</v>
      </c>
      <c r="AZ17" s="59">
        <f t="shared" si="7"/>
        <v>208.60000000000002</v>
      </c>
      <c r="BA17" s="59">
        <f t="shared" si="7"/>
        <v>208.60000000000002</v>
      </c>
      <c r="BB17" s="59">
        <f t="shared" si="7"/>
        <v>205.70000000000002</v>
      </c>
      <c r="BC17" s="59">
        <f t="shared" si="7"/>
        <v>205.10000000000002</v>
      </c>
      <c r="BD17" s="59">
        <f t="shared" si="7"/>
        <v>152.30000000000001</v>
      </c>
      <c r="BE17" s="60">
        <f>X62</f>
        <v>144.9</v>
      </c>
      <c r="BF17" s="60">
        <f>Z62</f>
        <v>401.2</v>
      </c>
      <c r="BG17" s="60">
        <f>AB62</f>
        <v>510.2</v>
      </c>
      <c r="BH17" s="60">
        <f>AD62</f>
        <v>442.2</v>
      </c>
      <c r="BI17" s="60">
        <f>AE62</f>
        <v>347.2</v>
      </c>
      <c r="BJ17" s="60">
        <f>AF62</f>
        <v>332.2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23</v>
      </c>
      <c r="C18" s="46">
        <v>23</v>
      </c>
      <c r="D18" s="46">
        <v>23</v>
      </c>
      <c r="E18" s="46">
        <v>20.7</v>
      </c>
      <c r="F18" s="46">
        <v>20.7</v>
      </c>
      <c r="G18" s="46">
        <v>20.7</v>
      </c>
      <c r="H18" s="46">
        <v>19</v>
      </c>
      <c r="I18" s="46">
        <v>17</v>
      </c>
      <c r="J18" s="46">
        <v>17</v>
      </c>
      <c r="K18" s="46">
        <v>17</v>
      </c>
      <c r="L18" s="46">
        <v>17</v>
      </c>
      <c r="M18" s="46">
        <v>17</v>
      </c>
      <c r="N18" s="46">
        <v>17</v>
      </c>
      <c r="O18" s="46">
        <v>17</v>
      </c>
      <c r="P18" s="46">
        <v>17</v>
      </c>
      <c r="Q18" s="46">
        <v>17</v>
      </c>
      <c r="R18" s="46">
        <v>17</v>
      </c>
      <c r="S18" s="46">
        <v>17</v>
      </c>
      <c r="T18" s="46">
        <v>17</v>
      </c>
      <c r="U18" s="46">
        <v>17</v>
      </c>
      <c r="V18" s="46">
        <v>17</v>
      </c>
      <c r="W18" s="46">
        <v>17</v>
      </c>
      <c r="X18" s="46">
        <v>17</v>
      </c>
      <c r="Y18" s="46">
        <v>17</v>
      </c>
      <c r="Z18" s="46">
        <v>17</v>
      </c>
      <c r="AA18" s="46">
        <v>17</v>
      </c>
      <c r="AB18" s="46">
        <v>17</v>
      </c>
      <c r="AC18" s="46">
        <v>17</v>
      </c>
      <c r="AD18" s="46">
        <v>17</v>
      </c>
      <c r="AE18" s="46">
        <v>17</v>
      </c>
      <c r="AF18" s="46">
        <v>17</v>
      </c>
      <c r="AG18" s="50">
        <v>42</v>
      </c>
      <c r="AH18" s="48">
        <f t="shared" ref="AH18:AH81" si="8">MAX(B18:AF18)</f>
        <v>23</v>
      </c>
      <c r="AI18" s="49">
        <f t="shared" ref="AI18:AI81" si="9">MIN(B18:AF18)</f>
        <v>17</v>
      </c>
      <c r="AK18" s="51"/>
      <c r="AL18" s="54" t="s">
        <v>29</v>
      </c>
      <c r="AM18" s="59">
        <f t="shared" ref="AM18:AR18" si="10">B76</f>
        <v>304.33999999999997</v>
      </c>
      <c r="AN18" s="59">
        <f t="shared" si="10"/>
        <v>304.33999999999997</v>
      </c>
      <c r="AO18" s="59">
        <f t="shared" si="10"/>
        <v>281.14</v>
      </c>
      <c r="AP18" s="59">
        <f t="shared" si="10"/>
        <v>283.64</v>
      </c>
      <c r="AQ18" s="59">
        <f t="shared" si="10"/>
        <v>273.64</v>
      </c>
      <c r="AR18" s="59">
        <f t="shared" si="10"/>
        <v>263.64</v>
      </c>
      <c r="AS18" s="59">
        <f>I76</f>
        <v>287.64000000000004</v>
      </c>
      <c r="AT18" s="59">
        <f>K76</f>
        <v>296.34000000000009</v>
      </c>
      <c r="AU18" s="59">
        <f t="shared" ref="AU18:BD18" si="11">M76</f>
        <v>309.54000000000008</v>
      </c>
      <c r="AV18" s="59">
        <f t="shared" si="11"/>
        <v>320.24000000000007</v>
      </c>
      <c r="AW18" s="59">
        <f t="shared" si="11"/>
        <v>324.34000000000003</v>
      </c>
      <c r="AX18" s="59">
        <f t="shared" si="11"/>
        <v>316.94000000000005</v>
      </c>
      <c r="AY18" s="59">
        <f t="shared" si="11"/>
        <v>310.1400000000001</v>
      </c>
      <c r="AZ18" s="59">
        <f t="shared" si="11"/>
        <v>326.34000000000015</v>
      </c>
      <c r="BA18" s="59">
        <f t="shared" si="11"/>
        <v>320.24000000000012</v>
      </c>
      <c r="BB18" s="59">
        <f t="shared" si="11"/>
        <v>339.74000000000007</v>
      </c>
      <c r="BC18" s="59">
        <f t="shared" si="11"/>
        <v>338.94000000000005</v>
      </c>
      <c r="BD18" s="59">
        <f t="shared" si="11"/>
        <v>322.94000000000005</v>
      </c>
      <c r="BE18" s="60">
        <f>X76</f>
        <v>289.73999999999995</v>
      </c>
      <c r="BF18" s="60">
        <f>Z76</f>
        <v>318.8</v>
      </c>
      <c r="BG18" s="60">
        <f>AB76</f>
        <v>367.84000000000003</v>
      </c>
      <c r="BH18" s="60">
        <f>AD76</f>
        <v>368.84000000000003</v>
      </c>
      <c r="BI18" s="60">
        <f>AE76</f>
        <v>355.84</v>
      </c>
      <c r="BJ18" s="60">
        <f>AF76</f>
        <v>355.84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20</v>
      </c>
      <c r="C19" s="46">
        <v>20</v>
      </c>
      <c r="D19" s="46">
        <v>20</v>
      </c>
      <c r="E19" s="46">
        <v>22.6</v>
      </c>
      <c r="F19" s="46">
        <v>22.6</v>
      </c>
      <c r="G19" s="46">
        <v>22.6</v>
      </c>
      <c r="H19" s="46">
        <v>21.9</v>
      </c>
      <c r="I19" s="46">
        <v>22.1</v>
      </c>
      <c r="J19" s="46">
        <v>22.1</v>
      </c>
      <c r="K19" s="46">
        <v>22.1</v>
      </c>
      <c r="L19" s="46">
        <v>22.1</v>
      </c>
      <c r="M19" s="46">
        <v>22.1</v>
      </c>
      <c r="N19" s="46">
        <v>22.1</v>
      </c>
      <c r="O19" s="46">
        <v>20.5</v>
      </c>
      <c r="P19" s="46">
        <v>20.5</v>
      </c>
      <c r="Q19" s="46">
        <v>20.5</v>
      </c>
      <c r="R19" s="46">
        <v>20.5</v>
      </c>
      <c r="S19" s="46">
        <v>20.5</v>
      </c>
      <c r="T19" s="46">
        <v>20.5</v>
      </c>
      <c r="U19" s="46">
        <v>20.5</v>
      </c>
      <c r="V19" s="46">
        <v>20.5</v>
      </c>
      <c r="W19" s="46">
        <v>20.5</v>
      </c>
      <c r="X19" s="46">
        <v>20.5</v>
      </c>
      <c r="Y19" s="46">
        <v>20.5</v>
      </c>
      <c r="Z19" s="46">
        <v>20.5</v>
      </c>
      <c r="AA19" s="46">
        <v>20.5</v>
      </c>
      <c r="AB19" s="46">
        <v>20.5</v>
      </c>
      <c r="AC19" s="46">
        <v>20.5</v>
      </c>
      <c r="AD19" s="46">
        <v>20.5</v>
      </c>
      <c r="AE19" s="46">
        <v>20.5</v>
      </c>
      <c r="AF19" s="46">
        <v>20.5</v>
      </c>
      <c r="AG19" s="50">
        <v>38.46</v>
      </c>
      <c r="AH19" s="48">
        <f t="shared" si="8"/>
        <v>22.6</v>
      </c>
      <c r="AI19" s="49">
        <f t="shared" si="9"/>
        <v>20</v>
      </c>
      <c r="AK19" s="51"/>
      <c r="AL19" s="54" t="s">
        <v>31</v>
      </c>
      <c r="AM19" s="59">
        <f t="shared" ref="AM19:AR19" si="12">B92</f>
        <v>80</v>
      </c>
      <c r="AN19" s="59">
        <f t="shared" si="12"/>
        <v>83</v>
      </c>
      <c r="AO19" s="59">
        <f t="shared" si="12"/>
        <v>66.599999999999994</v>
      </c>
      <c r="AP19" s="59">
        <f t="shared" si="12"/>
        <v>66.099999999999994</v>
      </c>
      <c r="AQ19" s="59">
        <f t="shared" si="12"/>
        <v>70.8</v>
      </c>
      <c r="AR19" s="59">
        <f t="shared" si="12"/>
        <v>58.7</v>
      </c>
      <c r="AS19" s="59">
        <f>I92</f>
        <v>76.5</v>
      </c>
      <c r="AT19" s="59">
        <f>K92</f>
        <v>474.8</v>
      </c>
      <c r="AU19" s="59">
        <f t="shared" ref="AU19:BD19" si="13">M92</f>
        <v>507.69999999999993</v>
      </c>
      <c r="AV19" s="59">
        <f t="shared" si="13"/>
        <v>585</v>
      </c>
      <c r="AW19" s="59">
        <f t="shared" si="13"/>
        <v>585.59999999999991</v>
      </c>
      <c r="AX19" s="59">
        <f t="shared" si="13"/>
        <v>596.40000000000009</v>
      </c>
      <c r="AY19" s="59">
        <f t="shared" si="13"/>
        <v>557</v>
      </c>
      <c r="AZ19" s="59">
        <f t="shared" si="13"/>
        <v>521.70000000000005</v>
      </c>
      <c r="BA19" s="59">
        <f t="shared" si="13"/>
        <v>595</v>
      </c>
      <c r="BB19" s="59">
        <f t="shared" si="13"/>
        <v>569.20000000000005</v>
      </c>
      <c r="BC19" s="59">
        <f t="shared" si="13"/>
        <v>571.4</v>
      </c>
      <c r="BD19" s="59">
        <f t="shared" si="13"/>
        <v>551</v>
      </c>
      <c r="BE19" s="60">
        <f>X92</f>
        <v>477.30000000000007</v>
      </c>
      <c r="BF19" s="60">
        <f>Z92</f>
        <v>225.3</v>
      </c>
      <c r="BG19" s="60">
        <f>AB92</f>
        <v>109.19999999999999</v>
      </c>
      <c r="BH19" s="60">
        <f>AD92</f>
        <v>128</v>
      </c>
      <c r="BI19" s="60">
        <f>AE92</f>
        <v>129.19999999999999</v>
      </c>
      <c r="BJ19" s="60">
        <f>AF92</f>
        <v>129.19999999999999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17</v>
      </c>
      <c r="F20" s="46">
        <v>17</v>
      </c>
      <c r="G20" s="46">
        <v>17</v>
      </c>
      <c r="H20" s="46">
        <v>17</v>
      </c>
      <c r="I20" s="46">
        <v>17</v>
      </c>
      <c r="J20" s="46">
        <v>17</v>
      </c>
      <c r="K20" s="46">
        <v>17</v>
      </c>
      <c r="L20" s="46">
        <v>17</v>
      </c>
      <c r="M20" s="46">
        <v>17</v>
      </c>
      <c r="N20" s="46">
        <v>17</v>
      </c>
      <c r="O20" s="46">
        <v>17</v>
      </c>
      <c r="P20" s="46">
        <v>17</v>
      </c>
      <c r="Q20" s="46">
        <v>17</v>
      </c>
      <c r="R20" s="46">
        <v>17</v>
      </c>
      <c r="S20" s="46">
        <v>17</v>
      </c>
      <c r="T20" s="46">
        <v>17</v>
      </c>
      <c r="U20" s="46">
        <v>17</v>
      </c>
      <c r="V20" s="46">
        <v>17</v>
      </c>
      <c r="W20" s="46">
        <v>17</v>
      </c>
      <c r="X20" s="46">
        <v>17</v>
      </c>
      <c r="Y20" s="46">
        <v>17</v>
      </c>
      <c r="Z20" s="46">
        <v>17</v>
      </c>
      <c r="AA20" s="46">
        <v>17</v>
      </c>
      <c r="AB20" s="46">
        <v>17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17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21</v>
      </c>
      <c r="BB20" s="59">
        <f t="shared" si="15"/>
        <v>20.7</v>
      </c>
      <c r="BC20" s="59">
        <f t="shared" si="15"/>
        <v>19.999999999999996</v>
      </c>
      <c r="BD20" s="59">
        <f t="shared" si="15"/>
        <v>19.999999999999996</v>
      </c>
      <c r="BE20" s="60">
        <f>X80</f>
        <v>19.899999999999999</v>
      </c>
      <c r="BF20" s="60">
        <f>Z80</f>
        <v>21.8</v>
      </c>
      <c r="BG20" s="60">
        <f>AB80</f>
        <v>97.600000000000009</v>
      </c>
      <c r="BH20" s="60">
        <f>AD80</f>
        <v>97.600000000000009</v>
      </c>
      <c r="BI20" s="60">
        <f>AE80</f>
        <v>97.600000000000009</v>
      </c>
      <c r="BJ20" s="60">
        <f>AF80</f>
        <v>97.600000000000009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230</v>
      </c>
      <c r="AO21" s="59">
        <f t="shared" si="16"/>
        <v>230</v>
      </c>
      <c r="AP21" s="59">
        <f t="shared" si="16"/>
        <v>230</v>
      </c>
      <c r="AQ21" s="59">
        <f t="shared" si="16"/>
        <v>230</v>
      </c>
      <c r="AR21" s="59">
        <f t="shared" si="16"/>
        <v>230</v>
      </c>
      <c r="AS21" s="59">
        <f>I98</f>
        <v>150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200</v>
      </c>
      <c r="BG21" s="60">
        <f>AB98</f>
        <v>200</v>
      </c>
      <c r="BH21" s="60">
        <f>AD98</f>
        <v>202</v>
      </c>
      <c r="BI21" s="60">
        <f>AE98</f>
        <v>200</v>
      </c>
      <c r="BJ21" s="60">
        <f>AF98</f>
        <v>201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15.4</v>
      </c>
      <c r="C22" s="46">
        <v>15.4</v>
      </c>
      <c r="D22" s="46">
        <v>15.4</v>
      </c>
      <c r="E22" s="46">
        <v>15.4</v>
      </c>
      <c r="F22" s="46">
        <v>15.4</v>
      </c>
      <c r="G22" s="46">
        <v>15.4</v>
      </c>
      <c r="H22" s="46">
        <v>15</v>
      </c>
      <c r="I22" s="46">
        <v>14.2</v>
      </c>
      <c r="J22" s="46">
        <v>14.2</v>
      </c>
      <c r="K22" s="46">
        <v>12.6</v>
      </c>
      <c r="L22" s="46">
        <v>12.6</v>
      </c>
      <c r="M22" s="46">
        <v>12.6</v>
      </c>
      <c r="N22" s="46">
        <v>12.6</v>
      </c>
      <c r="O22" s="46">
        <v>12.6</v>
      </c>
      <c r="P22" s="46">
        <v>12.6</v>
      </c>
      <c r="Q22" s="46">
        <v>12.6</v>
      </c>
      <c r="R22" s="46">
        <v>12.6</v>
      </c>
      <c r="S22" s="46">
        <v>12.6</v>
      </c>
      <c r="T22" s="46">
        <v>12.6</v>
      </c>
      <c r="U22" s="46">
        <v>12.6</v>
      </c>
      <c r="V22" s="46">
        <v>12.6</v>
      </c>
      <c r="W22" s="46">
        <v>12.6</v>
      </c>
      <c r="X22" s="46">
        <v>12.6</v>
      </c>
      <c r="Y22" s="46">
        <v>12.6</v>
      </c>
      <c r="Z22" s="46">
        <v>12.6</v>
      </c>
      <c r="AA22" s="46">
        <v>12.6</v>
      </c>
      <c r="AB22" s="46">
        <v>12.6</v>
      </c>
      <c r="AC22" s="46">
        <v>12.6</v>
      </c>
      <c r="AD22" s="46">
        <v>12.6</v>
      </c>
      <c r="AE22" s="46">
        <v>12.6</v>
      </c>
      <c r="AF22" s="46">
        <v>12.6</v>
      </c>
      <c r="AG22" s="61">
        <v>30</v>
      </c>
      <c r="AH22" s="48">
        <f t="shared" si="8"/>
        <v>15.4</v>
      </c>
      <c r="AI22" s="49">
        <f t="shared" si="9"/>
        <v>12.6</v>
      </c>
      <c r="AK22" s="51"/>
      <c r="AL22" s="62" t="s">
        <v>37</v>
      </c>
      <c r="AM22" s="63">
        <f t="shared" ref="AM22:BJ22" si="18">SUM(AM16:AM21)</f>
        <v>1555.83</v>
      </c>
      <c r="AN22" s="63">
        <f t="shared" si="18"/>
        <v>1538.83</v>
      </c>
      <c r="AO22" s="63">
        <f t="shared" si="18"/>
        <v>1480.23</v>
      </c>
      <c r="AP22" s="63">
        <f t="shared" si="18"/>
        <v>1423.62</v>
      </c>
      <c r="AQ22" s="63">
        <f t="shared" si="18"/>
        <v>1418.32</v>
      </c>
      <c r="AR22" s="63">
        <f t="shared" si="18"/>
        <v>1396.22</v>
      </c>
      <c r="AS22" s="63">
        <f t="shared" si="18"/>
        <v>1421.94</v>
      </c>
      <c r="AT22" s="63">
        <f t="shared" si="18"/>
        <v>1480.14</v>
      </c>
      <c r="AU22" s="63">
        <f t="shared" si="18"/>
        <v>1527.54</v>
      </c>
      <c r="AV22" s="63">
        <f t="shared" si="18"/>
        <v>1615.64</v>
      </c>
      <c r="AW22" s="63">
        <f t="shared" si="18"/>
        <v>1630.94</v>
      </c>
      <c r="AX22" s="63">
        <f t="shared" si="18"/>
        <v>1644.3400000000001</v>
      </c>
      <c r="AY22" s="63">
        <f t="shared" si="18"/>
        <v>1667.44</v>
      </c>
      <c r="AZ22" s="63">
        <f t="shared" si="18"/>
        <v>1652.0400000000002</v>
      </c>
      <c r="BA22" s="63">
        <f t="shared" si="18"/>
        <v>1729.8400000000001</v>
      </c>
      <c r="BB22" s="63">
        <f t="shared" si="18"/>
        <v>1720.3400000000001</v>
      </c>
      <c r="BC22" s="63">
        <f t="shared" si="18"/>
        <v>1719.2400000000002</v>
      </c>
      <c r="BD22" s="63">
        <f t="shared" si="18"/>
        <v>1630.04</v>
      </c>
      <c r="BE22" s="63">
        <f t="shared" si="18"/>
        <v>1515.6399999999999</v>
      </c>
      <c r="BF22" s="63">
        <f t="shared" si="18"/>
        <v>1748.8999999999999</v>
      </c>
      <c r="BG22" s="63">
        <f t="shared" si="18"/>
        <v>1868.9399999999998</v>
      </c>
      <c r="BH22" s="63">
        <f t="shared" si="18"/>
        <v>1822.7399999999998</v>
      </c>
      <c r="BI22" s="63">
        <f t="shared" si="18"/>
        <v>1713.9399999999998</v>
      </c>
      <c r="BJ22" s="63">
        <f t="shared" si="18"/>
        <v>1699.9399999999998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11</v>
      </c>
      <c r="C23" s="46">
        <v>11</v>
      </c>
      <c r="D23" s="46">
        <v>11</v>
      </c>
      <c r="E23" s="46">
        <v>11</v>
      </c>
      <c r="F23" s="46">
        <v>11</v>
      </c>
      <c r="G23" s="46">
        <v>11</v>
      </c>
      <c r="H23" s="46">
        <v>10</v>
      </c>
      <c r="I23" s="46">
        <v>10</v>
      </c>
      <c r="J23" s="46">
        <v>10</v>
      </c>
      <c r="K23" s="46">
        <v>10</v>
      </c>
      <c r="L23" s="46">
        <v>10</v>
      </c>
      <c r="M23" s="46">
        <v>10</v>
      </c>
      <c r="N23" s="46">
        <v>10</v>
      </c>
      <c r="O23" s="46">
        <v>10</v>
      </c>
      <c r="P23" s="46">
        <v>10</v>
      </c>
      <c r="Q23" s="46">
        <v>10</v>
      </c>
      <c r="R23" s="46">
        <v>10</v>
      </c>
      <c r="S23" s="46">
        <v>10</v>
      </c>
      <c r="T23" s="46">
        <v>10</v>
      </c>
      <c r="U23" s="46">
        <v>10</v>
      </c>
      <c r="V23" s="46">
        <v>10</v>
      </c>
      <c r="W23" s="46">
        <v>10</v>
      </c>
      <c r="X23" s="46">
        <v>10</v>
      </c>
      <c r="Y23" s="46">
        <v>10</v>
      </c>
      <c r="Z23" s="46">
        <v>10</v>
      </c>
      <c r="AA23" s="46">
        <v>10</v>
      </c>
      <c r="AB23" s="46">
        <v>10</v>
      </c>
      <c r="AC23" s="46">
        <v>10</v>
      </c>
      <c r="AD23" s="46">
        <v>10</v>
      </c>
      <c r="AE23" s="46">
        <v>10</v>
      </c>
      <c r="AF23" s="46">
        <v>10</v>
      </c>
      <c r="AG23" s="50">
        <v>24.2</v>
      </c>
      <c r="AH23" s="48">
        <f t="shared" si="8"/>
        <v>11</v>
      </c>
      <c r="AI23" s="49">
        <f t="shared" si="9"/>
        <v>10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-6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11.2</v>
      </c>
      <c r="C24" s="46">
        <v>11.2</v>
      </c>
      <c r="D24" s="46">
        <v>11.2</v>
      </c>
      <c r="E24" s="46">
        <v>11.2</v>
      </c>
      <c r="F24" s="46">
        <v>11.2</v>
      </c>
      <c r="G24" s="46">
        <v>11.2</v>
      </c>
      <c r="H24" s="46">
        <v>9.4</v>
      </c>
      <c r="I24" s="46">
        <v>9</v>
      </c>
      <c r="J24" s="46">
        <v>9</v>
      </c>
      <c r="K24" s="46">
        <v>9</v>
      </c>
      <c r="L24" s="46">
        <v>9</v>
      </c>
      <c r="M24" s="46">
        <v>9</v>
      </c>
      <c r="N24" s="46">
        <v>9</v>
      </c>
      <c r="O24" s="46">
        <v>9</v>
      </c>
      <c r="P24" s="46">
        <v>9</v>
      </c>
      <c r="Q24" s="46">
        <v>9</v>
      </c>
      <c r="R24" s="46">
        <v>9</v>
      </c>
      <c r="S24" s="46">
        <v>9</v>
      </c>
      <c r="T24" s="46">
        <v>9</v>
      </c>
      <c r="U24" s="46">
        <v>9</v>
      </c>
      <c r="V24" s="46">
        <v>9</v>
      </c>
      <c r="W24" s="46">
        <v>9</v>
      </c>
      <c r="X24" s="46">
        <v>9</v>
      </c>
      <c r="Y24" s="46">
        <v>9</v>
      </c>
      <c r="Z24" s="46">
        <v>9</v>
      </c>
      <c r="AA24" s="46">
        <v>9</v>
      </c>
      <c r="AB24" s="46">
        <v>9</v>
      </c>
      <c r="AC24" s="46">
        <v>9</v>
      </c>
      <c r="AD24" s="46">
        <v>9</v>
      </c>
      <c r="AE24" s="46">
        <v>9</v>
      </c>
      <c r="AF24" s="46">
        <v>9</v>
      </c>
      <c r="AG24" s="50">
        <v>28</v>
      </c>
      <c r="AH24" s="48">
        <f t="shared" si="8"/>
        <v>11.2</v>
      </c>
      <c r="AI24" s="49">
        <f t="shared" si="9"/>
        <v>9</v>
      </c>
      <c r="AK24" s="51"/>
      <c r="AL24" s="62" t="s">
        <v>41</v>
      </c>
      <c r="AM24" s="63">
        <f t="shared" ref="AM24:BJ24" si="21">AM22+AM23</f>
        <v>1555.83</v>
      </c>
      <c r="AN24" s="63">
        <f t="shared" si="21"/>
        <v>1538.83</v>
      </c>
      <c r="AO24" s="63">
        <f t="shared" si="21"/>
        <v>1480.23</v>
      </c>
      <c r="AP24" s="63">
        <f t="shared" si="21"/>
        <v>1423.62</v>
      </c>
      <c r="AQ24" s="63">
        <f t="shared" si="21"/>
        <v>1418.32</v>
      </c>
      <c r="AR24" s="63">
        <f t="shared" si="21"/>
        <v>1390.22</v>
      </c>
      <c r="AS24" s="63">
        <f t="shared" si="21"/>
        <v>1421.94</v>
      </c>
      <c r="AT24" s="63">
        <f t="shared" si="21"/>
        <v>1480.14</v>
      </c>
      <c r="AU24" s="63">
        <f t="shared" si="21"/>
        <v>1527.54</v>
      </c>
      <c r="AV24" s="63">
        <f t="shared" si="21"/>
        <v>1615.64</v>
      </c>
      <c r="AW24" s="63">
        <f t="shared" si="21"/>
        <v>1630.94</v>
      </c>
      <c r="AX24" s="63">
        <f t="shared" si="21"/>
        <v>1644.3400000000001</v>
      </c>
      <c r="AY24" s="63">
        <f t="shared" si="21"/>
        <v>1667.44</v>
      </c>
      <c r="AZ24" s="63">
        <f t="shared" si="21"/>
        <v>1652.0400000000002</v>
      </c>
      <c r="BA24" s="63">
        <f t="shared" si="21"/>
        <v>1729.8400000000001</v>
      </c>
      <c r="BB24" s="63">
        <f t="shared" si="21"/>
        <v>1720.3400000000001</v>
      </c>
      <c r="BC24" s="63">
        <f t="shared" si="21"/>
        <v>1719.2400000000002</v>
      </c>
      <c r="BD24" s="63">
        <f t="shared" si="21"/>
        <v>1630.04</v>
      </c>
      <c r="BE24" s="63">
        <f t="shared" si="21"/>
        <v>1515.6399999999999</v>
      </c>
      <c r="BF24" s="63">
        <f t="shared" si="21"/>
        <v>1748.8999999999999</v>
      </c>
      <c r="BG24" s="63">
        <f t="shared" si="21"/>
        <v>1868.9399999999998</v>
      </c>
      <c r="BH24" s="63">
        <f t="shared" si="21"/>
        <v>1822.7399999999998</v>
      </c>
      <c r="BI24" s="63">
        <f t="shared" si="21"/>
        <v>1713.9399999999998</v>
      </c>
      <c r="BJ24" s="63">
        <f t="shared" si="21"/>
        <v>1699.9399999999998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19.100000000000001</v>
      </c>
      <c r="C25" s="46">
        <v>19.100000000000001</v>
      </c>
      <c r="D25" s="46">
        <v>19.100000000000001</v>
      </c>
      <c r="E25" s="46">
        <v>15.1</v>
      </c>
      <c r="F25" s="46">
        <v>15.1</v>
      </c>
      <c r="G25" s="46">
        <v>15.1</v>
      </c>
      <c r="H25" s="46">
        <v>13.2</v>
      </c>
      <c r="I25" s="46">
        <v>11.5</v>
      </c>
      <c r="J25" s="46">
        <v>11.5</v>
      </c>
      <c r="K25" s="46">
        <v>12.6</v>
      </c>
      <c r="L25" s="46">
        <v>12.6</v>
      </c>
      <c r="M25" s="46">
        <v>12.6</v>
      </c>
      <c r="N25" s="46">
        <v>12.6</v>
      </c>
      <c r="O25" s="46">
        <v>10.6</v>
      </c>
      <c r="P25" s="46">
        <v>10.6</v>
      </c>
      <c r="Q25" s="46">
        <v>10.6</v>
      </c>
      <c r="R25" s="46">
        <v>10.6</v>
      </c>
      <c r="S25" s="46">
        <v>10.6</v>
      </c>
      <c r="T25" s="46">
        <v>10.6</v>
      </c>
      <c r="U25" s="46">
        <v>10.6</v>
      </c>
      <c r="V25" s="46">
        <v>10.6</v>
      </c>
      <c r="W25" s="46">
        <v>10.6</v>
      </c>
      <c r="X25" s="46">
        <v>10.6</v>
      </c>
      <c r="Y25" s="46">
        <v>10.6</v>
      </c>
      <c r="Z25" s="46">
        <v>10.6</v>
      </c>
      <c r="AA25" s="46">
        <v>10.6</v>
      </c>
      <c r="AB25" s="46">
        <v>10.6</v>
      </c>
      <c r="AC25" s="46">
        <v>10.6</v>
      </c>
      <c r="AD25" s="46">
        <v>10.6</v>
      </c>
      <c r="AE25" s="46">
        <v>10.6</v>
      </c>
      <c r="AF25" s="46">
        <v>10.6</v>
      </c>
      <c r="AG25" s="61">
        <v>30</v>
      </c>
      <c r="AH25" s="48">
        <f t="shared" si="8"/>
        <v>19.100000000000001</v>
      </c>
      <c r="AI25" s="49">
        <f t="shared" si="9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</v>
      </c>
      <c r="C26" s="46">
        <v>13</v>
      </c>
      <c r="D26" s="46">
        <v>13</v>
      </c>
      <c r="E26" s="46">
        <v>13.1</v>
      </c>
      <c r="F26" s="46">
        <v>13.1</v>
      </c>
      <c r="G26" s="46">
        <v>13.1</v>
      </c>
      <c r="H26" s="46">
        <v>13.5</v>
      </c>
      <c r="I26" s="46">
        <v>13.2</v>
      </c>
      <c r="J26" s="46">
        <v>13.2</v>
      </c>
      <c r="K26" s="46">
        <v>13.2</v>
      </c>
      <c r="L26" s="46">
        <v>13.2</v>
      </c>
      <c r="M26" s="46">
        <v>13.2</v>
      </c>
      <c r="N26" s="46">
        <v>13.2</v>
      </c>
      <c r="O26" s="46">
        <v>13.2</v>
      </c>
      <c r="P26" s="46">
        <v>13.2</v>
      </c>
      <c r="Q26" s="46">
        <v>13.2</v>
      </c>
      <c r="R26" s="46">
        <v>13.2</v>
      </c>
      <c r="S26" s="46">
        <v>13.2</v>
      </c>
      <c r="T26" s="46">
        <v>13.2</v>
      </c>
      <c r="U26" s="46">
        <v>13.2</v>
      </c>
      <c r="V26" s="46">
        <v>13.2</v>
      </c>
      <c r="W26" s="46">
        <v>13.2</v>
      </c>
      <c r="X26" s="46">
        <v>13.2</v>
      </c>
      <c r="Y26" s="46">
        <v>13.2</v>
      </c>
      <c r="Z26" s="46">
        <v>13.2</v>
      </c>
      <c r="AA26" s="46">
        <v>13.2</v>
      </c>
      <c r="AB26" s="46">
        <v>13.2</v>
      </c>
      <c r="AC26" s="46">
        <v>13.2</v>
      </c>
      <c r="AD26" s="46">
        <v>13.2</v>
      </c>
      <c r="AE26" s="46">
        <v>13.2</v>
      </c>
      <c r="AF26" s="46">
        <v>13.2</v>
      </c>
      <c r="AG26" s="50">
        <v>25</v>
      </c>
      <c r="AH26" s="48">
        <f t="shared" si="8"/>
        <v>13.5</v>
      </c>
      <c r="AI26" s="49">
        <f t="shared" si="9"/>
        <v>13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22.9</v>
      </c>
      <c r="C29" s="46">
        <v>22.9</v>
      </c>
      <c r="D29" s="46">
        <v>22.9</v>
      </c>
      <c r="E29" s="46">
        <v>15.5</v>
      </c>
      <c r="F29" s="46">
        <v>15.5</v>
      </c>
      <c r="G29" s="46">
        <v>15.5</v>
      </c>
      <c r="H29" s="46">
        <v>13.9</v>
      </c>
      <c r="I29" s="46">
        <v>14</v>
      </c>
      <c r="J29" s="46">
        <v>14</v>
      </c>
      <c r="K29" s="46">
        <v>14</v>
      </c>
      <c r="L29" s="46">
        <v>14</v>
      </c>
      <c r="M29" s="46">
        <v>14</v>
      </c>
      <c r="N29" s="46">
        <v>14</v>
      </c>
      <c r="O29" s="46">
        <v>12.4</v>
      </c>
      <c r="P29" s="46">
        <v>12.4</v>
      </c>
      <c r="Q29" s="46">
        <v>12.4</v>
      </c>
      <c r="R29" s="46">
        <v>12.4</v>
      </c>
      <c r="S29" s="46">
        <v>12.4</v>
      </c>
      <c r="T29" s="46">
        <v>12.4</v>
      </c>
      <c r="U29" s="46">
        <v>12.4</v>
      </c>
      <c r="V29" s="46">
        <v>12.4</v>
      </c>
      <c r="W29" s="46">
        <v>12.4</v>
      </c>
      <c r="X29" s="46">
        <v>12.4</v>
      </c>
      <c r="Y29" s="46">
        <v>12.4</v>
      </c>
      <c r="Z29" s="46">
        <v>12.4</v>
      </c>
      <c r="AA29" s="46">
        <v>12.4</v>
      </c>
      <c r="AB29" s="46">
        <v>12.4</v>
      </c>
      <c r="AC29" s="46">
        <v>12.4</v>
      </c>
      <c r="AD29" s="46">
        <v>12.4</v>
      </c>
      <c r="AE29" s="46">
        <v>12.4</v>
      </c>
      <c r="AF29" s="46">
        <v>12.4</v>
      </c>
      <c r="AG29" s="50">
        <v>25</v>
      </c>
      <c r="AH29" s="48">
        <f t="shared" si="8"/>
        <v>22.9</v>
      </c>
      <c r="AI29" s="49">
        <f t="shared" si="9"/>
        <v>12.4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10</v>
      </c>
      <c r="C30" s="46">
        <v>10</v>
      </c>
      <c r="D30" s="46">
        <v>10</v>
      </c>
      <c r="E30" s="46">
        <v>7.8</v>
      </c>
      <c r="F30" s="46">
        <v>7.8</v>
      </c>
      <c r="G30" s="46">
        <v>7.8</v>
      </c>
      <c r="H30" s="46">
        <v>7.8</v>
      </c>
      <c r="I30" s="46">
        <v>6.5</v>
      </c>
      <c r="J30" s="46">
        <v>6.5</v>
      </c>
      <c r="K30" s="46">
        <v>6.5</v>
      </c>
      <c r="L30" s="46">
        <v>6.5</v>
      </c>
      <c r="M30" s="46">
        <v>6.5</v>
      </c>
      <c r="N30" s="46">
        <v>6.5</v>
      </c>
      <c r="O30" s="46">
        <v>6.5</v>
      </c>
      <c r="P30" s="46">
        <v>6.5</v>
      </c>
      <c r="Q30" s="46">
        <v>6.5</v>
      </c>
      <c r="R30" s="46">
        <v>6.5</v>
      </c>
      <c r="S30" s="46">
        <v>6.5</v>
      </c>
      <c r="T30" s="46">
        <v>6.5</v>
      </c>
      <c r="U30" s="46">
        <v>6.5</v>
      </c>
      <c r="V30" s="46">
        <v>6.5</v>
      </c>
      <c r="W30" s="46">
        <v>6.5</v>
      </c>
      <c r="X30" s="46">
        <v>6.5</v>
      </c>
      <c r="Y30" s="46">
        <v>6.5</v>
      </c>
      <c r="Z30" s="46">
        <v>6.5</v>
      </c>
      <c r="AA30" s="46">
        <v>6.5</v>
      </c>
      <c r="AB30" s="46">
        <v>6.5</v>
      </c>
      <c r="AC30" s="46">
        <v>6.5</v>
      </c>
      <c r="AD30" s="46">
        <v>6.5</v>
      </c>
      <c r="AE30" s="46">
        <v>6.5</v>
      </c>
      <c r="AF30" s="46">
        <v>6.5</v>
      </c>
      <c r="AG30" s="50">
        <v>23.5</v>
      </c>
      <c r="AH30" s="48">
        <f t="shared" si="8"/>
        <v>10</v>
      </c>
      <c r="AI30" s="49">
        <f t="shared" si="9"/>
        <v>6.5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22</v>
      </c>
      <c r="C34" s="46">
        <v>22</v>
      </c>
      <c r="D34" s="46">
        <v>22</v>
      </c>
      <c r="E34" s="46">
        <v>21.8</v>
      </c>
      <c r="F34" s="46">
        <v>21.8</v>
      </c>
      <c r="G34" s="46">
        <v>21.8</v>
      </c>
      <c r="H34" s="46">
        <v>22</v>
      </c>
      <c r="I34" s="46">
        <v>20</v>
      </c>
      <c r="J34" s="46">
        <v>20</v>
      </c>
      <c r="K34" s="46">
        <v>20</v>
      </c>
      <c r="L34" s="46">
        <v>20</v>
      </c>
      <c r="M34" s="46">
        <v>20</v>
      </c>
      <c r="N34" s="46">
        <v>20</v>
      </c>
      <c r="O34" s="46">
        <v>20</v>
      </c>
      <c r="P34" s="46">
        <v>20</v>
      </c>
      <c r="Q34" s="46">
        <v>20</v>
      </c>
      <c r="R34" s="46">
        <v>20</v>
      </c>
      <c r="S34" s="46">
        <v>20</v>
      </c>
      <c r="T34" s="46">
        <v>20</v>
      </c>
      <c r="U34" s="46">
        <v>20</v>
      </c>
      <c r="V34" s="46">
        <v>20</v>
      </c>
      <c r="W34" s="46">
        <v>20</v>
      </c>
      <c r="X34" s="46">
        <v>20</v>
      </c>
      <c r="Y34" s="46">
        <v>20</v>
      </c>
      <c r="Z34" s="46">
        <v>20</v>
      </c>
      <c r="AA34" s="46">
        <v>20</v>
      </c>
      <c r="AB34" s="46">
        <v>20</v>
      </c>
      <c r="AC34" s="46">
        <v>20</v>
      </c>
      <c r="AD34" s="46">
        <v>20</v>
      </c>
      <c r="AE34" s="46">
        <v>20</v>
      </c>
      <c r="AF34" s="46">
        <v>20</v>
      </c>
      <c r="AG34" s="50">
        <v>22</v>
      </c>
      <c r="AH34" s="48">
        <f t="shared" si="8"/>
        <v>22</v>
      </c>
      <c r="AI34" s="49">
        <f t="shared" si="9"/>
        <v>20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11.1</v>
      </c>
      <c r="C35" s="46">
        <v>11.1</v>
      </c>
      <c r="D35" s="46">
        <v>11.1</v>
      </c>
      <c r="E35" s="46">
        <v>14.1</v>
      </c>
      <c r="F35" s="46">
        <v>14.1</v>
      </c>
      <c r="G35" s="46">
        <v>14.1</v>
      </c>
      <c r="H35" s="46">
        <v>13.1</v>
      </c>
      <c r="I35" s="46">
        <v>13.1</v>
      </c>
      <c r="J35" s="46">
        <v>13.1</v>
      </c>
      <c r="K35" s="46">
        <v>13.1</v>
      </c>
      <c r="L35" s="46">
        <v>13.1</v>
      </c>
      <c r="M35" s="46">
        <v>13.1</v>
      </c>
      <c r="N35" s="46">
        <v>13.1</v>
      </c>
      <c r="O35" s="46">
        <v>13.1</v>
      </c>
      <c r="P35" s="46">
        <v>13.1</v>
      </c>
      <c r="Q35" s="46">
        <v>13.1</v>
      </c>
      <c r="R35" s="46">
        <v>13.1</v>
      </c>
      <c r="S35" s="46">
        <v>13.1</v>
      </c>
      <c r="T35" s="46">
        <v>13.1</v>
      </c>
      <c r="U35" s="46">
        <v>13.1</v>
      </c>
      <c r="V35" s="46">
        <v>13.1</v>
      </c>
      <c r="W35" s="46">
        <v>13.1</v>
      </c>
      <c r="X35" s="46">
        <v>13.1</v>
      </c>
      <c r="Y35" s="46">
        <v>13.1</v>
      </c>
      <c r="Z35" s="46">
        <v>13.1</v>
      </c>
      <c r="AA35" s="46">
        <v>13.1</v>
      </c>
      <c r="AB35" s="46">
        <v>13.1</v>
      </c>
      <c r="AC35" s="46">
        <v>13.1</v>
      </c>
      <c r="AD35" s="46">
        <v>13.1</v>
      </c>
      <c r="AE35" s="46">
        <v>13.1</v>
      </c>
      <c r="AF35" s="46">
        <v>13.1</v>
      </c>
      <c r="AG35" s="50">
        <v>20</v>
      </c>
      <c r="AH35" s="48">
        <f t="shared" si="8"/>
        <v>14.1</v>
      </c>
      <c r="AI35" s="49">
        <f t="shared" si="9"/>
        <v>11.1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8.1999999999999993</v>
      </c>
      <c r="C37" s="46">
        <v>8.1999999999999993</v>
      </c>
      <c r="D37" s="46">
        <v>8.1999999999999993</v>
      </c>
      <c r="E37" s="46">
        <v>10.4</v>
      </c>
      <c r="F37" s="46">
        <v>10.4</v>
      </c>
      <c r="G37" s="46">
        <v>10.4</v>
      </c>
      <c r="H37" s="46">
        <v>10</v>
      </c>
      <c r="I37" s="46">
        <v>10</v>
      </c>
      <c r="J37" s="46">
        <v>10</v>
      </c>
      <c r="K37" s="46">
        <v>10</v>
      </c>
      <c r="L37" s="46">
        <v>10</v>
      </c>
      <c r="M37" s="46">
        <v>10</v>
      </c>
      <c r="N37" s="46">
        <v>10</v>
      </c>
      <c r="O37" s="46">
        <v>10</v>
      </c>
      <c r="P37" s="46">
        <v>10</v>
      </c>
      <c r="Q37" s="46">
        <v>10</v>
      </c>
      <c r="R37" s="46">
        <v>10</v>
      </c>
      <c r="S37" s="46">
        <v>10</v>
      </c>
      <c r="T37" s="46">
        <v>10</v>
      </c>
      <c r="U37" s="46">
        <v>10</v>
      </c>
      <c r="V37" s="46">
        <v>10</v>
      </c>
      <c r="W37" s="46">
        <v>10</v>
      </c>
      <c r="X37" s="46">
        <v>10</v>
      </c>
      <c r="Y37" s="46">
        <v>10</v>
      </c>
      <c r="Z37" s="46">
        <v>10</v>
      </c>
      <c r="AA37" s="46">
        <v>10</v>
      </c>
      <c r="AB37" s="46">
        <v>10</v>
      </c>
      <c r="AC37" s="46">
        <v>10</v>
      </c>
      <c r="AD37" s="46">
        <v>10</v>
      </c>
      <c r="AE37" s="46">
        <v>10</v>
      </c>
      <c r="AF37" s="46">
        <v>10</v>
      </c>
      <c r="AG37" s="50">
        <v>18</v>
      </c>
      <c r="AH37" s="48">
        <f t="shared" si="8"/>
        <v>10.4</v>
      </c>
      <c r="AI37" s="49">
        <f t="shared" si="9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6.7</v>
      </c>
      <c r="C38" s="46">
        <v>6.7</v>
      </c>
      <c r="D38" s="46">
        <v>6.7</v>
      </c>
      <c r="E38" s="46">
        <v>6.78</v>
      </c>
      <c r="F38" s="46">
        <v>6.78</v>
      </c>
      <c r="G38" s="46">
        <v>6.78</v>
      </c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6.8</v>
      </c>
      <c r="AI38" s="49">
        <f t="shared" si="9"/>
        <v>6.7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5</v>
      </c>
      <c r="C41" s="46">
        <v>5</v>
      </c>
      <c r="D41" s="46">
        <v>5</v>
      </c>
      <c r="E41" s="46">
        <v>2.2999999999999998</v>
      </c>
      <c r="F41" s="46">
        <v>2.2999999999999998</v>
      </c>
      <c r="G41" s="46">
        <v>2.2999999999999998</v>
      </c>
      <c r="H41" s="46">
        <v>2.2999999999999998</v>
      </c>
      <c r="I41" s="46">
        <v>2.2999999999999998</v>
      </c>
      <c r="J41" s="46">
        <v>2.2999999999999998</v>
      </c>
      <c r="K41" s="46">
        <v>2.2999999999999998</v>
      </c>
      <c r="L41" s="46">
        <v>2.2999999999999998</v>
      </c>
      <c r="M41" s="46">
        <v>2.2999999999999998</v>
      </c>
      <c r="N41" s="46">
        <v>2.2999999999999998</v>
      </c>
      <c r="O41" s="46">
        <v>2.2999999999999998</v>
      </c>
      <c r="P41" s="46">
        <v>2.2999999999999998</v>
      </c>
      <c r="Q41" s="46">
        <v>2.2999999999999998</v>
      </c>
      <c r="R41" s="46">
        <v>2.2999999999999998</v>
      </c>
      <c r="S41" s="46">
        <v>2.2999999999999998</v>
      </c>
      <c r="T41" s="46">
        <v>2.2999999999999998</v>
      </c>
      <c r="U41" s="46">
        <v>2.2999999999999998</v>
      </c>
      <c r="V41" s="46">
        <v>2.2999999999999998</v>
      </c>
      <c r="W41" s="46">
        <v>2.2999999999999998</v>
      </c>
      <c r="X41" s="46">
        <v>2.2999999999999998</v>
      </c>
      <c r="Y41" s="46">
        <v>2.2999999999999998</v>
      </c>
      <c r="Z41" s="46">
        <v>2.2999999999999998</v>
      </c>
      <c r="AA41" s="46">
        <v>2.2999999999999998</v>
      </c>
      <c r="AB41" s="46">
        <v>2.2999999999999998</v>
      </c>
      <c r="AC41" s="46">
        <v>2.2999999999999998</v>
      </c>
      <c r="AD41" s="46">
        <v>2.2999999999999998</v>
      </c>
      <c r="AE41" s="46">
        <v>2.2999999999999998</v>
      </c>
      <c r="AF41" s="46">
        <v>2.2999999999999998</v>
      </c>
      <c r="AG41" s="50">
        <v>14.9</v>
      </c>
      <c r="AH41" s="48">
        <f t="shared" si="8"/>
        <v>5</v>
      </c>
      <c r="AI41" s="49">
        <f t="shared" si="9"/>
        <v>2.2999999999999998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12</v>
      </c>
      <c r="AH45" s="48">
        <f t="shared" si="8"/>
        <v>7</v>
      </c>
      <c r="AI45" s="49">
        <f t="shared" si="9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1.89</v>
      </c>
      <c r="C50" s="46">
        <v>1.89</v>
      </c>
      <c r="D50" s="46">
        <v>1.89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1.89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1.8</v>
      </c>
      <c r="C51" s="46">
        <v>1.8</v>
      </c>
      <c r="D51" s="46">
        <v>1.8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1.8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112.3</v>
      </c>
      <c r="C57" s="68">
        <v>112.3</v>
      </c>
      <c r="D57" s="68">
        <v>112.3</v>
      </c>
      <c r="E57" s="68">
        <v>97.4</v>
      </c>
      <c r="F57" s="68">
        <v>97.4</v>
      </c>
      <c r="G57" s="68">
        <v>97.4</v>
      </c>
      <c r="H57" s="68">
        <v>97.7</v>
      </c>
      <c r="I57" s="68">
        <v>97.2</v>
      </c>
      <c r="J57" s="68">
        <v>89.6</v>
      </c>
      <c r="K57" s="68">
        <v>88.9</v>
      </c>
      <c r="L57" s="68">
        <v>85.9</v>
      </c>
      <c r="M57" s="53">
        <f>54.4+28.6</f>
        <v>83</v>
      </c>
      <c r="N57" s="53">
        <f>55.1+28</f>
        <v>83.1</v>
      </c>
      <c r="O57" s="53">
        <f>53.8+27.9</f>
        <v>81.699999999999989</v>
      </c>
      <c r="P57" s="53">
        <f>54.6+29.1</f>
        <v>83.7</v>
      </c>
      <c r="Q57" s="53">
        <f>53.1+28.5</f>
        <v>81.599999999999994</v>
      </c>
      <c r="R57" s="53">
        <f t="shared" ref="R57:AA57" si="22">51.5+26.9</f>
        <v>78.400000000000006</v>
      </c>
      <c r="S57" s="53">
        <f t="shared" si="22"/>
        <v>78.400000000000006</v>
      </c>
      <c r="T57" s="53">
        <f t="shared" si="22"/>
        <v>78.400000000000006</v>
      </c>
      <c r="U57" s="53">
        <f t="shared" si="22"/>
        <v>78.400000000000006</v>
      </c>
      <c r="V57" s="53">
        <f t="shared" si="22"/>
        <v>78.400000000000006</v>
      </c>
      <c r="W57" s="53">
        <f t="shared" si="22"/>
        <v>78.400000000000006</v>
      </c>
      <c r="X57" s="53">
        <f t="shared" si="22"/>
        <v>78.400000000000006</v>
      </c>
      <c r="Y57" s="53">
        <f t="shared" si="22"/>
        <v>78.400000000000006</v>
      </c>
      <c r="Z57" s="53">
        <f t="shared" si="22"/>
        <v>78.400000000000006</v>
      </c>
      <c r="AA57" s="53">
        <f t="shared" si="22"/>
        <v>78.400000000000006</v>
      </c>
      <c r="AB57" s="53">
        <v>85.2</v>
      </c>
      <c r="AC57" s="53">
        <v>85.2</v>
      </c>
      <c r="AD57" s="53">
        <v>85.2</v>
      </c>
      <c r="AE57" s="53">
        <v>89</v>
      </c>
      <c r="AF57" s="53">
        <v>89</v>
      </c>
      <c r="AG57" s="66">
        <v>240</v>
      </c>
      <c r="AH57" s="48">
        <f t="shared" si="8"/>
        <v>112.3</v>
      </c>
      <c r="AI57" s="49">
        <f t="shared" si="9"/>
        <v>78.400000000000006</v>
      </c>
      <c r="AK57" s="51"/>
    </row>
    <row r="58" spans="1:88" ht="15.75" thickBot="1" x14ac:dyDescent="0.3">
      <c r="A58" s="70" t="s">
        <v>75</v>
      </c>
      <c r="B58" s="71">
        <f t="shared" ref="B58:AA58" si="23">SUM(B11:B56)</f>
        <v>644.89</v>
      </c>
      <c r="C58" s="71">
        <f t="shared" si="23"/>
        <v>644.89</v>
      </c>
      <c r="D58" s="71">
        <f t="shared" si="23"/>
        <v>644.89</v>
      </c>
      <c r="E58" s="71">
        <f t="shared" si="23"/>
        <v>628.07999999999993</v>
      </c>
      <c r="F58" s="71">
        <f>SUM(F11:F56)</f>
        <v>628.07999999999993</v>
      </c>
      <c r="G58" s="71">
        <f>SUM(G11:G56)</f>
        <v>628.07999999999993</v>
      </c>
      <c r="H58" s="71">
        <f t="shared" si="23"/>
        <v>615.70000000000005</v>
      </c>
      <c r="I58" s="71">
        <f t="shared" si="23"/>
        <v>603</v>
      </c>
      <c r="J58" s="71">
        <f t="shared" si="23"/>
        <v>602.39999999999986</v>
      </c>
      <c r="K58" s="71">
        <f t="shared" si="23"/>
        <v>601.4</v>
      </c>
      <c r="L58" s="71">
        <f t="shared" si="23"/>
        <v>601.59999999999991</v>
      </c>
      <c r="M58" s="71">
        <f t="shared" si="23"/>
        <v>601.79999999999995</v>
      </c>
      <c r="N58" s="71">
        <f t="shared" si="23"/>
        <v>601.79999999999995</v>
      </c>
      <c r="O58" s="71">
        <f t="shared" si="23"/>
        <v>595.29999999999995</v>
      </c>
      <c r="P58" s="71">
        <f t="shared" si="23"/>
        <v>595.29999999999995</v>
      </c>
      <c r="Q58" s="71">
        <f t="shared" si="23"/>
        <v>592.59999999999991</v>
      </c>
      <c r="R58" s="71">
        <f t="shared" si="23"/>
        <v>595.4</v>
      </c>
      <c r="S58" s="71">
        <f>SUM(S11:S56)</f>
        <v>585</v>
      </c>
      <c r="T58" s="71">
        <f t="shared" si="23"/>
        <v>585</v>
      </c>
      <c r="U58" s="71">
        <f t="shared" si="23"/>
        <v>583.79999999999995</v>
      </c>
      <c r="V58" s="71">
        <f>SUM(V11:V56)</f>
        <v>583.79999999999995</v>
      </c>
      <c r="W58" s="71">
        <f>SUM(W11:W56)</f>
        <v>583.79999999999995</v>
      </c>
      <c r="X58" s="71">
        <f t="shared" si="23"/>
        <v>583.79999999999995</v>
      </c>
      <c r="Y58" s="71">
        <f t="shared" si="23"/>
        <v>583.79999999999995</v>
      </c>
      <c r="Z58" s="71">
        <f t="shared" si="23"/>
        <v>581.79999999999995</v>
      </c>
      <c r="AA58" s="71">
        <f t="shared" si="23"/>
        <v>584.09999999999991</v>
      </c>
      <c r="AB58" s="71">
        <f>SUM(AB11:AB56)</f>
        <v>584.09999999999991</v>
      </c>
      <c r="AC58" s="71">
        <f>SUM(AC11:AC56)</f>
        <v>584.09999999999991</v>
      </c>
      <c r="AD58" s="71">
        <f>SUM(AD11:AD56)</f>
        <v>584.09999999999991</v>
      </c>
      <c r="AE58" s="71">
        <f>SUM(AE11:AE56)</f>
        <v>584.09999999999991</v>
      </c>
      <c r="AF58" s="71">
        <f>SUM(AF11:AF56)</f>
        <v>584.09999999999991</v>
      </c>
      <c r="AG58" s="72">
        <f>SUM(AG14:AG56)</f>
        <v>1042.4000000000001</v>
      </c>
      <c r="AH58" s="48">
        <f t="shared" si="8"/>
        <v>644.89</v>
      </c>
      <c r="AI58" s="49">
        <f t="shared" si="9"/>
        <v>581.79999999999995</v>
      </c>
      <c r="AK58" s="51"/>
    </row>
    <row r="59" spans="1:88" x14ac:dyDescent="0.25">
      <c r="A59" s="73" t="s">
        <v>76</v>
      </c>
      <c r="B59" s="46">
        <v>200</v>
      </c>
      <c r="C59" s="46">
        <v>200</v>
      </c>
      <c r="D59" s="46">
        <v>181</v>
      </c>
      <c r="E59" s="46">
        <v>151</v>
      </c>
      <c r="F59" s="46">
        <v>151</v>
      </c>
      <c r="G59" s="46">
        <v>151</v>
      </c>
      <c r="H59" s="46">
        <v>184</v>
      </c>
      <c r="I59" s="46">
        <v>245</v>
      </c>
      <c r="J59" s="46">
        <v>90.3</v>
      </c>
      <c r="K59" s="46">
        <v>50.2</v>
      </c>
      <c r="L59" s="46">
        <v>30</v>
      </c>
      <c r="M59" s="46">
        <v>50</v>
      </c>
      <c r="N59" s="74">
        <v>50</v>
      </c>
      <c r="O59" s="74">
        <v>70</v>
      </c>
      <c r="P59" s="74">
        <v>80</v>
      </c>
      <c r="Q59" s="74">
        <v>152</v>
      </c>
      <c r="R59" s="74">
        <v>152.9</v>
      </c>
      <c r="S59" s="74">
        <v>152.9</v>
      </c>
      <c r="T59" s="74">
        <v>152.9</v>
      </c>
      <c r="U59" s="74">
        <v>152.80000000000001</v>
      </c>
      <c r="V59" s="74">
        <v>100</v>
      </c>
      <c r="W59" s="74">
        <v>100</v>
      </c>
      <c r="X59" s="46">
        <v>100.5</v>
      </c>
      <c r="Y59" s="46">
        <v>100.6</v>
      </c>
      <c r="Z59" s="46">
        <v>350</v>
      </c>
      <c r="AA59" s="46">
        <v>458</v>
      </c>
      <c r="AB59" s="46">
        <v>458</v>
      </c>
      <c r="AC59" s="46">
        <v>458</v>
      </c>
      <c r="AD59" s="46">
        <v>390</v>
      </c>
      <c r="AE59" s="46">
        <v>295</v>
      </c>
      <c r="AF59" s="46">
        <v>280</v>
      </c>
      <c r="AG59" s="61">
        <v>456</v>
      </c>
      <c r="AH59" s="48">
        <f t="shared" si="8"/>
        <v>458</v>
      </c>
      <c r="AI59" s="49">
        <f t="shared" si="9"/>
        <v>30</v>
      </c>
      <c r="AK59" s="51"/>
    </row>
    <row r="60" spans="1:88" x14ac:dyDescent="0.25">
      <c r="A60" s="75" t="s">
        <v>77</v>
      </c>
      <c r="B60" s="76">
        <v>53.9</v>
      </c>
      <c r="C60" s="76">
        <v>53.9</v>
      </c>
      <c r="D60" s="76">
        <v>53.9</v>
      </c>
      <c r="E60" s="76">
        <v>42.1</v>
      </c>
      <c r="F60" s="76">
        <v>42.1</v>
      </c>
      <c r="G60" s="76">
        <v>42.1</v>
      </c>
      <c r="H60" s="76">
        <v>37.5</v>
      </c>
      <c r="I60" s="76">
        <v>37.1</v>
      </c>
      <c r="J60" s="76">
        <v>36.5</v>
      </c>
      <c r="K60" s="76">
        <v>35</v>
      </c>
      <c r="L60" s="76">
        <v>35.999000000000002</v>
      </c>
      <c r="M60" s="76">
        <v>36</v>
      </c>
      <c r="N60" s="76">
        <v>36</v>
      </c>
      <c r="O60" s="76">
        <v>33.200000000000003</v>
      </c>
      <c r="P60" s="76">
        <v>33.200000000000003</v>
      </c>
      <c r="Q60" s="76">
        <v>33.200000000000003</v>
      </c>
      <c r="R60" s="76">
        <v>33.200000000000003</v>
      </c>
      <c r="S60" s="76">
        <v>33.200000000000003</v>
      </c>
      <c r="T60" s="76">
        <v>30.3</v>
      </c>
      <c r="U60" s="76">
        <v>29.8</v>
      </c>
      <c r="V60" s="76">
        <v>29.8</v>
      </c>
      <c r="W60" s="76">
        <v>29.8</v>
      </c>
      <c r="X60" s="76">
        <v>21.9</v>
      </c>
      <c r="Y60" s="76">
        <v>28.3</v>
      </c>
      <c r="Z60" s="76">
        <v>28.7</v>
      </c>
      <c r="AA60" s="76">
        <v>29.7</v>
      </c>
      <c r="AB60" s="76">
        <v>29.7</v>
      </c>
      <c r="AC60" s="76">
        <v>29.7</v>
      </c>
      <c r="AD60" s="76">
        <v>29.7</v>
      </c>
      <c r="AE60" s="76">
        <v>29.7</v>
      </c>
      <c r="AF60" s="76">
        <v>29.7</v>
      </c>
      <c r="AG60" s="66">
        <v>60</v>
      </c>
      <c r="AH60" s="48">
        <f t="shared" si="8"/>
        <v>53.9</v>
      </c>
      <c r="AI60" s="49">
        <f t="shared" si="9"/>
        <v>21.9</v>
      </c>
      <c r="AK60" s="51"/>
    </row>
    <row r="61" spans="1:88" ht="15.75" thickBot="1" x14ac:dyDescent="0.3">
      <c r="A61" s="77" t="s">
        <v>78</v>
      </c>
      <c r="B61" s="78">
        <v>22.7</v>
      </c>
      <c r="C61" s="78">
        <v>22.7</v>
      </c>
      <c r="D61" s="78">
        <v>22.7</v>
      </c>
      <c r="E61" s="78">
        <v>22.7</v>
      </c>
      <c r="F61" s="78">
        <v>22.7</v>
      </c>
      <c r="G61" s="78">
        <v>22.7</v>
      </c>
      <c r="H61" s="78">
        <v>22.2</v>
      </c>
      <c r="I61" s="78">
        <v>22.7</v>
      </c>
      <c r="J61" s="78">
        <v>22.5</v>
      </c>
      <c r="K61" s="78">
        <v>22.4</v>
      </c>
      <c r="L61" s="78">
        <v>22.4</v>
      </c>
      <c r="M61" s="78">
        <v>22.5</v>
      </c>
      <c r="N61" s="78">
        <v>22.6</v>
      </c>
      <c r="O61" s="78">
        <v>22.5</v>
      </c>
      <c r="P61" s="78">
        <v>22.5</v>
      </c>
      <c r="Q61" s="78">
        <v>22.5</v>
      </c>
      <c r="R61" s="78">
        <v>22.5</v>
      </c>
      <c r="S61" s="78">
        <v>22.5</v>
      </c>
      <c r="T61" s="78">
        <v>22.5</v>
      </c>
      <c r="U61" s="78">
        <v>22.5</v>
      </c>
      <c r="V61" s="78">
        <v>22.5</v>
      </c>
      <c r="W61" s="78">
        <v>22.5</v>
      </c>
      <c r="X61" s="78">
        <v>22.5</v>
      </c>
      <c r="Y61" s="78">
        <v>22.6</v>
      </c>
      <c r="Z61" s="78">
        <v>22.5</v>
      </c>
      <c r="AA61" s="78">
        <v>22.5</v>
      </c>
      <c r="AB61" s="78">
        <v>22.5</v>
      </c>
      <c r="AC61" s="78">
        <v>22.5</v>
      </c>
      <c r="AD61" s="78">
        <v>22.5</v>
      </c>
      <c r="AE61" s="78">
        <v>22.5</v>
      </c>
      <c r="AF61" s="78">
        <v>22.5</v>
      </c>
      <c r="AG61" s="79">
        <v>22.1</v>
      </c>
      <c r="AH61" s="48">
        <f t="shared" si="8"/>
        <v>22.7</v>
      </c>
      <c r="AI61" s="49">
        <f t="shared" si="9"/>
        <v>22.2</v>
      </c>
      <c r="AK61" s="51"/>
    </row>
    <row r="62" spans="1:88" ht="15.75" thickBot="1" x14ac:dyDescent="0.3">
      <c r="A62" s="80" t="s">
        <v>79</v>
      </c>
      <c r="B62" s="71">
        <f t="shared" ref="B62:AG62" si="24">SUM(B59:B61)</f>
        <v>276.60000000000002</v>
      </c>
      <c r="C62" s="71">
        <f t="shared" si="24"/>
        <v>276.60000000000002</v>
      </c>
      <c r="D62" s="71">
        <f t="shared" si="24"/>
        <v>257.60000000000002</v>
      </c>
      <c r="E62" s="71">
        <f t="shared" si="24"/>
        <v>215.79999999999998</v>
      </c>
      <c r="F62" s="71">
        <f t="shared" si="24"/>
        <v>215.79999999999998</v>
      </c>
      <c r="G62" s="71">
        <f t="shared" si="24"/>
        <v>215.79999999999998</v>
      </c>
      <c r="H62" s="71">
        <f t="shared" si="24"/>
        <v>243.7</v>
      </c>
      <c r="I62" s="71">
        <f t="shared" si="24"/>
        <v>304.8</v>
      </c>
      <c r="J62" s="71">
        <f t="shared" si="24"/>
        <v>149.30000000000001</v>
      </c>
      <c r="K62" s="71">
        <f t="shared" si="24"/>
        <v>107.6</v>
      </c>
      <c r="L62" s="71">
        <f t="shared" si="24"/>
        <v>88.399000000000001</v>
      </c>
      <c r="M62" s="71">
        <f t="shared" si="24"/>
        <v>108.5</v>
      </c>
      <c r="N62" s="71">
        <f t="shared" si="24"/>
        <v>108.6</v>
      </c>
      <c r="O62" s="71">
        <f t="shared" si="24"/>
        <v>125.7</v>
      </c>
      <c r="P62" s="71">
        <f t="shared" si="24"/>
        <v>135.69999999999999</v>
      </c>
      <c r="Q62" s="71">
        <f t="shared" si="24"/>
        <v>207.7</v>
      </c>
      <c r="R62" s="71">
        <f t="shared" si="24"/>
        <v>208.60000000000002</v>
      </c>
      <c r="S62" s="71">
        <f>SUM(S59:S61)</f>
        <v>208.60000000000002</v>
      </c>
      <c r="T62" s="71">
        <f t="shared" si="24"/>
        <v>205.70000000000002</v>
      </c>
      <c r="U62" s="71">
        <f t="shared" si="24"/>
        <v>205.10000000000002</v>
      </c>
      <c r="V62" s="71">
        <f>SUM(V59:V61)</f>
        <v>152.30000000000001</v>
      </c>
      <c r="W62" s="71">
        <f>SUM(W59:W61)</f>
        <v>152.30000000000001</v>
      </c>
      <c r="X62" s="71">
        <f t="shared" si="24"/>
        <v>144.9</v>
      </c>
      <c r="Y62" s="71">
        <f t="shared" si="24"/>
        <v>151.5</v>
      </c>
      <c r="Z62" s="71">
        <f t="shared" si="24"/>
        <v>401.2</v>
      </c>
      <c r="AA62" s="71">
        <f t="shared" si="24"/>
        <v>510.2</v>
      </c>
      <c r="AB62" s="71">
        <f>SUM(AB59:AB61)</f>
        <v>510.2</v>
      </c>
      <c r="AC62" s="71">
        <f>SUM(AC59:AC61)</f>
        <v>510.2</v>
      </c>
      <c r="AD62" s="71">
        <f>SUM(AD59:AD61)</f>
        <v>442.2</v>
      </c>
      <c r="AE62" s="71">
        <f>SUM(AE59:AE61)</f>
        <v>347.2</v>
      </c>
      <c r="AF62" s="71">
        <f>SUM(AF59:AF61)</f>
        <v>332.2</v>
      </c>
      <c r="AG62" s="72">
        <f t="shared" si="24"/>
        <v>538.1</v>
      </c>
      <c r="AH62" s="48">
        <f t="shared" si="8"/>
        <v>510.2</v>
      </c>
      <c r="AI62" s="49">
        <f t="shared" si="9"/>
        <v>88.399000000000001</v>
      </c>
      <c r="AK62" s="51"/>
    </row>
    <row r="63" spans="1:88" x14ac:dyDescent="0.25">
      <c r="A63" s="45" t="s">
        <v>80</v>
      </c>
      <c r="B63" s="46">
        <v>97</v>
      </c>
      <c r="C63" s="46">
        <v>97</v>
      </c>
      <c r="D63" s="46">
        <v>85</v>
      </c>
      <c r="E63" s="46">
        <v>90</v>
      </c>
      <c r="F63" s="46">
        <v>80</v>
      </c>
      <c r="G63" s="46">
        <v>70</v>
      </c>
      <c r="H63" s="46">
        <v>70</v>
      </c>
      <c r="I63" s="46">
        <v>90</v>
      </c>
      <c r="J63" s="46">
        <v>92</v>
      </c>
      <c r="K63" s="46">
        <v>96</v>
      </c>
      <c r="L63" s="46">
        <v>96</v>
      </c>
      <c r="M63" s="46">
        <v>96</v>
      </c>
      <c r="N63" s="46">
        <v>96</v>
      </c>
      <c r="O63" s="46">
        <v>96</v>
      </c>
      <c r="P63" s="46">
        <v>96</v>
      </c>
      <c r="Q63" s="46">
        <v>96</v>
      </c>
      <c r="R63" s="46">
        <v>96.9</v>
      </c>
      <c r="S63" s="46">
        <v>96.9</v>
      </c>
      <c r="T63" s="46">
        <v>110</v>
      </c>
      <c r="U63" s="46">
        <v>110</v>
      </c>
      <c r="V63" s="46">
        <v>110</v>
      </c>
      <c r="W63" s="46">
        <v>110</v>
      </c>
      <c r="X63" s="46">
        <v>110</v>
      </c>
      <c r="Y63" s="46">
        <v>110</v>
      </c>
      <c r="Z63" s="46">
        <v>110</v>
      </c>
      <c r="AA63" s="46">
        <v>140</v>
      </c>
      <c r="AB63" s="46">
        <v>141.80000000000001</v>
      </c>
      <c r="AC63" s="46">
        <v>141.80000000000001</v>
      </c>
      <c r="AD63" s="46">
        <v>141.80000000000001</v>
      </c>
      <c r="AE63" s="46">
        <v>128.69999999999999</v>
      </c>
      <c r="AF63" s="46">
        <v>128.69999999999999</v>
      </c>
      <c r="AG63" s="61">
        <v>144</v>
      </c>
      <c r="AH63" s="48">
        <f t="shared" si="8"/>
        <v>141.80000000000001</v>
      </c>
      <c r="AI63" s="49">
        <f t="shared" si="9"/>
        <v>70</v>
      </c>
      <c r="AK63" s="51"/>
    </row>
    <row r="64" spans="1:88" x14ac:dyDescent="0.25">
      <c r="A64" s="65" t="s">
        <v>81</v>
      </c>
      <c r="B64" s="76">
        <v>35</v>
      </c>
      <c r="C64" s="76">
        <v>35</v>
      </c>
      <c r="D64" s="76">
        <v>49</v>
      </c>
      <c r="E64" s="76">
        <v>50</v>
      </c>
      <c r="F64" s="76">
        <v>50</v>
      </c>
      <c r="G64" s="76">
        <v>50</v>
      </c>
      <c r="H64" s="76">
        <v>50.5</v>
      </c>
      <c r="I64" s="76">
        <v>67.599999999999994</v>
      </c>
      <c r="J64" s="76">
        <v>65.3</v>
      </c>
      <c r="K64" s="76">
        <v>68</v>
      </c>
      <c r="L64" s="76">
        <v>68</v>
      </c>
      <c r="M64" s="76">
        <v>49.8</v>
      </c>
      <c r="N64" s="76">
        <v>59.8</v>
      </c>
      <c r="O64" s="76">
        <v>59.7</v>
      </c>
      <c r="P64" s="76">
        <v>59.7</v>
      </c>
      <c r="Q64" s="76">
        <v>60.9</v>
      </c>
      <c r="R64" s="76">
        <v>61.7</v>
      </c>
      <c r="S64" s="76">
        <v>61.7</v>
      </c>
      <c r="T64" s="76">
        <v>60.1</v>
      </c>
      <c r="U64" s="76">
        <v>60.7</v>
      </c>
      <c r="V64" s="76">
        <v>50</v>
      </c>
      <c r="W64" s="76">
        <v>50</v>
      </c>
      <c r="X64" s="46">
        <v>49.6</v>
      </c>
      <c r="Y64" s="46">
        <v>49.4</v>
      </c>
      <c r="Z64" s="46">
        <v>67.3</v>
      </c>
      <c r="AA64" s="46">
        <v>62</v>
      </c>
      <c r="AB64" s="46">
        <v>62.8</v>
      </c>
      <c r="AC64" s="46">
        <v>62.8</v>
      </c>
      <c r="AD64" s="46">
        <v>62.8</v>
      </c>
      <c r="AE64" s="46">
        <v>62.8</v>
      </c>
      <c r="AF64" s="46">
        <v>62.8</v>
      </c>
      <c r="AG64" s="66">
        <v>70</v>
      </c>
      <c r="AH64" s="48">
        <f t="shared" si="8"/>
        <v>68</v>
      </c>
      <c r="AI64" s="49">
        <f t="shared" si="9"/>
        <v>35</v>
      </c>
      <c r="AK64" s="51"/>
    </row>
    <row r="65" spans="1:75" x14ac:dyDescent="0.25">
      <c r="A65" s="65" t="s">
        <v>82</v>
      </c>
      <c r="B65" s="76">
        <v>61</v>
      </c>
      <c r="C65" s="76">
        <v>61</v>
      </c>
      <c r="D65" s="76">
        <v>50</v>
      </c>
      <c r="E65" s="76">
        <v>50.2</v>
      </c>
      <c r="F65" s="76">
        <v>50.2</v>
      </c>
      <c r="G65" s="76">
        <v>50.2</v>
      </c>
      <c r="H65" s="76">
        <v>51</v>
      </c>
      <c r="I65" s="76">
        <v>50.2</v>
      </c>
      <c r="J65" s="76">
        <v>50.4</v>
      </c>
      <c r="K65" s="76">
        <v>52</v>
      </c>
      <c r="L65" s="76">
        <v>52</v>
      </c>
      <c r="M65" s="76">
        <v>69</v>
      </c>
      <c r="N65" s="76">
        <v>68.8</v>
      </c>
      <c r="O65" s="76">
        <v>68.599999999999994</v>
      </c>
      <c r="P65" s="76">
        <v>61.5</v>
      </c>
      <c r="Q65" s="76">
        <v>51</v>
      </c>
      <c r="R65" s="76">
        <v>55.1</v>
      </c>
      <c r="S65" s="76">
        <v>55.1</v>
      </c>
      <c r="T65" s="76">
        <v>55</v>
      </c>
      <c r="U65" s="76">
        <v>55.3</v>
      </c>
      <c r="V65" s="76">
        <v>50</v>
      </c>
      <c r="W65" s="76">
        <v>50</v>
      </c>
      <c r="X65" s="46">
        <v>50.6</v>
      </c>
      <c r="Y65" s="46">
        <v>50.5</v>
      </c>
      <c r="Z65" s="46">
        <v>50.7</v>
      </c>
      <c r="AA65" s="46">
        <v>69</v>
      </c>
      <c r="AB65" s="46">
        <v>69</v>
      </c>
      <c r="AC65" s="46">
        <v>69</v>
      </c>
      <c r="AD65" s="46">
        <v>69</v>
      </c>
      <c r="AE65" s="46">
        <v>69.2</v>
      </c>
      <c r="AF65" s="46">
        <v>69.2</v>
      </c>
      <c r="AG65" s="66">
        <v>69</v>
      </c>
      <c r="AH65" s="48">
        <f t="shared" si="8"/>
        <v>69.2</v>
      </c>
      <c r="AI65" s="49">
        <f t="shared" si="9"/>
        <v>50</v>
      </c>
      <c r="AK65" s="51"/>
    </row>
    <row r="66" spans="1:75" x14ac:dyDescent="0.25">
      <c r="A66" s="65" t="s">
        <v>83</v>
      </c>
      <c r="B66" s="76">
        <v>57.2</v>
      </c>
      <c r="C66" s="76">
        <v>57.2</v>
      </c>
      <c r="D66" s="76">
        <v>57.2</v>
      </c>
      <c r="E66" s="76">
        <v>58.2</v>
      </c>
      <c r="F66" s="76">
        <v>58.2</v>
      </c>
      <c r="G66" s="76">
        <v>58.2</v>
      </c>
      <c r="H66" s="76">
        <v>59.5</v>
      </c>
      <c r="I66" s="76">
        <v>59.5</v>
      </c>
      <c r="J66" s="76">
        <v>59</v>
      </c>
      <c r="K66" s="76">
        <v>59</v>
      </c>
      <c r="L66" s="76">
        <v>59</v>
      </c>
      <c r="M66" s="76">
        <v>60</v>
      </c>
      <c r="N66" s="76">
        <v>60.9</v>
      </c>
      <c r="O66" s="76">
        <v>60.9</v>
      </c>
      <c r="P66" s="76">
        <v>60.7</v>
      </c>
      <c r="Q66" s="76">
        <v>60.7</v>
      </c>
      <c r="R66" s="76">
        <v>60.7</v>
      </c>
      <c r="S66" s="76">
        <v>60.7</v>
      </c>
      <c r="T66" s="76">
        <v>60.7</v>
      </c>
      <c r="U66" s="76">
        <v>60.7</v>
      </c>
      <c r="V66" s="76">
        <v>60.7</v>
      </c>
      <c r="W66" s="76">
        <v>60.7</v>
      </c>
      <c r="X66" s="46">
        <v>60.7</v>
      </c>
      <c r="Y66" s="46">
        <v>59.7</v>
      </c>
      <c r="Z66" s="46">
        <v>60</v>
      </c>
      <c r="AA66" s="46">
        <v>60</v>
      </c>
      <c r="AB66" s="46">
        <v>60</v>
      </c>
      <c r="AC66" s="46">
        <v>60</v>
      </c>
      <c r="AD66" s="46">
        <v>60</v>
      </c>
      <c r="AE66" s="46">
        <v>60</v>
      </c>
      <c r="AF66" s="46">
        <v>60</v>
      </c>
      <c r="AG66" s="66">
        <v>60</v>
      </c>
      <c r="AH66" s="48">
        <f t="shared" si="8"/>
        <v>60.9</v>
      </c>
      <c r="AI66" s="49">
        <f t="shared" si="9"/>
        <v>57.2</v>
      </c>
      <c r="AK66" s="51"/>
    </row>
    <row r="67" spans="1:75" x14ac:dyDescent="0.25">
      <c r="A67" s="65" t="s">
        <v>84</v>
      </c>
      <c r="B67" s="46">
        <v>14.2</v>
      </c>
      <c r="C67" s="46">
        <v>14.2</v>
      </c>
      <c r="D67" s="4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10.1</v>
      </c>
      <c r="N67" s="76">
        <v>10.1</v>
      </c>
      <c r="O67" s="76">
        <v>13</v>
      </c>
      <c r="P67" s="76">
        <v>13</v>
      </c>
      <c r="Q67" s="76">
        <v>15</v>
      </c>
      <c r="R67" s="76">
        <v>14.6</v>
      </c>
      <c r="S67" s="76">
        <v>14.6</v>
      </c>
      <c r="T67" s="76">
        <v>28.2</v>
      </c>
      <c r="U67" s="76">
        <v>27.6</v>
      </c>
      <c r="V67" s="76">
        <v>27.6</v>
      </c>
      <c r="W67" s="76">
        <v>27.6</v>
      </c>
      <c r="X67" s="46">
        <v>0</v>
      </c>
      <c r="Y67" s="46">
        <v>0</v>
      </c>
      <c r="Z67" s="46">
        <v>10.3</v>
      </c>
      <c r="AA67" s="46">
        <v>10.199999999999999</v>
      </c>
      <c r="AB67" s="46">
        <v>14.5</v>
      </c>
      <c r="AC67" s="46">
        <v>14.5</v>
      </c>
      <c r="AD67" s="46">
        <v>14.5</v>
      </c>
      <c r="AE67" s="46">
        <v>14.4</v>
      </c>
      <c r="AF67" s="46">
        <v>14.4</v>
      </c>
      <c r="AG67" s="66">
        <v>30</v>
      </c>
      <c r="AH67" s="48">
        <f t="shared" si="8"/>
        <v>28.2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0.7</v>
      </c>
      <c r="J68" s="46">
        <v>2.1</v>
      </c>
      <c r="K68" s="46">
        <v>2.1</v>
      </c>
      <c r="L68" s="46">
        <v>2.1</v>
      </c>
      <c r="M68" s="76">
        <v>5.4</v>
      </c>
      <c r="N68" s="76">
        <v>5.4</v>
      </c>
      <c r="O68" s="76">
        <v>6.9</v>
      </c>
      <c r="P68" s="76">
        <v>6.8</v>
      </c>
      <c r="Q68" s="76">
        <v>7.3</v>
      </c>
      <c r="R68" s="76">
        <v>18.100000000000001</v>
      </c>
      <c r="S68" s="76">
        <v>12</v>
      </c>
      <c r="T68" s="76">
        <v>6.1</v>
      </c>
      <c r="U68" s="76">
        <v>6.1</v>
      </c>
      <c r="V68" s="76">
        <v>6.1</v>
      </c>
      <c r="W68" s="76">
        <v>6.1</v>
      </c>
      <c r="X68" s="46">
        <v>0.7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18.100000000000001</v>
      </c>
      <c r="AI68" s="49">
        <f t="shared" si="9"/>
        <v>0</v>
      </c>
      <c r="AK68" s="51"/>
      <c r="AY68" s="1" t="s">
        <v>86</v>
      </c>
      <c r="AZ68" s="82">
        <f>ROUND(C81,0)</f>
        <v>36</v>
      </c>
      <c r="BA68" s="81">
        <f t="shared" ref="BA68:BD72" si="25">D81</f>
        <v>20</v>
      </c>
      <c r="BB68" s="81">
        <f t="shared" si="25"/>
        <v>17.8</v>
      </c>
      <c r="BC68" s="81">
        <f t="shared" si="25"/>
        <v>16</v>
      </c>
      <c r="BD68" s="81">
        <f t="shared" si="25"/>
        <v>15.8</v>
      </c>
      <c r="BE68" s="82">
        <f>I81</f>
        <v>12</v>
      </c>
      <c r="BF68" s="82">
        <f>K81</f>
        <v>60</v>
      </c>
      <c r="BG68" s="82">
        <f t="shared" ref="BG68:BP72" si="26">M81</f>
        <v>47.2</v>
      </c>
      <c r="BH68" s="82">
        <f t="shared" si="26"/>
        <v>62.6</v>
      </c>
      <c r="BI68" s="82">
        <f t="shared" si="26"/>
        <v>63.6</v>
      </c>
      <c r="BJ68" s="82">
        <f t="shared" si="26"/>
        <v>58.6</v>
      </c>
      <c r="BK68" s="82">
        <f t="shared" si="26"/>
        <v>61.6</v>
      </c>
      <c r="BL68" s="82">
        <f t="shared" si="26"/>
        <v>75.8</v>
      </c>
      <c r="BM68" s="82">
        <f t="shared" si="26"/>
        <v>71</v>
      </c>
      <c r="BN68" s="82">
        <f t="shared" si="26"/>
        <v>53.9</v>
      </c>
      <c r="BO68" s="82">
        <f t="shared" si="26"/>
        <v>57.1</v>
      </c>
      <c r="BP68" s="82">
        <f t="shared" si="26"/>
        <v>62</v>
      </c>
      <c r="BQ68" s="82">
        <f>X81</f>
        <v>62.4</v>
      </c>
      <c r="BR68" s="82">
        <f>Z81</f>
        <v>15</v>
      </c>
      <c r="BS68" s="81">
        <f>AB81</f>
        <v>21</v>
      </c>
      <c r="BT68" s="81">
        <f t="shared" ref="BT68:BV72" si="27">AD81</f>
        <v>27.2</v>
      </c>
      <c r="BU68" s="81">
        <f t="shared" si="27"/>
        <v>27.2</v>
      </c>
      <c r="BV68" s="81">
        <f t="shared" si="27"/>
        <v>27.2</v>
      </c>
      <c r="BW68" s="81">
        <f>B81</f>
        <v>33</v>
      </c>
    </row>
    <row r="69" spans="1:75" x14ac:dyDescent="0.25">
      <c r="A69" s="65" t="s">
        <v>87</v>
      </c>
      <c r="B69" s="76">
        <v>12.5</v>
      </c>
      <c r="C69" s="76">
        <v>12.5</v>
      </c>
      <c r="D69" s="76">
        <v>12.5</v>
      </c>
      <c r="E69" s="76">
        <v>3.2</v>
      </c>
      <c r="F69" s="76">
        <v>3.2</v>
      </c>
      <c r="G69" s="76">
        <v>3.2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66">
        <v>24</v>
      </c>
      <c r="AH69" s="48">
        <f t="shared" si="8"/>
        <v>12.5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25"/>
        <v>0</v>
      </c>
      <c r="BB69" s="81">
        <f t="shared" si="25"/>
        <v>0</v>
      </c>
      <c r="BC69" s="81">
        <f t="shared" si="25"/>
        <v>0</v>
      </c>
      <c r="BD69" s="81">
        <f t="shared" si="25"/>
        <v>0</v>
      </c>
      <c r="BE69" s="82">
        <f>I82</f>
        <v>0</v>
      </c>
      <c r="BF69" s="82">
        <f>K82</f>
        <v>64</v>
      </c>
      <c r="BG69" s="82">
        <f t="shared" si="26"/>
        <v>75.3</v>
      </c>
      <c r="BH69" s="82">
        <f t="shared" si="26"/>
        <v>80.2</v>
      </c>
      <c r="BI69" s="82">
        <f t="shared" si="26"/>
        <v>83.5</v>
      </c>
      <c r="BJ69" s="82">
        <f t="shared" si="26"/>
        <v>60.2</v>
      </c>
      <c r="BK69" s="82">
        <f t="shared" si="26"/>
        <v>52.8</v>
      </c>
      <c r="BL69" s="82">
        <f t="shared" si="26"/>
        <v>41.7</v>
      </c>
      <c r="BM69" s="82">
        <f t="shared" si="26"/>
        <v>61</v>
      </c>
      <c r="BN69" s="82">
        <f t="shared" si="26"/>
        <v>79.599999999999994</v>
      </c>
      <c r="BO69" s="82">
        <f t="shared" si="26"/>
        <v>89.7</v>
      </c>
      <c r="BP69" s="82">
        <f t="shared" si="26"/>
        <v>67</v>
      </c>
      <c r="BQ69" s="82">
        <f>X82</f>
        <v>64.5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1</v>
      </c>
      <c r="AE70" s="76">
        <v>1</v>
      </c>
      <c r="AF70" s="76">
        <v>1</v>
      </c>
      <c r="AG70" s="66">
        <v>15</v>
      </c>
      <c r="AH70" s="48">
        <f t="shared" si="8"/>
        <v>1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25"/>
        <v>0</v>
      </c>
      <c r="BB70" s="81">
        <f t="shared" si="25"/>
        <v>2.2999999999999998</v>
      </c>
      <c r="BC70" s="81">
        <f t="shared" si="25"/>
        <v>12</v>
      </c>
      <c r="BD70" s="81">
        <f t="shared" si="25"/>
        <v>-6</v>
      </c>
      <c r="BE70" s="82">
        <f>I83</f>
        <v>21</v>
      </c>
      <c r="BF70" s="82">
        <f>K83</f>
        <v>199.8</v>
      </c>
      <c r="BG70" s="82">
        <f t="shared" si="26"/>
        <v>235.2</v>
      </c>
      <c r="BH70" s="82">
        <f t="shared" si="26"/>
        <v>264.2</v>
      </c>
      <c r="BI70" s="82">
        <f t="shared" si="26"/>
        <v>258.7</v>
      </c>
      <c r="BJ70" s="82">
        <f t="shared" si="26"/>
        <v>289.60000000000002</v>
      </c>
      <c r="BK70" s="82">
        <f t="shared" si="26"/>
        <v>256.89999999999998</v>
      </c>
      <c r="BL70" s="82">
        <f t="shared" si="26"/>
        <v>236</v>
      </c>
      <c r="BM70" s="82">
        <f t="shared" si="26"/>
        <v>292</v>
      </c>
      <c r="BN70" s="82">
        <f t="shared" si="26"/>
        <v>264</v>
      </c>
      <c r="BO70" s="82">
        <f t="shared" si="26"/>
        <v>250</v>
      </c>
      <c r="BP70" s="82">
        <f t="shared" si="26"/>
        <v>252</v>
      </c>
      <c r="BQ70" s="82">
        <f>X83</f>
        <v>219.8</v>
      </c>
      <c r="BR70" s="82">
        <f>Z83</f>
        <v>44.7</v>
      </c>
      <c r="BS70" s="81">
        <f>AB83</f>
        <v>43.6</v>
      </c>
      <c r="BT70" s="81">
        <f t="shared" si="27"/>
        <v>55.5</v>
      </c>
      <c r="BU70" s="81">
        <f t="shared" si="27"/>
        <v>57.7</v>
      </c>
      <c r="BV70" s="81">
        <f t="shared" si="27"/>
        <v>57.7</v>
      </c>
      <c r="BW70" s="81">
        <f>B83</f>
        <v>0</v>
      </c>
    </row>
    <row r="71" spans="1:75" s="83" customFormat="1" x14ac:dyDescent="0.25">
      <c r="A71" s="65" t="s">
        <v>91</v>
      </c>
      <c r="B71" s="76">
        <v>10.199999999999999</v>
      </c>
      <c r="C71" s="76">
        <v>10.199999999999999</v>
      </c>
      <c r="D71" s="76">
        <v>10.199999999999999</v>
      </c>
      <c r="E71" s="76">
        <v>10</v>
      </c>
      <c r="F71" s="76">
        <v>10</v>
      </c>
      <c r="G71" s="76">
        <v>10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14.1</v>
      </c>
      <c r="AH71" s="48">
        <f t="shared" si="8"/>
        <v>10.199999999999999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5"/>
        <v>0</v>
      </c>
      <c r="BB71" s="81">
        <f t="shared" si="25"/>
        <v>0</v>
      </c>
      <c r="BC71" s="81">
        <f t="shared" si="25"/>
        <v>0</v>
      </c>
      <c r="BD71" s="81">
        <f t="shared" si="25"/>
        <v>0</v>
      </c>
      <c r="BE71" s="82">
        <f>I84</f>
        <v>0</v>
      </c>
      <c r="BF71" s="82">
        <f>K84</f>
        <v>12.5</v>
      </c>
      <c r="BG71" s="82">
        <f t="shared" si="26"/>
        <v>30.9</v>
      </c>
      <c r="BH71" s="82">
        <f t="shared" si="26"/>
        <v>44</v>
      </c>
      <c r="BI71" s="82">
        <f t="shared" si="26"/>
        <v>47.7</v>
      </c>
      <c r="BJ71" s="82">
        <f t="shared" si="26"/>
        <v>46</v>
      </c>
      <c r="BK71" s="82">
        <f t="shared" si="26"/>
        <v>43.1</v>
      </c>
      <c r="BL71" s="82">
        <f t="shared" si="26"/>
        <v>41</v>
      </c>
      <c r="BM71" s="82">
        <f t="shared" si="26"/>
        <v>42</v>
      </c>
      <c r="BN71" s="82">
        <f t="shared" si="26"/>
        <v>42.8</v>
      </c>
      <c r="BO71" s="82">
        <f t="shared" si="26"/>
        <v>44.9</v>
      </c>
      <c r="BP71" s="82">
        <f t="shared" si="26"/>
        <v>46</v>
      </c>
      <c r="BQ71" s="82">
        <f>X84</f>
        <v>35.299999999999997</v>
      </c>
      <c r="BR71" s="82">
        <f>Z84</f>
        <v>36.299999999999997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6.2</v>
      </c>
      <c r="C72" s="76">
        <v>6.2</v>
      </c>
      <c r="D72" s="76">
        <v>6.2</v>
      </c>
      <c r="E72" s="76">
        <v>10.9</v>
      </c>
      <c r="F72" s="76">
        <v>10.9</v>
      </c>
      <c r="G72" s="76">
        <v>10.9</v>
      </c>
      <c r="H72" s="76">
        <v>8.1</v>
      </c>
      <c r="I72" s="76">
        <v>8.5</v>
      </c>
      <c r="J72" s="76">
        <v>8.1</v>
      </c>
      <c r="K72" s="76">
        <v>8.1</v>
      </c>
      <c r="L72" s="76">
        <v>8.1</v>
      </c>
      <c r="M72" s="76">
        <v>8.1</v>
      </c>
      <c r="N72" s="76">
        <v>8.1</v>
      </c>
      <c r="O72" s="76">
        <v>8.1</v>
      </c>
      <c r="P72" s="76">
        <v>8.1</v>
      </c>
      <c r="Q72" s="76">
        <v>8.1</v>
      </c>
      <c r="R72" s="76">
        <v>8.1</v>
      </c>
      <c r="S72" s="76">
        <v>8.1</v>
      </c>
      <c r="T72" s="76">
        <v>8.1</v>
      </c>
      <c r="U72" s="76">
        <v>7.4</v>
      </c>
      <c r="V72" s="76">
        <v>7.4</v>
      </c>
      <c r="W72" s="76">
        <v>7.4</v>
      </c>
      <c r="X72" s="76">
        <v>7.4</v>
      </c>
      <c r="Y72" s="76">
        <v>7.5</v>
      </c>
      <c r="Z72" s="76">
        <v>7.5</v>
      </c>
      <c r="AA72" s="76">
        <v>8.6999999999999993</v>
      </c>
      <c r="AB72" s="76">
        <v>8.6999999999999993</v>
      </c>
      <c r="AC72" s="76">
        <v>8.6999999999999993</v>
      </c>
      <c r="AD72" s="76">
        <v>8.6999999999999993</v>
      </c>
      <c r="AE72" s="76">
        <v>8.6999999999999993</v>
      </c>
      <c r="AF72" s="76">
        <v>8.6999999999999993</v>
      </c>
      <c r="AG72" s="66">
        <v>14</v>
      </c>
      <c r="AH72" s="48">
        <f t="shared" si="8"/>
        <v>10.9</v>
      </c>
      <c r="AI72" s="49">
        <f t="shared" si="9"/>
        <v>6.2</v>
      </c>
      <c r="AK72" s="51"/>
      <c r="AY72" s="1" t="s">
        <v>94</v>
      </c>
      <c r="AZ72" s="82">
        <f>ROUND(C85,0)</f>
        <v>0</v>
      </c>
      <c r="BA72" s="81">
        <f t="shared" si="25"/>
        <v>0</v>
      </c>
      <c r="BB72" s="81">
        <f t="shared" si="25"/>
        <v>0</v>
      </c>
      <c r="BC72" s="81">
        <f t="shared" si="25"/>
        <v>0</v>
      </c>
      <c r="BD72" s="81">
        <f t="shared" si="25"/>
        <v>0</v>
      </c>
      <c r="BE72" s="82">
        <f>I85</f>
        <v>0</v>
      </c>
      <c r="BF72" s="82">
        <f>K85</f>
        <v>138.5</v>
      </c>
      <c r="BG72" s="82">
        <f t="shared" si="26"/>
        <v>119.1</v>
      </c>
      <c r="BH72" s="82">
        <f t="shared" si="26"/>
        <v>134</v>
      </c>
      <c r="BI72" s="82">
        <f t="shared" si="26"/>
        <v>132.1</v>
      </c>
      <c r="BJ72" s="82">
        <f t="shared" si="26"/>
        <v>142</v>
      </c>
      <c r="BK72" s="82">
        <f t="shared" si="26"/>
        <v>142.6</v>
      </c>
      <c r="BL72" s="82">
        <f t="shared" si="26"/>
        <v>127.2</v>
      </c>
      <c r="BM72" s="82">
        <f t="shared" si="26"/>
        <v>129</v>
      </c>
      <c r="BN72" s="82">
        <f t="shared" si="26"/>
        <v>128.9</v>
      </c>
      <c r="BO72" s="82">
        <f t="shared" si="26"/>
        <v>129.69999999999999</v>
      </c>
      <c r="BP72" s="82">
        <f t="shared" si="26"/>
        <v>124</v>
      </c>
      <c r="BQ72" s="82">
        <f>X85</f>
        <v>95.3</v>
      </c>
      <c r="BR72" s="82">
        <f>Z85</f>
        <v>81.599999999999994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4.5999999999999996</v>
      </c>
      <c r="F73" s="76">
        <v>4.5999999999999996</v>
      </c>
      <c r="G73" s="76">
        <v>4.5999999999999996</v>
      </c>
      <c r="H73" s="76">
        <v>4.5999999999999996</v>
      </c>
      <c r="I73" s="76">
        <v>4.5999999999999996</v>
      </c>
      <c r="J73" s="76">
        <v>4.5999999999999996</v>
      </c>
      <c r="K73" s="76">
        <v>4.5999999999999996</v>
      </c>
      <c r="L73" s="76">
        <v>4.5999999999999996</v>
      </c>
      <c r="M73" s="76">
        <v>4.5999999999999996</v>
      </c>
      <c r="N73" s="76">
        <v>4.5999999999999996</v>
      </c>
      <c r="O73" s="76">
        <v>4.5999999999999996</v>
      </c>
      <c r="P73" s="76">
        <v>4.5999999999999996</v>
      </c>
      <c r="Q73" s="76">
        <v>4.5999999999999996</v>
      </c>
      <c r="R73" s="76">
        <v>4.5999999999999996</v>
      </c>
      <c r="S73" s="76">
        <v>4.5999999999999996</v>
      </c>
      <c r="T73" s="76">
        <v>5</v>
      </c>
      <c r="U73" s="76">
        <v>4.5999999999999996</v>
      </c>
      <c r="V73" s="76">
        <v>4.5999999999999996</v>
      </c>
      <c r="W73" s="76">
        <v>4.5999999999999996</v>
      </c>
      <c r="X73" s="76">
        <v>4.2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5</v>
      </c>
      <c r="AI73" s="49">
        <f t="shared" si="9"/>
        <v>4.2</v>
      </c>
      <c r="AK73" s="51"/>
      <c r="AY73" s="1" t="s">
        <v>96</v>
      </c>
      <c r="AZ73" s="82">
        <f>ROUND(C91,0)</f>
        <v>47</v>
      </c>
      <c r="BA73" s="82">
        <f>D91</f>
        <v>46.6</v>
      </c>
      <c r="BB73" s="82">
        <f>E91</f>
        <v>46</v>
      </c>
      <c r="BC73" s="82">
        <f>F91</f>
        <v>42.8</v>
      </c>
      <c r="BD73" s="82">
        <f>G91</f>
        <v>42.9</v>
      </c>
      <c r="BE73" s="82">
        <f>I91</f>
        <v>43.5</v>
      </c>
      <c r="BF73" s="82">
        <f>K91</f>
        <v>0</v>
      </c>
      <c r="BG73" s="82">
        <f t="shared" ref="BG73:BP73" si="28">M91</f>
        <v>0</v>
      </c>
      <c r="BH73" s="82">
        <f t="shared" si="28"/>
        <v>0</v>
      </c>
      <c r="BI73" s="82">
        <f t="shared" si="28"/>
        <v>0</v>
      </c>
      <c r="BJ73" s="82">
        <f t="shared" si="28"/>
        <v>0</v>
      </c>
      <c r="BK73" s="82">
        <f t="shared" si="28"/>
        <v>0</v>
      </c>
      <c r="BL73" s="82">
        <f t="shared" si="28"/>
        <v>0</v>
      </c>
      <c r="BM73" s="82">
        <f t="shared" si="28"/>
        <v>0</v>
      </c>
      <c r="BN73" s="82">
        <f t="shared" si="28"/>
        <v>0</v>
      </c>
      <c r="BO73" s="82">
        <f t="shared" si="28"/>
        <v>0</v>
      </c>
      <c r="BP73" s="82">
        <f t="shared" si="28"/>
        <v>0</v>
      </c>
      <c r="BQ73" s="82">
        <f>X91</f>
        <v>0</v>
      </c>
      <c r="BR73" s="82">
        <f>Z91</f>
        <v>47.7</v>
      </c>
      <c r="BS73" s="82">
        <f>AB91</f>
        <v>44.6</v>
      </c>
      <c r="BT73" s="82">
        <f>AD91</f>
        <v>45.3</v>
      </c>
      <c r="BU73" s="82">
        <f>AE91</f>
        <v>44.3</v>
      </c>
      <c r="BV73" s="82">
        <f>AF91</f>
        <v>44.3</v>
      </c>
      <c r="BW73" s="82">
        <f>B91</f>
        <v>47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9">VALUE(AZ68)</f>
        <v>36</v>
      </c>
      <c r="BA75" s="82">
        <f t="shared" si="29"/>
        <v>20</v>
      </c>
      <c r="BB75" s="82">
        <f t="shared" si="29"/>
        <v>17.8</v>
      </c>
      <c r="BC75" s="82">
        <f t="shared" si="29"/>
        <v>16</v>
      </c>
      <c r="BD75" s="82">
        <f t="shared" si="29"/>
        <v>15.8</v>
      </c>
      <c r="BE75" s="82">
        <f t="shared" si="29"/>
        <v>12</v>
      </c>
      <c r="BF75" s="82">
        <f t="shared" si="29"/>
        <v>60</v>
      </c>
      <c r="BG75" s="82">
        <f t="shared" si="29"/>
        <v>47.2</v>
      </c>
      <c r="BH75" s="82">
        <f t="shared" si="29"/>
        <v>62.6</v>
      </c>
      <c r="BI75" s="82">
        <f t="shared" si="29"/>
        <v>63.6</v>
      </c>
      <c r="BJ75" s="82">
        <f t="shared" si="29"/>
        <v>58.6</v>
      </c>
      <c r="BK75" s="82">
        <f t="shared" si="29"/>
        <v>61.6</v>
      </c>
      <c r="BL75" s="82">
        <f t="shared" si="29"/>
        <v>75.8</v>
      </c>
      <c r="BM75" s="82">
        <f t="shared" si="29"/>
        <v>71</v>
      </c>
      <c r="BN75" s="82">
        <f t="shared" si="29"/>
        <v>53.9</v>
      </c>
      <c r="BO75" s="82">
        <f t="shared" si="29"/>
        <v>57.1</v>
      </c>
      <c r="BP75" s="82">
        <f t="shared" si="29"/>
        <v>62</v>
      </c>
      <c r="BQ75" s="82">
        <f t="shared" si="29"/>
        <v>62.4</v>
      </c>
      <c r="BR75" s="82">
        <f t="shared" si="29"/>
        <v>15</v>
      </c>
      <c r="BS75" s="82">
        <f t="shared" si="29"/>
        <v>21</v>
      </c>
      <c r="BT75" s="82">
        <f t="shared" si="29"/>
        <v>27.2</v>
      </c>
      <c r="BU75" s="82">
        <f t="shared" si="29"/>
        <v>27.2</v>
      </c>
      <c r="BV75" s="82">
        <f t="shared" si="29"/>
        <v>27.2</v>
      </c>
      <c r="BW75" s="82">
        <f t="shared" si="29"/>
        <v>33</v>
      </c>
    </row>
    <row r="76" spans="1:75" ht="15.75" thickBot="1" x14ac:dyDescent="0.3">
      <c r="A76" s="87" t="s">
        <v>99</v>
      </c>
      <c r="B76" s="71">
        <f t="shared" ref="B76:AG76" si="30">SUM(B63:B75)</f>
        <v>304.33999999999997</v>
      </c>
      <c r="C76" s="71">
        <f t="shared" si="30"/>
        <v>304.33999999999997</v>
      </c>
      <c r="D76" s="71">
        <f t="shared" si="30"/>
        <v>281.14</v>
      </c>
      <c r="E76" s="71">
        <f t="shared" si="30"/>
        <v>283.64</v>
      </c>
      <c r="F76" s="71">
        <f t="shared" si="30"/>
        <v>273.64</v>
      </c>
      <c r="G76" s="71">
        <f t="shared" si="30"/>
        <v>263.64</v>
      </c>
      <c r="H76" s="71">
        <f t="shared" si="30"/>
        <v>250.23999999999998</v>
      </c>
      <c r="I76" s="71">
        <f t="shared" si="30"/>
        <v>287.64000000000004</v>
      </c>
      <c r="J76" s="71">
        <f t="shared" si="30"/>
        <v>288.04000000000013</v>
      </c>
      <c r="K76" s="71">
        <f t="shared" si="30"/>
        <v>296.34000000000009</v>
      </c>
      <c r="L76" s="71">
        <f t="shared" si="30"/>
        <v>296.34000000000009</v>
      </c>
      <c r="M76" s="71">
        <f t="shared" si="30"/>
        <v>309.54000000000008</v>
      </c>
      <c r="N76" s="71">
        <f t="shared" si="30"/>
        <v>320.24000000000007</v>
      </c>
      <c r="O76" s="71">
        <f t="shared" si="30"/>
        <v>324.34000000000003</v>
      </c>
      <c r="P76" s="71">
        <f t="shared" si="30"/>
        <v>316.94000000000005</v>
      </c>
      <c r="Q76" s="71">
        <f t="shared" si="30"/>
        <v>310.1400000000001</v>
      </c>
      <c r="R76" s="71">
        <f t="shared" si="30"/>
        <v>326.34000000000015</v>
      </c>
      <c r="S76" s="71">
        <f>SUM(S63:S75)</f>
        <v>320.24000000000012</v>
      </c>
      <c r="T76" s="71">
        <f t="shared" si="30"/>
        <v>339.74000000000007</v>
      </c>
      <c r="U76" s="71">
        <f t="shared" si="30"/>
        <v>338.94000000000005</v>
      </c>
      <c r="V76" s="71">
        <f>SUM(V63:V75)</f>
        <v>322.94000000000005</v>
      </c>
      <c r="W76" s="71">
        <f>SUM(W63:W75)</f>
        <v>322.94000000000005</v>
      </c>
      <c r="X76" s="71">
        <f t="shared" si="30"/>
        <v>289.73999999999995</v>
      </c>
      <c r="Y76" s="71">
        <f t="shared" si="30"/>
        <v>288.10000000000002</v>
      </c>
      <c r="Z76" s="71">
        <f t="shared" si="30"/>
        <v>318.8</v>
      </c>
      <c r="AA76" s="71">
        <f t="shared" si="30"/>
        <v>360.94</v>
      </c>
      <c r="AB76" s="71">
        <f>SUM(AB63:AB75)</f>
        <v>367.84000000000003</v>
      </c>
      <c r="AC76" s="71">
        <f>SUM(AC63:AC75)</f>
        <v>367.84000000000003</v>
      </c>
      <c r="AD76" s="71">
        <f>SUM(AD63:AD75)</f>
        <v>368.84000000000003</v>
      </c>
      <c r="AE76" s="71">
        <f>SUM(AE63:AE75)</f>
        <v>355.84</v>
      </c>
      <c r="AF76" s="71">
        <f>SUM(AF63:AF75)</f>
        <v>355.84</v>
      </c>
      <c r="AG76" s="72">
        <f t="shared" si="30"/>
        <v>489.91</v>
      </c>
      <c r="AH76" s="48">
        <f t="shared" si="8"/>
        <v>368.84000000000003</v>
      </c>
      <c r="AI76" s="49">
        <f t="shared" si="9"/>
        <v>250.23999999999998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64</v>
      </c>
      <c r="BG76" s="82">
        <f t="shared" si="29"/>
        <v>75.3</v>
      </c>
      <c r="BH76" s="82">
        <f t="shared" si="29"/>
        <v>80.2</v>
      </c>
      <c r="BI76" s="82">
        <f t="shared" si="29"/>
        <v>83.5</v>
      </c>
      <c r="BJ76" s="82">
        <f t="shared" si="29"/>
        <v>60.2</v>
      </c>
      <c r="BK76" s="82">
        <f t="shared" si="29"/>
        <v>52.8</v>
      </c>
      <c r="BL76" s="82">
        <f t="shared" si="29"/>
        <v>41.7</v>
      </c>
      <c r="BM76" s="82">
        <f t="shared" si="29"/>
        <v>61</v>
      </c>
      <c r="BN76" s="82">
        <f t="shared" si="29"/>
        <v>79.599999999999994</v>
      </c>
      <c r="BO76" s="82">
        <f t="shared" si="29"/>
        <v>89.7</v>
      </c>
      <c r="BP76" s="82">
        <f t="shared" si="29"/>
        <v>67</v>
      </c>
      <c r="BQ76" s="82">
        <f t="shared" si="29"/>
        <v>64.5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>
        <v>14</v>
      </c>
      <c r="T77" s="46">
        <v>13.6</v>
      </c>
      <c r="U77" s="46">
        <v>13.7</v>
      </c>
      <c r="V77" s="46">
        <v>13.7</v>
      </c>
      <c r="W77" s="46">
        <v>13.7</v>
      </c>
      <c r="X77" s="46">
        <v>13.6</v>
      </c>
      <c r="Y77" s="46">
        <v>13</v>
      </c>
      <c r="Z77" s="46">
        <v>13.6</v>
      </c>
      <c r="AA77" s="46">
        <v>59.5</v>
      </c>
      <c r="AB77" s="46">
        <v>59.5</v>
      </c>
      <c r="AC77" s="46">
        <v>59.5</v>
      </c>
      <c r="AD77" s="46">
        <v>59.5</v>
      </c>
      <c r="AE77" s="46">
        <v>59.5</v>
      </c>
      <c r="AF77" s="46">
        <v>59.5</v>
      </c>
      <c r="AG77" s="61">
        <v>60</v>
      </c>
      <c r="AH77" s="48">
        <f t="shared" si="8"/>
        <v>59.5</v>
      </c>
      <c r="AI77" s="49">
        <f t="shared" si="9"/>
        <v>13</v>
      </c>
      <c r="AK77" s="51"/>
      <c r="AZ77" s="82">
        <f t="shared" si="29"/>
        <v>0</v>
      </c>
      <c r="BA77" s="82">
        <f t="shared" si="29"/>
        <v>0</v>
      </c>
      <c r="BB77" s="82">
        <f t="shared" si="29"/>
        <v>2.2999999999999998</v>
      </c>
      <c r="BC77" s="82">
        <f t="shared" si="29"/>
        <v>12</v>
      </c>
      <c r="BD77" s="82">
        <f t="shared" si="29"/>
        <v>-6</v>
      </c>
      <c r="BE77" s="82">
        <f t="shared" si="29"/>
        <v>21</v>
      </c>
      <c r="BF77" s="82">
        <f t="shared" si="29"/>
        <v>199.8</v>
      </c>
      <c r="BG77" s="82">
        <f t="shared" si="29"/>
        <v>235.2</v>
      </c>
      <c r="BH77" s="82">
        <f t="shared" si="29"/>
        <v>264.2</v>
      </c>
      <c r="BI77" s="82">
        <f t="shared" si="29"/>
        <v>258.7</v>
      </c>
      <c r="BJ77" s="82">
        <f t="shared" si="29"/>
        <v>289.60000000000002</v>
      </c>
      <c r="BK77" s="82">
        <f t="shared" si="29"/>
        <v>256.89999999999998</v>
      </c>
      <c r="BL77" s="82">
        <f t="shared" si="29"/>
        <v>236</v>
      </c>
      <c r="BM77" s="82">
        <f t="shared" si="29"/>
        <v>292</v>
      </c>
      <c r="BN77" s="82">
        <f t="shared" si="29"/>
        <v>264</v>
      </c>
      <c r="BO77" s="82">
        <f t="shared" si="29"/>
        <v>250</v>
      </c>
      <c r="BP77" s="82">
        <f t="shared" si="29"/>
        <v>252</v>
      </c>
      <c r="BQ77" s="82">
        <f t="shared" si="29"/>
        <v>219.8</v>
      </c>
      <c r="BR77" s="82">
        <f t="shared" si="29"/>
        <v>44.7</v>
      </c>
      <c r="BS77" s="82">
        <f t="shared" si="29"/>
        <v>43.6</v>
      </c>
      <c r="BT77" s="82">
        <f t="shared" si="29"/>
        <v>55.5</v>
      </c>
      <c r="BU77" s="82">
        <f t="shared" si="29"/>
        <v>57.7</v>
      </c>
      <c r="BV77" s="82">
        <f t="shared" si="29"/>
        <v>57.7</v>
      </c>
      <c r="BW77" s="82">
        <f t="shared" si="29"/>
        <v>0</v>
      </c>
    </row>
    <row r="78" spans="1:75" x14ac:dyDescent="0.25">
      <c r="A78" s="65" t="s">
        <v>101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>
        <v>5</v>
      </c>
      <c r="T78" s="76">
        <v>5.2</v>
      </c>
      <c r="U78" s="76">
        <v>4.5999999999999996</v>
      </c>
      <c r="V78" s="76">
        <v>4.5999999999999996</v>
      </c>
      <c r="W78" s="76">
        <v>4.5999999999999996</v>
      </c>
      <c r="X78" s="76">
        <v>4.5999999999999996</v>
      </c>
      <c r="Y78" s="76">
        <v>5.5</v>
      </c>
      <c r="Z78" s="76">
        <v>6</v>
      </c>
      <c r="AA78" s="76">
        <v>27.9</v>
      </c>
      <c r="AB78" s="76">
        <v>27.9</v>
      </c>
      <c r="AC78" s="76">
        <v>27.9</v>
      </c>
      <c r="AD78" s="76">
        <v>27.9</v>
      </c>
      <c r="AE78" s="76">
        <v>27.9</v>
      </c>
      <c r="AF78" s="76">
        <v>27.9</v>
      </c>
      <c r="AG78" s="66">
        <v>32</v>
      </c>
      <c r="AH78" s="48">
        <f t="shared" si="8"/>
        <v>27.9</v>
      </c>
      <c r="AI78" s="49">
        <f t="shared" si="9"/>
        <v>4.5999999999999996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12.5</v>
      </c>
      <c r="BG78" s="82">
        <f t="shared" si="29"/>
        <v>30.9</v>
      </c>
      <c r="BH78" s="82">
        <f t="shared" si="29"/>
        <v>44</v>
      </c>
      <c r="BI78" s="82">
        <f t="shared" si="29"/>
        <v>47.7</v>
      </c>
      <c r="BJ78" s="82">
        <f t="shared" si="29"/>
        <v>46</v>
      </c>
      <c r="BK78" s="82">
        <f t="shared" si="29"/>
        <v>43.1</v>
      </c>
      <c r="BL78" s="82">
        <f t="shared" si="29"/>
        <v>41</v>
      </c>
      <c r="BM78" s="82">
        <f t="shared" si="29"/>
        <v>42</v>
      </c>
      <c r="BN78" s="82">
        <f t="shared" si="29"/>
        <v>42.8</v>
      </c>
      <c r="BO78" s="82">
        <f t="shared" si="29"/>
        <v>44.9</v>
      </c>
      <c r="BP78" s="82">
        <f t="shared" si="29"/>
        <v>46</v>
      </c>
      <c r="BQ78" s="82">
        <f t="shared" si="29"/>
        <v>35.299999999999997</v>
      </c>
      <c r="BR78" s="82">
        <f t="shared" si="29"/>
        <v>36.299999999999997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>
        <v>2</v>
      </c>
      <c r="T79" s="78">
        <v>1.9</v>
      </c>
      <c r="U79" s="78">
        <v>1.7</v>
      </c>
      <c r="V79" s="78">
        <v>1.7</v>
      </c>
      <c r="W79" s="78">
        <v>1.7</v>
      </c>
      <c r="X79" s="78">
        <v>1.7</v>
      </c>
      <c r="Y79" s="78">
        <v>2</v>
      </c>
      <c r="Z79" s="78">
        <v>2.2000000000000002</v>
      </c>
      <c r="AA79" s="78">
        <v>10.199999999999999</v>
      </c>
      <c r="AB79" s="78">
        <v>10.199999999999999</v>
      </c>
      <c r="AC79" s="78">
        <v>10.199999999999999</v>
      </c>
      <c r="AD79" s="78">
        <v>10.199999999999999</v>
      </c>
      <c r="AE79" s="78">
        <v>10.199999999999999</v>
      </c>
      <c r="AF79" s="78">
        <v>10.199999999999999</v>
      </c>
      <c r="AG79" s="79">
        <v>14</v>
      </c>
      <c r="AH79" s="48">
        <f t="shared" si="8"/>
        <v>10.199999999999999</v>
      </c>
      <c r="AI79" s="49">
        <f t="shared" si="9"/>
        <v>1.7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138.5</v>
      </c>
      <c r="BG79" s="82">
        <f t="shared" si="29"/>
        <v>119.1</v>
      </c>
      <c r="BH79" s="82">
        <f t="shared" si="29"/>
        <v>134</v>
      </c>
      <c r="BI79" s="82">
        <f t="shared" si="29"/>
        <v>132.1</v>
      </c>
      <c r="BJ79" s="82">
        <f t="shared" si="29"/>
        <v>142</v>
      </c>
      <c r="BK79" s="82">
        <f t="shared" si="29"/>
        <v>142.6</v>
      </c>
      <c r="BL79" s="82">
        <f t="shared" si="29"/>
        <v>127.2</v>
      </c>
      <c r="BM79" s="82">
        <f t="shared" si="29"/>
        <v>129</v>
      </c>
      <c r="BN79" s="82">
        <f t="shared" si="29"/>
        <v>128.9</v>
      </c>
      <c r="BO79" s="82">
        <f t="shared" si="29"/>
        <v>129.69999999999999</v>
      </c>
      <c r="BP79" s="82">
        <f t="shared" si="29"/>
        <v>124</v>
      </c>
      <c r="BQ79" s="82">
        <f t="shared" si="29"/>
        <v>95.3</v>
      </c>
      <c r="BR79" s="82">
        <f t="shared" si="29"/>
        <v>81.599999999999994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 t="shared" ref="B80:AA80" si="31">B77+B78+B79</f>
        <v>0</v>
      </c>
      <c r="C80" s="71">
        <f t="shared" si="31"/>
        <v>0</v>
      </c>
      <c r="D80" s="71">
        <f t="shared" si="31"/>
        <v>0</v>
      </c>
      <c r="E80" s="71">
        <f t="shared" si="31"/>
        <v>0</v>
      </c>
      <c r="F80" s="71">
        <f t="shared" si="31"/>
        <v>0</v>
      </c>
      <c r="G80" s="71">
        <f t="shared" si="31"/>
        <v>0</v>
      </c>
      <c r="H80" s="71">
        <f t="shared" si="31"/>
        <v>0</v>
      </c>
      <c r="I80" s="71">
        <f t="shared" si="31"/>
        <v>0</v>
      </c>
      <c r="J80" s="71">
        <f t="shared" si="31"/>
        <v>0</v>
      </c>
      <c r="K80" s="71">
        <f t="shared" si="31"/>
        <v>0</v>
      </c>
      <c r="L80" s="71">
        <f t="shared" si="31"/>
        <v>0</v>
      </c>
      <c r="M80" s="71">
        <f t="shared" si="31"/>
        <v>0</v>
      </c>
      <c r="N80" s="71">
        <f t="shared" si="31"/>
        <v>0</v>
      </c>
      <c r="O80" s="71">
        <f t="shared" si="31"/>
        <v>0</v>
      </c>
      <c r="P80" s="71">
        <f t="shared" si="31"/>
        <v>0</v>
      </c>
      <c r="Q80" s="71">
        <f t="shared" si="31"/>
        <v>0</v>
      </c>
      <c r="R80" s="71">
        <f t="shared" si="31"/>
        <v>0</v>
      </c>
      <c r="S80" s="71">
        <f>S77+S78+S79</f>
        <v>21</v>
      </c>
      <c r="T80" s="71">
        <f t="shared" si="31"/>
        <v>20.7</v>
      </c>
      <c r="U80" s="71">
        <f t="shared" si="31"/>
        <v>19.999999999999996</v>
      </c>
      <c r="V80" s="71">
        <f>V77+V78+V79</f>
        <v>19.999999999999996</v>
      </c>
      <c r="W80" s="71">
        <f>W77+W78+W79</f>
        <v>19.999999999999996</v>
      </c>
      <c r="X80" s="71">
        <f t="shared" si="31"/>
        <v>19.899999999999999</v>
      </c>
      <c r="Y80" s="71">
        <f t="shared" si="31"/>
        <v>20.5</v>
      </c>
      <c r="Z80" s="71">
        <f t="shared" si="31"/>
        <v>21.8</v>
      </c>
      <c r="AA80" s="71">
        <f t="shared" si="31"/>
        <v>97.600000000000009</v>
      </c>
      <c r="AB80" s="71">
        <f>AB77+AB78+AB79</f>
        <v>97.600000000000009</v>
      </c>
      <c r="AC80" s="71">
        <f>AC77+AC78+AC79</f>
        <v>97.600000000000009</v>
      </c>
      <c r="AD80" s="71">
        <f>AD77+AD78+AD79</f>
        <v>97.600000000000009</v>
      </c>
      <c r="AE80" s="71">
        <f>AE77+AE78+AE79</f>
        <v>97.600000000000009</v>
      </c>
      <c r="AF80" s="71">
        <f>AF77+AF78+AF79</f>
        <v>97.600000000000009</v>
      </c>
      <c r="AG80" s="72">
        <f>SUM(AG77:AG79)</f>
        <v>106</v>
      </c>
      <c r="AH80" s="48">
        <f t="shared" si="8"/>
        <v>97.600000000000009</v>
      </c>
      <c r="AI80" s="49">
        <f t="shared" si="9"/>
        <v>0</v>
      </c>
      <c r="AK80" s="51"/>
      <c r="AZ80" s="82">
        <f t="shared" si="29"/>
        <v>47</v>
      </c>
      <c r="BA80" s="82">
        <f t="shared" si="29"/>
        <v>46.6</v>
      </c>
      <c r="BB80" s="82">
        <f t="shared" si="29"/>
        <v>46</v>
      </c>
      <c r="BC80" s="82">
        <f t="shared" si="29"/>
        <v>42.8</v>
      </c>
      <c r="BD80" s="82">
        <f t="shared" si="29"/>
        <v>42.9</v>
      </c>
      <c r="BE80" s="82">
        <f t="shared" si="29"/>
        <v>43.5</v>
      </c>
      <c r="BF80" s="82">
        <f t="shared" si="29"/>
        <v>0</v>
      </c>
      <c r="BG80" s="82">
        <f t="shared" si="29"/>
        <v>0</v>
      </c>
      <c r="BH80" s="82">
        <f t="shared" si="29"/>
        <v>0</v>
      </c>
      <c r="BI80" s="82">
        <f t="shared" si="29"/>
        <v>0</v>
      </c>
      <c r="BJ80" s="82">
        <f t="shared" si="29"/>
        <v>0</v>
      </c>
      <c r="BK80" s="82">
        <f t="shared" si="29"/>
        <v>0</v>
      </c>
      <c r="BL80" s="82">
        <f t="shared" si="29"/>
        <v>0</v>
      </c>
      <c r="BM80" s="82">
        <f t="shared" si="29"/>
        <v>0</v>
      </c>
      <c r="BN80" s="82">
        <f t="shared" si="29"/>
        <v>0</v>
      </c>
      <c r="BO80" s="82">
        <f t="shared" si="29"/>
        <v>0</v>
      </c>
      <c r="BP80" s="82">
        <f t="shared" si="29"/>
        <v>0</v>
      </c>
      <c r="BQ80" s="82">
        <f t="shared" si="29"/>
        <v>0</v>
      </c>
      <c r="BR80" s="82">
        <f t="shared" si="29"/>
        <v>47.7</v>
      </c>
      <c r="BS80" s="82">
        <f t="shared" si="29"/>
        <v>44.6</v>
      </c>
      <c r="BT80" s="82">
        <f t="shared" si="29"/>
        <v>45.3</v>
      </c>
      <c r="BU80" s="82">
        <f t="shared" si="29"/>
        <v>44.3</v>
      </c>
      <c r="BV80" s="82">
        <f t="shared" si="29"/>
        <v>44.3</v>
      </c>
      <c r="BW80" s="82">
        <f t="shared" si="29"/>
        <v>47</v>
      </c>
    </row>
    <row r="81" spans="1:64" x14ac:dyDescent="0.25">
      <c r="A81" s="45" t="s">
        <v>104</v>
      </c>
      <c r="B81" s="46">
        <v>33</v>
      </c>
      <c r="C81" s="46">
        <v>36</v>
      </c>
      <c r="D81" s="46">
        <v>20</v>
      </c>
      <c r="E81" s="46">
        <v>17.8</v>
      </c>
      <c r="F81" s="46">
        <v>16</v>
      </c>
      <c r="G81" s="46">
        <v>15.8</v>
      </c>
      <c r="H81" s="46">
        <v>13</v>
      </c>
      <c r="I81" s="46">
        <v>12</v>
      </c>
      <c r="J81" s="46">
        <v>52</v>
      </c>
      <c r="K81" s="46">
        <v>60</v>
      </c>
      <c r="L81" s="46">
        <v>59.5</v>
      </c>
      <c r="M81" s="46">
        <v>47.2</v>
      </c>
      <c r="N81" s="46">
        <v>62.6</v>
      </c>
      <c r="O81" s="46">
        <v>63.6</v>
      </c>
      <c r="P81" s="46">
        <v>58.6</v>
      </c>
      <c r="Q81" s="46">
        <v>61.6</v>
      </c>
      <c r="R81" s="46">
        <v>75.8</v>
      </c>
      <c r="S81" s="46">
        <v>71</v>
      </c>
      <c r="T81" s="46">
        <v>53.9</v>
      </c>
      <c r="U81" s="46">
        <v>57.1</v>
      </c>
      <c r="V81" s="46">
        <v>62</v>
      </c>
      <c r="W81" s="46">
        <v>69</v>
      </c>
      <c r="X81" s="46">
        <v>62.4</v>
      </c>
      <c r="Y81" s="46">
        <v>19.100000000000001</v>
      </c>
      <c r="Z81" s="46">
        <v>15</v>
      </c>
      <c r="AA81" s="46">
        <v>24.3</v>
      </c>
      <c r="AB81" s="46">
        <v>21</v>
      </c>
      <c r="AC81" s="46">
        <v>21</v>
      </c>
      <c r="AD81" s="46">
        <v>27.2</v>
      </c>
      <c r="AE81" s="46">
        <v>27.2</v>
      </c>
      <c r="AF81" s="46">
        <v>27.2</v>
      </c>
      <c r="AG81" s="61"/>
      <c r="AH81" s="48">
        <f t="shared" si="8"/>
        <v>75.8</v>
      </c>
      <c r="AI81" s="49">
        <f t="shared" si="9"/>
        <v>12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>
        <v>64</v>
      </c>
      <c r="L82" s="76">
        <v>76</v>
      </c>
      <c r="M82" s="76">
        <v>75.3</v>
      </c>
      <c r="N82" s="76">
        <v>80.2</v>
      </c>
      <c r="O82" s="76">
        <v>83.5</v>
      </c>
      <c r="P82" s="76">
        <v>60.2</v>
      </c>
      <c r="Q82" s="76">
        <v>52.8</v>
      </c>
      <c r="R82" s="76">
        <v>41.7</v>
      </c>
      <c r="S82" s="76">
        <v>61</v>
      </c>
      <c r="T82" s="76">
        <v>79.599999999999994</v>
      </c>
      <c r="U82" s="76">
        <v>89.7</v>
      </c>
      <c r="V82" s="76">
        <v>67</v>
      </c>
      <c r="W82" s="76">
        <v>67</v>
      </c>
      <c r="X82" s="76">
        <v>64.5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32">MAX(B82:AF82)</f>
        <v>89.7</v>
      </c>
      <c r="AI82" s="49">
        <f t="shared" ref="AI82:AI125" si="33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0</v>
      </c>
      <c r="D83" s="76">
        <v>0</v>
      </c>
      <c r="E83" s="76">
        <v>2.2999999999999998</v>
      </c>
      <c r="F83" s="76">
        <v>12</v>
      </c>
      <c r="G83" s="76">
        <v>-6</v>
      </c>
      <c r="H83" s="76">
        <v>12</v>
      </c>
      <c r="I83" s="76">
        <v>21</v>
      </c>
      <c r="J83" s="76">
        <v>193</v>
      </c>
      <c r="K83" s="76">
        <v>199.8</v>
      </c>
      <c r="L83" s="76">
        <v>232</v>
      </c>
      <c r="M83" s="76">
        <v>235.2</v>
      </c>
      <c r="N83" s="76">
        <v>264.2</v>
      </c>
      <c r="O83" s="76">
        <v>258.7</v>
      </c>
      <c r="P83" s="76">
        <v>289.60000000000002</v>
      </c>
      <c r="Q83" s="76">
        <v>256.89999999999998</v>
      </c>
      <c r="R83" s="76">
        <v>236</v>
      </c>
      <c r="S83" s="76">
        <v>292</v>
      </c>
      <c r="T83" s="76">
        <v>264</v>
      </c>
      <c r="U83" s="76">
        <v>250</v>
      </c>
      <c r="V83" s="76">
        <v>252</v>
      </c>
      <c r="W83" s="76">
        <v>254</v>
      </c>
      <c r="X83" s="76">
        <v>219.8</v>
      </c>
      <c r="Y83" s="76">
        <v>107</v>
      </c>
      <c r="Z83" s="76">
        <v>44.7</v>
      </c>
      <c r="AA83" s="76">
        <v>67.900000000000006</v>
      </c>
      <c r="AB83" s="76">
        <v>43.6</v>
      </c>
      <c r="AC83" s="76">
        <v>43.6</v>
      </c>
      <c r="AD83" s="76">
        <v>55.5</v>
      </c>
      <c r="AE83" s="76">
        <v>57.7</v>
      </c>
      <c r="AF83" s="76">
        <v>57.7</v>
      </c>
      <c r="AG83" s="88"/>
      <c r="AH83" s="48">
        <f t="shared" si="32"/>
        <v>292</v>
      </c>
      <c r="AI83" s="49">
        <f t="shared" si="33"/>
        <v>-6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/>
      <c r="C84" s="76"/>
      <c r="D84" s="76"/>
      <c r="E84" s="89"/>
      <c r="F84" s="89"/>
      <c r="G84" s="89"/>
      <c r="H84" s="89"/>
      <c r="I84" s="89"/>
      <c r="J84" s="89">
        <v>9</v>
      </c>
      <c r="K84" s="89">
        <v>12.5</v>
      </c>
      <c r="L84" s="89">
        <v>11.4</v>
      </c>
      <c r="M84" s="89">
        <v>30.9</v>
      </c>
      <c r="N84" s="89">
        <v>44</v>
      </c>
      <c r="O84" s="89">
        <v>47.7</v>
      </c>
      <c r="P84" s="89">
        <v>46</v>
      </c>
      <c r="Q84" s="89">
        <v>43.1</v>
      </c>
      <c r="R84" s="89">
        <v>41</v>
      </c>
      <c r="S84" s="89">
        <v>42</v>
      </c>
      <c r="T84" s="89">
        <v>42.8</v>
      </c>
      <c r="U84" s="89">
        <v>44.9</v>
      </c>
      <c r="V84" s="89">
        <v>46</v>
      </c>
      <c r="W84" s="89">
        <v>43</v>
      </c>
      <c r="X84" s="89">
        <v>35.299999999999997</v>
      </c>
      <c r="Y84" s="89">
        <v>37</v>
      </c>
      <c r="Z84" s="89">
        <v>36.299999999999997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8"/>
      <c r="AH84" s="48">
        <f t="shared" si="32"/>
        <v>47.7</v>
      </c>
      <c r="AI84" s="49">
        <f t="shared" si="33"/>
        <v>0</v>
      </c>
      <c r="AK84" s="51"/>
      <c r="AY84" s="82"/>
      <c r="BF84" s="81"/>
      <c r="BG84" s="82">
        <f t="array" ref="BG84:BL107">TRANSPOSE(AZ68:BW73)</f>
        <v>36</v>
      </c>
      <c r="BH84" s="82">
        <v>0</v>
      </c>
      <c r="BI84" s="82">
        <v>0</v>
      </c>
      <c r="BJ84" s="82">
        <v>0</v>
      </c>
      <c r="BK84" s="82">
        <v>0</v>
      </c>
      <c r="BL84" s="82">
        <v>47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>
        <v>97</v>
      </c>
      <c r="K85" s="46">
        <v>138.5</v>
      </c>
      <c r="L85" s="46">
        <v>130</v>
      </c>
      <c r="M85" s="46">
        <v>119.1</v>
      </c>
      <c r="N85" s="46">
        <v>134</v>
      </c>
      <c r="O85" s="46">
        <v>132.1</v>
      </c>
      <c r="P85" s="46">
        <v>142</v>
      </c>
      <c r="Q85" s="46">
        <v>142.6</v>
      </c>
      <c r="R85" s="46">
        <v>127.2</v>
      </c>
      <c r="S85" s="46">
        <v>129</v>
      </c>
      <c r="T85" s="46">
        <v>128.9</v>
      </c>
      <c r="U85" s="46">
        <v>129.69999999999999</v>
      </c>
      <c r="V85" s="46">
        <v>124</v>
      </c>
      <c r="W85" s="46">
        <v>124</v>
      </c>
      <c r="X85" s="46">
        <v>95.3</v>
      </c>
      <c r="Y85" s="46">
        <v>84.6</v>
      </c>
      <c r="Z85" s="46">
        <v>81.599999999999994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32"/>
        <v>142.6</v>
      </c>
      <c r="AI85" s="49">
        <f t="shared" si="33"/>
        <v>0</v>
      </c>
      <c r="AK85" s="51"/>
      <c r="AY85" s="82"/>
      <c r="BF85" s="81"/>
      <c r="BG85" s="82">
        <v>20</v>
      </c>
      <c r="BH85" s="82">
        <v>0</v>
      </c>
      <c r="BI85" s="82">
        <v>0</v>
      </c>
      <c r="BJ85" s="82">
        <v>0</v>
      </c>
      <c r="BK85" s="82">
        <v>0</v>
      </c>
      <c r="BL85" s="82">
        <v>46.6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2"/>
        <v>0</v>
      </c>
      <c r="AI86" s="49">
        <f t="shared" si="33"/>
        <v>0</v>
      </c>
      <c r="AK86" s="51"/>
      <c r="AY86" s="82"/>
      <c r="BF86" s="81"/>
      <c r="BG86" s="82">
        <v>17.8</v>
      </c>
      <c r="BH86" s="82">
        <v>0</v>
      </c>
      <c r="BI86" s="82">
        <v>2.2999999999999998</v>
      </c>
      <c r="BJ86" s="82">
        <v>0</v>
      </c>
      <c r="BK86" s="82">
        <v>0</v>
      </c>
      <c r="BL86" s="82">
        <v>46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2"/>
        <v>0</v>
      </c>
      <c r="AI87" s="49">
        <f t="shared" si="33"/>
        <v>0</v>
      </c>
      <c r="AK87" s="51"/>
      <c r="AL87" s="91" t="s">
        <v>111</v>
      </c>
      <c r="AM87" s="91"/>
      <c r="AY87" s="82"/>
      <c r="BF87" s="82"/>
      <c r="BG87" s="82">
        <v>16</v>
      </c>
      <c r="BH87" s="82">
        <v>0</v>
      </c>
      <c r="BI87" s="82">
        <v>12</v>
      </c>
      <c r="BJ87" s="82">
        <v>0</v>
      </c>
      <c r="BK87" s="82">
        <v>0</v>
      </c>
      <c r="BL87" s="82">
        <v>42.8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2"/>
        <v>0</v>
      </c>
      <c r="AI88" s="49">
        <f t="shared" si="33"/>
        <v>0</v>
      </c>
      <c r="AK88" s="92"/>
      <c r="AL88" s="93"/>
      <c r="AM88" s="93"/>
      <c r="AN88" s="94"/>
      <c r="AY88" s="82"/>
      <c r="BF88" s="82"/>
      <c r="BG88" s="82">
        <v>15.8</v>
      </c>
      <c r="BH88" s="82">
        <v>0</v>
      </c>
      <c r="BI88" s="82">
        <v>-6</v>
      </c>
      <c r="BJ88" s="82">
        <v>0</v>
      </c>
      <c r="BK88" s="82">
        <v>0</v>
      </c>
      <c r="BL88" s="82">
        <v>42.9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2"/>
        <v>0</v>
      </c>
      <c r="AI89" s="49">
        <f t="shared" si="33"/>
        <v>0</v>
      </c>
      <c r="AK89" s="95" t="s">
        <v>114</v>
      </c>
      <c r="AL89" s="76"/>
      <c r="AM89" s="89"/>
      <c r="AN89" s="96"/>
      <c r="AY89" s="82"/>
      <c r="BF89" s="82"/>
      <c r="BG89" s="82">
        <v>12</v>
      </c>
      <c r="BH89" s="82">
        <v>0</v>
      </c>
      <c r="BI89" s="82">
        <v>21</v>
      </c>
      <c r="BJ89" s="82">
        <v>0</v>
      </c>
      <c r="BK89" s="82">
        <v>0</v>
      </c>
      <c r="BL89" s="82">
        <v>43.5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2"/>
        <v>0</v>
      </c>
      <c r="AI90" s="49">
        <f t="shared" si="33"/>
        <v>0</v>
      </c>
      <c r="AK90" s="95" t="s">
        <v>116</v>
      </c>
      <c r="AL90" s="89"/>
      <c r="AM90" s="89"/>
      <c r="AN90" s="96"/>
      <c r="AY90" s="82"/>
      <c r="BF90" s="82"/>
      <c r="BG90" s="82">
        <v>60</v>
      </c>
      <c r="BH90" s="82">
        <v>64</v>
      </c>
      <c r="BI90" s="82">
        <v>199.8</v>
      </c>
      <c r="BJ90" s="82">
        <v>12.5</v>
      </c>
      <c r="BK90" s="82">
        <v>138.5</v>
      </c>
      <c r="BL90" s="82">
        <v>0</v>
      </c>
    </row>
    <row r="91" spans="1:64" ht="15.75" thickBot="1" x14ac:dyDescent="0.3">
      <c r="A91" s="97" t="s">
        <v>117</v>
      </c>
      <c r="B91" s="90">
        <v>47</v>
      </c>
      <c r="C91" s="90">
        <v>47</v>
      </c>
      <c r="D91" s="90">
        <v>46.6</v>
      </c>
      <c r="E91" s="90">
        <v>46</v>
      </c>
      <c r="F91" s="90">
        <v>42.8</v>
      </c>
      <c r="G91" s="90">
        <v>42.9</v>
      </c>
      <c r="H91" s="90">
        <v>43.2</v>
      </c>
      <c r="I91" s="90">
        <v>43.5</v>
      </c>
      <c r="J91" s="90"/>
      <c r="K91" s="90">
        <v>0</v>
      </c>
      <c r="L91" s="90">
        <v>0</v>
      </c>
      <c r="M91" s="90"/>
      <c r="N91" s="90"/>
      <c r="O91" s="90"/>
      <c r="P91" s="90"/>
      <c r="Q91" s="90"/>
      <c r="R91" s="90"/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38.5</v>
      </c>
      <c r="Z91" s="90">
        <v>47.7</v>
      </c>
      <c r="AA91" s="90">
        <v>45.6</v>
      </c>
      <c r="AB91" s="90">
        <v>44.6</v>
      </c>
      <c r="AC91" s="90">
        <v>44.6</v>
      </c>
      <c r="AD91" s="90">
        <v>45.3</v>
      </c>
      <c r="AE91" s="90">
        <v>44.3</v>
      </c>
      <c r="AF91" s="90">
        <v>44.3</v>
      </c>
      <c r="AG91" s="98"/>
      <c r="AH91" s="48">
        <f t="shared" si="32"/>
        <v>47.7</v>
      </c>
      <c r="AI91" s="49">
        <f t="shared" si="33"/>
        <v>0</v>
      </c>
      <c r="AK91" s="99"/>
      <c r="AL91" s="46"/>
      <c r="AM91" s="46"/>
      <c r="AN91" s="100"/>
      <c r="AY91" s="82"/>
      <c r="BF91" s="82"/>
      <c r="BG91" s="82">
        <v>47.2</v>
      </c>
      <c r="BH91" s="82">
        <v>75.3</v>
      </c>
      <c r="BI91" s="82">
        <v>235.2</v>
      </c>
      <c r="BJ91" s="82">
        <v>30.9</v>
      </c>
      <c r="BK91" s="82">
        <v>119.1</v>
      </c>
      <c r="BL91" s="82">
        <v>0</v>
      </c>
    </row>
    <row r="92" spans="1:64" ht="15.75" thickBot="1" x14ac:dyDescent="0.3">
      <c r="A92" s="87" t="s">
        <v>118</v>
      </c>
      <c r="B92" s="71">
        <f t="shared" ref="B92:AA92" si="34">SUMIF(B81:B91,"&gt;0")</f>
        <v>80</v>
      </c>
      <c r="C92" s="71">
        <f t="shared" si="34"/>
        <v>83</v>
      </c>
      <c r="D92" s="71">
        <f t="shared" si="34"/>
        <v>66.599999999999994</v>
      </c>
      <c r="E92" s="71">
        <f t="shared" si="34"/>
        <v>66.099999999999994</v>
      </c>
      <c r="F92" s="71">
        <f t="shared" si="34"/>
        <v>70.8</v>
      </c>
      <c r="G92" s="71">
        <f t="shared" si="34"/>
        <v>58.7</v>
      </c>
      <c r="H92" s="71">
        <f t="shared" si="34"/>
        <v>68.2</v>
      </c>
      <c r="I92" s="71">
        <f t="shared" si="34"/>
        <v>76.5</v>
      </c>
      <c r="J92" s="71">
        <f t="shared" si="34"/>
        <v>351</v>
      </c>
      <c r="K92" s="71">
        <f t="shared" si="34"/>
        <v>474.8</v>
      </c>
      <c r="L92" s="71">
        <f t="shared" si="34"/>
        <v>508.9</v>
      </c>
      <c r="M92" s="71">
        <f t="shared" si="34"/>
        <v>507.69999999999993</v>
      </c>
      <c r="N92" s="71">
        <f t="shared" si="34"/>
        <v>585</v>
      </c>
      <c r="O92" s="71">
        <f t="shared" si="34"/>
        <v>585.59999999999991</v>
      </c>
      <c r="P92" s="71">
        <f t="shared" si="34"/>
        <v>596.40000000000009</v>
      </c>
      <c r="Q92" s="71">
        <f t="shared" si="34"/>
        <v>557</v>
      </c>
      <c r="R92" s="71">
        <f t="shared" si="34"/>
        <v>521.70000000000005</v>
      </c>
      <c r="S92" s="71">
        <f>SUMIF(S81:S91,"&gt;0")</f>
        <v>595</v>
      </c>
      <c r="T92" s="71">
        <f t="shared" si="34"/>
        <v>569.20000000000005</v>
      </c>
      <c r="U92" s="71">
        <f t="shared" si="34"/>
        <v>571.4</v>
      </c>
      <c r="V92" s="71">
        <f>SUMIF(V81:V91,"&gt;0")</f>
        <v>551</v>
      </c>
      <c r="W92" s="71">
        <f>SUMIF(W81:W91,"&gt;0")</f>
        <v>557</v>
      </c>
      <c r="X92" s="71">
        <f t="shared" si="34"/>
        <v>477.30000000000007</v>
      </c>
      <c r="Y92" s="71">
        <f t="shared" si="34"/>
        <v>286.2</v>
      </c>
      <c r="Z92" s="71">
        <f t="shared" si="34"/>
        <v>225.3</v>
      </c>
      <c r="AA92" s="71">
        <f t="shared" si="34"/>
        <v>137.80000000000001</v>
      </c>
      <c r="AB92" s="71">
        <f>SUMIF(AB81:AB91,"&gt;0")</f>
        <v>109.19999999999999</v>
      </c>
      <c r="AC92" s="71">
        <f>SUMIF(AC81:AC91,"&gt;0")</f>
        <v>109.19999999999999</v>
      </c>
      <c r="AD92" s="71">
        <f>SUMIF(AD81:AD91,"&gt;0")</f>
        <v>128</v>
      </c>
      <c r="AE92" s="71">
        <f>SUMIF(AE81:AE91,"&gt;0")</f>
        <v>129.19999999999999</v>
      </c>
      <c r="AF92" s="71">
        <f>SUMIF(AF81:AF91,"&gt;0")</f>
        <v>129.19999999999999</v>
      </c>
      <c r="AG92" s="101">
        <f>SUM(AG81:AG91)</f>
        <v>0</v>
      </c>
      <c r="AH92" s="48">
        <f t="shared" si="32"/>
        <v>596.40000000000009</v>
      </c>
      <c r="AI92" s="49">
        <f t="shared" si="33"/>
        <v>58.7</v>
      </c>
      <c r="AK92" s="99"/>
      <c r="AL92" s="90"/>
      <c r="AM92" s="102"/>
      <c r="AN92" s="202"/>
      <c r="AY92" s="82"/>
      <c r="BF92" s="82"/>
      <c r="BG92" s="82">
        <v>62.6</v>
      </c>
      <c r="BH92" s="82">
        <v>80.2</v>
      </c>
      <c r="BI92" s="82">
        <v>264.2</v>
      </c>
      <c r="BJ92" s="82">
        <v>44</v>
      </c>
      <c r="BK92" s="82">
        <v>134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2"/>
        <v>0</v>
      </c>
      <c r="AI93" s="49">
        <f t="shared" si="33"/>
        <v>0</v>
      </c>
      <c r="AK93" s="99"/>
      <c r="AL93" s="90"/>
      <c r="AM93" s="90"/>
      <c r="AN93" s="203"/>
      <c r="BF93" s="82"/>
      <c r="BG93" s="82">
        <v>63.6</v>
      </c>
      <c r="BH93" s="82">
        <v>83.5</v>
      </c>
      <c r="BI93" s="82">
        <v>258.7</v>
      </c>
      <c r="BJ93" s="82">
        <v>47.7</v>
      </c>
      <c r="BK93" s="82">
        <v>132.1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2"/>
        <v>0</v>
      </c>
      <c r="AI94" s="49">
        <f t="shared" si="33"/>
        <v>0</v>
      </c>
      <c r="AK94" s="104"/>
      <c r="AL94" s="105"/>
      <c r="AM94" s="105"/>
      <c r="AN94" s="106"/>
      <c r="BF94" s="82"/>
      <c r="BG94" s="82">
        <v>58.6</v>
      </c>
      <c r="BH94" s="82">
        <v>60.2</v>
      </c>
      <c r="BI94" s="82">
        <v>289.60000000000002</v>
      </c>
      <c r="BJ94" s="82">
        <v>46</v>
      </c>
      <c r="BK94" s="82">
        <v>142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2"/>
        <v>0</v>
      </c>
      <c r="AI95" s="49">
        <f t="shared" si="33"/>
        <v>0</v>
      </c>
      <c r="BF95" s="82"/>
      <c r="BG95" s="82">
        <v>61.6</v>
      </c>
      <c r="BH95" s="82">
        <v>52.8</v>
      </c>
      <c r="BI95" s="82">
        <v>256.89999999999998</v>
      </c>
      <c r="BJ95" s="82">
        <v>43.1</v>
      </c>
      <c r="BK95" s="82">
        <v>142.6</v>
      </c>
      <c r="BL95" s="82">
        <v>0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2"/>
        <v>0</v>
      </c>
      <c r="AI96" s="49">
        <f t="shared" si="33"/>
        <v>0</v>
      </c>
      <c r="BF96" s="82"/>
      <c r="BG96" s="82">
        <v>75.8</v>
      </c>
      <c r="BH96" s="82">
        <v>41.7</v>
      </c>
      <c r="BI96" s="82">
        <v>236</v>
      </c>
      <c r="BJ96" s="82">
        <v>41</v>
      </c>
      <c r="BK96" s="82">
        <v>127.2</v>
      </c>
      <c r="BL96" s="82">
        <v>0</v>
      </c>
    </row>
    <row r="97" spans="1:64" ht="15.75" thickBot="1" x14ac:dyDescent="0.3">
      <c r="A97" s="87" t="s">
        <v>123</v>
      </c>
      <c r="B97" s="108">
        <f t="shared" ref="B97:AG97" si="35">B58+B62+B80+B76+B92+B96</f>
        <v>1305.83</v>
      </c>
      <c r="C97" s="108">
        <f t="shared" si="35"/>
        <v>1308.83</v>
      </c>
      <c r="D97" s="108">
        <f t="shared" si="35"/>
        <v>1250.23</v>
      </c>
      <c r="E97" s="108">
        <f t="shared" si="35"/>
        <v>1193.6199999999999</v>
      </c>
      <c r="F97" s="108">
        <f t="shared" si="35"/>
        <v>1188.32</v>
      </c>
      <c r="G97" s="108">
        <f t="shared" si="35"/>
        <v>1166.22</v>
      </c>
      <c r="H97" s="108">
        <f t="shared" si="35"/>
        <v>1177.8400000000001</v>
      </c>
      <c r="I97" s="108">
        <f t="shared" si="35"/>
        <v>1271.94</v>
      </c>
      <c r="J97" s="108">
        <f t="shared" si="35"/>
        <v>1390.74</v>
      </c>
      <c r="K97" s="108">
        <f t="shared" si="35"/>
        <v>1480.14</v>
      </c>
      <c r="L97" s="108">
        <f t="shared" si="35"/>
        <v>1495.239</v>
      </c>
      <c r="M97" s="108">
        <f t="shared" si="35"/>
        <v>1527.54</v>
      </c>
      <c r="N97" s="108">
        <f t="shared" si="35"/>
        <v>1615.64</v>
      </c>
      <c r="O97" s="108">
        <f t="shared" si="35"/>
        <v>1630.94</v>
      </c>
      <c r="P97" s="108">
        <f t="shared" si="35"/>
        <v>1644.3400000000001</v>
      </c>
      <c r="Q97" s="108">
        <f t="shared" si="35"/>
        <v>1667.44</v>
      </c>
      <c r="R97" s="108">
        <f t="shared" si="35"/>
        <v>1652.0400000000002</v>
      </c>
      <c r="S97" s="108">
        <f>S58+S62+S80+S76+S92+S96</f>
        <v>1729.8400000000001</v>
      </c>
      <c r="T97" s="108">
        <f t="shared" si="35"/>
        <v>1720.3400000000001</v>
      </c>
      <c r="U97" s="108">
        <f t="shared" si="35"/>
        <v>1719.2400000000002</v>
      </c>
      <c r="V97" s="108">
        <f>V58+V62+V80+V76+V92+V96</f>
        <v>1630.04</v>
      </c>
      <c r="W97" s="108">
        <f>W58+W62+W80+W76+W92+W96</f>
        <v>1636.04</v>
      </c>
      <c r="X97" s="108">
        <f t="shared" si="35"/>
        <v>1515.6399999999999</v>
      </c>
      <c r="Y97" s="108">
        <f t="shared" si="35"/>
        <v>1330.1000000000001</v>
      </c>
      <c r="Z97" s="108">
        <f t="shared" si="35"/>
        <v>1548.8999999999999</v>
      </c>
      <c r="AA97" s="108">
        <f t="shared" si="35"/>
        <v>1690.6399999999999</v>
      </c>
      <c r="AB97" s="108">
        <f>AB58+AB62+AB80+AB76+AB92+AB96</f>
        <v>1668.9399999999998</v>
      </c>
      <c r="AC97" s="108">
        <f>AC58+AC62+AC80+AC76+AC92+AC96</f>
        <v>1668.9399999999998</v>
      </c>
      <c r="AD97" s="108">
        <f>AD58+AD62+AD80+AD76+AD92+AD96</f>
        <v>1620.7399999999998</v>
      </c>
      <c r="AE97" s="108">
        <f>AE58+AE62+AE80+AE76+AE92+AE96</f>
        <v>1513.9399999999998</v>
      </c>
      <c r="AF97" s="108">
        <f>AF58+AF62+AF80+AF76+AF92+AF96</f>
        <v>1498.94</v>
      </c>
      <c r="AG97" s="72">
        <f t="shared" si="35"/>
        <v>2231.81</v>
      </c>
      <c r="AH97" s="48">
        <f t="shared" si="32"/>
        <v>1729.8400000000001</v>
      </c>
      <c r="AI97" s="49">
        <f t="shared" si="33"/>
        <v>1166.22</v>
      </c>
      <c r="BF97" s="82"/>
      <c r="BG97" s="82">
        <v>71</v>
      </c>
      <c r="BH97" s="82">
        <v>61</v>
      </c>
      <c r="BI97" s="82">
        <v>292</v>
      </c>
      <c r="BJ97" s="82">
        <v>42</v>
      </c>
      <c r="BK97" s="82">
        <v>129</v>
      </c>
      <c r="BL97" s="82">
        <v>0</v>
      </c>
    </row>
    <row r="98" spans="1:64" ht="15.75" thickBot="1" x14ac:dyDescent="0.3">
      <c r="A98" s="109" t="s">
        <v>124</v>
      </c>
      <c r="B98" s="110">
        <v>250</v>
      </c>
      <c r="C98" s="110">
        <v>230</v>
      </c>
      <c r="D98" s="110">
        <v>230</v>
      </c>
      <c r="E98" s="110">
        <v>230</v>
      </c>
      <c r="F98" s="110">
        <v>230</v>
      </c>
      <c r="G98" s="110">
        <v>230</v>
      </c>
      <c r="H98" s="110">
        <v>200</v>
      </c>
      <c r="I98" s="110">
        <v>150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200</v>
      </c>
      <c r="Z98" s="110">
        <v>200</v>
      </c>
      <c r="AA98" s="110">
        <v>200</v>
      </c>
      <c r="AB98" s="110">
        <v>200</v>
      </c>
      <c r="AC98" s="110">
        <v>201</v>
      </c>
      <c r="AD98" s="110">
        <v>202</v>
      </c>
      <c r="AE98" s="110">
        <v>200</v>
      </c>
      <c r="AF98" s="110">
        <v>201</v>
      </c>
      <c r="AG98" s="101"/>
      <c r="AH98" s="48">
        <f t="shared" si="32"/>
        <v>250</v>
      </c>
      <c r="AI98" s="49">
        <f t="shared" si="33"/>
        <v>150</v>
      </c>
      <c r="BF98" s="82"/>
      <c r="BG98" s="82">
        <v>53.9</v>
      </c>
      <c r="BH98" s="82">
        <v>79.599999999999994</v>
      </c>
      <c r="BI98" s="82">
        <v>264</v>
      </c>
      <c r="BJ98" s="82">
        <v>42.8</v>
      </c>
      <c r="BK98" s="82">
        <v>128.9</v>
      </c>
      <c r="BL98" s="82">
        <v>0</v>
      </c>
    </row>
    <row r="99" spans="1:64" ht="15.75" thickBot="1" x14ac:dyDescent="0.3">
      <c r="A99" s="87" t="s">
        <v>125</v>
      </c>
      <c r="B99" s="108">
        <f t="shared" ref="B99:AA99" si="36">B97+B98</f>
        <v>1555.83</v>
      </c>
      <c r="C99" s="108">
        <f t="shared" si="36"/>
        <v>1538.83</v>
      </c>
      <c r="D99" s="108">
        <f t="shared" si="36"/>
        <v>1480.23</v>
      </c>
      <c r="E99" s="108">
        <f t="shared" si="36"/>
        <v>1423.62</v>
      </c>
      <c r="F99" s="108">
        <f t="shared" si="36"/>
        <v>1418.32</v>
      </c>
      <c r="G99" s="108">
        <f t="shared" si="36"/>
        <v>1396.22</v>
      </c>
      <c r="H99" s="108">
        <f t="shared" si="36"/>
        <v>1377.8400000000001</v>
      </c>
      <c r="I99" s="108">
        <f t="shared" si="36"/>
        <v>1421.94</v>
      </c>
      <c r="J99" s="108">
        <f t="shared" si="36"/>
        <v>1390.74</v>
      </c>
      <c r="K99" s="108">
        <f t="shared" si="36"/>
        <v>1480.14</v>
      </c>
      <c r="L99" s="108">
        <f t="shared" si="36"/>
        <v>1495.239</v>
      </c>
      <c r="M99" s="108">
        <f t="shared" si="36"/>
        <v>1527.54</v>
      </c>
      <c r="N99" s="108">
        <f t="shared" si="36"/>
        <v>1615.64</v>
      </c>
      <c r="O99" s="108">
        <f t="shared" si="36"/>
        <v>1630.94</v>
      </c>
      <c r="P99" s="108">
        <f t="shared" si="36"/>
        <v>1644.3400000000001</v>
      </c>
      <c r="Q99" s="108">
        <f t="shared" si="36"/>
        <v>1667.44</v>
      </c>
      <c r="R99" s="108">
        <f t="shared" si="36"/>
        <v>1652.0400000000002</v>
      </c>
      <c r="S99" s="108">
        <f>S97+S98</f>
        <v>1729.8400000000001</v>
      </c>
      <c r="T99" s="108">
        <f t="shared" si="36"/>
        <v>1720.3400000000001</v>
      </c>
      <c r="U99" s="108">
        <f t="shared" si="36"/>
        <v>1719.2400000000002</v>
      </c>
      <c r="V99" s="108">
        <f>V97+V98</f>
        <v>1630.04</v>
      </c>
      <c r="W99" s="108">
        <f>W97+W98</f>
        <v>1636.04</v>
      </c>
      <c r="X99" s="108">
        <f t="shared" si="36"/>
        <v>1515.6399999999999</v>
      </c>
      <c r="Y99" s="108">
        <f t="shared" si="36"/>
        <v>1530.1000000000001</v>
      </c>
      <c r="Z99" s="108">
        <f t="shared" si="36"/>
        <v>1748.8999999999999</v>
      </c>
      <c r="AA99" s="108">
        <f t="shared" si="36"/>
        <v>1890.6399999999999</v>
      </c>
      <c r="AB99" s="108">
        <f>AB97+AB98</f>
        <v>1868.9399999999998</v>
      </c>
      <c r="AC99" s="108">
        <f>AC97+AC98</f>
        <v>1869.9399999999998</v>
      </c>
      <c r="AD99" s="108">
        <f>AD97+AD98</f>
        <v>1822.7399999999998</v>
      </c>
      <c r="AE99" s="108">
        <f>AE97+AE98</f>
        <v>1713.9399999999998</v>
      </c>
      <c r="AF99" s="108">
        <f>AF97+AF98</f>
        <v>1699.94</v>
      </c>
      <c r="AG99" s="101">
        <f>AG96+AG92+AG80+AG76+AG58+AG98</f>
        <v>1693.71</v>
      </c>
      <c r="AH99" s="48">
        <f t="shared" si="32"/>
        <v>1890.6399999999999</v>
      </c>
      <c r="AI99" s="49">
        <f t="shared" si="33"/>
        <v>1377.8400000000001</v>
      </c>
      <c r="BF99" s="82"/>
      <c r="BG99" s="82">
        <v>57.1</v>
      </c>
      <c r="BH99" s="82">
        <v>89.7</v>
      </c>
      <c r="BI99" s="82">
        <v>250</v>
      </c>
      <c r="BJ99" s="82">
        <v>44.9</v>
      </c>
      <c r="BK99" s="82">
        <v>129.69999999999999</v>
      </c>
      <c r="BL99" s="82">
        <v>0</v>
      </c>
    </row>
    <row r="100" spans="1:64" ht="15.75" thickBot="1" x14ac:dyDescent="0.3">
      <c r="A100" s="87" t="s">
        <v>126</v>
      </c>
      <c r="B100" s="108">
        <f t="shared" ref="B100:AA100" si="37">B99-(B107)</f>
        <v>1555.83</v>
      </c>
      <c r="C100" s="108">
        <f t="shared" si="37"/>
        <v>1538.83</v>
      </c>
      <c r="D100" s="108">
        <f t="shared" si="37"/>
        <v>1480.23</v>
      </c>
      <c r="E100" s="108">
        <f t="shared" si="37"/>
        <v>1423.62</v>
      </c>
      <c r="F100" s="108">
        <f t="shared" si="37"/>
        <v>1418.32</v>
      </c>
      <c r="G100" s="108">
        <f t="shared" si="37"/>
        <v>1390.22</v>
      </c>
      <c r="H100" s="108">
        <f t="shared" si="37"/>
        <v>1377.8400000000001</v>
      </c>
      <c r="I100" s="108">
        <f t="shared" si="37"/>
        <v>1421.94</v>
      </c>
      <c r="J100" s="108">
        <f t="shared" si="37"/>
        <v>1390.74</v>
      </c>
      <c r="K100" s="108">
        <f t="shared" si="37"/>
        <v>1480.14</v>
      </c>
      <c r="L100" s="108">
        <f t="shared" si="37"/>
        <v>1495.239</v>
      </c>
      <c r="M100" s="108">
        <f t="shared" si="37"/>
        <v>1527.54</v>
      </c>
      <c r="N100" s="108">
        <f t="shared" si="37"/>
        <v>1615.64</v>
      </c>
      <c r="O100" s="108">
        <f t="shared" si="37"/>
        <v>1630.94</v>
      </c>
      <c r="P100" s="108">
        <f t="shared" si="37"/>
        <v>1644.3400000000001</v>
      </c>
      <c r="Q100" s="108">
        <f t="shared" si="37"/>
        <v>1667.44</v>
      </c>
      <c r="R100" s="108">
        <f t="shared" si="37"/>
        <v>1652.0400000000002</v>
      </c>
      <c r="S100" s="108">
        <f>S99-(S107)</f>
        <v>1729.8400000000001</v>
      </c>
      <c r="T100" s="108">
        <f t="shared" si="37"/>
        <v>1720.3400000000001</v>
      </c>
      <c r="U100" s="108">
        <f t="shared" si="37"/>
        <v>1719.2400000000002</v>
      </c>
      <c r="V100" s="108">
        <f>V99-(V107)</f>
        <v>1630.04</v>
      </c>
      <c r="W100" s="108">
        <f>W99-(W107)</f>
        <v>1635.04</v>
      </c>
      <c r="X100" s="108">
        <f t="shared" si="37"/>
        <v>1515.6399999999999</v>
      </c>
      <c r="Y100" s="108">
        <f t="shared" si="37"/>
        <v>1530.1000000000001</v>
      </c>
      <c r="Z100" s="108">
        <f t="shared" si="37"/>
        <v>1748.8999999999999</v>
      </c>
      <c r="AA100" s="108">
        <f t="shared" si="37"/>
        <v>1890.6399999999999</v>
      </c>
      <c r="AB100" s="108">
        <f>AB99-(AB107)</f>
        <v>1868.9399999999998</v>
      </c>
      <c r="AC100" s="108">
        <f>AC99-(AC107)</f>
        <v>1869.9399999999998</v>
      </c>
      <c r="AD100" s="108">
        <f>AD99-(AD107)</f>
        <v>1822.7399999999998</v>
      </c>
      <c r="AE100" s="108">
        <f>AE99-(AE107)</f>
        <v>1713.9399999999998</v>
      </c>
      <c r="AF100" s="108">
        <f>AF99-(AF107)</f>
        <v>1699.94</v>
      </c>
      <c r="AG100" s="101"/>
      <c r="AH100" s="48">
        <f t="shared" si="32"/>
        <v>1890.6399999999999</v>
      </c>
      <c r="AI100" s="49">
        <f t="shared" si="33"/>
        <v>1377.8400000000001</v>
      </c>
      <c r="BF100" s="82"/>
      <c r="BG100" s="82">
        <v>62</v>
      </c>
      <c r="BH100" s="82">
        <v>67</v>
      </c>
      <c r="BI100" s="82">
        <v>252</v>
      </c>
      <c r="BJ100" s="82">
        <v>46</v>
      </c>
      <c r="BK100" s="82">
        <v>124</v>
      </c>
      <c r="BL100" s="82">
        <v>0</v>
      </c>
    </row>
    <row r="101" spans="1:64" x14ac:dyDescent="0.25">
      <c r="A101" s="45" t="s">
        <v>107</v>
      </c>
      <c r="B101" s="89">
        <f t="shared" ref="B101:AA101" si="38">IF(B84&lt;0,B84*-1,0)</f>
        <v>0</v>
      </c>
      <c r="C101" s="89">
        <f t="shared" si="38"/>
        <v>0</v>
      </c>
      <c r="D101" s="89">
        <f t="shared" si="38"/>
        <v>0</v>
      </c>
      <c r="E101" s="89">
        <f t="shared" si="38"/>
        <v>0</v>
      </c>
      <c r="F101" s="89">
        <f t="shared" si="38"/>
        <v>0</v>
      </c>
      <c r="G101" s="89">
        <f t="shared" si="38"/>
        <v>0</v>
      </c>
      <c r="H101" s="89">
        <f t="shared" si="38"/>
        <v>0</v>
      </c>
      <c r="I101" s="89">
        <f t="shared" si="38"/>
        <v>0</v>
      </c>
      <c r="J101" s="89">
        <f t="shared" si="38"/>
        <v>0</v>
      </c>
      <c r="K101" s="89">
        <f t="shared" si="38"/>
        <v>0</v>
      </c>
      <c r="L101" s="89">
        <f t="shared" si="38"/>
        <v>0</v>
      </c>
      <c r="M101" s="89">
        <f t="shared" si="38"/>
        <v>0</v>
      </c>
      <c r="N101" s="89">
        <f t="shared" si="38"/>
        <v>0</v>
      </c>
      <c r="O101" s="89">
        <f t="shared" si="38"/>
        <v>0</v>
      </c>
      <c r="P101" s="89">
        <f t="shared" si="38"/>
        <v>0</v>
      </c>
      <c r="Q101" s="89">
        <f t="shared" si="38"/>
        <v>0</v>
      </c>
      <c r="R101" s="89">
        <f t="shared" si="38"/>
        <v>0</v>
      </c>
      <c r="S101" s="89">
        <f>IF(S84&lt;0,S84*-1,0)</f>
        <v>0</v>
      </c>
      <c r="T101" s="89">
        <f t="shared" si="38"/>
        <v>0</v>
      </c>
      <c r="U101" s="89">
        <f t="shared" si="38"/>
        <v>0</v>
      </c>
      <c r="V101" s="89">
        <f>IF(V84&lt;0,V84*-1,0)</f>
        <v>0</v>
      </c>
      <c r="W101" s="89">
        <f>IF(W84&lt;0,W84*-1,0)</f>
        <v>0</v>
      </c>
      <c r="X101" s="89">
        <f t="shared" si="38"/>
        <v>0</v>
      </c>
      <c r="Y101" s="89">
        <f t="shared" si="38"/>
        <v>0</v>
      </c>
      <c r="Z101" s="89">
        <f t="shared" si="38"/>
        <v>0</v>
      </c>
      <c r="AA101" s="89">
        <f t="shared" si="38"/>
        <v>0</v>
      </c>
      <c r="AB101" s="89">
        <f>IF(AB84&lt;0,AB84*-1,0)</f>
        <v>0</v>
      </c>
      <c r="AC101" s="89">
        <f>IF(AC84&lt;0,AC84*-1,0)</f>
        <v>0</v>
      </c>
      <c r="AD101" s="89">
        <f>IF(AD84&lt;0,AD84*-1,0)</f>
        <v>0</v>
      </c>
      <c r="AE101" s="89">
        <f>IF(AE84&lt;0,AE84*-1,0)</f>
        <v>0</v>
      </c>
      <c r="AF101" s="89">
        <f>IF(AF84&lt;0,AF84*-1,0)</f>
        <v>0</v>
      </c>
      <c r="AG101" s="61"/>
      <c r="AH101" s="48">
        <f t="shared" si="32"/>
        <v>0</v>
      </c>
      <c r="AI101" s="49">
        <f t="shared" si="33"/>
        <v>0</v>
      </c>
      <c r="BF101" s="81"/>
      <c r="BG101" s="82">
        <v>62.4</v>
      </c>
      <c r="BH101" s="82">
        <v>64.5</v>
      </c>
      <c r="BI101" s="82">
        <v>219.8</v>
      </c>
      <c r="BJ101" s="82">
        <v>35.299999999999997</v>
      </c>
      <c r="BK101" s="82">
        <v>95.3</v>
      </c>
      <c r="BL101" s="82">
        <v>0</v>
      </c>
    </row>
    <row r="102" spans="1:64" x14ac:dyDescent="0.25">
      <c r="A102" s="65" t="s">
        <v>105</v>
      </c>
      <c r="B102" s="89">
        <f t="shared" ref="B102:AA102" si="39">IF(B82&lt;0,B82*-1,0)</f>
        <v>0</v>
      </c>
      <c r="C102" s="89">
        <f t="shared" si="39"/>
        <v>0</v>
      </c>
      <c r="D102" s="89">
        <f t="shared" si="39"/>
        <v>0</v>
      </c>
      <c r="E102" s="89">
        <f t="shared" si="39"/>
        <v>0</v>
      </c>
      <c r="F102" s="89">
        <f t="shared" si="39"/>
        <v>0</v>
      </c>
      <c r="G102" s="89">
        <f t="shared" si="39"/>
        <v>0</v>
      </c>
      <c r="H102" s="89">
        <f t="shared" si="39"/>
        <v>0</v>
      </c>
      <c r="I102" s="89">
        <f t="shared" si="39"/>
        <v>0</v>
      </c>
      <c r="J102" s="89">
        <f t="shared" si="39"/>
        <v>0</v>
      </c>
      <c r="K102" s="89">
        <f t="shared" si="39"/>
        <v>0</v>
      </c>
      <c r="L102" s="89">
        <f t="shared" si="39"/>
        <v>0</v>
      </c>
      <c r="M102" s="89">
        <f t="shared" si="39"/>
        <v>0</v>
      </c>
      <c r="N102" s="89">
        <f t="shared" si="39"/>
        <v>0</v>
      </c>
      <c r="O102" s="89">
        <f t="shared" si="39"/>
        <v>0</v>
      </c>
      <c r="P102" s="89">
        <f t="shared" si="39"/>
        <v>0</v>
      </c>
      <c r="Q102" s="89">
        <f t="shared" si="39"/>
        <v>0</v>
      </c>
      <c r="R102" s="89">
        <f t="shared" si="39"/>
        <v>0</v>
      </c>
      <c r="S102" s="89">
        <f>IF(S82&lt;0,S82*-1,0)</f>
        <v>0</v>
      </c>
      <c r="T102" s="89">
        <f t="shared" si="39"/>
        <v>0</v>
      </c>
      <c r="U102" s="89">
        <f t="shared" si="39"/>
        <v>0</v>
      </c>
      <c r="V102" s="89">
        <f>IF(V82&lt;0,V82*-1,0)</f>
        <v>0</v>
      </c>
      <c r="W102" s="89">
        <f>IF(W82&lt;0,W82*-1,0)</f>
        <v>0</v>
      </c>
      <c r="X102" s="89">
        <f t="shared" si="39"/>
        <v>0</v>
      </c>
      <c r="Y102" s="89">
        <f t="shared" si="39"/>
        <v>0</v>
      </c>
      <c r="Z102" s="89">
        <f t="shared" si="39"/>
        <v>0</v>
      </c>
      <c r="AA102" s="89">
        <f t="shared" si="39"/>
        <v>0</v>
      </c>
      <c r="AB102" s="89">
        <f>IF(AB82&lt;0,AB82*-1,0)</f>
        <v>0</v>
      </c>
      <c r="AC102" s="89">
        <f>IF(AC82&lt;0,AC82*-1,0)</f>
        <v>0</v>
      </c>
      <c r="AD102" s="89">
        <f>IF(AD82&lt;0,AD82*-1,0)</f>
        <v>0</v>
      </c>
      <c r="AE102" s="89">
        <f>IF(AE82&lt;0,AE82*-1,0)</f>
        <v>0</v>
      </c>
      <c r="AF102" s="89">
        <f>IF(AF82&lt;0,AF82*-1,0)</f>
        <v>0</v>
      </c>
      <c r="AG102" s="66"/>
      <c r="AH102" s="48">
        <f t="shared" si="32"/>
        <v>0</v>
      </c>
      <c r="AI102" s="49">
        <f t="shared" si="33"/>
        <v>0</v>
      </c>
      <c r="BF102" s="81"/>
      <c r="BG102" s="82">
        <v>15</v>
      </c>
      <c r="BH102" s="82">
        <v>0</v>
      </c>
      <c r="BI102" s="82">
        <v>44.7</v>
      </c>
      <c r="BJ102" s="82">
        <v>36.299999999999997</v>
      </c>
      <c r="BK102" s="82">
        <v>81.599999999999994</v>
      </c>
      <c r="BL102" s="82">
        <v>47.7</v>
      </c>
    </row>
    <row r="103" spans="1:64" x14ac:dyDescent="0.25">
      <c r="A103" s="97" t="s">
        <v>127</v>
      </c>
      <c r="B103" s="89">
        <f t="shared" ref="B103:AA103" si="40">IF(B85&lt;0,B85*-1,0)</f>
        <v>0</v>
      </c>
      <c r="C103" s="89">
        <f t="shared" si="40"/>
        <v>0</v>
      </c>
      <c r="D103" s="89">
        <f t="shared" si="40"/>
        <v>0</v>
      </c>
      <c r="E103" s="89">
        <f t="shared" si="40"/>
        <v>0</v>
      </c>
      <c r="F103" s="89">
        <f t="shared" si="40"/>
        <v>0</v>
      </c>
      <c r="G103" s="89">
        <f t="shared" si="40"/>
        <v>0</v>
      </c>
      <c r="H103" s="89">
        <f t="shared" si="40"/>
        <v>0</v>
      </c>
      <c r="I103" s="89">
        <f t="shared" si="40"/>
        <v>0</v>
      </c>
      <c r="J103" s="89">
        <f t="shared" si="40"/>
        <v>0</v>
      </c>
      <c r="K103" s="89">
        <f t="shared" si="40"/>
        <v>0</v>
      </c>
      <c r="L103" s="89">
        <f t="shared" si="40"/>
        <v>0</v>
      </c>
      <c r="M103" s="89">
        <f t="shared" si="40"/>
        <v>0</v>
      </c>
      <c r="N103" s="89">
        <f t="shared" si="40"/>
        <v>0</v>
      </c>
      <c r="O103" s="89">
        <f t="shared" si="40"/>
        <v>0</v>
      </c>
      <c r="P103" s="89">
        <f t="shared" si="40"/>
        <v>0</v>
      </c>
      <c r="Q103" s="89">
        <f t="shared" si="40"/>
        <v>0</v>
      </c>
      <c r="R103" s="89">
        <f t="shared" si="40"/>
        <v>0</v>
      </c>
      <c r="S103" s="89">
        <f>IF(S85&lt;0,S85*-1,0)</f>
        <v>0</v>
      </c>
      <c r="T103" s="89">
        <f t="shared" si="40"/>
        <v>0</v>
      </c>
      <c r="U103" s="89">
        <f t="shared" si="40"/>
        <v>0</v>
      </c>
      <c r="V103" s="89">
        <f>IF(V85&lt;0,V85*-1,0)</f>
        <v>0</v>
      </c>
      <c r="W103" s="89">
        <f>IF(W85&lt;0,W85*-1,0)</f>
        <v>0</v>
      </c>
      <c r="X103" s="89">
        <f t="shared" si="40"/>
        <v>0</v>
      </c>
      <c r="Y103" s="89">
        <f t="shared" si="40"/>
        <v>0</v>
      </c>
      <c r="Z103" s="89">
        <f t="shared" si="40"/>
        <v>0</v>
      </c>
      <c r="AA103" s="89">
        <f t="shared" si="40"/>
        <v>0</v>
      </c>
      <c r="AB103" s="89">
        <f>IF(AB85&lt;0,AB85*-1,0)</f>
        <v>0</v>
      </c>
      <c r="AC103" s="89">
        <f>IF(AC85&lt;0,AC85*-1,0)</f>
        <v>0</v>
      </c>
      <c r="AD103" s="89">
        <f>IF(AD85&lt;0,AD85*-1,0)</f>
        <v>0</v>
      </c>
      <c r="AE103" s="89">
        <f>IF(AE85&lt;0,AE85*-1,0)</f>
        <v>0</v>
      </c>
      <c r="AF103" s="89">
        <f>IF(AF85&lt;0,AF85*-1,0)</f>
        <v>0</v>
      </c>
      <c r="AG103" s="111"/>
      <c r="AH103" s="48">
        <f t="shared" si="32"/>
        <v>0</v>
      </c>
      <c r="AI103" s="49">
        <f t="shared" si="33"/>
        <v>0</v>
      </c>
      <c r="BF103" s="81"/>
      <c r="BG103" s="82">
        <v>21</v>
      </c>
      <c r="BH103" s="82">
        <v>0</v>
      </c>
      <c r="BI103" s="82">
        <v>43.6</v>
      </c>
      <c r="BJ103" s="82">
        <v>0</v>
      </c>
      <c r="BK103" s="82">
        <v>0</v>
      </c>
      <c r="BL103" s="82">
        <v>44.6</v>
      </c>
    </row>
    <row r="104" spans="1:64" x14ac:dyDescent="0.25">
      <c r="A104" s="97" t="s">
        <v>128</v>
      </c>
      <c r="B104" s="89">
        <f t="shared" ref="B104:AA104" si="41">IF(B83&lt;0,B83*-1,0)</f>
        <v>0</v>
      </c>
      <c r="C104" s="89">
        <f t="shared" si="41"/>
        <v>0</v>
      </c>
      <c r="D104" s="89">
        <f t="shared" si="41"/>
        <v>0</v>
      </c>
      <c r="E104" s="89">
        <f t="shared" si="41"/>
        <v>0</v>
      </c>
      <c r="F104" s="89">
        <f t="shared" si="41"/>
        <v>0</v>
      </c>
      <c r="G104" s="89">
        <f t="shared" si="41"/>
        <v>6</v>
      </c>
      <c r="H104" s="89">
        <f t="shared" si="41"/>
        <v>0</v>
      </c>
      <c r="I104" s="89">
        <f t="shared" si="41"/>
        <v>0</v>
      </c>
      <c r="J104" s="89">
        <f t="shared" si="41"/>
        <v>0</v>
      </c>
      <c r="K104" s="89">
        <f t="shared" si="41"/>
        <v>0</v>
      </c>
      <c r="L104" s="89">
        <f t="shared" si="41"/>
        <v>0</v>
      </c>
      <c r="M104" s="89">
        <f t="shared" si="41"/>
        <v>0</v>
      </c>
      <c r="N104" s="89">
        <f t="shared" si="41"/>
        <v>0</v>
      </c>
      <c r="O104" s="89">
        <f t="shared" si="41"/>
        <v>0</v>
      </c>
      <c r="P104" s="89">
        <f t="shared" si="41"/>
        <v>0</v>
      </c>
      <c r="Q104" s="89">
        <f t="shared" si="41"/>
        <v>0</v>
      </c>
      <c r="R104" s="89">
        <f t="shared" si="41"/>
        <v>0</v>
      </c>
      <c r="S104" s="89">
        <f>IF(S83&lt;0,S83*-1,0)</f>
        <v>0</v>
      </c>
      <c r="T104" s="89">
        <f t="shared" si="41"/>
        <v>0</v>
      </c>
      <c r="U104" s="89">
        <f t="shared" si="41"/>
        <v>0</v>
      </c>
      <c r="V104" s="89">
        <f>IF(V83&lt;0,V83*-1,0)</f>
        <v>0</v>
      </c>
      <c r="W104" s="89">
        <f>IF(W83&lt;0,W83*-1,0)</f>
        <v>0</v>
      </c>
      <c r="X104" s="89">
        <f t="shared" si="41"/>
        <v>0</v>
      </c>
      <c r="Y104" s="89">
        <f t="shared" si="41"/>
        <v>0</v>
      </c>
      <c r="Z104" s="89">
        <f t="shared" si="41"/>
        <v>0</v>
      </c>
      <c r="AA104" s="89">
        <f t="shared" si="41"/>
        <v>0</v>
      </c>
      <c r="AB104" s="89">
        <f>IF(AB83&lt;0,AB83*-1,0)</f>
        <v>0</v>
      </c>
      <c r="AC104" s="89">
        <f>IF(AC83&lt;0,AC83*-1,0)</f>
        <v>0</v>
      </c>
      <c r="AD104" s="89">
        <f>IF(AD83&lt;0,AD83*-1,0)</f>
        <v>0</v>
      </c>
      <c r="AE104" s="89">
        <f>IF(AE83&lt;0,AE83*-1,0)</f>
        <v>0</v>
      </c>
      <c r="AF104" s="89">
        <f>IF(AF83&lt;0,AF83*-1,0)</f>
        <v>0</v>
      </c>
      <c r="AG104" s="111"/>
      <c r="AH104" s="48">
        <f t="shared" si="32"/>
        <v>6</v>
      </c>
      <c r="AI104" s="49">
        <f t="shared" si="33"/>
        <v>0</v>
      </c>
      <c r="BF104" s="81"/>
      <c r="BG104" s="82">
        <v>27.2</v>
      </c>
      <c r="BH104" s="82">
        <v>0</v>
      </c>
      <c r="BI104" s="82">
        <v>55.5</v>
      </c>
      <c r="BJ104" s="82">
        <v>0</v>
      </c>
      <c r="BK104" s="82">
        <v>0</v>
      </c>
      <c r="BL104" s="82">
        <v>45.3</v>
      </c>
    </row>
    <row r="105" spans="1:64" x14ac:dyDescent="0.25">
      <c r="A105" s="97" t="s">
        <v>104</v>
      </c>
      <c r="B105" s="89">
        <f t="shared" ref="B105:AA105" si="42">IF(B81&lt;0,B81*-1,0)</f>
        <v>0</v>
      </c>
      <c r="C105" s="89">
        <f t="shared" si="42"/>
        <v>0</v>
      </c>
      <c r="D105" s="89">
        <f t="shared" si="42"/>
        <v>0</v>
      </c>
      <c r="E105" s="89">
        <f t="shared" si="42"/>
        <v>0</v>
      </c>
      <c r="F105" s="89">
        <f t="shared" si="42"/>
        <v>0</v>
      </c>
      <c r="G105" s="89">
        <f t="shared" si="42"/>
        <v>0</v>
      </c>
      <c r="H105" s="89">
        <f t="shared" si="42"/>
        <v>0</v>
      </c>
      <c r="I105" s="89">
        <f t="shared" si="42"/>
        <v>0</v>
      </c>
      <c r="J105" s="89">
        <f t="shared" si="42"/>
        <v>0</v>
      </c>
      <c r="K105" s="89">
        <f t="shared" si="42"/>
        <v>0</v>
      </c>
      <c r="L105" s="89">
        <f t="shared" si="42"/>
        <v>0</v>
      </c>
      <c r="M105" s="89">
        <f t="shared" si="42"/>
        <v>0</v>
      </c>
      <c r="N105" s="89">
        <f t="shared" si="42"/>
        <v>0</v>
      </c>
      <c r="O105" s="89">
        <f t="shared" si="42"/>
        <v>0</v>
      </c>
      <c r="P105" s="89">
        <f t="shared" si="42"/>
        <v>0</v>
      </c>
      <c r="Q105" s="89">
        <f t="shared" si="42"/>
        <v>0</v>
      </c>
      <c r="R105" s="89">
        <f t="shared" si="42"/>
        <v>0</v>
      </c>
      <c r="S105" s="89">
        <f>IF(S81&lt;0,S81*-1,0)</f>
        <v>0</v>
      </c>
      <c r="T105" s="89">
        <f t="shared" si="42"/>
        <v>0</v>
      </c>
      <c r="U105" s="89">
        <f t="shared" si="42"/>
        <v>0</v>
      </c>
      <c r="V105" s="89">
        <f>IF(V81&lt;0,V81*-1,0)</f>
        <v>0</v>
      </c>
      <c r="W105" s="89">
        <f>IF(W81&lt;0,W81*-1,0)</f>
        <v>0</v>
      </c>
      <c r="X105" s="89">
        <f t="shared" si="42"/>
        <v>0</v>
      </c>
      <c r="Y105" s="89">
        <f t="shared" si="42"/>
        <v>0</v>
      </c>
      <c r="Z105" s="89">
        <f t="shared" si="42"/>
        <v>0</v>
      </c>
      <c r="AA105" s="89">
        <f t="shared" si="42"/>
        <v>0</v>
      </c>
      <c r="AB105" s="89">
        <f>IF(AB81&lt;0,AB81*-1,0)</f>
        <v>0</v>
      </c>
      <c r="AC105" s="89">
        <f>IF(AC81&lt;0,AC81*-1,0)</f>
        <v>0</v>
      </c>
      <c r="AD105" s="89">
        <f>IF(AD81&lt;0,AD81*-1,0)</f>
        <v>0</v>
      </c>
      <c r="AE105" s="89">
        <f>IF(AE81&lt;0,AE81*-1,0)</f>
        <v>0</v>
      </c>
      <c r="AF105" s="89">
        <f>IF(AF81&lt;0,AF81*-1,0)</f>
        <v>0</v>
      </c>
      <c r="AG105" s="111"/>
      <c r="AH105" s="48">
        <f t="shared" si="32"/>
        <v>0</v>
      </c>
      <c r="AI105" s="49">
        <f t="shared" si="33"/>
        <v>0</v>
      </c>
      <c r="BF105" s="81"/>
      <c r="BG105" s="82">
        <v>27.2</v>
      </c>
      <c r="BH105" s="82">
        <v>0</v>
      </c>
      <c r="BI105" s="82">
        <v>57.7</v>
      </c>
      <c r="BJ105" s="82">
        <v>0</v>
      </c>
      <c r="BK105" s="82">
        <v>0</v>
      </c>
      <c r="BL105" s="82">
        <v>44.3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1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2"/>
        <v>1</v>
      </c>
      <c r="AI106" s="49">
        <f t="shared" si="33"/>
        <v>0</v>
      </c>
      <c r="BG106" s="82">
        <v>27.2</v>
      </c>
      <c r="BH106" s="82">
        <v>0</v>
      </c>
      <c r="BI106" s="82">
        <v>57.7</v>
      </c>
      <c r="BJ106" s="82">
        <v>0</v>
      </c>
      <c r="BK106" s="82">
        <v>0</v>
      </c>
      <c r="BL106" s="82">
        <v>44.3</v>
      </c>
    </row>
    <row r="107" spans="1:64" ht="15.75" thickBot="1" x14ac:dyDescent="0.3">
      <c r="A107" s="112" t="s">
        <v>130</v>
      </c>
      <c r="B107" s="71">
        <f t="shared" ref="B107:AA107" si="43">SUM(B101:B106)</f>
        <v>0</v>
      </c>
      <c r="C107" s="71">
        <f t="shared" si="43"/>
        <v>0</v>
      </c>
      <c r="D107" s="71">
        <f t="shared" si="43"/>
        <v>0</v>
      </c>
      <c r="E107" s="71">
        <f t="shared" si="43"/>
        <v>0</v>
      </c>
      <c r="F107" s="71">
        <f t="shared" si="43"/>
        <v>0</v>
      </c>
      <c r="G107" s="71">
        <f t="shared" si="43"/>
        <v>6</v>
      </c>
      <c r="H107" s="71">
        <f t="shared" si="43"/>
        <v>0</v>
      </c>
      <c r="I107" s="71">
        <f t="shared" si="43"/>
        <v>0</v>
      </c>
      <c r="J107" s="71">
        <f t="shared" si="43"/>
        <v>0</v>
      </c>
      <c r="K107" s="71">
        <f t="shared" si="43"/>
        <v>0</v>
      </c>
      <c r="L107" s="71">
        <f t="shared" si="43"/>
        <v>0</v>
      </c>
      <c r="M107" s="71">
        <f t="shared" si="43"/>
        <v>0</v>
      </c>
      <c r="N107" s="71">
        <f t="shared" si="43"/>
        <v>0</v>
      </c>
      <c r="O107" s="71">
        <f t="shared" si="43"/>
        <v>0</v>
      </c>
      <c r="P107" s="71">
        <f t="shared" si="43"/>
        <v>0</v>
      </c>
      <c r="Q107" s="71">
        <f t="shared" si="43"/>
        <v>0</v>
      </c>
      <c r="R107" s="71">
        <f t="shared" si="43"/>
        <v>0</v>
      </c>
      <c r="S107" s="71">
        <f>SUM(S101:S106)</f>
        <v>0</v>
      </c>
      <c r="T107" s="71">
        <f t="shared" si="43"/>
        <v>0</v>
      </c>
      <c r="U107" s="71">
        <f t="shared" si="43"/>
        <v>0</v>
      </c>
      <c r="V107" s="71">
        <f>SUM(V101:V106)</f>
        <v>0</v>
      </c>
      <c r="W107" s="71">
        <f>SUM(W101:W106)</f>
        <v>1</v>
      </c>
      <c r="X107" s="71">
        <f t="shared" si="43"/>
        <v>0</v>
      </c>
      <c r="Y107" s="71">
        <f t="shared" si="43"/>
        <v>0</v>
      </c>
      <c r="Z107" s="71">
        <f t="shared" si="43"/>
        <v>0</v>
      </c>
      <c r="AA107" s="71">
        <f t="shared" si="43"/>
        <v>0</v>
      </c>
      <c r="AB107" s="71">
        <f>SUM(AB101:AB106)</f>
        <v>0</v>
      </c>
      <c r="AC107" s="71">
        <f>SUM(AC101:AC106)</f>
        <v>0</v>
      </c>
      <c r="AD107" s="71">
        <f>SUM(AD101:AD106)</f>
        <v>0</v>
      </c>
      <c r="AE107" s="71">
        <f>SUM(AE101:AE106)</f>
        <v>0</v>
      </c>
      <c r="AF107" s="71">
        <f>SUM(AF101:AF106)</f>
        <v>0</v>
      </c>
      <c r="AG107" s="101"/>
      <c r="AH107" s="48">
        <f t="shared" si="32"/>
        <v>6</v>
      </c>
      <c r="AI107" s="49">
        <f t="shared" si="33"/>
        <v>0</v>
      </c>
      <c r="AK107" s="51"/>
      <c r="BG107" s="82">
        <v>33</v>
      </c>
      <c r="BH107" s="82">
        <v>0</v>
      </c>
      <c r="BI107" s="82">
        <v>0</v>
      </c>
      <c r="BJ107" s="82">
        <v>0</v>
      </c>
      <c r="BK107" s="82">
        <v>0</v>
      </c>
      <c r="BL107" s="82">
        <v>47</v>
      </c>
    </row>
    <row r="108" spans="1:64" ht="15.75" thickBot="1" x14ac:dyDescent="0.3">
      <c r="A108" s="87" t="s">
        <v>131</v>
      </c>
      <c r="B108" s="71">
        <f t="shared" ref="B108:AA108" si="44">B92-B107</f>
        <v>80</v>
      </c>
      <c r="C108" s="71">
        <f t="shared" si="44"/>
        <v>83</v>
      </c>
      <c r="D108" s="71">
        <f t="shared" si="44"/>
        <v>66.599999999999994</v>
      </c>
      <c r="E108" s="71">
        <f t="shared" si="44"/>
        <v>66.099999999999994</v>
      </c>
      <c r="F108" s="71">
        <f t="shared" si="44"/>
        <v>70.8</v>
      </c>
      <c r="G108" s="71">
        <f t="shared" si="44"/>
        <v>52.7</v>
      </c>
      <c r="H108" s="71">
        <f t="shared" si="44"/>
        <v>68.2</v>
      </c>
      <c r="I108" s="71">
        <f t="shared" si="44"/>
        <v>76.5</v>
      </c>
      <c r="J108" s="71">
        <f t="shared" si="44"/>
        <v>351</v>
      </c>
      <c r="K108" s="71">
        <f t="shared" si="44"/>
        <v>474.8</v>
      </c>
      <c r="L108" s="71">
        <f t="shared" si="44"/>
        <v>508.9</v>
      </c>
      <c r="M108" s="71">
        <f t="shared" si="44"/>
        <v>507.69999999999993</v>
      </c>
      <c r="N108" s="71">
        <f t="shared" si="44"/>
        <v>585</v>
      </c>
      <c r="O108" s="71">
        <f t="shared" si="44"/>
        <v>585.59999999999991</v>
      </c>
      <c r="P108" s="71">
        <f t="shared" si="44"/>
        <v>596.40000000000009</v>
      </c>
      <c r="Q108" s="71">
        <f t="shared" si="44"/>
        <v>557</v>
      </c>
      <c r="R108" s="71">
        <f t="shared" si="44"/>
        <v>521.70000000000005</v>
      </c>
      <c r="S108" s="71">
        <f>S92-S107</f>
        <v>595</v>
      </c>
      <c r="T108" s="71">
        <f t="shared" si="44"/>
        <v>569.20000000000005</v>
      </c>
      <c r="U108" s="71">
        <f t="shared" si="44"/>
        <v>571.4</v>
      </c>
      <c r="V108" s="71">
        <f>V92-V107</f>
        <v>551</v>
      </c>
      <c r="W108" s="71">
        <f>W92-W107</f>
        <v>556</v>
      </c>
      <c r="X108" s="71">
        <f t="shared" si="44"/>
        <v>477.30000000000007</v>
      </c>
      <c r="Y108" s="71">
        <f t="shared" si="44"/>
        <v>286.2</v>
      </c>
      <c r="Z108" s="71">
        <f t="shared" si="44"/>
        <v>225.3</v>
      </c>
      <c r="AA108" s="71">
        <f t="shared" si="44"/>
        <v>137.80000000000001</v>
      </c>
      <c r="AB108" s="71">
        <f>AB92-AB107</f>
        <v>109.19999999999999</v>
      </c>
      <c r="AC108" s="71">
        <f>AC92-AC107</f>
        <v>109.19999999999999</v>
      </c>
      <c r="AD108" s="71">
        <f>AD92-AD107</f>
        <v>128</v>
      </c>
      <c r="AE108" s="71">
        <f>AE92-AE107</f>
        <v>129.19999999999999</v>
      </c>
      <c r="AF108" s="71">
        <f>AF92-AF107</f>
        <v>129.19999999999999</v>
      </c>
      <c r="AG108" s="101"/>
      <c r="AH108" s="48">
        <f t="shared" si="32"/>
        <v>596.40000000000009</v>
      </c>
      <c r="AI108" s="49">
        <f t="shared" si="33"/>
        <v>52.7</v>
      </c>
    </row>
    <row r="109" spans="1:64" x14ac:dyDescent="0.25">
      <c r="A109" s="113" t="s">
        <v>132</v>
      </c>
      <c r="B109" s="114">
        <v>50.052</v>
      </c>
      <c r="C109" s="114">
        <v>50.043999999999997</v>
      </c>
      <c r="D109" s="114">
        <v>50.051000000000002</v>
      </c>
      <c r="E109" s="114">
        <v>50.021000000000001</v>
      </c>
      <c r="F109" s="114">
        <v>50.021000000000001</v>
      </c>
      <c r="G109" s="114">
        <v>50.021000000000001</v>
      </c>
      <c r="H109" s="114">
        <v>50.021000000000001</v>
      </c>
      <c r="I109" s="114">
        <v>49.984000000000002</v>
      </c>
      <c r="J109" s="114">
        <v>49.991999999999997</v>
      </c>
      <c r="K109" s="114">
        <v>50.018999999999998</v>
      </c>
      <c r="L109" s="114">
        <v>49.984000000000002</v>
      </c>
      <c r="M109" s="114">
        <v>50.02</v>
      </c>
      <c r="N109" s="114">
        <v>50.067</v>
      </c>
      <c r="O109" s="114">
        <v>50.094999999999999</v>
      </c>
      <c r="P109" s="114">
        <v>49.966000000000001</v>
      </c>
      <c r="Q109" s="114">
        <v>49.93</v>
      </c>
      <c r="R109" s="114">
        <v>49.966000000000001</v>
      </c>
      <c r="S109" s="114">
        <v>49.99</v>
      </c>
      <c r="T109" s="114">
        <v>50.146000000000001</v>
      </c>
      <c r="U109" s="114">
        <v>49.96</v>
      </c>
      <c r="V109" s="114">
        <v>50.01</v>
      </c>
      <c r="W109" s="114">
        <v>50.01</v>
      </c>
      <c r="X109" s="114">
        <v>49.994999999999997</v>
      </c>
      <c r="Y109" s="114">
        <v>49.996000000000002</v>
      </c>
      <c r="Z109" s="114">
        <v>49.954999999999998</v>
      </c>
      <c r="AA109" s="114">
        <v>49.936999999999998</v>
      </c>
      <c r="AB109" s="114">
        <v>50.02</v>
      </c>
      <c r="AC109" s="114">
        <v>50.02</v>
      </c>
      <c r="AD109" s="114">
        <v>50</v>
      </c>
      <c r="AE109" s="114">
        <v>50.02</v>
      </c>
      <c r="AF109" s="114">
        <v>50.04</v>
      </c>
      <c r="AG109" s="115"/>
      <c r="AH109" s="48">
        <f t="shared" si="32"/>
        <v>50.146000000000001</v>
      </c>
      <c r="AI109" s="49">
        <f t="shared" si="33"/>
        <v>49.93</v>
      </c>
    </row>
    <row r="110" spans="1:64" x14ac:dyDescent="0.25">
      <c r="A110" s="116" t="s">
        <v>133</v>
      </c>
      <c r="B110" s="76">
        <v>124.6</v>
      </c>
      <c r="C110" s="76">
        <v>125.8</v>
      </c>
      <c r="D110" s="76">
        <v>126.8</v>
      </c>
      <c r="E110" s="76">
        <v>126</v>
      </c>
      <c r="F110" s="76">
        <v>126</v>
      </c>
      <c r="G110" s="76">
        <v>125.2</v>
      </c>
      <c r="H110" s="76">
        <v>125.2</v>
      </c>
      <c r="I110" s="76">
        <v>121.1</v>
      </c>
      <c r="J110" s="76">
        <v>123.8</v>
      </c>
      <c r="K110" s="76">
        <v>124.3</v>
      </c>
      <c r="L110" s="76">
        <v>124.6</v>
      </c>
      <c r="M110" s="76">
        <v>124.2</v>
      </c>
      <c r="N110" s="76">
        <v>124</v>
      </c>
      <c r="O110" s="76">
        <v>127</v>
      </c>
      <c r="P110" s="76">
        <v>125.5</v>
      </c>
      <c r="Q110" s="76">
        <v>124.7</v>
      </c>
      <c r="R110" s="76">
        <v>126.6</v>
      </c>
      <c r="S110" s="76">
        <v>126.6</v>
      </c>
      <c r="T110" s="76">
        <v>125.4</v>
      </c>
      <c r="U110" s="76">
        <v>125.6</v>
      </c>
      <c r="V110" s="76">
        <v>127</v>
      </c>
      <c r="W110" s="76">
        <v>127</v>
      </c>
      <c r="X110" s="76">
        <v>128.19999999999999</v>
      </c>
      <c r="Y110" s="76">
        <v>129.19999999999999</v>
      </c>
      <c r="Z110" s="76">
        <v>128.19999999999999</v>
      </c>
      <c r="AA110" s="76">
        <v>125.1</v>
      </c>
      <c r="AB110" s="76">
        <v>125.1</v>
      </c>
      <c r="AC110" s="76">
        <v>125.1</v>
      </c>
      <c r="AD110" s="76">
        <v>126.9</v>
      </c>
      <c r="AE110" s="76">
        <v>126.8</v>
      </c>
      <c r="AF110" s="76">
        <v>126.6</v>
      </c>
      <c r="AG110" s="117"/>
      <c r="AH110" s="48">
        <f t="shared" si="32"/>
        <v>129.19999999999999</v>
      </c>
      <c r="AI110" s="49">
        <f t="shared" si="33"/>
        <v>121.1</v>
      </c>
    </row>
    <row r="111" spans="1:64" x14ac:dyDescent="0.25">
      <c r="A111" s="116" t="s">
        <v>134</v>
      </c>
      <c r="B111" s="76">
        <v>129.4</v>
      </c>
      <c r="C111" s="76">
        <v>130.4</v>
      </c>
      <c r="D111" s="76">
        <v>131</v>
      </c>
      <c r="E111" s="76">
        <v>130.9</v>
      </c>
      <c r="F111" s="76">
        <v>130.9</v>
      </c>
      <c r="G111" s="76">
        <v>129.4</v>
      </c>
      <c r="H111" s="76">
        <v>129.4</v>
      </c>
      <c r="I111" s="76">
        <v>126.1</v>
      </c>
      <c r="J111" s="76">
        <v>126.8</v>
      </c>
      <c r="K111" s="76">
        <v>127.4</v>
      </c>
      <c r="L111" s="76">
        <v>127.3</v>
      </c>
      <c r="M111" s="76">
        <v>126.8</v>
      </c>
      <c r="N111" s="76">
        <v>126.3</v>
      </c>
      <c r="O111" s="76">
        <v>124.4</v>
      </c>
      <c r="P111" s="76">
        <v>124.7</v>
      </c>
      <c r="Q111" s="76">
        <v>124.8</v>
      </c>
      <c r="R111" s="76">
        <v>125.4</v>
      </c>
      <c r="S111" s="76">
        <v>125.4</v>
      </c>
      <c r="T111" s="76">
        <v>124</v>
      </c>
      <c r="U111" s="76">
        <v>124</v>
      </c>
      <c r="V111" s="76">
        <v>129</v>
      </c>
      <c r="W111" s="76">
        <v>129</v>
      </c>
      <c r="X111" s="76">
        <v>130.1</v>
      </c>
      <c r="Y111" s="76">
        <v>131.5</v>
      </c>
      <c r="Z111" s="76">
        <v>130.4</v>
      </c>
      <c r="AA111" s="76">
        <v>127.8</v>
      </c>
      <c r="AB111" s="76">
        <v>127.8</v>
      </c>
      <c r="AC111" s="76">
        <v>127.8</v>
      </c>
      <c r="AD111" s="76">
        <v>130.30000000000001</v>
      </c>
      <c r="AE111" s="76">
        <v>130.19999999999999</v>
      </c>
      <c r="AF111" s="76">
        <v>130.5</v>
      </c>
      <c r="AG111" s="117"/>
      <c r="AH111" s="48">
        <f t="shared" si="32"/>
        <v>131.5</v>
      </c>
      <c r="AI111" s="49">
        <f t="shared" si="33"/>
        <v>124</v>
      </c>
    </row>
    <row r="112" spans="1:64" x14ac:dyDescent="0.25">
      <c r="A112" s="116" t="s">
        <v>135</v>
      </c>
      <c r="B112" s="76">
        <v>133.1</v>
      </c>
      <c r="C112" s="76">
        <v>133.1</v>
      </c>
      <c r="D112" s="76">
        <v>132.4</v>
      </c>
      <c r="E112" s="76">
        <v>132.30000000000001</v>
      </c>
      <c r="F112" s="76">
        <v>132.30000000000001</v>
      </c>
      <c r="G112" s="76">
        <v>130.69999999999999</v>
      </c>
      <c r="H112" s="76">
        <v>130.69999999999999</v>
      </c>
      <c r="I112" s="76">
        <v>127.7</v>
      </c>
      <c r="J112" s="76">
        <v>129.69999999999999</v>
      </c>
      <c r="K112" s="76">
        <v>132.80000000000001</v>
      </c>
      <c r="L112" s="76">
        <v>131.19999999999999</v>
      </c>
      <c r="M112" s="76">
        <v>131.19999999999999</v>
      </c>
      <c r="N112" s="76">
        <v>130.4</v>
      </c>
      <c r="O112" s="76">
        <v>128.69999999999999</v>
      </c>
      <c r="P112" s="76">
        <v>128.5</v>
      </c>
      <c r="Q112" s="76">
        <v>129.19999999999999</v>
      </c>
      <c r="R112" s="76">
        <v>126.8</v>
      </c>
      <c r="S112" s="76">
        <v>126.8</v>
      </c>
      <c r="T112" s="76">
        <v>129.30000000000001</v>
      </c>
      <c r="U112" s="76">
        <v>131</v>
      </c>
      <c r="V112" s="76">
        <v>131</v>
      </c>
      <c r="W112" s="76">
        <v>131</v>
      </c>
      <c r="X112" s="76">
        <v>132.4</v>
      </c>
      <c r="Y112" s="76">
        <v>130.80000000000001</v>
      </c>
      <c r="Z112" s="76">
        <v>126.9</v>
      </c>
      <c r="AA112" s="76">
        <v>129.19999999999999</v>
      </c>
      <c r="AB112" s="76">
        <v>129.19999999999999</v>
      </c>
      <c r="AC112" s="76">
        <v>129.19999999999999</v>
      </c>
      <c r="AD112" s="76">
        <v>129.5</v>
      </c>
      <c r="AE112" s="76">
        <v>129.5</v>
      </c>
      <c r="AF112" s="76">
        <v>130.6</v>
      </c>
      <c r="AG112" s="117"/>
      <c r="AH112" s="48">
        <f t="shared" si="32"/>
        <v>133.1</v>
      </c>
      <c r="AI112" s="49">
        <f t="shared" si="33"/>
        <v>126.8</v>
      </c>
    </row>
    <row r="113" spans="1:35" x14ac:dyDescent="0.25">
      <c r="A113" s="118" t="s">
        <v>136</v>
      </c>
      <c r="B113" s="76">
        <v>133</v>
      </c>
      <c r="C113" s="76">
        <v>133</v>
      </c>
      <c r="D113" s="76">
        <v>132.80000000000001</v>
      </c>
      <c r="E113" s="76">
        <v>133.9</v>
      </c>
      <c r="F113" s="76">
        <v>133.9</v>
      </c>
      <c r="G113" s="76">
        <v>132.6</v>
      </c>
      <c r="H113" s="76">
        <v>132.6</v>
      </c>
      <c r="I113" s="76">
        <v>129.19999999999999</v>
      </c>
      <c r="J113" s="76">
        <v>132.4</v>
      </c>
      <c r="K113" s="76">
        <v>134.30000000000001</v>
      </c>
      <c r="L113" s="76">
        <v>134.4</v>
      </c>
      <c r="M113" s="76">
        <v>131.9</v>
      </c>
      <c r="N113" s="76">
        <v>130.4</v>
      </c>
      <c r="O113" s="76">
        <v>127</v>
      </c>
      <c r="P113" s="76">
        <v>128.9</v>
      </c>
      <c r="Q113" s="76">
        <v>129.69999999999999</v>
      </c>
      <c r="R113" s="76">
        <v>130.4</v>
      </c>
      <c r="S113" s="76">
        <v>130.4</v>
      </c>
      <c r="T113" s="76">
        <v>129.4</v>
      </c>
      <c r="U113" s="76">
        <v>131</v>
      </c>
      <c r="V113" s="76">
        <v>131</v>
      </c>
      <c r="W113" s="76">
        <v>131</v>
      </c>
      <c r="X113" s="76">
        <v>131.9</v>
      </c>
      <c r="Y113" s="76">
        <v>131.19999999999999</v>
      </c>
      <c r="Z113" s="76">
        <v>127.3</v>
      </c>
      <c r="AA113" s="76">
        <v>129.5</v>
      </c>
      <c r="AB113" s="76">
        <v>129.5</v>
      </c>
      <c r="AC113" s="76">
        <v>129.5</v>
      </c>
      <c r="AD113" s="76">
        <v>129.9</v>
      </c>
      <c r="AE113" s="76">
        <v>129.9</v>
      </c>
      <c r="AF113" s="76">
        <v>131.9</v>
      </c>
      <c r="AG113" s="117"/>
      <c r="AH113" s="48">
        <f t="shared" si="32"/>
        <v>134.4</v>
      </c>
      <c r="AI113" s="49">
        <f t="shared" si="33"/>
        <v>127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32"/>
        <v>0</v>
      </c>
      <c r="AI114" s="49">
        <f t="shared" si="33"/>
        <v>0</v>
      </c>
    </row>
    <row r="115" spans="1:35" x14ac:dyDescent="0.25">
      <c r="A115" s="116" t="s">
        <v>138</v>
      </c>
      <c r="B115" s="76">
        <v>132.69999999999999</v>
      </c>
      <c r="C115" s="76">
        <v>132.69999999999999</v>
      </c>
      <c r="D115" s="76">
        <v>132.30000000000001</v>
      </c>
      <c r="E115" s="76">
        <v>131.30000000000001</v>
      </c>
      <c r="F115" s="76">
        <v>131.30000000000001</v>
      </c>
      <c r="G115" s="76">
        <v>128.5</v>
      </c>
      <c r="H115" s="76">
        <v>128.5</v>
      </c>
      <c r="I115" s="76">
        <v>121.4</v>
      </c>
      <c r="J115" s="76">
        <v>128.80000000000001</v>
      </c>
      <c r="K115" s="76">
        <v>125.8</v>
      </c>
      <c r="L115" s="76">
        <v>124.4</v>
      </c>
      <c r="M115" s="76">
        <v>124.9</v>
      </c>
      <c r="N115" s="76">
        <v>128.4</v>
      </c>
      <c r="O115" s="76">
        <v>126.1</v>
      </c>
      <c r="P115" s="76">
        <v>124.2</v>
      </c>
      <c r="Q115" s="76">
        <v>129</v>
      </c>
      <c r="R115" s="76">
        <v>131.30000000000001</v>
      </c>
      <c r="S115" s="76">
        <v>131.30000000000001</v>
      </c>
      <c r="T115" s="76">
        <v>120.9</v>
      </c>
      <c r="U115" s="76">
        <v>125.7</v>
      </c>
      <c r="V115" s="76">
        <v>126</v>
      </c>
      <c r="W115" s="76">
        <v>126</v>
      </c>
      <c r="X115" s="76">
        <v>134.9</v>
      </c>
      <c r="Y115" s="76">
        <v>131.4</v>
      </c>
      <c r="Z115" s="76">
        <v>129.69999999999999</v>
      </c>
      <c r="AA115" s="76">
        <v>120</v>
      </c>
      <c r="AB115" s="76">
        <v>120</v>
      </c>
      <c r="AC115" s="76">
        <v>120</v>
      </c>
      <c r="AD115" s="76">
        <v>127.2</v>
      </c>
      <c r="AE115" s="76">
        <v>127.2</v>
      </c>
      <c r="AF115" s="76">
        <v>131</v>
      </c>
      <c r="AG115" s="117"/>
      <c r="AH115" s="48">
        <f t="shared" si="32"/>
        <v>134.9</v>
      </c>
      <c r="AI115" s="49">
        <f t="shared" si="33"/>
        <v>120</v>
      </c>
    </row>
    <row r="116" spans="1:35" ht="15.75" thickBot="1" x14ac:dyDescent="0.3">
      <c r="A116" s="116" t="s">
        <v>139</v>
      </c>
      <c r="B116" s="105">
        <v>64.900000000000006</v>
      </c>
      <c r="C116" s="105">
        <v>64.900000000000006</v>
      </c>
      <c r="D116" s="105">
        <v>65.900000000000006</v>
      </c>
      <c r="E116" s="105">
        <v>65.7</v>
      </c>
      <c r="F116" s="105">
        <v>65.7</v>
      </c>
      <c r="G116" s="105">
        <v>64.7</v>
      </c>
      <c r="H116" s="105">
        <v>64.7</v>
      </c>
      <c r="I116" s="105">
        <v>63.3</v>
      </c>
      <c r="J116" s="105">
        <v>63.4</v>
      </c>
      <c r="K116" s="105">
        <v>64.3</v>
      </c>
      <c r="L116" s="105">
        <v>64</v>
      </c>
      <c r="M116" s="105">
        <v>63.8</v>
      </c>
      <c r="N116" s="105">
        <v>63.7</v>
      </c>
      <c r="O116" s="105">
        <v>64</v>
      </c>
      <c r="P116" s="105">
        <v>63.1</v>
      </c>
      <c r="Q116" s="105">
        <v>63.4</v>
      </c>
      <c r="R116" s="105">
        <v>63.7</v>
      </c>
      <c r="S116" s="105">
        <v>63.7</v>
      </c>
      <c r="T116" s="105">
        <v>63</v>
      </c>
      <c r="U116" s="105">
        <v>62.8</v>
      </c>
      <c r="V116" s="105">
        <v>65</v>
      </c>
      <c r="W116" s="105">
        <v>65</v>
      </c>
      <c r="X116" s="105">
        <v>65.099999999999994</v>
      </c>
      <c r="Y116" s="105">
        <v>65.8</v>
      </c>
      <c r="Z116" s="105">
        <v>65.3</v>
      </c>
      <c r="AA116" s="105">
        <v>64</v>
      </c>
      <c r="AB116" s="105">
        <v>64</v>
      </c>
      <c r="AC116" s="105">
        <v>64</v>
      </c>
      <c r="AD116" s="105">
        <v>65.2</v>
      </c>
      <c r="AE116" s="105">
        <v>65.2</v>
      </c>
      <c r="AF116" s="105">
        <v>65.599999999999994</v>
      </c>
      <c r="AG116" s="121"/>
      <c r="AH116" s="48">
        <f t="shared" si="32"/>
        <v>65.900000000000006</v>
      </c>
      <c r="AI116" s="49">
        <f t="shared" si="33"/>
        <v>62.8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2"/>
        <v>0</v>
      </c>
      <c r="AI117" s="49">
        <f t="shared" si="33"/>
        <v>0</v>
      </c>
    </row>
    <row r="118" spans="1:35" ht="15.75" thickBot="1" x14ac:dyDescent="0.3">
      <c r="A118" s="123" t="s">
        <v>141</v>
      </c>
      <c r="B118" s="124">
        <f t="shared" ref="B118:O118" si="45">SUM(B22,B28,B31:B32,B66,B68:B69,B71,B73,B119:B123,B155,B161,B167,B176,B178,B190,B197,B200:B201,B208,B210,B212,B216:B218,B220:B222,B227,B233:B234,B236:B238,B246,B251)</f>
        <v>110.24000000000001</v>
      </c>
      <c r="C118" s="124">
        <f t="shared" si="45"/>
        <v>100.74000000000001</v>
      </c>
      <c r="D118" s="124">
        <f t="shared" si="45"/>
        <v>96.140000000000015</v>
      </c>
      <c r="E118" s="124">
        <f t="shared" si="45"/>
        <v>88.839999999999989</v>
      </c>
      <c r="F118" s="124">
        <f t="shared" si="45"/>
        <v>116.83999999999999</v>
      </c>
      <c r="G118" s="124">
        <f t="shared" si="45"/>
        <v>137.73000000000002</v>
      </c>
      <c r="H118" s="124">
        <f t="shared" si="45"/>
        <v>164.14</v>
      </c>
      <c r="I118" s="124">
        <f t="shared" si="45"/>
        <v>187.73999999999998</v>
      </c>
      <c r="J118" s="124">
        <f t="shared" si="45"/>
        <v>212.24</v>
      </c>
      <c r="K118" s="124">
        <f t="shared" si="45"/>
        <v>235.44</v>
      </c>
      <c r="L118" s="124">
        <f t="shared" si="45"/>
        <v>253.17999999999998</v>
      </c>
      <c r="M118" s="124">
        <f t="shared" si="45"/>
        <v>258.44</v>
      </c>
      <c r="N118" s="124">
        <f t="shared" si="45"/>
        <v>265.94</v>
      </c>
      <c r="O118" s="124">
        <f t="shared" si="45"/>
        <v>260.24</v>
      </c>
      <c r="P118" s="124">
        <v>42</v>
      </c>
      <c r="Q118" s="124">
        <f t="shared" ref="Q118:X118" si="46">SUM(Q22,Q28,Q31:Q32,Q66,Q68:Q69,Q71,Q73,Q119:Q123,Q155,Q161,Q167,Q176,Q178,Q190,Q197,Q200:Q201,Q208,Q210,Q212,Q216:Q218,Q220:Q222,Q227,Q233:Q234,Q236:Q238,Q246,Q251)</f>
        <v>244.54</v>
      </c>
      <c r="R118" s="124">
        <f t="shared" si="46"/>
        <v>244.33999999999997</v>
      </c>
      <c r="S118" s="124">
        <f>SUM(S22,S28,S31:S32,S66,S68:S69,S71,S73,S119:S123,S155,S161,S167,S176,S178,S190,S197,S200:S201,S208,S210,S212,S216:S218,S220:S222,S227,S233:S234,S236:S238,S246,S251)</f>
        <v>242.84</v>
      </c>
      <c r="T118" s="124">
        <f t="shared" si="46"/>
        <v>239.74000000000004</v>
      </c>
      <c r="U118" s="124">
        <f t="shared" si="46"/>
        <v>253.74</v>
      </c>
      <c r="V118" s="124">
        <f>SUM(V22,V28,V31:V32,V66,V68:V69,V71,V73,V119:V123,V155,V161,V167,V176,V178,V190,V197,V200:V201,V208,V210,V212,V216:V218,V220:V222,V227,V233:V234,V236:V238,V246,V251)</f>
        <v>248.94</v>
      </c>
      <c r="W118" s="124">
        <f>SUM(W22,W28,W31:W32,W66,W68:W69,W71,W73,W119:W123,W155,W161,W167,W176,W178,W190,W197,W200:W201,W208,W210,W212,W216:W218,W220:W222,W227,W233:W234,W236:W238,W246,W251)</f>
        <v>248.94</v>
      </c>
      <c r="X118" s="124">
        <f t="shared" si="46"/>
        <v>242.74</v>
      </c>
      <c r="Y118" s="124">
        <f>SUM(Y20,Y26,Y37:Y38,Y66,Y68:Y69,Y71,Y73,Y119:Y123,Y148,Y154,Y160,Y169,Y171,Y183,Y190,Y193:Y194,Y201,Y203,Y205,Y209:Y211,Y213:Y215,Y220,Y226:Y227,Y229:Y231,Y239,Y244)</f>
        <v>288</v>
      </c>
      <c r="Z118" s="124">
        <f>SUM(Z20,Z26,Z37:Z38,Z66,Z68:Z69,Z71,Z73,Z119:Z123,Z148,Z154,Z160,Z169,Z171,Z183,Z190,Z193:Z194,Z201,Z203,Z205,Z209:Z211,Z213:Z215,Z220,Z226:Z227,Z229:Z231,Z239,Z244)</f>
        <v>315.70000000000005</v>
      </c>
      <c r="AA118" s="124">
        <f t="shared" ref="AA118:AF118" si="47">SUM(AA22,AA28,AA31:AA32,AA66,AA68:AA69,AA71,AA73,AA119:AA123,AA155,AA161,AA167,AA176,AA178,AA190,AA197,AA200:AA201,AA208,AA210,AA212,AA216:AA218,AA220:AA222,AA227,AA233:AA234,AA236:AA238,AA246,AA251)</f>
        <v>300.54000000000002</v>
      </c>
      <c r="AB118" s="124">
        <f t="shared" si="47"/>
        <v>312.33999999999997</v>
      </c>
      <c r="AC118" s="124">
        <f t="shared" si="47"/>
        <v>312.33999999999997</v>
      </c>
      <c r="AD118" s="124">
        <f t="shared" si="47"/>
        <v>272.74</v>
      </c>
      <c r="AE118" s="124">
        <f t="shared" si="47"/>
        <v>202.94</v>
      </c>
      <c r="AF118" s="124">
        <f t="shared" si="47"/>
        <v>167.94</v>
      </c>
      <c r="AG118" s="125"/>
      <c r="AH118" s="48">
        <f t="shared" si="32"/>
        <v>315.70000000000005</v>
      </c>
      <c r="AI118" s="49">
        <f t="shared" si="33"/>
        <v>42</v>
      </c>
    </row>
    <row r="119" spans="1:35" x14ac:dyDescent="0.25">
      <c r="A119" s="126" t="s">
        <v>142</v>
      </c>
      <c r="B119" s="127">
        <v>41.6</v>
      </c>
      <c r="C119" s="127">
        <v>24.2</v>
      </c>
      <c r="D119" s="127">
        <v>26.6</v>
      </c>
      <c r="E119" s="127">
        <v>22.9</v>
      </c>
      <c r="F119" s="127">
        <v>21</v>
      </c>
      <c r="G119" s="127">
        <v>21.2</v>
      </c>
      <c r="H119" s="127">
        <v>26</v>
      </c>
      <c r="I119" s="127">
        <v>31.1</v>
      </c>
      <c r="J119" s="127">
        <v>20.100000000000001</v>
      </c>
      <c r="K119" s="127">
        <v>22.2</v>
      </c>
      <c r="L119" s="127">
        <v>14.8</v>
      </c>
      <c r="M119" s="127">
        <v>22.8</v>
      </c>
      <c r="N119" s="127">
        <v>27.5</v>
      </c>
      <c r="O119" s="127">
        <v>28.9</v>
      </c>
      <c r="P119" s="127">
        <v>50.5</v>
      </c>
      <c r="Q119" s="127">
        <v>38</v>
      </c>
      <c r="R119" s="127">
        <v>48.2</v>
      </c>
      <c r="S119" s="127">
        <v>43</v>
      </c>
      <c r="T119" s="127">
        <v>39.200000000000003</v>
      </c>
      <c r="U119" s="127">
        <v>47.3</v>
      </c>
      <c r="V119" s="127">
        <v>15</v>
      </c>
      <c r="W119" s="127">
        <v>15</v>
      </c>
      <c r="X119" s="127">
        <v>20.7</v>
      </c>
      <c r="Y119" s="127">
        <v>42.7</v>
      </c>
      <c r="Z119" s="127">
        <v>33.799999999999997</v>
      </c>
      <c r="AA119" s="127">
        <v>21.9</v>
      </c>
      <c r="AB119" s="127">
        <v>20.3</v>
      </c>
      <c r="AC119" s="127">
        <v>20.3</v>
      </c>
      <c r="AD119" s="127">
        <v>28.5</v>
      </c>
      <c r="AE119" s="127">
        <v>33.299999999999997</v>
      </c>
      <c r="AF119" s="127">
        <v>31.7</v>
      </c>
      <c r="AG119" s="128">
        <v>75</v>
      </c>
      <c r="AH119" s="48">
        <f t="shared" si="32"/>
        <v>50.5</v>
      </c>
      <c r="AI119" s="49">
        <f t="shared" si="33"/>
        <v>14.8</v>
      </c>
    </row>
    <row r="120" spans="1:35" x14ac:dyDescent="0.25">
      <c r="A120" s="129" t="s">
        <v>143</v>
      </c>
      <c r="B120" s="130">
        <v>65.900000000000006</v>
      </c>
      <c r="C120" s="130">
        <v>42.8</v>
      </c>
      <c r="D120" s="130">
        <v>46.4</v>
      </c>
      <c r="E120" s="130">
        <v>42.9</v>
      </c>
      <c r="F120" s="130">
        <v>40.299999999999997</v>
      </c>
      <c r="G120" s="130">
        <v>37.89</v>
      </c>
      <c r="H120" s="130">
        <v>40</v>
      </c>
      <c r="I120" s="130">
        <v>46</v>
      </c>
      <c r="J120" s="130">
        <v>28.9</v>
      </c>
      <c r="K120" s="130">
        <v>29.3</v>
      </c>
      <c r="L120" s="130">
        <v>18.3</v>
      </c>
      <c r="M120" s="130">
        <v>27.3</v>
      </c>
      <c r="N120" s="130">
        <v>35.9</v>
      </c>
      <c r="O120" s="130">
        <v>36.200000000000003</v>
      </c>
      <c r="P120" s="130">
        <v>4.5999999999999996</v>
      </c>
      <c r="Q120" s="130">
        <v>-1.9</v>
      </c>
      <c r="R120" s="130">
        <v>6.9</v>
      </c>
      <c r="S120" s="130">
        <v>2</v>
      </c>
      <c r="T120" s="130">
        <v>-1.6</v>
      </c>
      <c r="U120" s="130">
        <v>4.4000000000000004</v>
      </c>
      <c r="V120" s="130">
        <v>24</v>
      </c>
      <c r="W120" s="130">
        <v>24</v>
      </c>
      <c r="X120" s="130">
        <v>30.4</v>
      </c>
      <c r="Y120" s="130">
        <v>62.5</v>
      </c>
      <c r="Z120" s="130">
        <v>50.1</v>
      </c>
      <c r="AA120" s="130">
        <v>30.4</v>
      </c>
      <c r="AB120" s="130">
        <v>29.1</v>
      </c>
      <c r="AC120" s="130">
        <v>29.1</v>
      </c>
      <c r="AD120" s="130">
        <v>42.2</v>
      </c>
      <c r="AE120" s="130">
        <v>47.6</v>
      </c>
      <c r="AF120" s="130">
        <v>45.3</v>
      </c>
      <c r="AG120" s="128">
        <v>240</v>
      </c>
      <c r="AH120" s="48">
        <f t="shared" si="32"/>
        <v>65.900000000000006</v>
      </c>
      <c r="AI120" s="49">
        <f t="shared" si="33"/>
        <v>-1.9</v>
      </c>
    </row>
    <row r="121" spans="1:35" x14ac:dyDescent="0.25">
      <c r="A121" s="129" t="s">
        <v>144</v>
      </c>
      <c r="B121" s="130">
        <v>-128</v>
      </c>
      <c r="C121" s="130">
        <v>-110</v>
      </c>
      <c r="D121" s="130">
        <v>-112</v>
      </c>
      <c r="E121" s="130">
        <v>-112.3</v>
      </c>
      <c r="F121" s="130">
        <v>-92.3</v>
      </c>
      <c r="G121" s="130">
        <v>-82.9</v>
      </c>
      <c r="H121" s="130">
        <v>-62.5</v>
      </c>
      <c r="I121" s="130">
        <v>-58.4</v>
      </c>
      <c r="J121" s="130">
        <v>-28.5</v>
      </c>
      <c r="K121" s="130">
        <v>-17.2</v>
      </c>
      <c r="L121" s="130">
        <v>-6.8</v>
      </c>
      <c r="M121" s="130">
        <f>-4.5-5.7</f>
        <v>-10.199999999999999</v>
      </c>
      <c r="N121" s="130">
        <f>-6.9-7.9</f>
        <v>-14.8</v>
      </c>
      <c r="O121" s="130">
        <f>-11-13</f>
        <v>-24</v>
      </c>
      <c r="P121" s="130">
        <f>-29.8-33</f>
        <v>-62.8</v>
      </c>
      <c r="Q121" s="130">
        <f>-25-29</f>
        <v>-54</v>
      </c>
      <c r="R121" s="130">
        <f>-29-33</f>
        <v>-62</v>
      </c>
      <c r="S121" s="130">
        <v>-66</v>
      </c>
      <c r="T121" s="130">
        <v>-60</v>
      </c>
      <c r="U121" s="130">
        <v>-59</v>
      </c>
      <c r="V121" s="130">
        <v>-15</v>
      </c>
      <c r="W121" s="130">
        <v>-15</v>
      </c>
      <c r="X121" s="130">
        <v>-15.6</v>
      </c>
      <c r="Y121" s="130">
        <v>-56</v>
      </c>
      <c r="Z121" s="130">
        <v>-30</v>
      </c>
      <c r="AA121" s="130">
        <v>-33.799999999999997</v>
      </c>
      <c r="AB121" s="130">
        <v>0</v>
      </c>
      <c r="AC121" s="130">
        <v>0</v>
      </c>
      <c r="AD121" s="130">
        <v>-25</v>
      </c>
      <c r="AE121" s="130">
        <v>-60</v>
      </c>
      <c r="AF121" s="130">
        <v>-70.099999999999994</v>
      </c>
      <c r="AG121" s="128">
        <v>240</v>
      </c>
      <c r="AH121" s="48">
        <f t="shared" si="32"/>
        <v>0</v>
      </c>
      <c r="AI121" s="49">
        <f t="shared" si="33"/>
        <v>-128</v>
      </c>
    </row>
    <row r="122" spans="1:35" ht="15.75" thickBot="1" x14ac:dyDescent="0.3">
      <c r="A122" s="129" t="s">
        <v>145</v>
      </c>
      <c r="B122" s="130">
        <v>-11</v>
      </c>
      <c r="C122" s="130">
        <v>-10</v>
      </c>
      <c r="D122" s="130">
        <v>-8.6</v>
      </c>
      <c r="E122" s="130">
        <v>-8.9</v>
      </c>
      <c r="F122" s="130">
        <v>-1</v>
      </c>
      <c r="G122" s="130">
        <v>-0.3</v>
      </c>
      <c r="H122" s="130">
        <v>1</v>
      </c>
      <c r="I122" s="130">
        <v>-3.7</v>
      </c>
      <c r="J122" s="130">
        <v>1.6</v>
      </c>
      <c r="K122" s="130">
        <v>3.7</v>
      </c>
      <c r="L122" s="130">
        <v>9.74</v>
      </c>
      <c r="M122" s="130">
        <v>4.0999999999999996</v>
      </c>
      <c r="N122" s="130">
        <v>7.1</v>
      </c>
      <c r="O122" s="130">
        <v>10.5</v>
      </c>
      <c r="P122" s="130">
        <v>22.9</v>
      </c>
      <c r="Q122" s="130">
        <v>21.4</v>
      </c>
      <c r="R122" s="130">
        <v>20.7</v>
      </c>
      <c r="S122" s="130">
        <v>22</v>
      </c>
      <c r="T122" s="130">
        <v>21.5</v>
      </c>
      <c r="U122" s="130">
        <v>23</v>
      </c>
      <c r="V122" s="130">
        <v>19</v>
      </c>
      <c r="W122" s="130">
        <v>19</v>
      </c>
      <c r="X122" s="130">
        <v>18.100000000000001</v>
      </c>
      <c r="Y122" s="130">
        <v>15.5</v>
      </c>
      <c r="Z122" s="130">
        <v>19.399999999999999</v>
      </c>
      <c r="AA122" s="130">
        <v>48.6</v>
      </c>
      <c r="AB122" s="130">
        <v>44.7</v>
      </c>
      <c r="AC122" s="130">
        <v>44.7</v>
      </c>
      <c r="AD122" s="130">
        <v>36.9</v>
      </c>
      <c r="AE122" s="130">
        <v>29.5</v>
      </c>
      <c r="AF122" s="130">
        <v>25.2</v>
      </c>
      <c r="AG122" s="128">
        <v>60</v>
      </c>
      <c r="AH122" s="48">
        <f t="shared" si="32"/>
        <v>48.6</v>
      </c>
      <c r="AI122" s="49">
        <f t="shared" si="33"/>
        <v>-11</v>
      </c>
    </row>
    <row r="123" spans="1:35" x14ac:dyDescent="0.25">
      <c r="A123" s="126" t="s">
        <v>146</v>
      </c>
      <c r="B123" s="131">
        <v>25</v>
      </c>
      <c r="C123" s="131">
        <v>37</v>
      </c>
      <c r="D123" s="131">
        <v>27</v>
      </c>
      <c r="E123" s="131">
        <v>35.9</v>
      </c>
      <c r="F123" s="131">
        <v>40.5</v>
      </c>
      <c r="G123" s="131">
        <v>53.5</v>
      </c>
      <c r="H123" s="131">
        <v>63.6</v>
      </c>
      <c r="I123" s="131">
        <v>76.8</v>
      </c>
      <c r="J123" s="131">
        <v>93.3</v>
      </c>
      <c r="K123" s="131">
        <v>102.2</v>
      </c>
      <c r="L123" s="131">
        <v>121.9</v>
      </c>
      <c r="M123" s="131">
        <v>114.9</v>
      </c>
      <c r="N123" s="131">
        <v>109.8</v>
      </c>
      <c r="O123" s="131">
        <v>106.7</v>
      </c>
      <c r="P123" s="131">
        <v>128</v>
      </c>
      <c r="Q123" s="131">
        <v>138.9</v>
      </c>
      <c r="R123" s="131">
        <v>117.6</v>
      </c>
      <c r="S123" s="131">
        <v>135</v>
      </c>
      <c r="T123" s="131">
        <v>139.30000000000001</v>
      </c>
      <c r="U123" s="131">
        <v>137.1</v>
      </c>
      <c r="V123" s="131">
        <v>105</v>
      </c>
      <c r="W123" s="131">
        <v>105</v>
      </c>
      <c r="X123" s="131">
        <v>94</v>
      </c>
      <c r="Y123" s="131">
        <v>112.1</v>
      </c>
      <c r="Z123" s="131">
        <v>130.9</v>
      </c>
      <c r="AA123" s="131">
        <v>139.4</v>
      </c>
      <c r="AB123" s="131">
        <v>124.2</v>
      </c>
      <c r="AC123" s="131">
        <v>124.2</v>
      </c>
      <c r="AD123" s="131">
        <v>96.1</v>
      </c>
      <c r="AE123" s="131">
        <v>58.5</v>
      </c>
      <c r="AF123" s="131">
        <v>41.8</v>
      </c>
      <c r="AG123" s="132">
        <v>120</v>
      </c>
      <c r="AH123" s="48">
        <f t="shared" si="32"/>
        <v>139.4</v>
      </c>
      <c r="AI123" s="49">
        <f t="shared" si="33"/>
        <v>25</v>
      </c>
    </row>
    <row r="124" spans="1:35" x14ac:dyDescent="0.25">
      <c r="A124" s="129" t="s">
        <v>147</v>
      </c>
      <c r="B124" s="131">
        <v>48</v>
      </c>
      <c r="C124" s="131">
        <v>56</v>
      </c>
      <c r="D124" s="131">
        <v>48</v>
      </c>
      <c r="E124" s="131">
        <v>52.3</v>
      </c>
      <c r="F124" s="131">
        <v>53</v>
      </c>
      <c r="G124" s="131">
        <v>59.33</v>
      </c>
      <c r="H124" s="131">
        <v>66.3</v>
      </c>
      <c r="I124" s="131">
        <v>71.599999999999994</v>
      </c>
      <c r="J124" s="131">
        <v>78.8</v>
      </c>
      <c r="K124" s="131">
        <v>77.2</v>
      </c>
      <c r="L124" s="131">
        <v>81.7</v>
      </c>
      <c r="M124" s="131">
        <v>89.2</v>
      </c>
      <c r="N124" s="131">
        <v>86.2</v>
      </c>
      <c r="O124" s="131">
        <v>85</v>
      </c>
      <c r="P124" s="131">
        <v>93.6</v>
      </c>
      <c r="Q124" s="131">
        <v>98.8</v>
      </c>
      <c r="R124" s="131">
        <v>88.4</v>
      </c>
      <c r="S124" s="131">
        <v>93</v>
      </c>
      <c r="T124" s="131">
        <v>98</v>
      </c>
      <c r="U124" s="131">
        <v>95.9</v>
      </c>
      <c r="V124" s="131">
        <v>78</v>
      </c>
      <c r="W124" s="131">
        <v>78</v>
      </c>
      <c r="X124" s="131">
        <v>75.099999999999994</v>
      </c>
      <c r="Y124" s="131">
        <v>82.8</v>
      </c>
      <c r="Z124" s="131">
        <v>91.3</v>
      </c>
      <c r="AA124" s="131">
        <v>95.7</v>
      </c>
      <c r="AB124" s="131">
        <v>82.8</v>
      </c>
      <c r="AC124" s="131">
        <v>82.8</v>
      </c>
      <c r="AD124" s="131">
        <v>70.8</v>
      </c>
      <c r="AE124" s="131">
        <v>54.4</v>
      </c>
      <c r="AF124" s="131">
        <v>43.8</v>
      </c>
      <c r="AG124" s="132"/>
      <c r="AH124" s="48">
        <f t="shared" si="32"/>
        <v>98.8</v>
      </c>
      <c r="AI124" s="49">
        <f t="shared" si="33"/>
        <v>43.8</v>
      </c>
    </row>
    <row r="125" spans="1:35" x14ac:dyDescent="0.25">
      <c r="A125" s="129" t="s">
        <v>148</v>
      </c>
      <c r="B125" s="131">
        <v>8</v>
      </c>
      <c r="C125" s="131">
        <v>28</v>
      </c>
      <c r="D125" s="131">
        <v>18</v>
      </c>
      <c r="E125" s="131">
        <v>28.5</v>
      </c>
      <c r="F125" s="131">
        <v>20.3</v>
      </c>
      <c r="G125" s="131">
        <v>11.5</v>
      </c>
      <c r="H125" s="131">
        <v>6.2</v>
      </c>
      <c r="I125" s="131">
        <v>-2.2999999999999998</v>
      </c>
      <c r="J125" s="131">
        <v>1.5</v>
      </c>
      <c r="K125" s="131">
        <v>-6.3</v>
      </c>
      <c r="L125" s="131">
        <v>7.3</v>
      </c>
      <c r="M125" s="131">
        <v>-3.9</v>
      </c>
      <c r="N125" s="131">
        <v>-7.4</v>
      </c>
      <c r="O125" s="131">
        <v>-5.3</v>
      </c>
      <c r="P125" s="131">
        <v>24</v>
      </c>
      <c r="Q125" s="131">
        <v>39.6</v>
      </c>
      <c r="R125" s="131">
        <v>30.4</v>
      </c>
      <c r="S125" s="131">
        <v>30.4</v>
      </c>
      <c r="T125" s="131">
        <v>34.200000000000003</v>
      </c>
      <c r="U125" s="131">
        <v>26.4</v>
      </c>
      <c r="V125" s="131">
        <v>-12</v>
      </c>
      <c r="W125" s="131">
        <v>-12</v>
      </c>
      <c r="X125" s="131">
        <v>-18.5</v>
      </c>
      <c r="Y125" s="131">
        <v>-21.4</v>
      </c>
      <c r="Z125" s="131">
        <v>-22.6</v>
      </c>
      <c r="AA125" s="131">
        <v>-21.8</v>
      </c>
      <c r="AB125" s="131">
        <v>-19.7</v>
      </c>
      <c r="AC125" s="131">
        <v>-19.7</v>
      </c>
      <c r="AD125" s="131">
        <v>-16.899999999999999</v>
      </c>
      <c r="AE125" s="131">
        <v>-12.3</v>
      </c>
      <c r="AF125" s="131">
        <v>-8.8000000000000007</v>
      </c>
      <c r="AG125" s="132"/>
      <c r="AH125" s="48">
        <f t="shared" si="32"/>
        <v>39.6</v>
      </c>
      <c r="AI125" s="49">
        <f t="shared" si="33"/>
        <v>-22.6</v>
      </c>
    </row>
    <row r="126" spans="1:35" ht="15.75" thickBot="1" x14ac:dyDescent="0.3">
      <c r="A126" s="129" t="s">
        <v>149</v>
      </c>
      <c r="B126" s="131">
        <v>47</v>
      </c>
      <c r="C126" s="131">
        <v>60</v>
      </c>
      <c r="D126" s="131">
        <v>47</v>
      </c>
      <c r="E126" s="131">
        <v>61.1</v>
      </c>
      <c r="F126" s="131">
        <v>52</v>
      </c>
      <c r="G126" s="131">
        <v>61.5</v>
      </c>
      <c r="H126" s="131">
        <v>59</v>
      </c>
      <c r="I126" s="131">
        <v>54.5</v>
      </c>
      <c r="J126" s="131">
        <v>72.099999999999994</v>
      </c>
      <c r="K126" s="131">
        <v>81</v>
      </c>
      <c r="L126" s="131">
        <v>97.8</v>
      </c>
      <c r="M126" s="131">
        <v>87.6</v>
      </c>
      <c r="N126" s="131">
        <v>92</v>
      </c>
      <c r="O126" s="131">
        <v>86</v>
      </c>
      <c r="P126" s="131">
        <v>74.2</v>
      </c>
      <c r="Q126" s="131">
        <v>82.7</v>
      </c>
      <c r="R126" s="131">
        <v>72.099999999999994</v>
      </c>
      <c r="S126" s="131">
        <v>72.099999999999994</v>
      </c>
      <c r="T126" s="131">
        <v>84.4</v>
      </c>
      <c r="U126" s="131">
        <v>81.8</v>
      </c>
      <c r="V126" s="131">
        <v>76</v>
      </c>
      <c r="W126" s="131">
        <v>76</v>
      </c>
      <c r="X126" s="131">
        <v>67.2</v>
      </c>
      <c r="Y126" s="131">
        <v>33</v>
      </c>
      <c r="Z126" s="131">
        <v>53.2</v>
      </c>
      <c r="AA126" s="131">
        <v>93</v>
      </c>
      <c r="AB126" s="131">
        <v>76</v>
      </c>
      <c r="AC126" s="131">
        <v>76</v>
      </c>
      <c r="AD126" s="131">
        <v>66.599999999999994</v>
      </c>
      <c r="AE126" s="131">
        <v>55.4</v>
      </c>
      <c r="AF126" s="131">
        <v>50.1</v>
      </c>
      <c r="AG126" s="128"/>
      <c r="AH126" s="48">
        <f>MAX(B126:AF126)</f>
        <v>97.8</v>
      </c>
      <c r="AI126" s="49">
        <f>MIN(B126:AF126)</f>
        <v>33</v>
      </c>
    </row>
    <row r="127" spans="1:35" x14ac:dyDescent="0.25">
      <c r="A127" s="126" t="s">
        <v>150</v>
      </c>
      <c r="B127" s="131">
        <v>-140</v>
      </c>
      <c r="C127" s="131">
        <v>-119</v>
      </c>
      <c r="D127" s="131">
        <v>-127</v>
      </c>
      <c r="E127" s="131">
        <v>-105.8</v>
      </c>
      <c r="F127" s="131">
        <v>-112.3</v>
      </c>
      <c r="G127" s="131">
        <v>-117.5</v>
      </c>
      <c r="H127" s="131">
        <v>-131</v>
      </c>
      <c r="I127" s="131">
        <v>-133.30000000000001</v>
      </c>
      <c r="J127" s="131">
        <v>-40.299999999999997</v>
      </c>
      <c r="K127" s="131">
        <v>-13.2</v>
      </c>
      <c r="L127" s="131">
        <v>4.3</v>
      </c>
      <c r="M127" s="131">
        <v>-8.6</v>
      </c>
      <c r="N127" s="131">
        <v>-10</v>
      </c>
      <c r="O127" s="131">
        <v>-20.6</v>
      </c>
      <c r="P127" s="131">
        <v>-13.7</v>
      </c>
      <c r="Q127" s="131">
        <v>-43.6</v>
      </c>
      <c r="R127" s="131">
        <v>-54.1</v>
      </c>
      <c r="S127" s="131">
        <v>-54.1</v>
      </c>
      <c r="T127" s="131">
        <v>-42.4</v>
      </c>
      <c r="U127" s="131">
        <v>-42.6</v>
      </c>
      <c r="V127" s="131">
        <v>-32</v>
      </c>
      <c r="W127" s="131">
        <v>-32</v>
      </c>
      <c r="X127" s="131">
        <v>-35.6</v>
      </c>
      <c r="Y127" s="131">
        <v>-118.2</v>
      </c>
      <c r="Z127" s="131">
        <v>-140.1</v>
      </c>
      <c r="AA127" s="131">
        <v>-186.5</v>
      </c>
      <c r="AB127" s="131">
        <v>-194.6</v>
      </c>
      <c r="AC127" s="131">
        <v>-194.6</v>
      </c>
      <c r="AD127" s="131">
        <v>-178.4</v>
      </c>
      <c r="AE127" s="131">
        <v>-160</v>
      </c>
      <c r="AF127" s="131">
        <v>-158.5</v>
      </c>
      <c r="AG127" s="128"/>
      <c r="AH127" s="48">
        <f>MAX(B127:AF127)</f>
        <v>4.3</v>
      </c>
      <c r="AI127" s="49">
        <f>MIN(B127:AF127)</f>
        <v>-194.6</v>
      </c>
    </row>
    <row r="128" spans="1:35" x14ac:dyDescent="0.25">
      <c r="A128" s="129" t="s">
        <v>151</v>
      </c>
      <c r="B128" s="119">
        <v>35</v>
      </c>
      <c r="C128" s="119">
        <v>38</v>
      </c>
      <c r="D128" s="119">
        <v>42</v>
      </c>
      <c r="E128" s="119">
        <v>36</v>
      </c>
      <c r="F128" s="119">
        <v>34</v>
      </c>
      <c r="G128" s="119">
        <v>31.2</v>
      </c>
      <c r="H128" s="119">
        <v>26</v>
      </c>
      <c r="I128" s="119">
        <v>27.9</v>
      </c>
      <c r="J128" s="119">
        <v>27.1</v>
      </c>
      <c r="K128" s="119">
        <v>24.4</v>
      </c>
      <c r="L128" s="119">
        <v>33.5</v>
      </c>
      <c r="M128" s="119">
        <v>24</v>
      </c>
      <c r="N128" s="119">
        <v>22.4</v>
      </c>
      <c r="O128" s="119">
        <v>12.7</v>
      </c>
      <c r="P128" s="119">
        <v>6.1</v>
      </c>
      <c r="Q128" s="119">
        <v>5.6</v>
      </c>
      <c r="R128" s="119">
        <v>2.1</v>
      </c>
      <c r="S128" s="119">
        <v>2.1</v>
      </c>
      <c r="T128" s="119">
        <v>-2.4</v>
      </c>
      <c r="U128" s="119">
        <v>-16.600000000000001</v>
      </c>
      <c r="V128" s="119">
        <v>4</v>
      </c>
      <c r="W128" s="119">
        <v>4</v>
      </c>
      <c r="X128" s="119">
        <v>-1</v>
      </c>
      <c r="Y128" s="119">
        <v>-1.2</v>
      </c>
      <c r="Z128" s="119">
        <v>-4.3</v>
      </c>
      <c r="AA128" s="119">
        <v>-8.6</v>
      </c>
      <c r="AB128" s="119">
        <v>-8.6999999999999993</v>
      </c>
      <c r="AC128" s="119">
        <v>-8.6999999999999993</v>
      </c>
      <c r="AD128" s="119">
        <v>-4</v>
      </c>
      <c r="AE128" s="119">
        <v>-1.7</v>
      </c>
      <c r="AF128" s="119">
        <v>0</v>
      </c>
      <c r="AG128" s="128"/>
      <c r="AH128" s="48">
        <f>MAX(B128:AF128)</f>
        <v>42</v>
      </c>
      <c r="AI128" s="49">
        <f>MIN(B128:AF128)</f>
        <v>-16.600000000000001</v>
      </c>
    </row>
    <row r="129" spans="1:37" x14ac:dyDescent="0.25">
      <c r="A129" s="129" t="s">
        <v>152</v>
      </c>
      <c r="B129" s="119">
        <v>42</v>
      </c>
      <c r="C129" s="119">
        <v>34</v>
      </c>
      <c r="D129" s="119">
        <v>29</v>
      </c>
      <c r="E129" s="119">
        <v>29.7</v>
      </c>
      <c r="F129" s="119">
        <v>21.2</v>
      </c>
      <c r="G129" s="119">
        <v>18.899999999999999</v>
      </c>
      <c r="H129" s="119">
        <v>29</v>
      </c>
      <c r="I129" s="119">
        <v>29.8</v>
      </c>
      <c r="J129" s="119">
        <v>43.7</v>
      </c>
      <c r="K129" s="119">
        <v>14.7</v>
      </c>
      <c r="L129" s="119">
        <v>9.4</v>
      </c>
      <c r="M129" s="119">
        <v>19.899999999999999</v>
      </c>
      <c r="N129" s="119">
        <v>27.1</v>
      </c>
      <c r="O129" s="119">
        <v>40.6</v>
      </c>
      <c r="P129" s="119">
        <v>63.9</v>
      </c>
      <c r="Q129" s="119">
        <v>71.8</v>
      </c>
      <c r="R129" s="119">
        <v>75.5</v>
      </c>
      <c r="S129" s="119">
        <v>75.5</v>
      </c>
      <c r="T129" s="119">
        <v>64.8</v>
      </c>
      <c r="U129" s="119">
        <v>65.400000000000006</v>
      </c>
      <c r="V129" s="119">
        <v>50</v>
      </c>
      <c r="W129" s="119">
        <v>50</v>
      </c>
      <c r="X129" s="119">
        <v>47.5</v>
      </c>
      <c r="Y129" s="119">
        <v>65.7</v>
      </c>
      <c r="Z129" s="119">
        <v>84.3</v>
      </c>
      <c r="AA129" s="119">
        <v>95</v>
      </c>
      <c r="AB129" s="119">
        <v>97.6</v>
      </c>
      <c r="AC129" s="119">
        <v>97.6</v>
      </c>
      <c r="AD129" s="119">
        <v>98.2</v>
      </c>
      <c r="AE129" s="119">
        <v>90.5</v>
      </c>
      <c r="AF129" s="119">
        <v>93.1</v>
      </c>
      <c r="AG129" s="128"/>
      <c r="AH129" s="48">
        <f>MAX(B129:AF129)</f>
        <v>98.2</v>
      </c>
      <c r="AI129" s="49">
        <f>MIN(B129:AF129)</f>
        <v>9.4</v>
      </c>
    </row>
    <row r="130" spans="1:37" ht="15.75" thickBot="1" x14ac:dyDescent="0.3">
      <c r="A130" s="129" t="s">
        <v>153</v>
      </c>
      <c r="B130" s="119">
        <v>54</v>
      </c>
      <c r="C130" s="119">
        <v>46</v>
      </c>
      <c r="D130" s="119">
        <v>40</v>
      </c>
      <c r="E130" s="119">
        <v>39.4</v>
      </c>
      <c r="F130" s="119">
        <v>35.200000000000003</v>
      </c>
      <c r="G130" s="119">
        <v>29.3</v>
      </c>
      <c r="H130" s="119">
        <v>33</v>
      </c>
      <c r="I130" s="119">
        <v>38</v>
      </c>
      <c r="J130" s="119">
        <v>50.4</v>
      </c>
      <c r="K130" s="119">
        <v>21.8</v>
      </c>
      <c r="L130" s="119">
        <v>22.9</v>
      </c>
      <c r="M130" s="119">
        <v>27.7</v>
      </c>
      <c r="N130" s="119">
        <v>33.799999999999997</v>
      </c>
      <c r="O130" s="119">
        <v>45.2</v>
      </c>
      <c r="P130" s="119">
        <v>65.3</v>
      </c>
      <c r="Q130" s="119">
        <v>71.3</v>
      </c>
      <c r="R130" s="119">
        <v>80.2</v>
      </c>
      <c r="S130" s="119">
        <v>80.2</v>
      </c>
      <c r="T130" s="119">
        <v>70.400000000000006</v>
      </c>
      <c r="U130" s="119">
        <v>71.3</v>
      </c>
      <c r="V130" s="119">
        <v>54</v>
      </c>
      <c r="W130" s="119">
        <v>54</v>
      </c>
      <c r="X130" s="119">
        <v>52.3</v>
      </c>
      <c r="Y130" s="119">
        <v>66</v>
      </c>
      <c r="Z130" s="119">
        <v>85.3</v>
      </c>
      <c r="AA130" s="119">
        <v>98.3</v>
      </c>
      <c r="AB130" s="119">
        <v>104</v>
      </c>
      <c r="AC130" s="119">
        <v>104</v>
      </c>
      <c r="AD130" s="119">
        <v>104</v>
      </c>
      <c r="AE130" s="119">
        <v>101.8</v>
      </c>
      <c r="AF130" s="119">
        <v>100.2</v>
      </c>
      <c r="AG130" s="128"/>
      <c r="AH130" s="48">
        <f>MAX(B130:AF130)</f>
        <v>104</v>
      </c>
      <c r="AI130" s="49">
        <f>MIN(B130:AF130)</f>
        <v>21.8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1985.39</v>
      </c>
      <c r="C132" s="137">
        <v>1985.3</v>
      </c>
      <c r="D132" s="137">
        <v>1985.25</v>
      </c>
      <c r="E132" s="137">
        <v>1985.32</v>
      </c>
      <c r="F132" s="137">
        <v>1985.28</v>
      </c>
      <c r="G132" s="137">
        <v>1985.3</v>
      </c>
      <c r="H132" s="137"/>
      <c r="I132" s="137">
        <v>1985.28</v>
      </c>
      <c r="J132" s="137"/>
      <c r="K132" s="137"/>
      <c r="L132" s="137"/>
      <c r="M132" s="137">
        <v>1985.7</v>
      </c>
      <c r="N132" s="137">
        <v>1985.94</v>
      </c>
      <c r="O132" s="137">
        <v>1986.13</v>
      </c>
      <c r="P132" s="137"/>
      <c r="Q132" s="137">
        <v>1986.42</v>
      </c>
      <c r="R132" s="137">
        <v>1986.4</v>
      </c>
      <c r="S132" s="137">
        <v>1986.35</v>
      </c>
      <c r="T132" s="137">
        <v>1986.31</v>
      </c>
      <c r="U132" s="137">
        <v>1986.3</v>
      </c>
      <c r="V132" s="137">
        <v>1986.32</v>
      </c>
      <c r="W132" s="137"/>
      <c r="X132" s="137">
        <v>1986.4</v>
      </c>
      <c r="Y132" s="137"/>
      <c r="Z132" s="137">
        <v>1986.3</v>
      </c>
      <c r="AA132" s="137"/>
      <c r="AB132" s="137">
        <v>1985.48</v>
      </c>
      <c r="AC132" s="137"/>
      <c r="AD132" s="137">
        <v>1984.55</v>
      </c>
      <c r="AE132" s="137"/>
      <c r="AF132" s="138">
        <v>1983.35</v>
      </c>
      <c r="AG132" s="139"/>
      <c r="AH132" s="48"/>
      <c r="AI132" s="49"/>
    </row>
    <row r="133" spans="1:37" x14ac:dyDescent="0.25">
      <c r="A133" s="136" t="s">
        <v>156</v>
      </c>
      <c r="B133" s="140">
        <v>521.4</v>
      </c>
      <c r="C133" s="140">
        <v>521.36</v>
      </c>
      <c r="D133" s="140">
        <v>521.44000000000005</v>
      </c>
      <c r="E133" s="140">
        <v>521.52</v>
      </c>
      <c r="F133" s="140">
        <v>521.6</v>
      </c>
      <c r="G133" s="140">
        <v>521.84</v>
      </c>
      <c r="H133" s="140"/>
      <c r="I133" s="140">
        <v>521.95000000000005</v>
      </c>
      <c r="J133" s="140"/>
      <c r="K133" s="140">
        <v>622</v>
      </c>
      <c r="L133" s="140"/>
      <c r="M133" s="140">
        <v>522.04</v>
      </c>
      <c r="N133" s="140">
        <v>522.09</v>
      </c>
      <c r="O133" s="140">
        <v>522.13</v>
      </c>
      <c r="P133" s="140">
        <v>522.16999999999996</v>
      </c>
      <c r="Q133" s="140">
        <v>522.22</v>
      </c>
      <c r="R133" s="140">
        <v>522.23</v>
      </c>
      <c r="S133" s="140">
        <v>522.24</v>
      </c>
      <c r="T133" s="140">
        <v>522.22</v>
      </c>
      <c r="U133" s="140">
        <v>522.16</v>
      </c>
      <c r="V133" s="140">
        <v>522.08000000000004</v>
      </c>
      <c r="W133" s="140"/>
      <c r="X133" s="140">
        <v>521.98</v>
      </c>
      <c r="Y133" s="140"/>
      <c r="Z133" s="140">
        <v>521.88</v>
      </c>
      <c r="AA133" s="140"/>
      <c r="AB133" s="140">
        <v>521.55999999999995</v>
      </c>
      <c r="AC133" s="140"/>
      <c r="AD133" s="140">
        <v>521.17999999999995</v>
      </c>
      <c r="AE133" s="140">
        <v>520.74</v>
      </c>
      <c r="AF133" s="141">
        <v>520.48</v>
      </c>
      <c r="AG133" s="139"/>
      <c r="AH133" s="48"/>
      <c r="AI133" s="49"/>
    </row>
    <row r="134" spans="1:37" x14ac:dyDescent="0.25">
      <c r="A134" s="136" t="s">
        <v>157</v>
      </c>
      <c r="B134" s="140">
        <v>624.75</v>
      </c>
      <c r="C134" s="140">
        <v>624.85</v>
      </c>
      <c r="D134" s="140">
        <v>625.05999999999995</v>
      </c>
      <c r="E134" s="140">
        <v>625.19000000000005</v>
      </c>
      <c r="F134" s="140">
        <v>625.29</v>
      </c>
      <c r="G134" s="140">
        <v>625.34</v>
      </c>
      <c r="H134" s="140"/>
      <c r="I134" s="140">
        <v>625.29</v>
      </c>
      <c r="J134" s="140"/>
      <c r="K134" s="140">
        <v>625.21</v>
      </c>
      <c r="L134" s="140"/>
      <c r="M134" s="140">
        <v>625.28</v>
      </c>
      <c r="N134" s="140">
        <v>625.30999999999995</v>
      </c>
      <c r="O134" s="140">
        <v>625.29999999999995</v>
      </c>
      <c r="P134" s="140">
        <v>625.26</v>
      </c>
      <c r="Q134" s="140">
        <v>625.14</v>
      </c>
      <c r="R134" s="140">
        <v>625.1</v>
      </c>
      <c r="S134" s="140">
        <v>624.98</v>
      </c>
      <c r="T134" s="140">
        <v>624.88</v>
      </c>
      <c r="U134" s="140">
        <v>624.77</v>
      </c>
      <c r="V134" s="140">
        <v>624.72</v>
      </c>
      <c r="W134" s="140"/>
      <c r="X134" s="140">
        <v>624.73</v>
      </c>
      <c r="Y134" s="140"/>
      <c r="Z134" s="140">
        <v>624.65</v>
      </c>
      <c r="AA134" s="140"/>
      <c r="AB134" s="140">
        <v>624.49</v>
      </c>
      <c r="AC134" s="140"/>
      <c r="AD134" s="140">
        <v>624.25</v>
      </c>
      <c r="AE134" s="140">
        <v>624</v>
      </c>
      <c r="AF134" s="141"/>
      <c r="AG134" s="139"/>
      <c r="AH134" s="48"/>
      <c r="AI134" s="49"/>
    </row>
    <row r="135" spans="1:37" x14ac:dyDescent="0.25">
      <c r="A135" s="136" t="s">
        <v>158</v>
      </c>
      <c r="B135" s="140">
        <v>335.85</v>
      </c>
      <c r="C135" s="140">
        <v>335.88</v>
      </c>
      <c r="D135" s="140">
        <v>335.98</v>
      </c>
      <c r="E135" s="140">
        <v>335.99</v>
      </c>
      <c r="F135" s="140">
        <v>336.03</v>
      </c>
      <c r="G135" s="140">
        <v>336.03</v>
      </c>
      <c r="H135" s="140"/>
      <c r="I135" s="140">
        <v>336.05</v>
      </c>
      <c r="J135" s="140"/>
      <c r="K135" s="140">
        <v>336.11</v>
      </c>
      <c r="L135" s="140"/>
      <c r="M135" s="140">
        <v>336.19</v>
      </c>
      <c r="N135" s="140">
        <v>336.21</v>
      </c>
      <c r="O135" s="140">
        <v>336.13</v>
      </c>
      <c r="P135" s="140">
        <v>336.17</v>
      </c>
      <c r="Q135" s="140">
        <v>336.28</v>
      </c>
      <c r="R135" s="140">
        <v>336.33</v>
      </c>
      <c r="S135" s="140">
        <v>336.35</v>
      </c>
      <c r="T135" s="140">
        <v>336.4</v>
      </c>
      <c r="U135" s="140">
        <v>336.5</v>
      </c>
      <c r="V135" s="140">
        <v>336.5</v>
      </c>
      <c r="W135" s="140"/>
      <c r="X135" s="140">
        <v>336.7</v>
      </c>
      <c r="Y135" s="140"/>
      <c r="Z135" s="140">
        <v>336.8</v>
      </c>
      <c r="AA135" s="140"/>
      <c r="AB135" s="140">
        <v>336.7</v>
      </c>
      <c r="AC135" s="140"/>
      <c r="AD135" s="140">
        <v>336.58</v>
      </c>
      <c r="AE135" s="140"/>
      <c r="AF135" s="141">
        <v>336.31</v>
      </c>
      <c r="AG135" s="139"/>
      <c r="AH135" s="48"/>
      <c r="AI135" s="49"/>
    </row>
    <row r="136" spans="1:37" x14ac:dyDescent="0.25">
      <c r="A136" s="136" t="s">
        <v>159</v>
      </c>
      <c r="B136" s="140">
        <v>882.7</v>
      </c>
      <c r="C136" s="140">
        <v>883</v>
      </c>
      <c r="D136" s="140">
        <v>883.2</v>
      </c>
      <c r="E136" s="140">
        <v>884</v>
      </c>
      <c r="F136" s="140">
        <v>885.1</v>
      </c>
      <c r="G136" s="140">
        <v>885.9</v>
      </c>
      <c r="H136" s="140"/>
      <c r="I136" s="140">
        <v>886.6</v>
      </c>
      <c r="J136" s="140"/>
      <c r="K136" s="140">
        <v>887.1</v>
      </c>
      <c r="L136" s="140"/>
      <c r="M136" s="140">
        <v>887.3</v>
      </c>
      <c r="N136" s="140">
        <v>887.3</v>
      </c>
      <c r="O136" s="140">
        <v>887.5</v>
      </c>
      <c r="P136" s="140">
        <v>887.5</v>
      </c>
      <c r="Q136" s="140">
        <v>887.5</v>
      </c>
      <c r="R136" s="140">
        <v>887.4</v>
      </c>
      <c r="S136" s="140">
        <v>887.1</v>
      </c>
      <c r="T136" s="140">
        <v>886.1</v>
      </c>
      <c r="U136" s="140">
        <v>885</v>
      </c>
      <c r="V136" s="140">
        <v>883.5</v>
      </c>
      <c r="W136" s="140"/>
      <c r="X136" s="140">
        <v>883.7</v>
      </c>
      <c r="Y136" s="140"/>
      <c r="Z136" s="140">
        <v>884.5</v>
      </c>
      <c r="AA136" s="140"/>
      <c r="AB136" s="140"/>
      <c r="AC136" s="140"/>
      <c r="AD136" s="140">
        <v>884.5</v>
      </c>
      <c r="AE136" s="140"/>
      <c r="AF136" s="141">
        <v>884.6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1494.01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>
        <v>1494.03</v>
      </c>
      <c r="T137" s="142"/>
      <c r="U137" s="142"/>
      <c r="V137" s="142"/>
      <c r="W137" s="142"/>
      <c r="X137" s="142">
        <v>1494</v>
      </c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8">SUM(B139:B243)</f>
        <v>0</v>
      </c>
      <c r="C244" s="161">
        <f t="shared" si="48"/>
        <v>0</v>
      </c>
      <c r="D244" s="161">
        <f t="shared" si="48"/>
        <v>0</v>
      </c>
      <c r="E244" s="161">
        <f t="shared" si="48"/>
        <v>0</v>
      </c>
      <c r="F244" s="161">
        <f t="shared" si="48"/>
        <v>0</v>
      </c>
      <c r="G244" s="161">
        <f t="shared" si="48"/>
        <v>0</v>
      </c>
      <c r="H244" s="161">
        <f t="shared" si="48"/>
        <v>0</v>
      </c>
      <c r="I244" s="161">
        <f t="shared" si="48"/>
        <v>0</v>
      </c>
      <c r="J244" s="161">
        <f t="shared" si="48"/>
        <v>0</v>
      </c>
      <c r="K244" s="161">
        <f t="shared" si="48"/>
        <v>0</v>
      </c>
      <c r="L244" s="161">
        <f t="shared" si="48"/>
        <v>0</v>
      </c>
      <c r="M244" s="161">
        <f t="shared" si="48"/>
        <v>0</v>
      </c>
      <c r="N244" s="161">
        <f t="shared" si="48"/>
        <v>0</v>
      </c>
      <c r="O244" s="161">
        <f t="shared" si="48"/>
        <v>0</v>
      </c>
      <c r="P244" s="161">
        <f t="shared" si="48"/>
        <v>0</v>
      </c>
      <c r="Q244" s="161">
        <f t="shared" si="48"/>
        <v>0</v>
      </c>
      <c r="R244" s="161">
        <f t="shared" si="48"/>
        <v>0</v>
      </c>
      <c r="S244" s="161">
        <f t="shared" si="48"/>
        <v>0</v>
      </c>
      <c r="T244" s="161">
        <f t="shared" si="48"/>
        <v>0</v>
      </c>
      <c r="U244" s="161">
        <f t="shared" si="48"/>
        <v>0</v>
      </c>
      <c r="V244" s="161">
        <f t="shared" si="48"/>
        <v>0</v>
      </c>
      <c r="W244" s="161">
        <f t="shared" si="48"/>
        <v>0</v>
      </c>
      <c r="X244" s="161">
        <f t="shared" si="48"/>
        <v>0</v>
      </c>
      <c r="Y244" s="161">
        <f t="shared" si="48"/>
        <v>0</v>
      </c>
      <c r="Z244" s="161">
        <f t="shared" si="48"/>
        <v>0</v>
      </c>
      <c r="AA244" s="161">
        <f t="shared" si="48"/>
        <v>0</v>
      </c>
      <c r="AB244" s="161">
        <f t="shared" si="48"/>
        <v>0</v>
      </c>
      <c r="AC244" s="161">
        <f t="shared" si="48"/>
        <v>0</v>
      </c>
      <c r="AD244" s="161">
        <f t="shared" si="48"/>
        <v>0</v>
      </c>
      <c r="AE244" s="161">
        <f t="shared" si="48"/>
        <v>0</v>
      </c>
      <c r="AF244" s="162">
        <f t="shared" si="48"/>
        <v>0</v>
      </c>
      <c r="AG244" s="163">
        <f t="shared" si="4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9">AF246</f>
        <v>0.3</v>
      </c>
      <c r="C246" s="166">
        <v>0.3</v>
      </c>
      <c r="D246" s="166">
        <f t="shared" ref="D246:S251" si="50">C246</f>
        <v>0.3</v>
      </c>
      <c r="E246" s="166">
        <f t="shared" si="50"/>
        <v>0.3</v>
      </c>
      <c r="F246" s="166">
        <f t="shared" si="50"/>
        <v>0.3</v>
      </c>
      <c r="G246" s="166">
        <f t="shared" si="50"/>
        <v>0.3</v>
      </c>
      <c r="H246" s="166">
        <f t="shared" si="50"/>
        <v>0.3</v>
      </c>
      <c r="I246" s="166">
        <f t="shared" si="50"/>
        <v>0.3</v>
      </c>
      <c r="J246" s="166">
        <f t="shared" si="50"/>
        <v>0.3</v>
      </c>
      <c r="K246" s="166">
        <f t="shared" si="50"/>
        <v>0.3</v>
      </c>
      <c r="L246" s="166">
        <f t="shared" si="50"/>
        <v>0.3</v>
      </c>
      <c r="M246" s="166">
        <f t="shared" si="50"/>
        <v>0.3</v>
      </c>
      <c r="N246" s="166">
        <f t="shared" si="50"/>
        <v>0.3</v>
      </c>
      <c r="O246" s="166">
        <f t="shared" si="50"/>
        <v>0.3</v>
      </c>
      <c r="P246" s="166">
        <f t="shared" si="50"/>
        <v>0.3</v>
      </c>
      <c r="Q246" s="166">
        <f t="shared" si="50"/>
        <v>0.3</v>
      </c>
      <c r="R246" s="166">
        <f t="shared" si="50"/>
        <v>0.3</v>
      </c>
      <c r="S246" s="166">
        <f t="shared" si="50"/>
        <v>0.3</v>
      </c>
      <c r="T246" s="166">
        <f t="shared" ref="T246:AF251" si="51">S246</f>
        <v>0.3</v>
      </c>
      <c r="U246" s="166">
        <f t="shared" si="51"/>
        <v>0.3</v>
      </c>
      <c r="V246" s="166">
        <f t="shared" si="51"/>
        <v>0.3</v>
      </c>
      <c r="W246" s="166">
        <f t="shared" si="51"/>
        <v>0.3</v>
      </c>
      <c r="X246" s="166">
        <f t="shared" si="51"/>
        <v>0.3</v>
      </c>
      <c r="Y246" s="166">
        <f t="shared" si="51"/>
        <v>0.3</v>
      </c>
      <c r="Z246" s="166">
        <f t="shared" si="51"/>
        <v>0.3</v>
      </c>
      <c r="AA246" s="166">
        <f t="shared" si="51"/>
        <v>0.3</v>
      </c>
      <c r="AB246" s="166">
        <f t="shared" si="51"/>
        <v>0.3</v>
      </c>
      <c r="AC246" s="166">
        <f t="shared" si="51"/>
        <v>0.3</v>
      </c>
      <c r="AD246" s="166">
        <f t="shared" si="51"/>
        <v>0.3</v>
      </c>
      <c r="AE246" s="166">
        <f t="shared" si="51"/>
        <v>0.3</v>
      </c>
      <c r="AF246" s="166">
        <f t="shared" si="51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9"/>
        <v>0.4</v>
      </c>
      <c r="C247" s="152">
        <v>0.4</v>
      </c>
      <c r="D247" s="152">
        <f t="shared" si="50"/>
        <v>0.4</v>
      </c>
      <c r="E247" s="152">
        <f t="shared" si="50"/>
        <v>0.4</v>
      </c>
      <c r="F247" s="152">
        <f t="shared" si="50"/>
        <v>0.4</v>
      </c>
      <c r="G247" s="152">
        <f t="shared" si="50"/>
        <v>0.4</v>
      </c>
      <c r="H247" s="152">
        <f t="shared" si="50"/>
        <v>0.4</v>
      </c>
      <c r="I247" s="152">
        <f t="shared" si="50"/>
        <v>0.4</v>
      </c>
      <c r="J247" s="152">
        <f t="shared" si="50"/>
        <v>0.4</v>
      </c>
      <c r="K247" s="152">
        <f t="shared" si="50"/>
        <v>0.4</v>
      </c>
      <c r="L247" s="152">
        <f t="shared" si="50"/>
        <v>0.4</v>
      </c>
      <c r="M247" s="152">
        <f t="shared" si="50"/>
        <v>0.4</v>
      </c>
      <c r="N247" s="152">
        <f t="shared" si="50"/>
        <v>0.4</v>
      </c>
      <c r="O247" s="152">
        <f t="shared" si="50"/>
        <v>0.4</v>
      </c>
      <c r="P247" s="152">
        <f t="shared" si="50"/>
        <v>0.4</v>
      </c>
      <c r="Q247" s="152">
        <f t="shared" si="50"/>
        <v>0.4</v>
      </c>
      <c r="R247" s="152">
        <f t="shared" si="50"/>
        <v>0.4</v>
      </c>
      <c r="S247" s="152">
        <f t="shared" si="50"/>
        <v>0.4</v>
      </c>
      <c r="T247" s="152">
        <f t="shared" si="51"/>
        <v>0.4</v>
      </c>
      <c r="U247" s="152">
        <f t="shared" si="51"/>
        <v>0.4</v>
      </c>
      <c r="V247" s="152">
        <f t="shared" si="51"/>
        <v>0.4</v>
      </c>
      <c r="W247" s="152">
        <f t="shared" si="51"/>
        <v>0.4</v>
      </c>
      <c r="X247" s="152">
        <f t="shared" si="51"/>
        <v>0.4</v>
      </c>
      <c r="Y247" s="152">
        <f t="shared" si="51"/>
        <v>0.4</v>
      </c>
      <c r="Z247" s="152">
        <f t="shared" si="51"/>
        <v>0.4</v>
      </c>
      <c r="AA247" s="152">
        <f t="shared" si="51"/>
        <v>0.4</v>
      </c>
      <c r="AB247" s="152">
        <f t="shared" si="51"/>
        <v>0.4</v>
      </c>
      <c r="AC247" s="152">
        <f t="shared" si="51"/>
        <v>0.4</v>
      </c>
      <c r="AD247" s="152">
        <f t="shared" si="51"/>
        <v>0.4</v>
      </c>
      <c r="AE247" s="152">
        <f t="shared" si="51"/>
        <v>0.4</v>
      </c>
      <c r="AF247" s="152">
        <f t="shared" si="51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9"/>
        <v>1.5</v>
      </c>
      <c r="C248" s="152">
        <v>1.5</v>
      </c>
      <c r="D248" s="152">
        <f t="shared" si="50"/>
        <v>1.5</v>
      </c>
      <c r="E248" s="152">
        <f t="shared" si="50"/>
        <v>1.5</v>
      </c>
      <c r="F248" s="152">
        <f t="shared" si="50"/>
        <v>1.5</v>
      </c>
      <c r="G248" s="152">
        <f t="shared" si="50"/>
        <v>1.5</v>
      </c>
      <c r="H248" s="152">
        <f t="shared" si="50"/>
        <v>1.5</v>
      </c>
      <c r="I248" s="152">
        <f t="shared" si="50"/>
        <v>1.5</v>
      </c>
      <c r="J248" s="152">
        <f t="shared" si="50"/>
        <v>1.5</v>
      </c>
      <c r="K248" s="152">
        <f t="shared" si="50"/>
        <v>1.5</v>
      </c>
      <c r="L248" s="152">
        <f t="shared" si="50"/>
        <v>1.5</v>
      </c>
      <c r="M248" s="152">
        <f t="shared" si="50"/>
        <v>1.5</v>
      </c>
      <c r="N248" s="152">
        <f t="shared" si="50"/>
        <v>1.5</v>
      </c>
      <c r="O248" s="152">
        <f t="shared" si="50"/>
        <v>1.5</v>
      </c>
      <c r="P248" s="152">
        <f t="shared" si="50"/>
        <v>1.5</v>
      </c>
      <c r="Q248" s="152">
        <f t="shared" si="50"/>
        <v>1.5</v>
      </c>
      <c r="R248" s="152">
        <f t="shared" si="50"/>
        <v>1.5</v>
      </c>
      <c r="S248" s="152">
        <f t="shared" si="50"/>
        <v>1.5</v>
      </c>
      <c r="T248" s="152">
        <f t="shared" si="51"/>
        <v>1.5</v>
      </c>
      <c r="U248" s="152">
        <f t="shared" si="51"/>
        <v>1.5</v>
      </c>
      <c r="V248" s="152">
        <f t="shared" si="51"/>
        <v>1.5</v>
      </c>
      <c r="W248" s="152">
        <f t="shared" si="51"/>
        <v>1.5</v>
      </c>
      <c r="X248" s="152">
        <f t="shared" si="51"/>
        <v>1.5</v>
      </c>
      <c r="Y248" s="152">
        <f t="shared" si="51"/>
        <v>1.5</v>
      </c>
      <c r="Z248" s="152">
        <f t="shared" si="51"/>
        <v>1.5</v>
      </c>
      <c r="AA248" s="152">
        <f t="shared" si="51"/>
        <v>1.5</v>
      </c>
      <c r="AB248" s="152">
        <f t="shared" si="51"/>
        <v>1.5</v>
      </c>
      <c r="AC248" s="152">
        <f t="shared" si="51"/>
        <v>1.5</v>
      </c>
      <c r="AD248" s="152">
        <f t="shared" si="51"/>
        <v>1.5</v>
      </c>
      <c r="AE248" s="152">
        <f t="shared" si="51"/>
        <v>1.5</v>
      </c>
      <c r="AF248" s="152">
        <f t="shared" si="51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9"/>
        <v>0.3</v>
      </c>
      <c r="C249" s="152">
        <v>0.3</v>
      </c>
      <c r="D249" s="152">
        <f t="shared" si="50"/>
        <v>0.3</v>
      </c>
      <c r="E249" s="152">
        <f t="shared" si="50"/>
        <v>0.3</v>
      </c>
      <c r="F249" s="152">
        <f t="shared" si="50"/>
        <v>0.3</v>
      </c>
      <c r="G249" s="152">
        <f t="shared" si="50"/>
        <v>0.3</v>
      </c>
      <c r="H249" s="152">
        <f t="shared" si="50"/>
        <v>0.3</v>
      </c>
      <c r="I249" s="152">
        <f t="shared" si="50"/>
        <v>0.3</v>
      </c>
      <c r="J249" s="152">
        <f t="shared" si="50"/>
        <v>0.3</v>
      </c>
      <c r="K249" s="152">
        <f t="shared" si="50"/>
        <v>0.3</v>
      </c>
      <c r="L249" s="152">
        <f t="shared" si="50"/>
        <v>0.3</v>
      </c>
      <c r="M249" s="152">
        <f t="shared" si="50"/>
        <v>0.3</v>
      </c>
      <c r="N249" s="152">
        <f t="shared" si="50"/>
        <v>0.3</v>
      </c>
      <c r="O249" s="152">
        <f t="shared" si="50"/>
        <v>0.3</v>
      </c>
      <c r="P249" s="152">
        <f t="shared" si="50"/>
        <v>0.3</v>
      </c>
      <c r="Q249" s="152">
        <f t="shared" si="50"/>
        <v>0.3</v>
      </c>
      <c r="R249" s="152">
        <f t="shared" si="50"/>
        <v>0.3</v>
      </c>
      <c r="S249" s="152">
        <f t="shared" si="50"/>
        <v>0.3</v>
      </c>
      <c r="T249" s="152">
        <f t="shared" si="51"/>
        <v>0.3</v>
      </c>
      <c r="U249" s="152">
        <f t="shared" si="51"/>
        <v>0.3</v>
      </c>
      <c r="V249" s="152">
        <f t="shared" si="51"/>
        <v>0.3</v>
      </c>
      <c r="W249" s="152">
        <f t="shared" si="51"/>
        <v>0.3</v>
      </c>
      <c r="X249" s="152">
        <f t="shared" si="51"/>
        <v>0.3</v>
      </c>
      <c r="Y249" s="152">
        <f t="shared" si="51"/>
        <v>0.3</v>
      </c>
      <c r="Z249" s="152">
        <f t="shared" si="51"/>
        <v>0.3</v>
      </c>
      <c r="AA249" s="152">
        <f t="shared" si="51"/>
        <v>0.3</v>
      </c>
      <c r="AB249" s="152">
        <f t="shared" si="51"/>
        <v>0.3</v>
      </c>
      <c r="AC249" s="152">
        <f t="shared" si="51"/>
        <v>0.3</v>
      </c>
      <c r="AD249" s="152">
        <f t="shared" si="51"/>
        <v>0.3</v>
      </c>
      <c r="AE249" s="152">
        <f t="shared" si="51"/>
        <v>0.3</v>
      </c>
      <c r="AF249" s="152">
        <f t="shared" si="51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9"/>
        <v>0.4</v>
      </c>
      <c r="C250" s="152">
        <v>0.4</v>
      </c>
      <c r="D250" s="152">
        <f t="shared" si="50"/>
        <v>0.4</v>
      </c>
      <c r="E250" s="152">
        <f t="shared" si="50"/>
        <v>0.4</v>
      </c>
      <c r="F250" s="152">
        <f t="shared" si="50"/>
        <v>0.4</v>
      </c>
      <c r="G250" s="152">
        <f t="shared" si="50"/>
        <v>0.4</v>
      </c>
      <c r="H250" s="152">
        <f t="shared" si="50"/>
        <v>0.4</v>
      </c>
      <c r="I250" s="152">
        <f t="shared" si="50"/>
        <v>0.4</v>
      </c>
      <c r="J250" s="152">
        <f t="shared" si="50"/>
        <v>0.4</v>
      </c>
      <c r="K250" s="152">
        <f t="shared" si="50"/>
        <v>0.4</v>
      </c>
      <c r="L250" s="152">
        <f t="shared" si="50"/>
        <v>0.4</v>
      </c>
      <c r="M250" s="152">
        <f t="shared" si="50"/>
        <v>0.4</v>
      </c>
      <c r="N250" s="152">
        <f t="shared" si="50"/>
        <v>0.4</v>
      </c>
      <c r="O250" s="152">
        <f t="shared" si="50"/>
        <v>0.4</v>
      </c>
      <c r="P250" s="152">
        <f t="shared" si="50"/>
        <v>0.4</v>
      </c>
      <c r="Q250" s="152">
        <f t="shared" si="50"/>
        <v>0.4</v>
      </c>
      <c r="R250" s="152">
        <f t="shared" si="50"/>
        <v>0.4</v>
      </c>
      <c r="S250" s="152">
        <f t="shared" si="50"/>
        <v>0.4</v>
      </c>
      <c r="T250" s="152">
        <f t="shared" si="51"/>
        <v>0.4</v>
      </c>
      <c r="U250" s="152">
        <f t="shared" si="51"/>
        <v>0.4</v>
      </c>
      <c r="V250" s="152">
        <f t="shared" si="51"/>
        <v>0.4</v>
      </c>
      <c r="W250" s="152">
        <f t="shared" si="51"/>
        <v>0.4</v>
      </c>
      <c r="X250" s="152">
        <f t="shared" si="51"/>
        <v>0.4</v>
      </c>
      <c r="Y250" s="152">
        <f t="shared" si="51"/>
        <v>0.4</v>
      </c>
      <c r="Z250" s="152">
        <f t="shared" si="51"/>
        <v>0.4</v>
      </c>
      <c r="AA250" s="152">
        <f t="shared" si="51"/>
        <v>0.4</v>
      </c>
      <c r="AB250" s="152">
        <f t="shared" si="51"/>
        <v>0.4</v>
      </c>
      <c r="AC250" s="152">
        <f t="shared" si="51"/>
        <v>0.4</v>
      </c>
      <c r="AD250" s="152">
        <f t="shared" si="51"/>
        <v>0.4</v>
      </c>
      <c r="AE250" s="152">
        <f t="shared" si="51"/>
        <v>0.4</v>
      </c>
      <c r="AF250" s="152">
        <f t="shared" si="51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9"/>
        <v>0.64</v>
      </c>
      <c r="C251" s="157">
        <v>0.64</v>
      </c>
      <c r="D251" s="157">
        <f t="shared" si="50"/>
        <v>0.64</v>
      </c>
      <c r="E251" s="157">
        <f t="shared" si="50"/>
        <v>0.64</v>
      </c>
      <c r="F251" s="157">
        <f t="shared" si="50"/>
        <v>0.64</v>
      </c>
      <c r="G251" s="157">
        <f t="shared" si="50"/>
        <v>0.64</v>
      </c>
      <c r="H251" s="157">
        <f t="shared" si="50"/>
        <v>0.64</v>
      </c>
      <c r="I251" s="157">
        <f t="shared" si="50"/>
        <v>0.64</v>
      </c>
      <c r="J251" s="157">
        <f t="shared" si="50"/>
        <v>0.64</v>
      </c>
      <c r="K251" s="157">
        <f t="shared" si="50"/>
        <v>0.64</v>
      </c>
      <c r="L251" s="157">
        <f t="shared" si="50"/>
        <v>0.64</v>
      </c>
      <c r="M251" s="157">
        <f t="shared" si="50"/>
        <v>0.64</v>
      </c>
      <c r="N251" s="157">
        <f t="shared" si="50"/>
        <v>0.64</v>
      </c>
      <c r="O251" s="157">
        <f t="shared" si="50"/>
        <v>0.64</v>
      </c>
      <c r="P251" s="157">
        <f t="shared" si="50"/>
        <v>0.64</v>
      </c>
      <c r="Q251" s="157">
        <f t="shared" si="50"/>
        <v>0.64</v>
      </c>
      <c r="R251" s="157">
        <f t="shared" si="50"/>
        <v>0.64</v>
      </c>
      <c r="S251" s="157">
        <f t="shared" si="50"/>
        <v>0.64</v>
      </c>
      <c r="T251" s="157">
        <f t="shared" si="51"/>
        <v>0.64</v>
      </c>
      <c r="U251" s="157">
        <f t="shared" si="51"/>
        <v>0.64</v>
      </c>
      <c r="V251" s="157">
        <f t="shared" si="51"/>
        <v>0.64</v>
      </c>
      <c r="W251" s="157">
        <f t="shared" si="51"/>
        <v>0.64</v>
      </c>
      <c r="X251" s="157">
        <f t="shared" si="51"/>
        <v>0.64</v>
      </c>
      <c r="Y251" s="157">
        <f t="shared" si="51"/>
        <v>0.64</v>
      </c>
      <c r="Z251" s="157">
        <f t="shared" si="51"/>
        <v>0.64</v>
      </c>
      <c r="AA251" s="157">
        <f t="shared" si="51"/>
        <v>0.64</v>
      </c>
      <c r="AB251" s="157">
        <f t="shared" si="51"/>
        <v>0.64</v>
      </c>
      <c r="AC251" s="157">
        <f t="shared" si="51"/>
        <v>0.64</v>
      </c>
      <c r="AD251" s="157">
        <f t="shared" si="51"/>
        <v>0.64</v>
      </c>
      <c r="AE251" s="157">
        <f t="shared" si="51"/>
        <v>0.64</v>
      </c>
      <c r="AF251" s="157">
        <f t="shared" si="51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2">SUM(B246:B251)</f>
        <v>3.54</v>
      </c>
      <c r="C252" s="161">
        <f t="shared" si="52"/>
        <v>3.54</v>
      </c>
      <c r="D252" s="161">
        <f t="shared" si="52"/>
        <v>3.54</v>
      </c>
      <c r="E252" s="161">
        <f t="shared" si="52"/>
        <v>3.54</v>
      </c>
      <c r="F252" s="161">
        <f t="shared" si="52"/>
        <v>3.54</v>
      </c>
      <c r="G252" s="161">
        <f t="shared" si="52"/>
        <v>3.54</v>
      </c>
      <c r="H252" s="161">
        <f t="shared" si="52"/>
        <v>3.54</v>
      </c>
      <c r="I252" s="161">
        <f t="shared" si="52"/>
        <v>3.54</v>
      </c>
      <c r="J252" s="161">
        <f t="shared" si="52"/>
        <v>3.54</v>
      </c>
      <c r="K252" s="161">
        <f t="shared" si="52"/>
        <v>3.54</v>
      </c>
      <c r="L252" s="161">
        <f t="shared" si="52"/>
        <v>3.54</v>
      </c>
      <c r="M252" s="161">
        <f t="shared" si="52"/>
        <v>3.54</v>
      </c>
      <c r="N252" s="161">
        <f t="shared" si="52"/>
        <v>3.54</v>
      </c>
      <c r="O252" s="161">
        <f t="shared" si="52"/>
        <v>3.54</v>
      </c>
      <c r="P252" s="161">
        <f t="shared" si="52"/>
        <v>3.54</v>
      </c>
      <c r="Q252" s="161">
        <f t="shared" si="52"/>
        <v>3.54</v>
      </c>
      <c r="R252" s="161">
        <f t="shared" si="52"/>
        <v>3.54</v>
      </c>
      <c r="S252" s="161">
        <f t="shared" si="52"/>
        <v>3.54</v>
      </c>
      <c r="T252" s="161">
        <f t="shared" si="52"/>
        <v>3.54</v>
      </c>
      <c r="U252" s="161">
        <f t="shared" si="52"/>
        <v>3.54</v>
      </c>
      <c r="V252" s="161">
        <f t="shared" si="52"/>
        <v>3.54</v>
      </c>
      <c r="W252" s="161">
        <f t="shared" si="52"/>
        <v>3.54</v>
      </c>
      <c r="X252" s="161">
        <f t="shared" si="52"/>
        <v>3.54</v>
      </c>
      <c r="Y252" s="161">
        <f t="shared" si="52"/>
        <v>3.54</v>
      </c>
      <c r="Z252" s="161">
        <f t="shared" si="52"/>
        <v>3.54</v>
      </c>
      <c r="AA252" s="161">
        <f t="shared" si="52"/>
        <v>3.54</v>
      </c>
      <c r="AB252" s="161">
        <f t="shared" si="52"/>
        <v>3.54</v>
      </c>
      <c r="AC252" s="161">
        <f t="shared" si="52"/>
        <v>3.54</v>
      </c>
      <c r="AD252" s="161">
        <f t="shared" si="52"/>
        <v>3.54</v>
      </c>
      <c r="AE252" s="161">
        <f t="shared" si="52"/>
        <v>3.54</v>
      </c>
      <c r="AF252" s="161">
        <f t="shared" si="52"/>
        <v>3.54</v>
      </c>
      <c r="AG252" s="171">
        <f t="shared" si="5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1615.64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2080/10/10)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428" priority="89">
      <formula>$AH11=0</formula>
    </cfRule>
  </conditionalFormatting>
  <conditionalFormatting sqref="A132:A253">
    <cfRule type="expression" dxfId="3427" priority="90">
      <formula>$AH132=0</formula>
    </cfRule>
  </conditionalFormatting>
  <conditionalFormatting sqref="B8">
    <cfRule type="expression" dxfId="3426" priority="144">
      <formula>AND(C$9&gt;=14/24,C$9&lt;20/24)</formula>
    </cfRule>
    <cfRule type="expression" dxfId="3425" priority="145">
      <formula>AND(C$9&gt;=8/24,C$9&lt;14/24)</formula>
    </cfRule>
    <cfRule type="expression" dxfId="3424" priority="146">
      <formula>C$9&lt;8/24</formula>
    </cfRule>
    <cfRule type="expression" dxfId="3423" priority="147">
      <formula>C$9&gt;=20/24</formula>
    </cfRule>
  </conditionalFormatting>
  <conditionalFormatting sqref="B11:G52 H12:J52 K13:AF52 B59:D68 B69:AF74 B77:AF99 B9:AF10 B101:AF117 B119:AF137 B244:AF244 B246:B252">
    <cfRule type="expression" dxfId="3422" priority="41">
      <formula>B$9&gt;=20/24</formula>
    </cfRule>
  </conditionalFormatting>
  <conditionalFormatting sqref="B9:AF10 B11:G52 H12:J52 K13:AF52 B59:D68 B69:AF74 B77:AF99 B101:AF117 B119:AF137 B244:AF244 B246:B252">
    <cfRule type="expression" dxfId="3421" priority="42">
      <formula>AND(B$9&gt;=14/24,B$9&lt;20/24)</formula>
    </cfRule>
    <cfRule type="expression" dxfId="3420" priority="43">
      <formula>AND(B$9&gt;=8/24,B$9&lt;14/24)</formula>
    </cfRule>
    <cfRule type="expression" dxfId="3419" priority="44">
      <formula>B$9&lt;8/24</formula>
    </cfRule>
  </conditionalFormatting>
  <conditionalFormatting sqref="B53:AF57">
    <cfRule type="expression" dxfId="3418" priority="53">
      <formula>B$9&lt;8/24</formula>
    </cfRule>
  </conditionalFormatting>
  <conditionalFormatting sqref="D246:AF252">
    <cfRule type="expression" dxfId="3417" priority="129">
      <formula>D$9&gt;=20/24</formula>
    </cfRule>
    <cfRule type="expression" dxfId="3416" priority="130">
      <formula>AND(D$9&gt;=14/24,D$9&lt;20/24)</formula>
    </cfRule>
    <cfRule type="expression" dxfId="3415" priority="131">
      <formula>AND(D$9&gt;=8/24,D$9&lt;14/24)</formula>
    </cfRule>
    <cfRule type="expression" dxfId="3414" priority="132">
      <formula>D$9&lt;8/24</formula>
    </cfRule>
  </conditionalFormatting>
  <conditionalFormatting sqref="E63:I67 J64:J67 K66:L67">
    <cfRule type="expression" dxfId="3413" priority="54">
      <formula>E$9&gt;=20/24</formula>
    </cfRule>
    <cfRule type="expression" dxfId="3412" priority="55">
      <formula>AND(E$9&gt;=14/24,E$9&lt;20/24)</formula>
    </cfRule>
    <cfRule type="expression" dxfId="3411" priority="56">
      <formula>AND(E$9&gt;=8/24,E$9&lt;14/24)</formula>
    </cfRule>
    <cfRule type="expression" dxfId="3410" priority="57">
      <formula>E$9&lt;8/24</formula>
    </cfRule>
  </conditionalFormatting>
  <conditionalFormatting sqref="E68:L68">
    <cfRule type="expression" dxfId="3409" priority="49">
      <formula>E$9&gt;=20/24</formula>
    </cfRule>
    <cfRule type="expression" dxfId="3408" priority="50">
      <formula>AND(E$9&gt;=14/24,E$9&lt;20/24)</formula>
    </cfRule>
    <cfRule type="expression" dxfId="3407" priority="51">
      <formula>AND(E$9&gt;=8/24,E$9&lt;14/24)</formula>
    </cfRule>
    <cfRule type="expression" dxfId="3406" priority="52">
      <formula>E$9&lt;8/24</formula>
    </cfRule>
  </conditionalFormatting>
  <conditionalFormatting sqref="E11:R11 S11:AF12 K12:R12">
    <cfRule type="expression" dxfId="3405" priority="58">
      <formula>E11&gt;$AG11</formula>
    </cfRule>
    <cfRule type="expression" dxfId="3404" priority="59">
      <formula>E$9&gt;=20/24</formula>
    </cfRule>
    <cfRule type="expression" dxfId="3403" priority="60">
      <formula>AND(E$9&gt;=14/24,E$9&lt;20/24)</formula>
    </cfRule>
    <cfRule type="expression" dxfId="3402" priority="61">
      <formula>AND(E$9&gt;=8/24,E$9&lt;14/24)</formula>
    </cfRule>
    <cfRule type="expression" dxfId="3401" priority="62">
      <formula>E$9&lt;8/24</formula>
    </cfRule>
  </conditionalFormatting>
  <conditionalFormatting sqref="E53:AF54 B53:D57">
    <cfRule type="expression" dxfId="3400" priority="37">
      <formula>B$9&gt;=20/24</formula>
    </cfRule>
    <cfRule type="expression" dxfId="3399" priority="38">
      <formula>AND(B$9&gt;=14/24,B$9&lt;20/24)</formula>
    </cfRule>
    <cfRule type="expression" dxfId="3398" priority="39">
      <formula>AND(B$9&gt;=8/24,B$9&lt;14/24)</formula>
    </cfRule>
  </conditionalFormatting>
  <conditionalFormatting sqref="E55:AF57">
    <cfRule type="expression" dxfId="3397" priority="46">
      <formula>E$9&gt;=20/24</formula>
    </cfRule>
    <cfRule type="expression" dxfId="3396" priority="47">
      <formula>AND(E$9&gt;=14/24,E$9&lt;20/24)</formula>
    </cfRule>
    <cfRule type="expression" dxfId="3395" priority="48">
      <formula>AND(E$9&gt;=8/24,E$9&lt;14/24)</formula>
    </cfRule>
  </conditionalFormatting>
  <conditionalFormatting sqref="E56:AF56">
    <cfRule type="expression" dxfId="3394" priority="45">
      <formula>E56&gt;$AG56</formula>
    </cfRule>
  </conditionalFormatting>
  <conditionalFormatting sqref="E59:AF62">
    <cfRule type="expression" dxfId="3393" priority="67">
      <formula>E$9&gt;=20/24</formula>
    </cfRule>
    <cfRule type="expression" dxfId="3392" priority="68">
      <formula>AND(E$9&gt;=14/24,E$9&lt;20/24)</formula>
    </cfRule>
    <cfRule type="expression" dxfId="3391" priority="69">
      <formula>AND(E$9&gt;=8/24,E$9&lt;14/24)</formula>
    </cfRule>
    <cfRule type="expression" dxfId="3390" priority="70">
      <formula>E$9&lt;8/24</formula>
    </cfRule>
  </conditionalFormatting>
  <conditionalFormatting sqref="F63:L65">
    <cfRule type="expression" dxfId="3389" priority="81">
      <formula>F$9&gt;=20/24</formula>
    </cfRule>
    <cfRule type="expression" dxfId="3388" priority="82">
      <formula>AND(F$9&gt;=14/24,F$9&lt;20/24)</formula>
    </cfRule>
    <cfRule type="expression" dxfId="3387" priority="83">
      <formula>AND(F$9&gt;=8/24,F$9&lt;14/24)</formula>
    </cfRule>
    <cfRule type="expression" dxfId="3386" priority="84">
      <formula>F$9&lt;8/24</formula>
    </cfRule>
  </conditionalFormatting>
  <conditionalFormatting sqref="J12:J55 K13:AF55 F19:I55 E46:E55 B46:D61 F11:G18 B11:E45 H12:I18 E57:R61 S57:AF80 AG62 B62:R80 AG80">
    <cfRule type="expression" dxfId="3385" priority="40">
      <formula>B11&gt;$AG11</formula>
    </cfRule>
  </conditionalFormatting>
  <conditionalFormatting sqref="L68:W68">
    <cfRule type="expression" dxfId="3384" priority="77">
      <formula>L$9&gt;=20/24</formula>
    </cfRule>
    <cfRule type="expression" dxfId="3383" priority="78">
      <formula>AND(L$9&gt;=14/24,L$9&lt;20/24)</formula>
    </cfRule>
    <cfRule type="expression" dxfId="3382" priority="79">
      <formula>AND(L$9&gt;=8/24,L$9&lt;14/24)</formula>
    </cfRule>
    <cfRule type="expression" dxfId="3381" priority="80">
      <formula>L$9&lt;8/24</formula>
    </cfRule>
  </conditionalFormatting>
  <conditionalFormatting sqref="M8 S8 AB8">
    <cfRule type="expression" dxfId="3380" priority="136">
      <formula>AND(N$9&gt;=14/24,N$9&lt;20/24)</formula>
    </cfRule>
    <cfRule type="expression" dxfId="3379" priority="137">
      <formula>AND(N$9&gt;=8/24,N$9&lt;14/24)</formula>
    </cfRule>
    <cfRule type="expression" dxfId="3378" priority="138">
      <formula>N$9&lt;8/24</formula>
    </cfRule>
  </conditionalFormatting>
  <conditionalFormatting sqref="M63:W67">
    <cfRule type="expression" dxfId="3377" priority="85">
      <formula>M$9&gt;=20/24</formula>
    </cfRule>
    <cfRule type="expression" dxfId="3376" priority="86">
      <formula>AND(M$9&gt;=14/24,M$9&lt;20/24)</formula>
    </cfRule>
    <cfRule type="expression" dxfId="3375" priority="87">
      <formula>AND(M$9&gt;=8/24,M$9&lt;14/24)</formula>
    </cfRule>
    <cfRule type="expression" dxfId="3374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373" priority="135">
      <formula>N$9&gt;=20/24</formula>
    </cfRule>
  </conditionalFormatting>
  <conditionalFormatting sqref="S8">
    <cfRule type="expression" dxfId="3372" priority="122">
      <formula>U$9&gt;=20/24</formula>
    </cfRule>
    <cfRule type="expression" dxfId="3371" priority="123">
      <formula>AND(U$9&gt;=14/24,U$9&lt;20/24)</formula>
    </cfRule>
    <cfRule type="expression" dxfId="3370" priority="124">
      <formula>AND(U$9&gt;=8/24,U$9&lt;14/24)</formula>
    </cfRule>
    <cfRule type="expression" dxfId="3369" priority="125">
      <formula>U$9&lt;8/24</formula>
    </cfRule>
  </conditionalFormatting>
  <conditionalFormatting sqref="T63:AF68">
    <cfRule type="expression" dxfId="3368" priority="71">
      <formula>T$9&gt;=20/24</formula>
    </cfRule>
    <cfRule type="expression" dxfId="3367" priority="72">
      <formula>AND(T$9&gt;=14/24,T$9&lt;20/24)</formula>
    </cfRule>
    <cfRule type="expression" dxfId="3366" priority="73">
      <formula>AND(T$9&gt;=8/24,T$9&lt;14/24)</formula>
    </cfRule>
    <cfRule type="expression" dxfId="3365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364" priority="118">
      <formula>AD$9&gt;=20/24</formula>
    </cfRule>
    <cfRule type="expression" dxfId="3363" priority="119">
      <formula>AND(AD$9&gt;=14/24,AD$9&lt;20/24)</formula>
    </cfRule>
    <cfRule type="expression" dxfId="3362" priority="120">
      <formula>AND(AD$9&gt;=8/24,AD$9&lt;14/24)</formula>
    </cfRule>
    <cfRule type="expression" dxfId="3361" priority="121">
      <formula>AD$9&lt;8/24</formula>
    </cfRule>
  </conditionalFormatting>
  <conditionalFormatting sqref="AG58">
    <cfRule type="expression" dxfId="3360" priority="113">
      <formula>AG58&gt;$AG58</formula>
    </cfRule>
  </conditionalFormatting>
  <conditionalFormatting sqref="AG62">
    <cfRule type="expression" dxfId="3359" priority="96">
      <formula>AG$9&gt;=20/24</formula>
    </cfRule>
    <cfRule type="expression" dxfId="3358" priority="97">
      <formula>AND(AG$9&gt;=14/24,AG$9&lt;20/24)</formula>
    </cfRule>
    <cfRule type="expression" dxfId="3357" priority="98">
      <formula>AND(AG$9&gt;=8/24,AG$9&lt;14/24)</formula>
    </cfRule>
    <cfRule type="expression" dxfId="3356" priority="99">
      <formula>AG$9&lt;8/24</formula>
    </cfRule>
  </conditionalFormatting>
  <conditionalFormatting sqref="AG75:AG76">
    <cfRule type="expression" dxfId="3355" priority="91">
      <formula>AG75&gt;$AG75</formula>
    </cfRule>
  </conditionalFormatting>
  <conditionalFormatting sqref="AG80">
    <cfRule type="expression" dxfId="3354" priority="92">
      <formula>AG$9&gt;=20/24</formula>
    </cfRule>
    <cfRule type="expression" dxfId="3353" priority="93">
      <formula>AND(AG$9&gt;=14/24,AG$9&lt;20/24)</formula>
    </cfRule>
    <cfRule type="expression" dxfId="3352" priority="94">
      <formula>AND(AG$9&gt;=8/24,AG$9&lt;14/24)</formula>
    </cfRule>
    <cfRule type="expression" dxfId="3351" priority="95">
      <formula>AG$9&lt;8/24</formula>
    </cfRule>
  </conditionalFormatting>
  <conditionalFormatting sqref="AG97">
    <cfRule type="expression" dxfId="3350" priority="114">
      <formula>AG$9&gt;=20/24</formula>
    </cfRule>
    <cfRule type="expression" dxfId="3349" priority="115">
      <formula>AND(AG$9&gt;=14/24,AG$9&lt;20/24)</formula>
    </cfRule>
    <cfRule type="expression" dxfId="3348" priority="116">
      <formula>AND(AG$9&gt;=8/24,AG$9&lt;14/24)</formula>
    </cfRule>
    <cfRule type="expression" dxfId="3347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346" priority="139">
      <formula>AJ$9&gt;=20/24</formula>
    </cfRule>
    <cfRule type="expression" dxfId="3345" priority="140">
      <formula>AND(AJ$9&gt;=14/24,AJ$9&lt;20/24)</formula>
    </cfRule>
    <cfRule type="expression" dxfId="3344" priority="141">
      <formula>AND(AJ$9&gt;=8/24,AJ$9&lt;14/24)</formula>
    </cfRule>
    <cfRule type="expression" dxfId="3343" priority="142">
      <formula>AJ$9&lt;8/24</formula>
    </cfRule>
  </conditionalFormatting>
  <conditionalFormatting sqref="AL88:AN88 AL94:AN94">
    <cfRule type="expression" dxfId="3342" priority="106">
      <formula>AL$9&gt;=20/24</formula>
    </cfRule>
    <cfRule type="expression" dxfId="3341" priority="107">
      <formula>AND(AL$9&gt;=14/24,AL$9&lt;20/24)</formula>
    </cfRule>
    <cfRule type="expression" dxfId="3340" priority="108">
      <formula>AND(AL$9&gt;=8/24,AL$9&lt;14/24)</formula>
    </cfRule>
    <cfRule type="expression" dxfId="3339" priority="109">
      <formula>AL$9&lt;8/24</formula>
    </cfRule>
  </conditionalFormatting>
  <conditionalFormatting sqref="AM15:AM21 AN16:AR21">
    <cfRule type="expression" dxfId="3338" priority="13">
      <formula>AX$9&gt;=20/24</formula>
    </cfRule>
    <cfRule type="expression" dxfId="3337" priority="14">
      <formula>AND(AX$9&gt;=14/24,AX$9&lt;20/24)</formula>
    </cfRule>
    <cfRule type="expression" dxfId="3336" priority="15">
      <formula>AND(AX$9&gt;=8/24,AX$9&lt;14/24)</formula>
    </cfRule>
    <cfRule type="expression" dxfId="3335" priority="16">
      <formula>AX$9&lt;8/24</formula>
    </cfRule>
  </conditionalFormatting>
  <conditionalFormatting sqref="AN89:AN92">
    <cfRule type="expression" dxfId="3334" priority="102">
      <formula>AN$9&gt;=20/24</formula>
    </cfRule>
    <cfRule type="expression" dxfId="3333" priority="103">
      <formula>AND(AN$9&gt;=14/24,AN$9&lt;20/24)</formula>
    </cfRule>
    <cfRule type="expression" dxfId="3332" priority="104">
      <formula>AND(AN$9&gt;=8/24,AN$9&lt;14/24)</formula>
    </cfRule>
    <cfRule type="expression" dxfId="3331" priority="105">
      <formula>AN$9&lt;8/24</formula>
    </cfRule>
  </conditionalFormatting>
  <conditionalFormatting sqref="AN15:AR15">
    <cfRule type="expression" dxfId="3330" priority="1">
      <formula>U$9&gt;=20/24</formula>
    </cfRule>
    <cfRule type="expression" dxfId="3329" priority="2">
      <formula>AND(U$9&gt;=14/24,U$9&lt;20/24)</formula>
    </cfRule>
    <cfRule type="expression" dxfId="3328" priority="3">
      <formula>AND(U$9&gt;=8/24,U$9&lt;14/24)</formula>
    </cfRule>
    <cfRule type="expression" dxfId="3327" priority="4">
      <formula>U$9&lt;8/24</formula>
    </cfRule>
  </conditionalFormatting>
  <conditionalFormatting sqref="AS15">
    <cfRule type="expression" dxfId="3326" priority="9">
      <formula>AA$9&gt;=20/24</formula>
    </cfRule>
    <cfRule type="expression" dxfId="3325" priority="10">
      <formula>AND(AA$9&gt;=14/24,AA$9&lt;20/24)</formula>
    </cfRule>
    <cfRule type="expression" dxfId="3324" priority="11">
      <formula>AND(AA$9&gt;=8/24,AA$9&lt;14/24)</formula>
    </cfRule>
    <cfRule type="expression" dxfId="3323" priority="12">
      <formula>AA$9&lt;8/24</formula>
    </cfRule>
  </conditionalFormatting>
  <conditionalFormatting sqref="AS16:AS21">
    <cfRule type="expression" dxfId="3322" priority="17">
      <formula>BE$9&gt;=20/24</formula>
    </cfRule>
    <cfRule type="expression" dxfId="3321" priority="18">
      <formula>AND(BE$9&gt;=14/24,BE$9&lt;20/24)</formula>
    </cfRule>
    <cfRule type="expression" dxfId="3320" priority="19">
      <formula>AND(BE$9&gt;=8/24,BE$9&lt;14/24)</formula>
    </cfRule>
    <cfRule type="expression" dxfId="3319" priority="20">
      <formula>BE$9&lt;8/24</formula>
    </cfRule>
  </conditionalFormatting>
  <conditionalFormatting sqref="AT15 AX15:BJ15">
    <cfRule type="expression" dxfId="3318" priority="21">
      <formula>AC$9&gt;=20/24</formula>
    </cfRule>
    <cfRule type="expression" dxfId="3317" priority="22">
      <formula>AND(AC$9&gt;=14/24,AC$9&lt;20/24)</formula>
    </cfRule>
    <cfRule type="expression" dxfId="3316" priority="23">
      <formula>AND(AC$9&gt;=8/24,AC$9&lt;14/24)</formula>
    </cfRule>
    <cfRule type="expression" dxfId="3315" priority="24">
      <formula>AC$9&lt;8/24</formula>
    </cfRule>
  </conditionalFormatting>
  <conditionalFormatting sqref="AT16:AT21">
    <cfRule type="expression" dxfId="3314" priority="25">
      <formula>BG$9&gt;=20/24</formula>
    </cfRule>
    <cfRule type="expression" dxfId="3313" priority="26">
      <formula>AND(BG$9&gt;=14/24,BG$9&lt;20/24)</formula>
    </cfRule>
    <cfRule type="expression" dxfId="3312" priority="27">
      <formula>AND(BG$9&gt;=8/24,BG$9&lt;14/24)</formula>
    </cfRule>
    <cfRule type="expression" dxfId="3311" priority="28">
      <formula>BG$9&lt;8/24</formula>
    </cfRule>
  </conditionalFormatting>
  <conditionalFormatting sqref="AU15:AV15">
    <cfRule type="expression" dxfId="3310" priority="29">
      <formula>AE$9&gt;=20/24</formula>
    </cfRule>
    <cfRule type="expression" dxfId="3309" priority="30">
      <formula>AND(AE$9&gt;=14/24,AE$9&lt;20/24)</formula>
    </cfRule>
    <cfRule type="expression" dxfId="3308" priority="31">
      <formula>AND(AE$9&gt;=8/24,AE$9&lt;14/24)</formula>
    </cfRule>
    <cfRule type="expression" dxfId="3307" priority="32">
      <formula>AE$9&lt;8/24</formula>
    </cfRule>
  </conditionalFormatting>
  <conditionalFormatting sqref="AU16:BJ21">
    <cfRule type="expression" dxfId="3306" priority="33">
      <formula>BI$9&gt;=20/24</formula>
    </cfRule>
    <cfRule type="expression" dxfId="3305" priority="34">
      <formula>AND(BI$9&gt;=14/24,BI$9&lt;20/24)</formula>
    </cfRule>
    <cfRule type="expression" dxfId="3304" priority="35">
      <formula>AND(BI$9&gt;=8/24,BI$9&lt;14/24)</formula>
    </cfRule>
    <cfRule type="expression" dxfId="3303" priority="36">
      <formula>BI$9&lt;8/24</formula>
    </cfRule>
  </conditionalFormatting>
  <conditionalFormatting sqref="AW15">
    <cfRule type="expression" dxfId="3302" priority="5">
      <formula>B$9&gt;=20/24</formula>
    </cfRule>
    <cfRule type="expression" dxfId="3301" priority="6">
      <formula>AND(B$9&gt;=14/24,B$9&lt;20/24)</formula>
    </cfRule>
    <cfRule type="expression" dxfId="3300" priority="7">
      <formula>AND(B$9&gt;=8/24,B$9&lt;14/24)</formula>
    </cfRule>
    <cfRule type="expression" dxfId="329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20D4-685C-450F-92E7-C9E1E192ADA3}">
  <sheetPr codeName="Sheet11"/>
  <dimension ref="A1:CJ294"/>
  <sheetViews>
    <sheetView zoomScale="106" workbookViewId="0">
      <pane xSplit="1" ySplit="10" topLeftCell="B7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2080/10/11</v>
      </c>
      <c r="C4" s="187"/>
      <c r="D4" s="187"/>
      <c r="E4" s="188" t="str">
        <f ca="1">"2080/"&amp;"10/"&amp;INT(MID(CELL("filename",G6),FIND("]",CELL("filename",G6))+1,200))</f>
        <v>2080/10/11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99.72999999999999</v>
      </c>
      <c r="C5" s="30">
        <f t="shared" si="0"/>
        <v>151.4</v>
      </c>
      <c r="D5" s="30">
        <f t="shared" si="0"/>
        <v>137.4</v>
      </c>
      <c r="E5" s="30">
        <f t="shared" si="0"/>
        <v>147.30000000000001</v>
      </c>
      <c r="F5" s="30">
        <f t="shared" si="0"/>
        <v>154.69999999999999</v>
      </c>
      <c r="G5" s="30">
        <f t="shared" si="0"/>
        <v>160</v>
      </c>
      <c r="H5" s="30">
        <f t="shared" si="0"/>
        <v>178.39999999999998</v>
      </c>
      <c r="I5" s="30">
        <f t="shared" si="0"/>
        <v>463.5</v>
      </c>
      <c r="J5" s="30">
        <f t="shared" si="0"/>
        <v>589.09999999999991</v>
      </c>
      <c r="K5" s="30">
        <f t="shared" si="0"/>
        <v>536.29999999999995</v>
      </c>
      <c r="L5" s="30">
        <f t="shared" si="0"/>
        <v>542.79999999999995</v>
      </c>
      <c r="M5" s="30">
        <f t="shared" si="0"/>
        <v>710.4</v>
      </c>
      <c r="N5" s="30">
        <f t="shared" si="0"/>
        <v>764.5</v>
      </c>
      <c r="O5" s="30">
        <f t="shared" si="0"/>
        <v>799.50000000000011</v>
      </c>
      <c r="P5" s="30">
        <f t="shared" si="0"/>
        <v>680.4</v>
      </c>
      <c r="Q5" s="30">
        <f t="shared" si="0"/>
        <v>747.9</v>
      </c>
      <c r="R5" s="30">
        <f t="shared" si="0"/>
        <v>654</v>
      </c>
      <c r="S5" s="30">
        <f t="shared" si="0"/>
        <v>783.3</v>
      </c>
      <c r="T5" s="30">
        <f t="shared" si="0"/>
        <v>798.3</v>
      </c>
      <c r="U5" s="30">
        <f t="shared" si="0"/>
        <v>709.69999999999993</v>
      </c>
      <c r="V5" s="30">
        <f t="shared" si="0"/>
        <v>976.6</v>
      </c>
      <c r="W5" s="30">
        <f t="shared" si="0"/>
        <v>569</v>
      </c>
      <c r="X5" s="30">
        <f t="shared" si="0"/>
        <v>479.8</v>
      </c>
      <c r="Y5" s="30">
        <f t="shared" si="0"/>
        <v>250.1</v>
      </c>
      <c r="Z5" s="30">
        <f t="shared" si="0"/>
        <v>138</v>
      </c>
      <c r="AA5" s="30">
        <f t="shared" si="0"/>
        <v>121.5</v>
      </c>
      <c r="AB5" s="30">
        <f t="shared" si="0"/>
        <v>98.7</v>
      </c>
      <c r="AC5" s="30">
        <f t="shared" si="0"/>
        <v>97.2</v>
      </c>
      <c r="AD5" s="30">
        <f t="shared" si="0"/>
        <v>105.8</v>
      </c>
      <c r="AE5" s="30">
        <f t="shared" si="0"/>
        <v>100.19999999999999</v>
      </c>
      <c r="AF5" s="30">
        <f>B92</f>
        <v>140.9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1743MW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Load=1496</v>
      </c>
      <c r="B7" s="35">
        <f t="shared" ref="B7:AF7" si="1">B100</f>
        <v>1630.64</v>
      </c>
      <c r="C7" s="35">
        <f t="shared" si="1"/>
        <v>1583.27</v>
      </c>
      <c r="D7" s="35">
        <f t="shared" si="1"/>
        <v>1583.94</v>
      </c>
      <c r="E7" s="35">
        <f t="shared" si="1"/>
        <v>1536.44</v>
      </c>
      <c r="F7" s="35">
        <f t="shared" si="1"/>
        <v>1515.34</v>
      </c>
      <c r="G7" s="35">
        <f t="shared" si="1"/>
        <v>1531.6399999999999</v>
      </c>
      <c r="H7" s="35">
        <f t="shared" si="1"/>
        <v>1537.2399999999998</v>
      </c>
      <c r="I7" s="35">
        <f t="shared" si="1"/>
        <v>1540.6399999999999</v>
      </c>
      <c r="J7" s="35">
        <f t="shared" si="1"/>
        <v>1554.9399999999998</v>
      </c>
      <c r="K7" s="35">
        <f t="shared" si="1"/>
        <v>1625.4899999999998</v>
      </c>
      <c r="L7" s="35">
        <f t="shared" si="1"/>
        <v>1687.0399999999997</v>
      </c>
      <c r="M7" s="35">
        <f t="shared" si="1"/>
        <v>1702.24</v>
      </c>
      <c r="N7" s="35">
        <f t="shared" si="1"/>
        <v>1742.54</v>
      </c>
      <c r="O7" s="35">
        <f t="shared" si="1"/>
        <v>1844.54</v>
      </c>
      <c r="P7" s="35">
        <f t="shared" si="1"/>
        <v>1906.04</v>
      </c>
      <c r="Q7" s="35">
        <f t="shared" si="1"/>
        <v>1837.44</v>
      </c>
      <c r="R7" s="35">
        <f t="shared" si="1"/>
        <v>1897.3399999999997</v>
      </c>
      <c r="S7" s="35">
        <f t="shared" si="1"/>
        <v>1773.4399999999998</v>
      </c>
      <c r="T7" s="35">
        <f t="shared" si="1"/>
        <v>1902.7399999999998</v>
      </c>
      <c r="U7" s="35">
        <f t="shared" si="1"/>
        <v>1829.34</v>
      </c>
      <c r="V7" s="35">
        <f t="shared" si="1"/>
        <v>1700.9399999999996</v>
      </c>
      <c r="W7" s="35">
        <f t="shared" si="1"/>
        <v>1956.6399999999999</v>
      </c>
      <c r="X7" s="35">
        <f t="shared" si="1"/>
        <v>1495.84</v>
      </c>
      <c r="Y7" s="35">
        <f t="shared" si="1"/>
        <v>1711.6</v>
      </c>
      <c r="Z7" s="35">
        <f t="shared" si="1"/>
        <v>1834.1</v>
      </c>
      <c r="AA7" s="35">
        <f t="shared" si="1"/>
        <v>1848.2399999999998</v>
      </c>
      <c r="AB7" s="35">
        <f t="shared" si="1"/>
        <v>1794.6399999999999</v>
      </c>
      <c r="AC7" s="35">
        <f t="shared" si="1"/>
        <v>1772.61</v>
      </c>
      <c r="AD7" s="35">
        <f t="shared" si="1"/>
        <v>1762.0400000000002</v>
      </c>
      <c r="AE7" s="35">
        <f t="shared" si="1"/>
        <v>1716.34</v>
      </c>
      <c r="AF7" s="35">
        <f t="shared" si="1"/>
        <v>1634.24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1906.04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1906.04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25.1</v>
      </c>
      <c r="C11" s="46">
        <v>25.1</v>
      </c>
      <c r="D11" s="46">
        <v>25.1</v>
      </c>
      <c r="E11" s="46">
        <v>22.1</v>
      </c>
      <c r="F11" s="46">
        <v>22.1</v>
      </c>
      <c r="G11" s="46">
        <v>22.1</v>
      </c>
      <c r="H11" s="46">
        <v>22.1</v>
      </c>
      <c r="I11" s="46">
        <v>22.1</v>
      </c>
      <c r="J11" s="46">
        <v>22.1</v>
      </c>
      <c r="K11" s="46">
        <v>22.1</v>
      </c>
      <c r="L11" s="46">
        <v>22.1</v>
      </c>
      <c r="M11" s="46">
        <v>22.1</v>
      </c>
      <c r="N11" s="46">
        <v>22.1</v>
      </c>
      <c r="O11" s="46">
        <v>22.1</v>
      </c>
      <c r="P11" s="46">
        <v>22.1</v>
      </c>
      <c r="Q11" s="46">
        <v>22.1</v>
      </c>
      <c r="R11" s="46">
        <v>22.1</v>
      </c>
      <c r="S11" s="46">
        <v>22.1</v>
      </c>
      <c r="T11" s="46">
        <v>22.1</v>
      </c>
      <c r="U11" s="46">
        <v>22.1</v>
      </c>
      <c r="V11" s="46">
        <v>22.1</v>
      </c>
      <c r="W11" s="46">
        <v>22.1</v>
      </c>
      <c r="X11" s="46">
        <v>22.1</v>
      </c>
      <c r="Y11" s="46">
        <v>22.1</v>
      </c>
      <c r="Z11" s="46">
        <v>22.1</v>
      </c>
      <c r="AA11" s="46">
        <v>22.1</v>
      </c>
      <c r="AB11" s="46">
        <v>25.3</v>
      </c>
      <c r="AC11" s="46">
        <v>25.9</v>
      </c>
      <c r="AD11" s="46">
        <v>25.9</v>
      </c>
      <c r="AE11" s="46">
        <v>25.6</v>
      </c>
      <c r="AF11" s="46">
        <v>25.9</v>
      </c>
      <c r="AG11" s="47">
        <v>86</v>
      </c>
      <c r="AH11" s="48">
        <f t="shared" ref="AH11:AH16" si="2">MAX(B11:AF11)</f>
        <v>25.9</v>
      </c>
      <c r="AI11" s="49">
        <f t="shared" ref="AI11:AI16" si="3">MIN(B11:AF11)</f>
        <v>22.1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</v>
      </c>
      <c r="C12" s="46">
        <v>11</v>
      </c>
      <c r="D12" s="46">
        <v>11</v>
      </c>
      <c r="E12" s="46">
        <v>11</v>
      </c>
      <c r="F12" s="46">
        <v>11</v>
      </c>
      <c r="G12" s="46">
        <v>11</v>
      </c>
      <c r="H12" s="46">
        <v>11</v>
      </c>
      <c r="I12" s="46">
        <v>11</v>
      </c>
      <c r="J12" s="46">
        <v>11</v>
      </c>
      <c r="K12" s="46">
        <v>11</v>
      </c>
      <c r="L12" s="46">
        <v>11</v>
      </c>
      <c r="M12" s="46">
        <v>11</v>
      </c>
      <c r="N12" s="46">
        <v>11</v>
      </c>
      <c r="O12" s="46">
        <v>11</v>
      </c>
      <c r="P12" s="46">
        <v>11</v>
      </c>
      <c r="Q12" s="46">
        <v>11</v>
      </c>
      <c r="R12" s="46">
        <v>11</v>
      </c>
      <c r="S12" s="46">
        <v>11</v>
      </c>
      <c r="T12" s="46">
        <v>11</v>
      </c>
      <c r="U12" s="46">
        <v>11</v>
      </c>
      <c r="V12" s="46">
        <v>11</v>
      </c>
      <c r="W12" s="46">
        <v>11</v>
      </c>
      <c r="X12" s="46">
        <v>11</v>
      </c>
      <c r="Y12" s="46">
        <v>11</v>
      </c>
      <c r="Z12" s="46">
        <v>11</v>
      </c>
      <c r="AA12" s="46">
        <v>11</v>
      </c>
      <c r="AB12" s="46">
        <v>11</v>
      </c>
      <c r="AC12" s="46">
        <v>11</v>
      </c>
      <c r="AD12" s="46">
        <v>11</v>
      </c>
      <c r="AE12" s="46">
        <v>11</v>
      </c>
      <c r="AF12" s="46">
        <v>11</v>
      </c>
      <c r="AG12" s="50">
        <v>54</v>
      </c>
      <c r="AH12" s="48">
        <f t="shared" si="2"/>
        <v>11</v>
      </c>
      <c r="AI12" s="49">
        <f t="shared" si="3"/>
        <v>11</v>
      </c>
      <c r="AK12" s="51"/>
      <c r="AL12" s="52" t="str">
        <f ca="1">MID(CELL("filename",C7),FIND("]",CELL("filename",C7))+1,600)</f>
        <v>11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17</v>
      </c>
      <c r="C13" s="46">
        <v>17</v>
      </c>
      <c r="D13" s="46">
        <v>17</v>
      </c>
      <c r="E13" s="46">
        <v>17</v>
      </c>
      <c r="F13" s="46">
        <v>17</v>
      </c>
      <c r="G13" s="46">
        <v>17</v>
      </c>
      <c r="H13" s="46">
        <v>17</v>
      </c>
      <c r="I13" s="46">
        <v>17</v>
      </c>
      <c r="J13" s="46">
        <v>17</v>
      </c>
      <c r="K13" s="46">
        <v>17</v>
      </c>
      <c r="L13" s="46">
        <v>17</v>
      </c>
      <c r="M13" s="46">
        <v>17</v>
      </c>
      <c r="N13" s="46">
        <v>17</v>
      </c>
      <c r="O13" s="46">
        <v>17</v>
      </c>
      <c r="P13" s="46">
        <v>17</v>
      </c>
      <c r="Q13" s="46">
        <v>17</v>
      </c>
      <c r="R13" s="46">
        <v>17</v>
      </c>
      <c r="S13" s="46">
        <v>17</v>
      </c>
      <c r="T13" s="46">
        <v>17</v>
      </c>
      <c r="U13" s="46">
        <v>17</v>
      </c>
      <c r="V13" s="46">
        <v>17</v>
      </c>
      <c r="W13" s="46">
        <v>17</v>
      </c>
      <c r="X13" s="46">
        <v>17</v>
      </c>
      <c r="Y13" s="46">
        <v>17</v>
      </c>
      <c r="Z13" s="46">
        <v>17</v>
      </c>
      <c r="AA13" s="46">
        <v>17</v>
      </c>
      <c r="AB13" s="46">
        <v>17</v>
      </c>
      <c r="AC13" s="46">
        <v>17</v>
      </c>
      <c r="AD13" s="46">
        <v>17</v>
      </c>
      <c r="AE13" s="46">
        <v>17</v>
      </c>
      <c r="AF13" s="46">
        <v>17</v>
      </c>
      <c r="AG13" s="50">
        <v>54</v>
      </c>
      <c r="AH13" s="48">
        <f t="shared" si="2"/>
        <v>17</v>
      </c>
      <c r="AI13" s="49">
        <f t="shared" si="3"/>
        <v>17</v>
      </c>
      <c r="AK13" s="51"/>
      <c r="AL13" s="52" t="str">
        <f ca="1">"Daily Load Curve(Excluding of Export) of Nepal ("&amp;A4&amp;" "&amp;B4&amp;")"</f>
        <v>Daily Load Curve(Excluding of Export) of Nepal (Nepali Date: 2080/10/11)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50.2</v>
      </c>
      <c r="C15" s="46">
        <v>50.2</v>
      </c>
      <c r="D15" s="46">
        <v>50.2</v>
      </c>
      <c r="E15" s="46">
        <v>50.2</v>
      </c>
      <c r="F15" s="46">
        <v>50.2</v>
      </c>
      <c r="G15" s="46">
        <v>50.2</v>
      </c>
      <c r="H15" s="46">
        <v>50.2</v>
      </c>
      <c r="I15" s="46">
        <v>50.2</v>
      </c>
      <c r="J15" s="46">
        <v>50.2</v>
      </c>
      <c r="K15" s="46">
        <v>50.2</v>
      </c>
      <c r="L15" s="46">
        <v>50.2</v>
      </c>
      <c r="M15" s="46">
        <v>50.2</v>
      </c>
      <c r="N15" s="46">
        <v>50.2</v>
      </c>
      <c r="O15" s="46">
        <v>50.2</v>
      </c>
      <c r="P15" s="46">
        <v>50.2</v>
      </c>
      <c r="Q15" s="46">
        <v>50.2</v>
      </c>
      <c r="R15" s="46">
        <v>50.2</v>
      </c>
      <c r="S15" s="46">
        <v>50.2</v>
      </c>
      <c r="T15" s="46">
        <v>50.2</v>
      </c>
      <c r="U15" s="46">
        <v>50.2</v>
      </c>
      <c r="V15" s="46">
        <v>50.2</v>
      </c>
      <c r="W15" s="46">
        <v>50.2</v>
      </c>
      <c r="X15" s="46">
        <v>50.2</v>
      </c>
      <c r="Y15" s="46">
        <v>50.2</v>
      </c>
      <c r="Z15" s="46">
        <v>50.2</v>
      </c>
      <c r="AA15" s="46">
        <v>50.2</v>
      </c>
      <c r="AB15" s="46">
        <v>50.2</v>
      </c>
      <c r="AC15" s="46">
        <v>50.2</v>
      </c>
      <c r="AD15" s="46">
        <v>50.2</v>
      </c>
      <c r="AE15" s="46">
        <v>50.4</v>
      </c>
      <c r="AF15" s="46">
        <v>50.4</v>
      </c>
      <c r="AG15" s="50">
        <v>50</v>
      </c>
      <c r="AH15" s="48">
        <f t="shared" si="2"/>
        <v>50.4</v>
      </c>
      <c r="AI15" s="49">
        <f t="shared" si="3"/>
        <v>50.2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23</v>
      </c>
      <c r="C16" s="46">
        <v>23</v>
      </c>
      <c r="D16" s="46">
        <v>23</v>
      </c>
      <c r="E16" s="46">
        <v>23</v>
      </c>
      <c r="F16" s="46">
        <v>23</v>
      </c>
      <c r="G16" s="46">
        <v>23</v>
      </c>
      <c r="H16" s="46">
        <v>23</v>
      </c>
      <c r="I16" s="46">
        <v>23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23</v>
      </c>
      <c r="S16" s="46">
        <v>23</v>
      </c>
      <c r="T16" s="46">
        <v>23</v>
      </c>
      <c r="U16" s="46">
        <v>23</v>
      </c>
      <c r="V16" s="46">
        <v>23</v>
      </c>
      <c r="W16" s="46">
        <v>23</v>
      </c>
      <c r="X16" s="46">
        <v>23</v>
      </c>
      <c r="Y16" s="46">
        <v>23</v>
      </c>
      <c r="Z16" s="46">
        <v>23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23</v>
      </c>
      <c r="AK16" s="51"/>
      <c r="AL16" s="54" t="s">
        <v>7</v>
      </c>
      <c r="AM16" s="59">
        <f t="shared" ref="AM16:AR16" si="4">B58</f>
        <v>584.09999999999991</v>
      </c>
      <c r="AN16" s="59">
        <f t="shared" si="4"/>
        <v>584.09999999999991</v>
      </c>
      <c r="AO16" s="59">
        <f t="shared" si="4"/>
        <v>584.09999999999991</v>
      </c>
      <c r="AP16" s="59">
        <f t="shared" si="4"/>
        <v>581.09999999999991</v>
      </c>
      <c r="AQ16" s="59">
        <f t="shared" si="4"/>
        <v>581.09999999999991</v>
      </c>
      <c r="AR16" s="59">
        <f t="shared" si="4"/>
        <v>581.09999999999991</v>
      </c>
      <c r="AS16" s="59">
        <f>I58</f>
        <v>581.09999999999991</v>
      </c>
      <c r="AT16" s="59">
        <f>K58</f>
        <v>581.09999999999991</v>
      </c>
      <c r="AU16" s="59">
        <f t="shared" ref="AU16:BD16" si="5">M58</f>
        <v>581.09999999999991</v>
      </c>
      <c r="AV16" s="59">
        <f t="shared" si="5"/>
        <v>581.09999999999991</v>
      </c>
      <c r="AW16" s="59">
        <f t="shared" si="5"/>
        <v>581.09999999999991</v>
      </c>
      <c r="AX16" s="59">
        <f t="shared" si="5"/>
        <v>581.09999999999991</v>
      </c>
      <c r="AY16" s="59">
        <f t="shared" si="5"/>
        <v>581.09999999999991</v>
      </c>
      <c r="AZ16" s="59">
        <f t="shared" si="5"/>
        <v>581.09999999999991</v>
      </c>
      <c r="BA16" s="59">
        <f t="shared" si="5"/>
        <v>581.09999999999991</v>
      </c>
      <c r="BB16" s="59">
        <f t="shared" si="5"/>
        <v>581.09999999999991</v>
      </c>
      <c r="BC16" s="59">
        <f t="shared" si="5"/>
        <v>581.09999999999991</v>
      </c>
      <c r="BD16" s="59">
        <f t="shared" si="5"/>
        <v>581.09999999999991</v>
      </c>
      <c r="BE16" s="60">
        <f>X58</f>
        <v>581.09999999999991</v>
      </c>
      <c r="BF16" s="60">
        <f>Z58</f>
        <v>581.09999999999991</v>
      </c>
      <c r="BG16" s="60">
        <f>AB58</f>
        <v>584.29999999999995</v>
      </c>
      <c r="BH16" s="60">
        <f>AD58</f>
        <v>584.9</v>
      </c>
      <c r="BI16" s="60">
        <f>AE58</f>
        <v>592.20000000000005</v>
      </c>
      <c r="BJ16" s="60">
        <f>AF58</f>
        <v>593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17</v>
      </c>
      <c r="C17" s="46">
        <v>17</v>
      </c>
      <c r="D17" s="46">
        <v>17</v>
      </c>
      <c r="E17" s="46">
        <v>17</v>
      </c>
      <c r="F17" s="46">
        <v>17</v>
      </c>
      <c r="G17" s="46">
        <v>17</v>
      </c>
      <c r="H17" s="46">
        <v>17</v>
      </c>
      <c r="I17" s="46">
        <v>17</v>
      </c>
      <c r="J17" s="46">
        <v>17</v>
      </c>
      <c r="K17" s="46">
        <v>17</v>
      </c>
      <c r="L17" s="46">
        <v>17</v>
      </c>
      <c r="M17" s="46">
        <v>17</v>
      </c>
      <c r="N17" s="46">
        <v>17</v>
      </c>
      <c r="O17" s="46">
        <v>17</v>
      </c>
      <c r="P17" s="46">
        <v>17</v>
      </c>
      <c r="Q17" s="46">
        <v>17</v>
      </c>
      <c r="R17" s="46">
        <v>17</v>
      </c>
      <c r="S17" s="46">
        <v>17</v>
      </c>
      <c r="T17" s="46">
        <v>17</v>
      </c>
      <c r="U17" s="46">
        <v>17</v>
      </c>
      <c r="V17" s="46">
        <v>17</v>
      </c>
      <c r="W17" s="46">
        <v>17</v>
      </c>
      <c r="X17" s="46">
        <v>17</v>
      </c>
      <c r="Y17" s="46">
        <v>17</v>
      </c>
      <c r="Z17" s="46">
        <v>17</v>
      </c>
      <c r="AA17" s="46">
        <v>17</v>
      </c>
      <c r="AB17" s="46">
        <v>17</v>
      </c>
      <c r="AC17" s="46">
        <v>17</v>
      </c>
      <c r="AD17" s="46">
        <v>17</v>
      </c>
      <c r="AE17" s="46">
        <v>17</v>
      </c>
      <c r="AF17" s="46">
        <v>17</v>
      </c>
      <c r="AG17" s="50">
        <v>44</v>
      </c>
      <c r="AH17" s="48">
        <f>MAX(B17:AG17)</f>
        <v>44</v>
      </c>
      <c r="AI17" s="49">
        <f>MIN(B17:AG17)</f>
        <v>17</v>
      </c>
      <c r="AK17" s="51"/>
      <c r="AL17" s="54" t="s">
        <v>27</v>
      </c>
      <c r="AM17" s="59">
        <f t="shared" ref="AM17:AR17" si="6">B62</f>
        <v>252.2</v>
      </c>
      <c r="AN17" s="59">
        <f t="shared" si="6"/>
        <v>252.2</v>
      </c>
      <c r="AO17" s="59">
        <f t="shared" si="6"/>
        <v>202.2</v>
      </c>
      <c r="AP17" s="59">
        <f t="shared" si="6"/>
        <v>200</v>
      </c>
      <c r="AQ17" s="59">
        <f t="shared" si="6"/>
        <v>199.2</v>
      </c>
      <c r="AR17" s="59">
        <f t="shared" si="6"/>
        <v>199.4</v>
      </c>
      <c r="AS17" s="59">
        <f>I62</f>
        <v>199.6</v>
      </c>
      <c r="AT17" s="59">
        <f>K62</f>
        <v>49.1</v>
      </c>
      <c r="AU17" s="59">
        <f t="shared" ref="AU17:BD17" si="7">M62</f>
        <v>149.1</v>
      </c>
      <c r="AV17" s="59">
        <f t="shared" si="7"/>
        <v>99.2</v>
      </c>
      <c r="AW17" s="59">
        <f t="shared" si="7"/>
        <v>107.6</v>
      </c>
      <c r="AX17" s="59">
        <f t="shared" si="7"/>
        <v>107.4</v>
      </c>
      <c r="AY17" s="59">
        <f t="shared" si="7"/>
        <v>90.399999999999991</v>
      </c>
      <c r="AZ17" s="59">
        <f t="shared" si="7"/>
        <v>87.3</v>
      </c>
      <c r="BA17" s="59">
        <f t="shared" si="7"/>
        <v>37.299999999999997</v>
      </c>
      <c r="BB17" s="59">
        <f t="shared" si="7"/>
        <v>37.299999999999997</v>
      </c>
      <c r="BC17" s="59">
        <f t="shared" si="7"/>
        <v>37.299999999999997</v>
      </c>
      <c r="BD17" s="59">
        <f t="shared" si="7"/>
        <v>37.299999999999997</v>
      </c>
      <c r="BE17" s="60">
        <f>X62</f>
        <v>37.299999999999997</v>
      </c>
      <c r="BF17" s="60">
        <f>Z62</f>
        <v>410.3</v>
      </c>
      <c r="BG17" s="60">
        <f>AB62</f>
        <v>453.8</v>
      </c>
      <c r="BH17" s="60">
        <f>AD62</f>
        <v>456.09999999999997</v>
      </c>
      <c r="BI17" s="60">
        <f>AE62</f>
        <v>405.7</v>
      </c>
      <c r="BJ17" s="60">
        <f>AF62</f>
        <v>332.6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17</v>
      </c>
      <c r="C18" s="46">
        <v>17</v>
      </c>
      <c r="D18" s="46">
        <v>17</v>
      </c>
      <c r="E18" s="46">
        <v>17</v>
      </c>
      <c r="F18" s="46">
        <v>17</v>
      </c>
      <c r="G18" s="46">
        <v>17</v>
      </c>
      <c r="H18" s="46">
        <v>17</v>
      </c>
      <c r="I18" s="46">
        <v>17</v>
      </c>
      <c r="J18" s="46">
        <v>17</v>
      </c>
      <c r="K18" s="46">
        <v>17</v>
      </c>
      <c r="L18" s="46">
        <v>17</v>
      </c>
      <c r="M18" s="46">
        <v>17</v>
      </c>
      <c r="N18" s="46">
        <v>17</v>
      </c>
      <c r="O18" s="46">
        <v>17</v>
      </c>
      <c r="P18" s="46">
        <v>17</v>
      </c>
      <c r="Q18" s="46">
        <v>17</v>
      </c>
      <c r="R18" s="46">
        <v>17</v>
      </c>
      <c r="S18" s="46">
        <v>17</v>
      </c>
      <c r="T18" s="46">
        <v>17</v>
      </c>
      <c r="U18" s="46">
        <v>17</v>
      </c>
      <c r="V18" s="46">
        <v>17</v>
      </c>
      <c r="W18" s="46">
        <v>17</v>
      </c>
      <c r="X18" s="46">
        <v>17</v>
      </c>
      <c r="Y18" s="46">
        <v>17</v>
      </c>
      <c r="Z18" s="46">
        <v>17</v>
      </c>
      <c r="AA18" s="46">
        <v>17</v>
      </c>
      <c r="AB18" s="46">
        <v>17</v>
      </c>
      <c r="AC18" s="46">
        <v>17</v>
      </c>
      <c r="AD18" s="46">
        <v>17</v>
      </c>
      <c r="AE18" s="46">
        <v>21</v>
      </c>
      <c r="AF18" s="46">
        <v>22</v>
      </c>
      <c r="AG18" s="50">
        <v>42</v>
      </c>
      <c r="AH18" s="48">
        <f t="shared" ref="AH18:AH81" si="8">MAX(B18:AF18)</f>
        <v>22</v>
      </c>
      <c r="AI18" s="49">
        <f t="shared" ref="AI18:AI81" si="9">MIN(B18:AF18)</f>
        <v>17</v>
      </c>
      <c r="AK18" s="51"/>
      <c r="AL18" s="54" t="s">
        <v>29</v>
      </c>
      <c r="AM18" s="59">
        <f t="shared" ref="AM18:AR18" si="10">B76</f>
        <v>355.84</v>
      </c>
      <c r="AN18" s="59">
        <f t="shared" si="10"/>
        <v>350.64</v>
      </c>
      <c r="AO18" s="59">
        <f t="shared" si="10"/>
        <v>350.64</v>
      </c>
      <c r="AP18" s="59">
        <f t="shared" si="10"/>
        <v>319.84000000000003</v>
      </c>
      <c r="AQ18" s="59">
        <f t="shared" si="10"/>
        <v>289.54000000000002</v>
      </c>
      <c r="AR18" s="59">
        <f t="shared" si="10"/>
        <v>298.14</v>
      </c>
      <c r="AS18" s="59">
        <f>I76</f>
        <v>313.34000000000003</v>
      </c>
      <c r="AT18" s="59">
        <f>K76</f>
        <v>308.28999999999996</v>
      </c>
      <c r="AU18" s="59">
        <f t="shared" ref="AU18:BD18" si="11">M76</f>
        <v>330.04</v>
      </c>
      <c r="AV18" s="59">
        <f t="shared" si="11"/>
        <v>290.14000000000004</v>
      </c>
      <c r="AW18" s="59">
        <f t="shared" si="11"/>
        <v>310.14</v>
      </c>
      <c r="AX18" s="59">
        <f t="shared" si="11"/>
        <v>317.94</v>
      </c>
      <c r="AY18" s="59">
        <f t="shared" si="11"/>
        <v>325.14000000000004</v>
      </c>
      <c r="AZ18" s="59">
        <f t="shared" si="11"/>
        <v>320.64000000000004</v>
      </c>
      <c r="BA18" s="59">
        <f t="shared" si="11"/>
        <v>320.64000000000004</v>
      </c>
      <c r="BB18" s="59">
        <f t="shared" si="11"/>
        <v>320.64000000000004</v>
      </c>
      <c r="BC18" s="59">
        <f t="shared" si="11"/>
        <v>312.24</v>
      </c>
      <c r="BD18" s="59">
        <f t="shared" si="11"/>
        <v>272.44</v>
      </c>
      <c r="BE18" s="60">
        <f>X76</f>
        <v>259.24</v>
      </c>
      <c r="BF18" s="60">
        <f>Z76</f>
        <v>280.7</v>
      </c>
      <c r="BG18" s="60">
        <f>AB76</f>
        <v>304.43999999999994</v>
      </c>
      <c r="BH18" s="60">
        <f>AD76</f>
        <v>295.64</v>
      </c>
      <c r="BI18" s="60">
        <f>AE76</f>
        <v>297.14</v>
      </c>
      <c r="BJ18" s="60">
        <f>AF76</f>
        <v>297.04000000000002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20.5</v>
      </c>
      <c r="C19" s="46">
        <v>20.5</v>
      </c>
      <c r="D19" s="46">
        <v>20.5</v>
      </c>
      <c r="E19" s="46">
        <v>20.5</v>
      </c>
      <c r="F19" s="46">
        <v>20.5</v>
      </c>
      <c r="G19" s="46">
        <v>20.5</v>
      </c>
      <c r="H19" s="46">
        <v>20.5</v>
      </c>
      <c r="I19" s="46">
        <v>20.5</v>
      </c>
      <c r="J19" s="46">
        <v>20.5</v>
      </c>
      <c r="K19" s="46">
        <v>20.5</v>
      </c>
      <c r="L19" s="46">
        <v>20.5</v>
      </c>
      <c r="M19" s="46">
        <v>20.5</v>
      </c>
      <c r="N19" s="46">
        <v>20.5</v>
      </c>
      <c r="O19" s="46">
        <v>20.5</v>
      </c>
      <c r="P19" s="46">
        <v>20.5</v>
      </c>
      <c r="Q19" s="46">
        <v>20.5</v>
      </c>
      <c r="R19" s="46">
        <v>20.5</v>
      </c>
      <c r="S19" s="46">
        <v>20.5</v>
      </c>
      <c r="T19" s="46">
        <v>20.5</v>
      </c>
      <c r="U19" s="46">
        <v>20.5</v>
      </c>
      <c r="V19" s="46">
        <v>20.5</v>
      </c>
      <c r="W19" s="46">
        <v>20.5</v>
      </c>
      <c r="X19" s="46">
        <v>20.5</v>
      </c>
      <c r="Y19" s="46">
        <v>20.5</v>
      </c>
      <c r="Z19" s="46">
        <v>20.5</v>
      </c>
      <c r="AA19" s="46">
        <v>20.5</v>
      </c>
      <c r="AB19" s="46">
        <v>20.5</v>
      </c>
      <c r="AC19" s="46">
        <v>20.5</v>
      </c>
      <c r="AD19" s="46">
        <v>20.5</v>
      </c>
      <c r="AE19" s="46">
        <v>30</v>
      </c>
      <c r="AF19" s="46">
        <v>31.4</v>
      </c>
      <c r="AG19" s="50">
        <v>38.46</v>
      </c>
      <c r="AH19" s="48">
        <f t="shared" si="8"/>
        <v>31.4</v>
      </c>
      <c r="AI19" s="49">
        <f t="shared" si="9"/>
        <v>20.5</v>
      </c>
      <c r="AK19" s="51"/>
      <c r="AL19" s="54" t="s">
        <v>31</v>
      </c>
      <c r="AM19" s="59">
        <f t="shared" ref="AM19:AR19" si="12">B92</f>
        <v>140.9</v>
      </c>
      <c r="AN19" s="59">
        <f t="shared" si="12"/>
        <v>99.72999999999999</v>
      </c>
      <c r="AO19" s="59">
        <f t="shared" si="12"/>
        <v>151.4</v>
      </c>
      <c r="AP19" s="59">
        <f t="shared" si="12"/>
        <v>137.4</v>
      </c>
      <c r="AQ19" s="59">
        <f t="shared" si="12"/>
        <v>147.30000000000001</v>
      </c>
      <c r="AR19" s="59">
        <f t="shared" si="12"/>
        <v>154.69999999999999</v>
      </c>
      <c r="AS19" s="59">
        <f>I92</f>
        <v>178.39999999999998</v>
      </c>
      <c r="AT19" s="59">
        <f>K92</f>
        <v>589.09999999999991</v>
      </c>
      <c r="AU19" s="59">
        <f t="shared" ref="AU19:BD19" si="13">M92</f>
        <v>542.79999999999995</v>
      </c>
      <c r="AV19" s="59">
        <f t="shared" si="13"/>
        <v>710.4</v>
      </c>
      <c r="AW19" s="59">
        <f t="shared" si="13"/>
        <v>764.5</v>
      </c>
      <c r="AX19" s="59">
        <f t="shared" si="13"/>
        <v>799.50000000000011</v>
      </c>
      <c r="AY19" s="59">
        <f t="shared" si="13"/>
        <v>680.4</v>
      </c>
      <c r="AZ19" s="59">
        <f t="shared" si="13"/>
        <v>747.9</v>
      </c>
      <c r="BA19" s="59">
        <f t="shared" si="13"/>
        <v>654</v>
      </c>
      <c r="BB19" s="59">
        <f t="shared" si="13"/>
        <v>783.3</v>
      </c>
      <c r="BC19" s="59">
        <f t="shared" si="13"/>
        <v>798.3</v>
      </c>
      <c r="BD19" s="59">
        <f t="shared" si="13"/>
        <v>709.69999999999993</v>
      </c>
      <c r="BE19" s="60">
        <f>X92</f>
        <v>569</v>
      </c>
      <c r="BF19" s="60">
        <f>Z92</f>
        <v>250.1</v>
      </c>
      <c r="BG19" s="60">
        <f>AB92</f>
        <v>121.5</v>
      </c>
      <c r="BH19" s="60">
        <f>AD92</f>
        <v>97.2</v>
      </c>
      <c r="BI19" s="60">
        <f>AE92</f>
        <v>105.8</v>
      </c>
      <c r="BJ19" s="60">
        <f>AF92</f>
        <v>100.19999999999999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17</v>
      </c>
      <c r="F20" s="46">
        <v>17</v>
      </c>
      <c r="G20" s="46">
        <v>17</v>
      </c>
      <c r="H20" s="46">
        <v>17</v>
      </c>
      <c r="I20" s="46">
        <v>17</v>
      </c>
      <c r="J20" s="46">
        <v>17</v>
      </c>
      <c r="K20" s="46">
        <v>17</v>
      </c>
      <c r="L20" s="46">
        <v>17</v>
      </c>
      <c r="M20" s="46">
        <v>17</v>
      </c>
      <c r="N20" s="46">
        <v>17</v>
      </c>
      <c r="O20" s="46">
        <v>17</v>
      </c>
      <c r="P20" s="46">
        <v>17</v>
      </c>
      <c r="Q20" s="46">
        <v>17</v>
      </c>
      <c r="R20" s="46">
        <v>17</v>
      </c>
      <c r="S20" s="46">
        <v>17</v>
      </c>
      <c r="T20" s="46">
        <v>17</v>
      </c>
      <c r="U20" s="46">
        <v>17</v>
      </c>
      <c r="V20" s="46">
        <v>17</v>
      </c>
      <c r="W20" s="46">
        <v>17</v>
      </c>
      <c r="X20" s="46">
        <v>17</v>
      </c>
      <c r="Y20" s="46">
        <v>17</v>
      </c>
      <c r="Z20" s="46">
        <v>17</v>
      </c>
      <c r="AA20" s="46">
        <v>17</v>
      </c>
      <c r="AB20" s="46">
        <v>17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17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97.600000000000009</v>
      </c>
      <c r="AN20" s="59">
        <f t="shared" si="14"/>
        <v>97.600000000000009</v>
      </c>
      <c r="AO20" s="59">
        <f t="shared" si="14"/>
        <v>97.600000000000009</v>
      </c>
      <c r="AP20" s="59">
        <f t="shared" si="14"/>
        <v>98.1</v>
      </c>
      <c r="AQ20" s="59">
        <f t="shared" si="14"/>
        <v>98.2</v>
      </c>
      <c r="AR20" s="59">
        <f t="shared" si="14"/>
        <v>98.3</v>
      </c>
      <c r="AS20" s="59">
        <f>I80</f>
        <v>98.2</v>
      </c>
      <c r="AT20" s="59">
        <f>K80</f>
        <v>97.9</v>
      </c>
      <c r="AU20" s="59">
        <f t="shared" ref="AU20:BD20" si="15">M80</f>
        <v>99.2</v>
      </c>
      <c r="AV20" s="59">
        <f t="shared" si="15"/>
        <v>61.699999999999996</v>
      </c>
      <c r="AW20" s="59">
        <f t="shared" si="15"/>
        <v>81.2</v>
      </c>
      <c r="AX20" s="59">
        <f t="shared" si="15"/>
        <v>100.10000000000001</v>
      </c>
      <c r="AY20" s="59">
        <f t="shared" si="15"/>
        <v>100.39999999999999</v>
      </c>
      <c r="AZ20" s="59">
        <f t="shared" si="15"/>
        <v>100.39999999999999</v>
      </c>
      <c r="BA20" s="59">
        <f t="shared" si="15"/>
        <v>100.39999999999999</v>
      </c>
      <c r="BB20" s="59">
        <f t="shared" si="15"/>
        <v>100.39999999999999</v>
      </c>
      <c r="BC20" s="59">
        <f t="shared" si="15"/>
        <v>100.39999999999999</v>
      </c>
      <c r="BD20" s="59">
        <f t="shared" si="15"/>
        <v>100.39999999999999</v>
      </c>
      <c r="BE20" s="60">
        <f>X80</f>
        <v>49.199999999999996</v>
      </c>
      <c r="BF20" s="60">
        <f>Z80</f>
        <v>61.9</v>
      </c>
      <c r="BG20" s="60">
        <f>AB80</f>
        <v>80.600000000000009</v>
      </c>
      <c r="BH20" s="60">
        <f>AD80</f>
        <v>78.2</v>
      </c>
      <c r="BI20" s="60">
        <f>AE80</f>
        <v>65.5</v>
      </c>
      <c r="BJ20" s="60">
        <f>AF80</f>
        <v>61.400000000000006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200</v>
      </c>
      <c r="AN21" s="59">
        <f t="shared" si="16"/>
        <v>200</v>
      </c>
      <c r="AO21" s="59">
        <f t="shared" si="16"/>
        <v>200</v>
      </c>
      <c r="AP21" s="59">
        <f t="shared" si="16"/>
        <v>200</v>
      </c>
      <c r="AQ21" s="59">
        <f t="shared" si="16"/>
        <v>200</v>
      </c>
      <c r="AR21" s="59">
        <f t="shared" si="16"/>
        <v>200</v>
      </c>
      <c r="AS21" s="59">
        <f>I98</f>
        <v>170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60</v>
      </c>
      <c r="AZ21" s="59">
        <f t="shared" si="17"/>
        <v>60</v>
      </c>
      <c r="BA21" s="59">
        <f t="shared" si="17"/>
        <v>80</v>
      </c>
      <c r="BB21" s="59">
        <f t="shared" si="17"/>
        <v>80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250</v>
      </c>
      <c r="BG21" s="60">
        <f>AB98</f>
        <v>250</v>
      </c>
      <c r="BH21" s="60">
        <f>AD98</f>
        <v>250</v>
      </c>
      <c r="BI21" s="60">
        <f>AE98</f>
        <v>250</v>
      </c>
      <c r="BJ21" s="60">
        <f>AF98</f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12.6</v>
      </c>
      <c r="C22" s="46">
        <v>12.6</v>
      </c>
      <c r="D22" s="46">
        <v>12.6</v>
      </c>
      <c r="E22" s="46">
        <v>12.6</v>
      </c>
      <c r="F22" s="46">
        <v>12.6</v>
      </c>
      <c r="G22" s="46">
        <v>12.6</v>
      </c>
      <c r="H22" s="46">
        <v>12.6</v>
      </c>
      <c r="I22" s="46">
        <v>12.6</v>
      </c>
      <c r="J22" s="46">
        <v>12.6</v>
      </c>
      <c r="K22" s="46">
        <v>12.6</v>
      </c>
      <c r="L22" s="46">
        <v>12.6</v>
      </c>
      <c r="M22" s="46">
        <v>12.6</v>
      </c>
      <c r="N22" s="46">
        <v>12.6</v>
      </c>
      <c r="O22" s="46">
        <v>12.6</v>
      </c>
      <c r="P22" s="46">
        <v>12.6</v>
      </c>
      <c r="Q22" s="46">
        <v>12.6</v>
      </c>
      <c r="R22" s="46">
        <v>12.6</v>
      </c>
      <c r="S22" s="46">
        <v>12.6</v>
      </c>
      <c r="T22" s="46">
        <v>12.6</v>
      </c>
      <c r="U22" s="46">
        <v>12.6</v>
      </c>
      <c r="V22" s="46">
        <v>12.6</v>
      </c>
      <c r="W22" s="46">
        <v>12.6</v>
      </c>
      <c r="X22" s="46">
        <v>12.6</v>
      </c>
      <c r="Y22" s="46">
        <v>12.6</v>
      </c>
      <c r="Z22" s="46">
        <v>12.6</v>
      </c>
      <c r="AA22" s="46">
        <v>12.6</v>
      </c>
      <c r="AB22" s="46">
        <v>12.6</v>
      </c>
      <c r="AC22" s="46">
        <v>12.6</v>
      </c>
      <c r="AD22" s="46">
        <v>12.6</v>
      </c>
      <c r="AE22" s="46">
        <v>12.6</v>
      </c>
      <c r="AF22" s="46">
        <v>12.6</v>
      </c>
      <c r="AG22" s="61">
        <v>30</v>
      </c>
      <c r="AH22" s="48">
        <f t="shared" si="8"/>
        <v>12.6</v>
      </c>
      <c r="AI22" s="49">
        <f t="shared" si="9"/>
        <v>12.6</v>
      </c>
      <c r="AK22" s="51"/>
      <c r="AL22" s="62" t="s">
        <v>37</v>
      </c>
      <c r="AM22" s="63">
        <f t="shared" ref="AM22:BJ22" si="18">SUM(AM16:AM21)</f>
        <v>1630.6399999999999</v>
      </c>
      <c r="AN22" s="63">
        <f t="shared" si="18"/>
        <v>1584.27</v>
      </c>
      <c r="AO22" s="63">
        <f t="shared" si="18"/>
        <v>1585.94</v>
      </c>
      <c r="AP22" s="63">
        <f t="shared" si="18"/>
        <v>1536.44</v>
      </c>
      <c r="AQ22" s="63">
        <f t="shared" si="18"/>
        <v>1515.34</v>
      </c>
      <c r="AR22" s="63">
        <f t="shared" si="18"/>
        <v>1531.6399999999999</v>
      </c>
      <c r="AS22" s="63">
        <f t="shared" si="18"/>
        <v>1540.64</v>
      </c>
      <c r="AT22" s="63">
        <f t="shared" si="18"/>
        <v>1625.4899999999998</v>
      </c>
      <c r="AU22" s="63">
        <f t="shared" si="18"/>
        <v>1702.24</v>
      </c>
      <c r="AV22" s="63">
        <f t="shared" si="18"/>
        <v>1742.5400000000002</v>
      </c>
      <c r="AW22" s="63">
        <f t="shared" si="18"/>
        <v>1844.54</v>
      </c>
      <c r="AX22" s="63">
        <f t="shared" si="18"/>
        <v>1906.04</v>
      </c>
      <c r="AY22" s="63">
        <f t="shared" si="18"/>
        <v>1837.44</v>
      </c>
      <c r="AZ22" s="63">
        <f t="shared" si="18"/>
        <v>1897.3400000000001</v>
      </c>
      <c r="BA22" s="63">
        <f t="shared" si="18"/>
        <v>1773.44</v>
      </c>
      <c r="BB22" s="63">
        <f t="shared" si="18"/>
        <v>1902.74</v>
      </c>
      <c r="BC22" s="63">
        <f t="shared" si="18"/>
        <v>1829.34</v>
      </c>
      <c r="BD22" s="63">
        <f t="shared" si="18"/>
        <v>1700.94</v>
      </c>
      <c r="BE22" s="63">
        <f t="shared" si="18"/>
        <v>1495.84</v>
      </c>
      <c r="BF22" s="63">
        <f t="shared" si="18"/>
        <v>1834.1</v>
      </c>
      <c r="BG22" s="63">
        <f t="shared" si="18"/>
        <v>1794.6399999999999</v>
      </c>
      <c r="BH22" s="63">
        <f t="shared" si="18"/>
        <v>1762.04</v>
      </c>
      <c r="BI22" s="63">
        <f t="shared" si="18"/>
        <v>1716.34</v>
      </c>
      <c r="BJ22" s="63">
        <f t="shared" si="18"/>
        <v>1634.2400000000002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10</v>
      </c>
      <c r="C23" s="46">
        <v>10</v>
      </c>
      <c r="D23" s="46">
        <v>10</v>
      </c>
      <c r="E23" s="46">
        <v>10</v>
      </c>
      <c r="F23" s="46">
        <v>10</v>
      </c>
      <c r="G23" s="46">
        <v>10</v>
      </c>
      <c r="H23" s="46">
        <v>10</v>
      </c>
      <c r="I23" s="46">
        <v>10</v>
      </c>
      <c r="J23" s="46">
        <v>10</v>
      </c>
      <c r="K23" s="46">
        <v>10</v>
      </c>
      <c r="L23" s="46">
        <v>10</v>
      </c>
      <c r="M23" s="46">
        <v>10</v>
      </c>
      <c r="N23" s="46">
        <v>10</v>
      </c>
      <c r="O23" s="46">
        <v>10</v>
      </c>
      <c r="P23" s="46">
        <v>10</v>
      </c>
      <c r="Q23" s="46">
        <v>10</v>
      </c>
      <c r="R23" s="46">
        <v>10</v>
      </c>
      <c r="S23" s="46">
        <v>10</v>
      </c>
      <c r="T23" s="46">
        <v>10</v>
      </c>
      <c r="U23" s="46">
        <v>10</v>
      </c>
      <c r="V23" s="46">
        <v>10</v>
      </c>
      <c r="W23" s="46">
        <v>10</v>
      </c>
      <c r="X23" s="46">
        <v>10</v>
      </c>
      <c r="Y23" s="46">
        <v>10</v>
      </c>
      <c r="Z23" s="46">
        <v>10</v>
      </c>
      <c r="AA23" s="46">
        <v>10</v>
      </c>
      <c r="AB23" s="46">
        <v>10</v>
      </c>
      <c r="AC23" s="46">
        <v>10</v>
      </c>
      <c r="AD23" s="46">
        <v>10</v>
      </c>
      <c r="AE23" s="46">
        <v>10</v>
      </c>
      <c r="AF23" s="46">
        <v>10</v>
      </c>
      <c r="AG23" s="50">
        <v>24.2</v>
      </c>
      <c r="AH23" s="48">
        <f t="shared" si="8"/>
        <v>10</v>
      </c>
      <c r="AI23" s="49">
        <f t="shared" si="9"/>
        <v>10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-1</v>
      </c>
      <c r="AO23" s="63">
        <f t="shared" si="19"/>
        <v>-2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9</v>
      </c>
      <c r="C24" s="46">
        <v>9</v>
      </c>
      <c r="D24" s="46">
        <v>9</v>
      </c>
      <c r="E24" s="46">
        <v>9</v>
      </c>
      <c r="F24" s="46">
        <v>9</v>
      </c>
      <c r="G24" s="46">
        <v>9</v>
      </c>
      <c r="H24" s="46">
        <v>9</v>
      </c>
      <c r="I24" s="46">
        <v>9</v>
      </c>
      <c r="J24" s="46">
        <v>9</v>
      </c>
      <c r="K24" s="46">
        <v>9</v>
      </c>
      <c r="L24" s="46">
        <v>9</v>
      </c>
      <c r="M24" s="46">
        <v>9</v>
      </c>
      <c r="N24" s="46">
        <v>9</v>
      </c>
      <c r="O24" s="46">
        <v>9</v>
      </c>
      <c r="P24" s="46">
        <v>9</v>
      </c>
      <c r="Q24" s="46">
        <v>9</v>
      </c>
      <c r="R24" s="46">
        <v>9</v>
      </c>
      <c r="S24" s="46">
        <v>9</v>
      </c>
      <c r="T24" s="46">
        <v>9</v>
      </c>
      <c r="U24" s="46">
        <v>9</v>
      </c>
      <c r="V24" s="46">
        <v>9</v>
      </c>
      <c r="W24" s="46">
        <v>9</v>
      </c>
      <c r="X24" s="46">
        <v>9</v>
      </c>
      <c r="Y24" s="46">
        <v>9</v>
      </c>
      <c r="Z24" s="46">
        <v>9</v>
      </c>
      <c r="AA24" s="46">
        <v>9</v>
      </c>
      <c r="AB24" s="46">
        <v>9</v>
      </c>
      <c r="AC24" s="46">
        <v>9</v>
      </c>
      <c r="AD24" s="46">
        <v>9</v>
      </c>
      <c r="AE24" s="46">
        <v>12.2</v>
      </c>
      <c r="AF24" s="46">
        <v>10.3</v>
      </c>
      <c r="AG24" s="50">
        <v>28</v>
      </c>
      <c r="AH24" s="48">
        <f t="shared" si="8"/>
        <v>12.2</v>
      </c>
      <c r="AI24" s="49">
        <f t="shared" si="9"/>
        <v>9</v>
      </c>
      <c r="AK24" s="51"/>
      <c r="AL24" s="62" t="s">
        <v>41</v>
      </c>
      <c r="AM24" s="63">
        <f t="shared" ref="AM24:BJ24" si="21">AM22+AM23</f>
        <v>1630.6399999999999</v>
      </c>
      <c r="AN24" s="63">
        <f t="shared" si="21"/>
        <v>1583.27</v>
      </c>
      <c r="AO24" s="63">
        <f t="shared" si="21"/>
        <v>1583.94</v>
      </c>
      <c r="AP24" s="63">
        <f t="shared" si="21"/>
        <v>1536.44</v>
      </c>
      <c r="AQ24" s="63">
        <f t="shared" si="21"/>
        <v>1515.34</v>
      </c>
      <c r="AR24" s="63">
        <f t="shared" si="21"/>
        <v>1531.6399999999999</v>
      </c>
      <c r="AS24" s="63">
        <f t="shared" si="21"/>
        <v>1540.64</v>
      </c>
      <c r="AT24" s="63">
        <f t="shared" si="21"/>
        <v>1625.4899999999998</v>
      </c>
      <c r="AU24" s="63">
        <f t="shared" si="21"/>
        <v>1702.24</v>
      </c>
      <c r="AV24" s="63">
        <f t="shared" si="21"/>
        <v>1742.5400000000002</v>
      </c>
      <c r="AW24" s="63">
        <f t="shared" si="21"/>
        <v>1844.54</v>
      </c>
      <c r="AX24" s="63">
        <f t="shared" si="21"/>
        <v>1906.04</v>
      </c>
      <c r="AY24" s="63">
        <f t="shared" si="21"/>
        <v>1837.44</v>
      </c>
      <c r="AZ24" s="63">
        <f t="shared" si="21"/>
        <v>1897.3400000000001</v>
      </c>
      <c r="BA24" s="63">
        <f t="shared" si="21"/>
        <v>1773.44</v>
      </c>
      <c r="BB24" s="63">
        <f t="shared" si="21"/>
        <v>1902.74</v>
      </c>
      <c r="BC24" s="63">
        <f t="shared" si="21"/>
        <v>1829.34</v>
      </c>
      <c r="BD24" s="63">
        <f t="shared" si="21"/>
        <v>1700.94</v>
      </c>
      <c r="BE24" s="63">
        <f t="shared" si="21"/>
        <v>1495.84</v>
      </c>
      <c r="BF24" s="63">
        <f t="shared" si="21"/>
        <v>1834.1</v>
      </c>
      <c r="BG24" s="63">
        <f t="shared" si="21"/>
        <v>1794.6399999999999</v>
      </c>
      <c r="BH24" s="63">
        <f t="shared" si="21"/>
        <v>1762.04</v>
      </c>
      <c r="BI24" s="63">
        <f t="shared" si="21"/>
        <v>1716.34</v>
      </c>
      <c r="BJ24" s="63">
        <f t="shared" si="21"/>
        <v>1634.2400000000002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10.6</v>
      </c>
      <c r="C25" s="46">
        <v>10.6</v>
      </c>
      <c r="D25" s="46">
        <v>10.6</v>
      </c>
      <c r="E25" s="46">
        <v>10.6</v>
      </c>
      <c r="F25" s="46">
        <v>10.6</v>
      </c>
      <c r="G25" s="46">
        <v>10.6</v>
      </c>
      <c r="H25" s="46">
        <v>10.6</v>
      </c>
      <c r="I25" s="46">
        <v>10.6</v>
      </c>
      <c r="J25" s="46">
        <v>10.6</v>
      </c>
      <c r="K25" s="46">
        <v>10.6</v>
      </c>
      <c r="L25" s="46">
        <v>10.6</v>
      </c>
      <c r="M25" s="46">
        <v>10.6</v>
      </c>
      <c r="N25" s="46">
        <v>10.6</v>
      </c>
      <c r="O25" s="46">
        <v>10.6</v>
      </c>
      <c r="P25" s="46">
        <v>10.6</v>
      </c>
      <c r="Q25" s="46">
        <v>10.6</v>
      </c>
      <c r="R25" s="46">
        <v>10.6</v>
      </c>
      <c r="S25" s="46">
        <v>10.6</v>
      </c>
      <c r="T25" s="46">
        <v>10.6</v>
      </c>
      <c r="U25" s="46">
        <v>10.6</v>
      </c>
      <c r="V25" s="46">
        <v>10.6</v>
      </c>
      <c r="W25" s="46">
        <v>10.6</v>
      </c>
      <c r="X25" s="46">
        <v>10.6</v>
      </c>
      <c r="Y25" s="46">
        <v>10.6</v>
      </c>
      <c r="Z25" s="46">
        <v>10.6</v>
      </c>
      <c r="AA25" s="46">
        <v>10.6</v>
      </c>
      <c r="AB25" s="46">
        <v>10.6</v>
      </c>
      <c r="AC25" s="46">
        <v>10.6</v>
      </c>
      <c r="AD25" s="46">
        <v>10.6</v>
      </c>
      <c r="AE25" s="46">
        <v>10.6</v>
      </c>
      <c r="AF25" s="46">
        <v>10.6</v>
      </c>
      <c r="AG25" s="61">
        <v>30</v>
      </c>
      <c r="AH25" s="48">
        <f t="shared" si="8"/>
        <v>10.6</v>
      </c>
      <c r="AI25" s="49">
        <f t="shared" si="9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13.2</v>
      </c>
      <c r="C26" s="46">
        <v>13.2</v>
      </c>
      <c r="D26" s="46">
        <v>13.2</v>
      </c>
      <c r="E26" s="46">
        <v>13.2</v>
      </c>
      <c r="F26" s="46">
        <v>13.2</v>
      </c>
      <c r="G26" s="46">
        <v>13.2</v>
      </c>
      <c r="H26" s="46">
        <v>13.2</v>
      </c>
      <c r="I26" s="46">
        <v>13.2</v>
      </c>
      <c r="J26" s="46">
        <v>13.2</v>
      </c>
      <c r="K26" s="46">
        <v>13.2</v>
      </c>
      <c r="L26" s="46">
        <v>13.2</v>
      </c>
      <c r="M26" s="46">
        <v>13.2</v>
      </c>
      <c r="N26" s="46">
        <v>13.2</v>
      </c>
      <c r="O26" s="46">
        <v>13.2</v>
      </c>
      <c r="P26" s="46">
        <v>13.2</v>
      </c>
      <c r="Q26" s="46">
        <v>13.2</v>
      </c>
      <c r="R26" s="46">
        <v>13.2</v>
      </c>
      <c r="S26" s="46">
        <v>13.2</v>
      </c>
      <c r="T26" s="46">
        <v>13.2</v>
      </c>
      <c r="U26" s="46">
        <v>13.2</v>
      </c>
      <c r="V26" s="46">
        <v>13.2</v>
      </c>
      <c r="W26" s="46">
        <v>13.2</v>
      </c>
      <c r="X26" s="46">
        <v>13.2</v>
      </c>
      <c r="Y26" s="46">
        <v>13.2</v>
      </c>
      <c r="Z26" s="46">
        <v>13.2</v>
      </c>
      <c r="AA26" s="46">
        <v>13.2</v>
      </c>
      <c r="AB26" s="46">
        <v>13.2</v>
      </c>
      <c r="AC26" s="46">
        <v>13.2</v>
      </c>
      <c r="AD26" s="46">
        <v>13.2</v>
      </c>
      <c r="AE26" s="46">
        <v>13.1</v>
      </c>
      <c r="AF26" s="46">
        <v>13.1</v>
      </c>
      <c r="AG26" s="50">
        <v>25</v>
      </c>
      <c r="AH26" s="48">
        <f t="shared" si="8"/>
        <v>13.2</v>
      </c>
      <c r="AI26" s="49">
        <f t="shared" si="9"/>
        <v>13.1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12.4</v>
      </c>
      <c r="C29" s="46">
        <v>12.4</v>
      </c>
      <c r="D29" s="46">
        <v>12.4</v>
      </c>
      <c r="E29" s="46">
        <v>12.4</v>
      </c>
      <c r="F29" s="46">
        <v>12.4</v>
      </c>
      <c r="G29" s="46">
        <v>12.4</v>
      </c>
      <c r="H29" s="46">
        <v>12.4</v>
      </c>
      <c r="I29" s="46">
        <v>12.4</v>
      </c>
      <c r="J29" s="46">
        <v>12.4</v>
      </c>
      <c r="K29" s="46">
        <v>12.4</v>
      </c>
      <c r="L29" s="46">
        <v>12.4</v>
      </c>
      <c r="M29" s="46">
        <v>12.4</v>
      </c>
      <c r="N29" s="46">
        <v>12.4</v>
      </c>
      <c r="O29" s="46">
        <v>12.4</v>
      </c>
      <c r="P29" s="46">
        <v>12.4</v>
      </c>
      <c r="Q29" s="46">
        <v>12.4</v>
      </c>
      <c r="R29" s="46">
        <v>12.4</v>
      </c>
      <c r="S29" s="46">
        <v>12.4</v>
      </c>
      <c r="T29" s="46">
        <v>12.4</v>
      </c>
      <c r="U29" s="46">
        <v>12.4</v>
      </c>
      <c r="V29" s="46">
        <v>12.4</v>
      </c>
      <c r="W29" s="46">
        <v>12.4</v>
      </c>
      <c r="X29" s="46">
        <v>12.4</v>
      </c>
      <c r="Y29" s="46">
        <v>12.4</v>
      </c>
      <c r="Z29" s="46">
        <v>12.4</v>
      </c>
      <c r="AA29" s="46">
        <v>12.4</v>
      </c>
      <c r="AB29" s="46">
        <v>12.4</v>
      </c>
      <c r="AC29" s="46">
        <v>12.4</v>
      </c>
      <c r="AD29" s="46">
        <v>12.4</v>
      </c>
      <c r="AE29" s="46">
        <v>12.4</v>
      </c>
      <c r="AF29" s="46">
        <v>12.4</v>
      </c>
      <c r="AG29" s="50">
        <v>25</v>
      </c>
      <c r="AH29" s="48">
        <f t="shared" si="8"/>
        <v>12.4</v>
      </c>
      <c r="AI29" s="49">
        <f t="shared" si="9"/>
        <v>12.4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6.5</v>
      </c>
      <c r="C30" s="46">
        <v>6.5</v>
      </c>
      <c r="D30" s="46">
        <v>6.5</v>
      </c>
      <c r="E30" s="46">
        <v>6.5</v>
      </c>
      <c r="F30" s="46">
        <v>6.5</v>
      </c>
      <c r="G30" s="46">
        <v>6.5</v>
      </c>
      <c r="H30" s="46">
        <v>6.5</v>
      </c>
      <c r="I30" s="46">
        <v>6.5</v>
      </c>
      <c r="J30" s="46">
        <v>6.5</v>
      </c>
      <c r="K30" s="46">
        <v>6.5</v>
      </c>
      <c r="L30" s="46">
        <v>6.5</v>
      </c>
      <c r="M30" s="46">
        <v>6.5</v>
      </c>
      <c r="N30" s="46">
        <v>6.5</v>
      </c>
      <c r="O30" s="46">
        <v>6.5</v>
      </c>
      <c r="P30" s="46">
        <v>6.5</v>
      </c>
      <c r="Q30" s="46">
        <v>6.5</v>
      </c>
      <c r="R30" s="46">
        <v>6.5</v>
      </c>
      <c r="S30" s="46">
        <v>6.5</v>
      </c>
      <c r="T30" s="46">
        <v>6.5</v>
      </c>
      <c r="U30" s="46">
        <v>6.5</v>
      </c>
      <c r="V30" s="46">
        <v>6.5</v>
      </c>
      <c r="W30" s="46">
        <v>6.5</v>
      </c>
      <c r="X30" s="46">
        <v>6.5</v>
      </c>
      <c r="Y30" s="46">
        <v>6.5</v>
      </c>
      <c r="Z30" s="46">
        <v>6.5</v>
      </c>
      <c r="AA30" s="46">
        <v>6.5</v>
      </c>
      <c r="AB30" s="46">
        <v>6.5</v>
      </c>
      <c r="AC30" s="46">
        <v>6.5</v>
      </c>
      <c r="AD30" s="46">
        <v>6.5</v>
      </c>
      <c r="AE30" s="46">
        <v>6.5</v>
      </c>
      <c r="AF30" s="46">
        <v>6.5</v>
      </c>
      <c r="AG30" s="50">
        <v>23.5</v>
      </c>
      <c r="AH30" s="48">
        <f t="shared" si="8"/>
        <v>6.5</v>
      </c>
      <c r="AI30" s="49">
        <f t="shared" si="9"/>
        <v>6.5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20</v>
      </c>
      <c r="C34" s="46">
        <v>20</v>
      </c>
      <c r="D34" s="46">
        <v>20</v>
      </c>
      <c r="E34" s="46">
        <v>20</v>
      </c>
      <c r="F34" s="46">
        <v>20</v>
      </c>
      <c r="G34" s="46">
        <v>20</v>
      </c>
      <c r="H34" s="46">
        <v>20</v>
      </c>
      <c r="I34" s="46">
        <v>20</v>
      </c>
      <c r="J34" s="46">
        <v>20</v>
      </c>
      <c r="K34" s="46">
        <v>20</v>
      </c>
      <c r="L34" s="46">
        <v>20</v>
      </c>
      <c r="M34" s="46">
        <v>20</v>
      </c>
      <c r="N34" s="46">
        <v>20</v>
      </c>
      <c r="O34" s="46">
        <v>20</v>
      </c>
      <c r="P34" s="46">
        <v>20</v>
      </c>
      <c r="Q34" s="46">
        <v>20</v>
      </c>
      <c r="R34" s="46">
        <v>20</v>
      </c>
      <c r="S34" s="46">
        <v>20</v>
      </c>
      <c r="T34" s="46">
        <v>20</v>
      </c>
      <c r="U34" s="46">
        <v>20</v>
      </c>
      <c r="V34" s="46">
        <v>20</v>
      </c>
      <c r="W34" s="46">
        <v>20</v>
      </c>
      <c r="X34" s="46">
        <v>20</v>
      </c>
      <c r="Y34" s="46">
        <v>20</v>
      </c>
      <c r="Z34" s="46">
        <v>20</v>
      </c>
      <c r="AA34" s="46">
        <v>20</v>
      </c>
      <c r="AB34" s="46">
        <v>20</v>
      </c>
      <c r="AC34" s="46">
        <v>20</v>
      </c>
      <c r="AD34" s="46">
        <v>20</v>
      </c>
      <c r="AE34" s="46">
        <v>10.9</v>
      </c>
      <c r="AF34" s="46">
        <v>10.9</v>
      </c>
      <c r="AG34" s="50">
        <v>22</v>
      </c>
      <c r="AH34" s="48">
        <f t="shared" si="8"/>
        <v>20</v>
      </c>
      <c r="AI34" s="49">
        <f t="shared" si="9"/>
        <v>10.9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13.1</v>
      </c>
      <c r="C35" s="46">
        <v>13.1</v>
      </c>
      <c r="D35" s="46">
        <v>13.1</v>
      </c>
      <c r="E35" s="46">
        <v>13.1</v>
      </c>
      <c r="F35" s="46">
        <v>13.1</v>
      </c>
      <c r="G35" s="46">
        <v>13.1</v>
      </c>
      <c r="H35" s="46">
        <v>13.1</v>
      </c>
      <c r="I35" s="46">
        <v>13.1</v>
      </c>
      <c r="J35" s="46">
        <v>13.1</v>
      </c>
      <c r="K35" s="46">
        <v>13.1</v>
      </c>
      <c r="L35" s="46">
        <v>13.1</v>
      </c>
      <c r="M35" s="46">
        <v>13.1</v>
      </c>
      <c r="N35" s="46">
        <v>13.1</v>
      </c>
      <c r="O35" s="46">
        <v>13.1</v>
      </c>
      <c r="P35" s="46">
        <v>13.1</v>
      </c>
      <c r="Q35" s="46">
        <v>13.1</v>
      </c>
      <c r="R35" s="46">
        <v>13.1</v>
      </c>
      <c r="S35" s="46">
        <v>13.1</v>
      </c>
      <c r="T35" s="46">
        <v>13.1</v>
      </c>
      <c r="U35" s="46">
        <v>13.1</v>
      </c>
      <c r="V35" s="46">
        <v>13.1</v>
      </c>
      <c r="W35" s="46">
        <v>13.1</v>
      </c>
      <c r="X35" s="46">
        <v>13.1</v>
      </c>
      <c r="Y35" s="46">
        <v>13.1</v>
      </c>
      <c r="Z35" s="46">
        <v>13.1</v>
      </c>
      <c r="AA35" s="46">
        <v>13.1</v>
      </c>
      <c r="AB35" s="46">
        <v>13.1</v>
      </c>
      <c r="AC35" s="46">
        <v>13.1</v>
      </c>
      <c r="AD35" s="46">
        <v>13.1</v>
      </c>
      <c r="AE35" s="46">
        <v>12.4</v>
      </c>
      <c r="AF35" s="46">
        <v>12.4</v>
      </c>
      <c r="AG35" s="50">
        <v>20</v>
      </c>
      <c r="AH35" s="48">
        <f t="shared" si="8"/>
        <v>13.1</v>
      </c>
      <c r="AI35" s="49">
        <f t="shared" si="9"/>
        <v>12.4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</v>
      </c>
      <c r="C37" s="46">
        <v>10</v>
      </c>
      <c r="D37" s="46">
        <v>10</v>
      </c>
      <c r="E37" s="46">
        <v>10</v>
      </c>
      <c r="F37" s="46">
        <v>10</v>
      </c>
      <c r="G37" s="46">
        <v>10</v>
      </c>
      <c r="H37" s="46">
        <v>10</v>
      </c>
      <c r="I37" s="46">
        <v>10</v>
      </c>
      <c r="J37" s="46">
        <v>10</v>
      </c>
      <c r="K37" s="46">
        <v>10</v>
      </c>
      <c r="L37" s="46">
        <v>10</v>
      </c>
      <c r="M37" s="46">
        <v>10</v>
      </c>
      <c r="N37" s="46">
        <v>10</v>
      </c>
      <c r="O37" s="46">
        <v>10</v>
      </c>
      <c r="P37" s="46">
        <v>10</v>
      </c>
      <c r="Q37" s="46">
        <v>10</v>
      </c>
      <c r="R37" s="46">
        <v>10</v>
      </c>
      <c r="S37" s="46">
        <v>10</v>
      </c>
      <c r="T37" s="46">
        <v>10</v>
      </c>
      <c r="U37" s="46">
        <v>10</v>
      </c>
      <c r="V37" s="46">
        <v>10</v>
      </c>
      <c r="W37" s="46">
        <v>10</v>
      </c>
      <c r="X37" s="46">
        <v>10</v>
      </c>
      <c r="Y37" s="46">
        <v>10</v>
      </c>
      <c r="Z37" s="46">
        <v>10</v>
      </c>
      <c r="AA37" s="46">
        <v>10</v>
      </c>
      <c r="AB37" s="46">
        <v>10</v>
      </c>
      <c r="AC37" s="46">
        <v>10</v>
      </c>
      <c r="AD37" s="46">
        <v>10</v>
      </c>
      <c r="AE37" s="46">
        <v>10.6</v>
      </c>
      <c r="AF37" s="46">
        <v>10.6</v>
      </c>
      <c r="AG37" s="50">
        <v>18</v>
      </c>
      <c r="AH37" s="48">
        <f t="shared" si="8"/>
        <v>10.6</v>
      </c>
      <c r="AI37" s="49">
        <f t="shared" si="9"/>
        <v>10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>
        <v>6.8</v>
      </c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6.8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2.2999999999999998</v>
      </c>
      <c r="C41" s="46">
        <v>2.2999999999999998</v>
      </c>
      <c r="D41" s="46">
        <v>2.2999999999999998</v>
      </c>
      <c r="E41" s="46">
        <v>2.2999999999999998</v>
      </c>
      <c r="F41" s="46">
        <v>2.2999999999999998</v>
      </c>
      <c r="G41" s="46">
        <v>2.2999999999999998</v>
      </c>
      <c r="H41" s="46">
        <v>2.2999999999999998</v>
      </c>
      <c r="I41" s="46">
        <v>2.2999999999999998</v>
      </c>
      <c r="J41" s="46">
        <v>2.2999999999999998</v>
      </c>
      <c r="K41" s="46">
        <v>2.2999999999999998</v>
      </c>
      <c r="L41" s="46">
        <v>2.2999999999999998</v>
      </c>
      <c r="M41" s="46">
        <v>2.2999999999999998</v>
      </c>
      <c r="N41" s="46">
        <v>2.2999999999999998</v>
      </c>
      <c r="O41" s="46">
        <v>2.2999999999999998</v>
      </c>
      <c r="P41" s="46">
        <v>2.2999999999999998</v>
      </c>
      <c r="Q41" s="46">
        <v>2.2999999999999998</v>
      </c>
      <c r="R41" s="46">
        <v>2.2999999999999998</v>
      </c>
      <c r="S41" s="46">
        <v>2.2999999999999998</v>
      </c>
      <c r="T41" s="46">
        <v>2.2999999999999998</v>
      </c>
      <c r="U41" s="46">
        <v>2.2999999999999998</v>
      </c>
      <c r="V41" s="46">
        <v>2.2999999999999998</v>
      </c>
      <c r="W41" s="46">
        <v>2.2999999999999998</v>
      </c>
      <c r="X41" s="46">
        <v>2.2999999999999998</v>
      </c>
      <c r="Y41" s="46">
        <v>2.2999999999999998</v>
      </c>
      <c r="Z41" s="46">
        <v>2.2999999999999998</v>
      </c>
      <c r="AA41" s="46">
        <v>2.2999999999999998</v>
      </c>
      <c r="AB41" s="46">
        <v>2.2999999999999998</v>
      </c>
      <c r="AC41" s="46">
        <v>2.2999999999999998</v>
      </c>
      <c r="AD41" s="46">
        <v>2.2999999999999998</v>
      </c>
      <c r="AE41" s="46">
        <v>2.2999999999999998</v>
      </c>
      <c r="AF41" s="46">
        <v>2.2999999999999998</v>
      </c>
      <c r="AG41" s="50">
        <v>14.9</v>
      </c>
      <c r="AH41" s="48">
        <f t="shared" si="8"/>
        <v>2.2999999999999998</v>
      </c>
      <c r="AI41" s="49">
        <f t="shared" si="9"/>
        <v>2.2999999999999998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12</v>
      </c>
      <c r="AH45" s="48">
        <f t="shared" si="8"/>
        <v>7</v>
      </c>
      <c r="AI45" s="49">
        <f t="shared" si="9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89</v>
      </c>
      <c r="C57" s="68">
        <v>84</v>
      </c>
      <c r="D57" s="68">
        <v>78.099999999999994</v>
      </c>
      <c r="E57" s="68">
        <f>27.1+53.6</f>
        <v>80.7</v>
      </c>
      <c r="F57" s="68">
        <f>27.4+54.4</f>
        <v>81.8</v>
      </c>
      <c r="G57" s="68">
        <f>25.3+51.2</f>
        <v>76.5</v>
      </c>
      <c r="H57" s="68">
        <f>20.4+46.9</f>
        <v>67.3</v>
      </c>
      <c r="I57" s="68">
        <f>20.1+47.1</f>
        <v>67.2</v>
      </c>
      <c r="J57" s="68">
        <f>23.8+47.4</f>
        <v>71.2</v>
      </c>
      <c r="K57" s="53">
        <f>20.8+43.6</f>
        <v>64.400000000000006</v>
      </c>
      <c r="L57" s="53">
        <f t="shared" ref="L57:Z57" si="22">23+46.6</f>
        <v>69.599999999999994</v>
      </c>
      <c r="M57" s="53">
        <f t="shared" si="22"/>
        <v>69.599999999999994</v>
      </c>
      <c r="N57" s="53">
        <f t="shared" si="22"/>
        <v>69.599999999999994</v>
      </c>
      <c r="O57" s="53">
        <f t="shared" si="22"/>
        <v>69.599999999999994</v>
      </c>
      <c r="P57" s="53">
        <f t="shared" si="22"/>
        <v>69.599999999999994</v>
      </c>
      <c r="Q57" s="53">
        <f t="shared" si="22"/>
        <v>69.599999999999994</v>
      </c>
      <c r="R57" s="53">
        <f t="shared" si="22"/>
        <v>69.599999999999994</v>
      </c>
      <c r="S57" s="53">
        <f t="shared" si="22"/>
        <v>69.599999999999994</v>
      </c>
      <c r="T57" s="53">
        <f t="shared" si="22"/>
        <v>69.599999999999994</v>
      </c>
      <c r="U57" s="53">
        <f t="shared" si="22"/>
        <v>69.599999999999994</v>
      </c>
      <c r="V57" s="53">
        <f t="shared" si="22"/>
        <v>69.599999999999994</v>
      </c>
      <c r="W57" s="53">
        <f t="shared" si="22"/>
        <v>69.599999999999994</v>
      </c>
      <c r="X57" s="53">
        <f t="shared" si="22"/>
        <v>69.599999999999994</v>
      </c>
      <c r="Y57" s="53">
        <f t="shared" si="22"/>
        <v>69.599999999999994</v>
      </c>
      <c r="Z57" s="53">
        <f t="shared" si="22"/>
        <v>69.599999999999994</v>
      </c>
      <c r="AA57" s="53">
        <v>69.599999999999994</v>
      </c>
      <c r="AB57" s="53">
        <f>52.5+32.7</f>
        <v>85.2</v>
      </c>
      <c r="AC57" s="68">
        <f>53.7+34.1</f>
        <v>87.800000000000011</v>
      </c>
      <c r="AD57" s="68">
        <f>52.8+34.1</f>
        <v>86.9</v>
      </c>
      <c r="AE57" s="68">
        <f>35+53.9</f>
        <v>88.9</v>
      </c>
      <c r="AF57" s="68">
        <f>35.4+53</f>
        <v>88.4</v>
      </c>
      <c r="AG57" s="66">
        <v>240</v>
      </c>
      <c r="AH57" s="48">
        <f t="shared" si="8"/>
        <v>89</v>
      </c>
      <c r="AI57" s="49">
        <f t="shared" si="9"/>
        <v>64.400000000000006</v>
      </c>
      <c r="AK57" s="51"/>
    </row>
    <row r="58" spans="1:88" ht="15.75" thickBot="1" x14ac:dyDescent="0.3">
      <c r="A58" s="70" t="s">
        <v>75</v>
      </c>
      <c r="B58" s="71">
        <f>SUM(B11:B56)</f>
        <v>584.09999999999991</v>
      </c>
      <c r="C58" s="71">
        <f>SUM(C11:C56)</f>
        <v>584.09999999999991</v>
      </c>
      <c r="D58" s="71">
        <f>SUM(D11:D56)</f>
        <v>584.09999999999991</v>
      </c>
      <c r="E58" s="71">
        <f t="shared" ref="E58:AD58" si="23">SUM(E11:E56)</f>
        <v>581.09999999999991</v>
      </c>
      <c r="F58" s="71">
        <f t="shared" si="23"/>
        <v>581.09999999999991</v>
      </c>
      <c r="G58" s="71">
        <f t="shared" si="23"/>
        <v>581.09999999999991</v>
      </c>
      <c r="H58" s="71">
        <f t="shared" si="23"/>
        <v>581.09999999999991</v>
      </c>
      <c r="I58" s="71">
        <f t="shared" si="23"/>
        <v>581.09999999999991</v>
      </c>
      <c r="J58" s="71">
        <f t="shared" si="23"/>
        <v>581.09999999999991</v>
      </c>
      <c r="K58" s="71">
        <f t="shared" si="23"/>
        <v>581.09999999999991</v>
      </c>
      <c r="L58" s="71">
        <f t="shared" si="23"/>
        <v>581.09999999999991</v>
      </c>
      <c r="M58" s="71">
        <f t="shared" si="23"/>
        <v>581.09999999999991</v>
      </c>
      <c r="N58" s="71">
        <f t="shared" si="23"/>
        <v>581.09999999999991</v>
      </c>
      <c r="O58" s="71">
        <f t="shared" si="23"/>
        <v>581.09999999999991</v>
      </c>
      <c r="P58" s="71">
        <f t="shared" si="23"/>
        <v>581.09999999999991</v>
      </c>
      <c r="Q58" s="71">
        <f t="shared" si="23"/>
        <v>581.09999999999991</v>
      </c>
      <c r="R58" s="71">
        <f t="shared" si="23"/>
        <v>581.09999999999991</v>
      </c>
      <c r="S58" s="71">
        <f t="shared" si="23"/>
        <v>581.09999999999991</v>
      </c>
      <c r="T58" s="71">
        <f t="shared" si="23"/>
        <v>581.09999999999991</v>
      </c>
      <c r="U58" s="71">
        <f t="shared" si="23"/>
        <v>581.09999999999991</v>
      </c>
      <c r="V58" s="71">
        <f t="shared" si="23"/>
        <v>581.09999999999991</v>
      </c>
      <c r="W58" s="71">
        <f t="shared" si="23"/>
        <v>581.09999999999991</v>
      </c>
      <c r="X58" s="71">
        <f t="shared" si="23"/>
        <v>581.09999999999991</v>
      </c>
      <c r="Y58" s="71">
        <f t="shared" si="23"/>
        <v>581.09999999999991</v>
      </c>
      <c r="Z58" s="71">
        <f t="shared" si="23"/>
        <v>581.09999999999991</v>
      </c>
      <c r="AA58" s="71">
        <f t="shared" si="23"/>
        <v>581.09999999999991</v>
      </c>
      <c r="AB58" s="71">
        <f>SUM(AB11:AB56)</f>
        <v>584.29999999999995</v>
      </c>
      <c r="AC58" s="71">
        <f t="shared" si="23"/>
        <v>584.9</v>
      </c>
      <c r="AD58" s="71">
        <f t="shared" si="23"/>
        <v>584.9</v>
      </c>
      <c r="AE58" s="71">
        <f>SUM(AE11:AE56)</f>
        <v>592.20000000000005</v>
      </c>
      <c r="AF58" s="71">
        <f>SUM(AF11:AF56)</f>
        <v>593</v>
      </c>
      <c r="AG58" s="72">
        <f>SUM(AG14:AG56)</f>
        <v>1042.4000000000001</v>
      </c>
      <c r="AH58" s="48">
        <f t="shared" si="8"/>
        <v>593</v>
      </c>
      <c r="AI58" s="49">
        <f t="shared" si="9"/>
        <v>581.09999999999991</v>
      </c>
      <c r="AK58" s="51"/>
    </row>
    <row r="59" spans="1:88" x14ac:dyDescent="0.25">
      <c r="A59" s="73" t="s">
        <v>76</v>
      </c>
      <c r="B59" s="46">
        <v>200</v>
      </c>
      <c r="C59" s="46">
        <v>200</v>
      </c>
      <c r="D59" s="46">
        <v>150</v>
      </c>
      <c r="E59" s="46">
        <v>150</v>
      </c>
      <c r="F59" s="46">
        <v>150</v>
      </c>
      <c r="G59" s="46">
        <v>150</v>
      </c>
      <c r="H59" s="46">
        <v>150</v>
      </c>
      <c r="I59" s="46">
        <v>150</v>
      </c>
      <c r="J59" s="46">
        <v>0</v>
      </c>
      <c r="K59" s="46">
        <v>0</v>
      </c>
      <c r="L59" s="46">
        <v>110</v>
      </c>
      <c r="M59" s="46">
        <v>100</v>
      </c>
      <c r="N59" s="74">
        <v>50</v>
      </c>
      <c r="O59" s="74">
        <v>59</v>
      </c>
      <c r="P59" s="74">
        <v>59</v>
      </c>
      <c r="Q59" s="74">
        <v>50</v>
      </c>
      <c r="R59" s="74">
        <v>50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0</v>
      </c>
      <c r="Y59" s="74">
        <v>40</v>
      </c>
      <c r="Z59" s="74">
        <v>373</v>
      </c>
      <c r="AA59" s="74">
        <v>456</v>
      </c>
      <c r="AB59" s="74">
        <v>403</v>
      </c>
      <c r="AC59" s="46">
        <v>403</v>
      </c>
      <c r="AD59" s="46">
        <v>404</v>
      </c>
      <c r="AE59" s="46">
        <v>344</v>
      </c>
      <c r="AF59" s="46">
        <v>270</v>
      </c>
      <c r="AG59" s="61">
        <v>456</v>
      </c>
      <c r="AH59" s="48">
        <f t="shared" si="8"/>
        <v>456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29.7</v>
      </c>
      <c r="C60" s="76">
        <v>29.7</v>
      </c>
      <c r="D60" s="76">
        <v>29.7</v>
      </c>
      <c r="E60" s="76">
        <v>27.5</v>
      </c>
      <c r="F60" s="76">
        <v>26.7</v>
      </c>
      <c r="G60" s="76">
        <v>26.9</v>
      </c>
      <c r="H60" s="76">
        <v>26.8</v>
      </c>
      <c r="I60" s="76">
        <v>27.1</v>
      </c>
      <c r="J60" s="76">
        <v>27.3</v>
      </c>
      <c r="K60" s="76">
        <v>26.6</v>
      </c>
      <c r="L60" s="76">
        <v>27.1</v>
      </c>
      <c r="M60" s="76">
        <v>26.6</v>
      </c>
      <c r="N60" s="76">
        <v>26.7</v>
      </c>
      <c r="O60" s="76">
        <v>26.1</v>
      </c>
      <c r="P60" s="76">
        <v>25.9</v>
      </c>
      <c r="Q60" s="76">
        <v>29.6</v>
      </c>
      <c r="R60" s="76">
        <v>26.5</v>
      </c>
      <c r="S60" s="76">
        <v>26.5</v>
      </c>
      <c r="T60" s="76">
        <v>26.5</v>
      </c>
      <c r="U60" s="76">
        <v>26.5</v>
      </c>
      <c r="V60" s="76">
        <v>26.5</v>
      </c>
      <c r="W60" s="76">
        <v>26.5</v>
      </c>
      <c r="X60" s="76">
        <v>26.5</v>
      </c>
      <c r="Y60" s="76">
        <v>26.5</v>
      </c>
      <c r="Z60" s="76">
        <v>26.5</v>
      </c>
      <c r="AA60" s="76">
        <v>30.3</v>
      </c>
      <c r="AB60" s="76">
        <v>30.3</v>
      </c>
      <c r="AC60" s="76">
        <v>29.7</v>
      </c>
      <c r="AD60" s="76">
        <v>29.7</v>
      </c>
      <c r="AE60" s="76">
        <v>39.200000000000003</v>
      </c>
      <c r="AF60" s="76">
        <v>40.1</v>
      </c>
      <c r="AG60" s="66">
        <v>60</v>
      </c>
      <c r="AH60" s="48">
        <f t="shared" si="8"/>
        <v>40.1</v>
      </c>
      <c r="AI60" s="49">
        <f t="shared" si="9"/>
        <v>25.9</v>
      </c>
      <c r="AK60" s="51"/>
    </row>
    <row r="61" spans="1:88" ht="15.75" thickBot="1" x14ac:dyDescent="0.3">
      <c r="A61" s="77" t="s">
        <v>78</v>
      </c>
      <c r="B61" s="78">
        <v>22.5</v>
      </c>
      <c r="C61" s="78">
        <v>22.5</v>
      </c>
      <c r="D61" s="78">
        <v>22.5</v>
      </c>
      <c r="E61" s="78">
        <v>22.5</v>
      </c>
      <c r="F61" s="78">
        <v>22.5</v>
      </c>
      <c r="G61" s="78">
        <v>22.5</v>
      </c>
      <c r="H61" s="78">
        <v>22.6</v>
      </c>
      <c r="I61" s="78">
        <v>22.5</v>
      </c>
      <c r="J61" s="78">
        <v>22.5</v>
      </c>
      <c r="K61" s="78">
        <v>22.5</v>
      </c>
      <c r="L61" s="78">
        <v>22.5</v>
      </c>
      <c r="M61" s="78">
        <v>22.5</v>
      </c>
      <c r="N61" s="78">
        <v>22.5</v>
      </c>
      <c r="O61" s="78">
        <v>22.5</v>
      </c>
      <c r="P61" s="78">
        <v>22.5</v>
      </c>
      <c r="Q61" s="78">
        <v>10.8</v>
      </c>
      <c r="R61" s="78">
        <v>10.8</v>
      </c>
      <c r="S61" s="78">
        <v>10.8</v>
      </c>
      <c r="T61" s="78">
        <v>10.8</v>
      </c>
      <c r="U61" s="78">
        <v>10.8</v>
      </c>
      <c r="V61" s="78">
        <v>10.8</v>
      </c>
      <c r="W61" s="78">
        <v>10.8</v>
      </c>
      <c r="X61" s="78">
        <v>10.8</v>
      </c>
      <c r="Y61" s="78">
        <v>10.8</v>
      </c>
      <c r="Z61" s="78">
        <v>10.8</v>
      </c>
      <c r="AA61" s="78">
        <v>20.5</v>
      </c>
      <c r="AB61" s="78">
        <v>20.5</v>
      </c>
      <c r="AC61" s="78">
        <v>22.4</v>
      </c>
      <c r="AD61" s="78">
        <v>22.4</v>
      </c>
      <c r="AE61" s="78">
        <v>22.5</v>
      </c>
      <c r="AF61" s="78">
        <v>22.5</v>
      </c>
      <c r="AG61" s="79">
        <v>22.1</v>
      </c>
      <c r="AH61" s="48">
        <f t="shared" si="8"/>
        <v>22.6</v>
      </c>
      <c r="AI61" s="49">
        <f t="shared" si="9"/>
        <v>10.8</v>
      </c>
      <c r="AK61" s="51"/>
    </row>
    <row r="62" spans="1:88" ht="15.75" thickBot="1" x14ac:dyDescent="0.3">
      <c r="A62" s="80" t="s">
        <v>79</v>
      </c>
      <c r="B62" s="71">
        <f>SUM(B59:B61)</f>
        <v>252.2</v>
      </c>
      <c r="C62" s="71">
        <f>SUM(C59:C61)</f>
        <v>252.2</v>
      </c>
      <c r="D62" s="71">
        <f>SUM(D59:D61)</f>
        <v>202.2</v>
      </c>
      <c r="E62" s="71">
        <f t="shared" ref="E62:AG62" si="24">SUM(E59:E61)</f>
        <v>200</v>
      </c>
      <c r="F62" s="71">
        <f t="shared" si="24"/>
        <v>199.2</v>
      </c>
      <c r="G62" s="71">
        <f t="shared" si="24"/>
        <v>199.4</v>
      </c>
      <c r="H62" s="71">
        <f t="shared" si="24"/>
        <v>199.4</v>
      </c>
      <c r="I62" s="71">
        <f t="shared" si="24"/>
        <v>199.6</v>
      </c>
      <c r="J62" s="71">
        <f t="shared" si="24"/>
        <v>49.8</v>
      </c>
      <c r="K62" s="71">
        <f t="shared" si="24"/>
        <v>49.1</v>
      </c>
      <c r="L62" s="71">
        <f t="shared" si="24"/>
        <v>159.6</v>
      </c>
      <c r="M62" s="71">
        <f t="shared" si="24"/>
        <v>149.1</v>
      </c>
      <c r="N62" s="71">
        <f t="shared" si="24"/>
        <v>99.2</v>
      </c>
      <c r="O62" s="71">
        <f t="shared" si="24"/>
        <v>107.6</v>
      </c>
      <c r="P62" s="71">
        <f t="shared" si="24"/>
        <v>107.4</v>
      </c>
      <c r="Q62" s="71">
        <f t="shared" si="24"/>
        <v>90.399999999999991</v>
      </c>
      <c r="R62" s="71">
        <f t="shared" si="24"/>
        <v>87.3</v>
      </c>
      <c r="S62" s="71">
        <f t="shared" si="24"/>
        <v>37.299999999999997</v>
      </c>
      <c r="T62" s="71">
        <f t="shared" si="24"/>
        <v>37.299999999999997</v>
      </c>
      <c r="U62" s="71">
        <f t="shared" si="24"/>
        <v>37.299999999999997</v>
      </c>
      <c r="V62" s="71">
        <f t="shared" si="24"/>
        <v>37.299999999999997</v>
      </c>
      <c r="W62" s="71">
        <f t="shared" si="24"/>
        <v>37.299999999999997</v>
      </c>
      <c r="X62" s="71">
        <f t="shared" si="24"/>
        <v>37.299999999999997</v>
      </c>
      <c r="Y62" s="71">
        <f t="shared" si="24"/>
        <v>77.3</v>
      </c>
      <c r="Z62" s="71">
        <f t="shared" si="24"/>
        <v>410.3</v>
      </c>
      <c r="AA62" s="71">
        <f t="shared" si="24"/>
        <v>506.8</v>
      </c>
      <c r="AB62" s="71">
        <f>SUM(AB59:AB61)</f>
        <v>453.8</v>
      </c>
      <c r="AC62" s="71">
        <f t="shared" si="24"/>
        <v>455.09999999999997</v>
      </c>
      <c r="AD62" s="71">
        <f t="shared" si="24"/>
        <v>456.09999999999997</v>
      </c>
      <c r="AE62" s="71">
        <f>SUM(AE59:AE61)</f>
        <v>405.7</v>
      </c>
      <c r="AF62" s="71">
        <f>SUM(AF59:AF61)</f>
        <v>332.6</v>
      </c>
      <c r="AG62" s="72">
        <f t="shared" si="24"/>
        <v>538.1</v>
      </c>
      <c r="AH62" s="48">
        <f t="shared" si="8"/>
        <v>506.8</v>
      </c>
      <c r="AI62" s="49">
        <f t="shared" si="9"/>
        <v>37.299999999999997</v>
      </c>
      <c r="AK62" s="51"/>
    </row>
    <row r="63" spans="1:88" x14ac:dyDescent="0.25">
      <c r="A63" s="45" t="s">
        <v>80</v>
      </c>
      <c r="B63" s="46">
        <v>128.69999999999999</v>
      </c>
      <c r="C63" s="46">
        <v>128.69999999999999</v>
      </c>
      <c r="D63" s="46">
        <v>128.69999999999999</v>
      </c>
      <c r="E63" s="46">
        <v>109.5</v>
      </c>
      <c r="F63" s="46">
        <v>75.2</v>
      </c>
      <c r="G63" s="46">
        <v>65.5</v>
      </c>
      <c r="H63" s="46">
        <v>65.5</v>
      </c>
      <c r="I63" s="46">
        <v>80.400000000000006</v>
      </c>
      <c r="J63" s="46">
        <v>69.099999999999994</v>
      </c>
      <c r="K63" s="46">
        <v>69.900000000000006</v>
      </c>
      <c r="L63" s="46">
        <v>70.3</v>
      </c>
      <c r="M63" s="46">
        <v>89.1</v>
      </c>
      <c r="N63" s="46">
        <v>70.3</v>
      </c>
      <c r="O63" s="46">
        <v>85</v>
      </c>
      <c r="P63" s="46">
        <v>90.3</v>
      </c>
      <c r="Q63" s="46">
        <v>89.6</v>
      </c>
      <c r="R63" s="46">
        <v>95.8</v>
      </c>
      <c r="S63" s="46">
        <v>95.8</v>
      </c>
      <c r="T63" s="46">
        <v>95.8</v>
      </c>
      <c r="U63" s="46">
        <v>95.8</v>
      </c>
      <c r="V63" s="46">
        <v>70</v>
      </c>
      <c r="W63" s="46">
        <v>59</v>
      </c>
      <c r="X63" s="46">
        <v>59</v>
      </c>
      <c r="Y63" s="46">
        <v>65</v>
      </c>
      <c r="Z63" s="46">
        <v>69.5</v>
      </c>
      <c r="AA63" s="46">
        <v>69.599999999999994</v>
      </c>
      <c r="AB63" s="46">
        <v>69.599999999999994</v>
      </c>
      <c r="AC63" s="46">
        <v>69.599999999999994</v>
      </c>
      <c r="AD63" s="46">
        <v>60.7</v>
      </c>
      <c r="AE63" s="46">
        <v>60</v>
      </c>
      <c r="AF63" s="46">
        <v>60</v>
      </c>
      <c r="AG63" s="61">
        <v>144</v>
      </c>
      <c r="AH63" s="48">
        <f t="shared" si="8"/>
        <v>128.69999999999999</v>
      </c>
      <c r="AI63" s="49">
        <f t="shared" si="9"/>
        <v>59</v>
      </c>
      <c r="AK63" s="51"/>
    </row>
    <row r="64" spans="1:88" x14ac:dyDescent="0.25">
      <c r="A64" s="65" t="s">
        <v>81</v>
      </c>
      <c r="B64" s="76">
        <v>62.8</v>
      </c>
      <c r="C64" s="76">
        <v>62.8</v>
      </c>
      <c r="D64" s="76">
        <v>62.8</v>
      </c>
      <c r="E64" s="76">
        <v>58.5</v>
      </c>
      <c r="F64" s="76">
        <v>60</v>
      </c>
      <c r="G64" s="76">
        <v>60.1</v>
      </c>
      <c r="H64" s="76">
        <v>60.7</v>
      </c>
      <c r="I64" s="76">
        <v>60</v>
      </c>
      <c r="J64" s="76">
        <v>59.5</v>
      </c>
      <c r="K64" s="76">
        <v>62.5</v>
      </c>
      <c r="L64" s="76">
        <v>62.5</v>
      </c>
      <c r="M64" s="76">
        <v>62.6</v>
      </c>
      <c r="N64" s="76">
        <v>54.3</v>
      </c>
      <c r="O64" s="76">
        <v>54.3</v>
      </c>
      <c r="P64" s="76">
        <v>56.3</v>
      </c>
      <c r="Q64" s="76">
        <v>56.4</v>
      </c>
      <c r="R64" s="76">
        <v>44.9</v>
      </c>
      <c r="S64" s="76">
        <v>44.9</v>
      </c>
      <c r="T64" s="76">
        <v>44.9</v>
      </c>
      <c r="U64" s="76">
        <v>44.9</v>
      </c>
      <c r="V64" s="76">
        <v>52</v>
      </c>
      <c r="W64" s="76">
        <v>54.2</v>
      </c>
      <c r="X64" s="76">
        <v>54.2</v>
      </c>
      <c r="Y64" s="76">
        <v>54.2</v>
      </c>
      <c r="Z64" s="76">
        <v>54.2</v>
      </c>
      <c r="AA64" s="76">
        <v>59.8</v>
      </c>
      <c r="AB64" s="76">
        <v>59.8</v>
      </c>
      <c r="AC64" s="46">
        <v>59.1</v>
      </c>
      <c r="AD64" s="46">
        <v>59.8</v>
      </c>
      <c r="AE64" s="46">
        <v>59.8</v>
      </c>
      <c r="AF64" s="46">
        <v>59.8</v>
      </c>
      <c r="AG64" s="66">
        <v>70</v>
      </c>
      <c r="AH64" s="48">
        <f t="shared" si="8"/>
        <v>62.8</v>
      </c>
      <c r="AI64" s="49">
        <f t="shared" si="9"/>
        <v>44.9</v>
      </c>
      <c r="AK64" s="51"/>
    </row>
    <row r="65" spans="1:75" x14ac:dyDescent="0.25">
      <c r="A65" s="65" t="s">
        <v>82</v>
      </c>
      <c r="B65" s="76">
        <v>69.2</v>
      </c>
      <c r="C65" s="76">
        <v>64</v>
      </c>
      <c r="D65" s="76">
        <v>64</v>
      </c>
      <c r="E65" s="76">
        <v>60.5</v>
      </c>
      <c r="F65" s="76">
        <v>50.8</v>
      </c>
      <c r="G65" s="76">
        <v>68.7</v>
      </c>
      <c r="H65" s="76">
        <v>68.7</v>
      </c>
      <c r="I65" s="76">
        <v>68.7</v>
      </c>
      <c r="J65" s="76">
        <v>68.8</v>
      </c>
      <c r="K65" s="76">
        <v>68.849999999999994</v>
      </c>
      <c r="L65" s="76">
        <v>68.8</v>
      </c>
      <c r="M65" s="76">
        <v>68.400000000000006</v>
      </c>
      <c r="N65" s="76">
        <v>60.5</v>
      </c>
      <c r="O65" s="76">
        <v>60.5</v>
      </c>
      <c r="P65" s="76">
        <v>60.5</v>
      </c>
      <c r="Q65" s="76">
        <v>60.6</v>
      </c>
      <c r="R65" s="76">
        <v>60.4</v>
      </c>
      <c r="S65" s="76">
        <v>60.4</v>
      </c>
      <c r="T65" s="76">
        <v>60.4</v>
      </c>
      <c r="U65" s="76">
        <v>52</v>
      </c>
      <c r="V65" s="76">
        <v>52.7</v>
      </c>
      <c r="W65" s="76">
        <v>52.5</v>
      </c>
      <c r="X65" s="76">
        <v>52.5</v>
      </c>
      <c r="Y65" s="76">
        <v>52.5</v>
      </c>
      <c r="Z65" s="76">
        <v>52.5</v>
      </c>
      <c r="AA65" s="76">
        <v>60.2</v>
      </c>
      <c r="AB65" s="76">
        <v>60.2</v>
      </c>
      <c r="AC65" s="46">
        <v>60.2</v>
      </c>
      <c r="AD65" s="46">
        <v>60</v>
      </c>
      <c r="AE65" s="46">
        <v>67</v>
      </c>
      <c r="AF65" s="46">
        <v>67</v>
      </c>
      <c r="AG65" s="66">
        <v>69</v>
      </c>
      <c r="AH65" s="48">
        <f t="shared" si="8"/>
        <v>69.2</v>
      </c>
      <c r="AI65" s="49">
        <f t="shared" si="9"/>
        <v>50.8</v>
      </c>
      <c r="AK65" s="51"/>
    </row>
    <row r="66" spans="1:75" x14ac:dyDescent="0.25">
      <c r="A66" s="65" t="s">
        <v>83</v>
      </c>
      <c r="B66" s="76">
        <v>60</v>
      </c>
      <c r="C66" s="76">
        <v>60</v>
      </c>
      <c r="D66" s="76">
        <v>60</v>
      </c>
      <c r="E66" s="76">
        <v>60</v>
      </c>
      <c r="F66" s="76">
        <v>59.7</v>
      </c>
      <c r="G66" s="76">
        <v>59.7</v>
      </c>
      <c r="H66" s="76">
        <v>59.5</v>
      </c>
      <c r="I66" s="76">
        <v>60</v>
      </c>
      <c r="J66" s="76">
        <v>60</v>
      </c>
      <c r="K66" s="68">
        <v>60</v>
      </c>
      <c r="L66" s="68">
        <v>58.9</v>
      </c>
      <c r="M66" s="76">
        <v>58.9</v>
      </c>
      <c r="N66" s="76">
        <v>60.4</v>
      </c>
      <c r="O66" s="76">
        <v>60.4</v>
      </c>
      <c r="P66" s="76">
        <v>60.2</v>
      </c>
      <c r="Q66" s="76">
        <v>60.2</v>
      </c>
      <c r="R66" s="76">
        <v>60.2</v>
      </c>
      <c r="S66" s="76">
        <v>60.2</v>
      </c>
      <c r="T66" s="76">
        <v>60.2</v>
      </c>
      <c r="U66" s="76">
        <v>60.2</v>
      </c>
      <c r="V66" s="76">
        <v>60.2</v>
      </c>
      <c r="W66" s="76">
        <v>60.2</v>
      </c>
      <c r="X66" s="76">
        <v>60.2</v>
      </c>
      <c r="Y66" s="76">
        <v>60.2</v>
      </c>
      <c r="Z66" s="76">
        <v>60.2</v>
      </c>
      <c r="AA66" s="76">
        <v>60.9</v>
      </c>
      <c r="AB66" s="76">
        <v>60.9</v>
      </c>
      <c r="AC66" s="46">
        <v>60.9</v>
      </c>
      <c r="AD66" s="46">
        <v>60.9</v>
      </c>
      <c r="AE66" s="46">
        <v>61.4</v>
      </c>
      <c r="AF66" s="46">
        <v>61.4</v>
      </c>
      <c r="AG66" s="66">
        <v>60</v>
      </c>
      <c r="AH66" s="48">
        <f t="shared" si="8"/>
        <v>61.4</v>
      </c>
      <c r="AI66" s="49">
        <f t="shared" si="9"/>
        <v>58.9</v>
      </c>
      <c r="AK66" s="51"/>
    </row>
    <row r="67" spans="1:75" x14ac:dyDescent="0.25">
      <c r="A67" s="65" t="s">
        <v>84</v>
      </c>
      <c r="B67" s="46">
        <v>14.4</v>
      </c>
      <c r="C67" s="46">
        <v>14.4</v>
      </c>
      <c r="D67" s="46">
        <v>14.4</v>
      </c>
      <c r="E67" s="76">
        <v>10.6</v>
      </c>
      <c r="F67" s="76">
        <v>23.1</v>
      </c>
      <c r="G67" s="76">
        <v>23.4</v>
      </c>
      <c r="H67" s="76">
        <v>23.3</v>
      </c>
      <c r="I67" s="76">
        <v>23</v>
      </c>
      <c r="J67" s="76">
        <v>23.3</v>
      </c>
      <c r="K67" s="76">
        <v>22.9</v>
      </c>
      <c r="L67" s="68">
        <v>23.2</v>
      </c>
      <c r="M67" s="76">
        <v>22.8</v>
      </c>
      <c r="N67" s="76">
        <v>14.4</v>
      </c>
      <c r="O67" s="76">
        <v>14.4</v>
      </c>
      <c r="P67" s="76">
        <v>14.4</v>
      </c>
      <c r="Q67" s="76">
        <v>22</v>
      </c>
      <c r="R67" s="76">
        <v>25</v>
      </c>
      <c r="S67" s="76">
        <v>25</v>
      </c>
      <c r="T67" s="76">
        <v>25</v>
      </c>
      <c r="U67" s="76">
        <v>25</v>
      </c>
      <c r="V67" s="76">
        <v>14</v>
      </c>
      <c r="W67" s="76">
        <v>14</v>
      </c>
      <c r="X67" s="76">
        <v>14</v>
      </c>
      <c r="Y67" s="76">
        <v>23</v>
      </c>
      <c r="Z67" s="76">
        <v>23</v>
      </c>
      <c r="AA67" s="76">
        <v>22.8</v>
      </c>
      <c r="AB67" s="76">
        <v>22.8</v>
      </c>
      <c r="AC67" s="46">
        <v>23.1</v>
      </c>
      <c r="AD67" s="46">
        <v>23.1</v>
      </c>
      <c r="AE67" s="46">
        <v>14.1</v>
      </c>
      <c r="AF67" s="46">
        <v>14.1</v>
      </c>
      <c r="AG67" s="66">
        <v>30</v>
      </c>
      <c r="AH67" s="48">
        <f t="shared" si="8"/>
        <v>25</v>
      </c>
      <c r="AI67" s="49">
        <f t="shared" si="9"/>
        <v>10.6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0.5</v>
      </c>
      <c r="J68" s="46">
        <v>1.2</v>
      </c>
      <c r="K68" s="46">
        <v>3.4</v>
      </c>
      <c r="L68" s="76">
        <v>6.9</v>
      </c>
      <c r="M68" s="76">
        <v>9.5</v>
      </c>
      <c r="N68" s="76">
        <v>11.1</v>
      </c>
      <c r="O68" s="76">
        <v>16.399999999999999</v>
      </c>
      <c r="P68" s="76">
        <v>17.2</v>
      </c>
      <c r="Q68" s="76">
        <v>17.8</v>
      </c>
      <c r="R68" s="76">
        <v>15.8</v>
      </c>
      <c r="S68" s="76">
        <v>15.8</v>
      </c>
      <c r="T68" s="76">
        <v>15.8</v>
      </c>
      <c r="U68" s="76">
        <v>15.8</v>
      </c>
      <c r="V68" s="76">
        <v>5</v>
      </c>
      <c r="W68" s="76">
        <v>2</v>
      </c>
      <c r="X68" s="76">
        <v>0.8</v>
      </c>
      <c r="Y68" s="76">
        <v>0.8</v>
      </c>
      <c r="Z68" s="76">
        <v>0.8</v>
      </c>
      <c r="AA68" s="76">
        <v>0.8</v>
      </c>
      <c r="AB68" s="76">
        <v>0</v>
      </c>
      <c r="AC68" s="76">
        <v>0</v>
      </c>
      <c r="AD68" s="76">
        <v>0</v>
      </c>
      <c r="AE68" s="76">
        <v>0</v>
      </c>
      <c r="AF68" s="76">
        <v>0</v>
      </c>
      <c r="AG68" s="66">
        <v>25</v>
      </c>
      <c r="AH68" s="48">
        <f t="shared" si="8"/>
        <v>17.8</v>
      </c>
      <c r="AI68" s="49">
        <f t="shared" si="9"/>
        <v>0</v>
      </c>
      <c r="AK68" s="51"/>
      <c r="AY68" s="1" t="s">
        <v>86</v>
      </c>
      <c r="AZ68" s="82">
        <f>ROUND(C81,0)</f>
        <v>11</v>
      </c>
      <c r="BA68" s="81">
        <f t="shared" ref="BA68:BD72" si="25">D81</f>
        <v>12.7</v>
      </c>
      <c r="BB68" s="81">
        <f t="shared" si="25"/>
        <v>17.399999999999999</v>
      </c>
      <c r="BC68" s="81">
        <f t="shared" si="25"/>
        <v>18.399999999999999</v>
      </c>
      <c r="BD68" s="81">
        <f t="shared" si="25"/>
        <v>28.3</v>
      </c>
      <c r="BE68" s="82">
        <f>I81</f>
        <v>21.5</v>
      </c>
      <c r="BF68" s="82">
        <f>K81</f>
        <v>59.4</v>
      </c>
      <c r="BG68" s="82">
        <f t="shared" ref="BG68:BP72" si="26">M81</f>
        <v>54.2</v>
      </c>
      <c r="BH68" s="82">
        <f t="shared" si="26"/>
        <v>65.900000000000006</v>
      </c>
      <c r="BI68" s="82">
        <f t="shared" si="26"/>
        <v>63</v>
      </c>
      <c r="BJ68" s="82">
        <f t="shared" si="26"/>
        <v>63</v>
      </c>
      <c r="BK68" s="82">
        <f t="shared" si="26"/>
        <v>67.099999999999994</v>
      </c>
      <c r="BL68" s="82">
        <f t="shared" si="26"/>
        <v>72.5</v>
      </c>
      <c r="BM68" s="82">
        <f t="shared" si="26"/>
        <v>61</v>
      </c>
      <c r="BN68" s="82">
        <f t="shared" si="26"/>
        <v>67</v>
      </c>
      <c r="BO68" s="82">
        <f t="shared" si="26"/>
        <v>61.7</v>
      </c>
      <c r="BP68" s="82">
        <f t="shared" si="26"/>
        <v>74</v>
      </c>
      <c r="BQ68" s="82">
        <f>X81</f>
        <v>71</v>
      </c>
      <c r="BR68" s="82">
        <f>Z81</f>
        <v>36.6</v>
      </c>
      <c r="BS68" s="81">
        <f>AB81</f>
        <v>46.3</v>
      </c>
      <c r="BT68" s="81">
        <f t="shared" ref="BT68:BV72" si="27">AD81</f>
        <v>53.5</v>
      </c>
      <c r="BU68" s="81">
        <f t="shared" si="27"/>
        <v>61.5</v>
      </c>
      <c r="BV68" s="81">
        <f t="shared" si="27"/>
        <v>54.3</v>
      </c>
      <c r="BW68" s="81">
        <f>B81</f>
        <v>14.1</v>
      </c>
    </row>
    <row r="69" spans="1:75" x14ac:dyDescent="0.25">
      <c r="A69" s="65" t="s">
        <v>87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7.2</v>
      </c>
      <c r="AC69" s="76">
        <v>7.2</v>
      </c>
      <c r="AD69" s="76">
        <v>7.2</v>
      </c>
      <c r="AE69" s="76">
        <v>7.2</v>
      </c>
      <c r="AF69" s="76">
        <v>7.2</v>
      </c>
      <c r="AG69" s="66">
        <v>24</v>
      </c>
      <c r="AH69" s="48">
        <f t="shared" si="8"/>
        <v>7.2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25"/>
        <v>0</v>
      </c>
      <c r="BB69" s="81">
        <f t="shared" si="25"/>
        <v>0</v>
      </c>
      <c r="BC69" s="81">
        <f t="shared" si="25"/>
        <v>0</v>
      </c>
      <c r="BD69" s="81">
        <f t="shared" si="25"/>
        <v>0</v>
      </c>
      <c r="BE69" s="82">
        <f>I82</f>
        <v>0</v>
      </c>
      <c r="BF69" s="82">
        <f>K82</f>
        <v>0</v>
      </c>
      <c r="BG69" s="82">
        <f t="shared" si="26"/>
        <v>56.8</v>
      </c>
      <c r="BH69" s="82">
        <f t="shared" si="26"/>
        <v>93.4</v>
      </c>
      <c r="BI69" s="82">
        <f t="shared" si="26"/>
        <v>113.6</v>
      </c>
      <c r="BJ69" s="82">
        <f t="shared" si="26"/>
        <v>125.3</v>
      </c>
      <c r="BK69" s="82">
        <f t="shared" si="26"/>
        <v>109.1</v>
      </c>
      <c r="BL69" s="82">
        <f t="shared" si="26"/>
        <v>125</v>
      </c>
      <c r="BM69" s="82">
        <f t="shared" si="26"/>
        <v>125</v>
      </c>
      <c r="BN69" s="82">
        <f t="shared" si="26"/>
        <v>87</v>
      </c>
      <c r="BO69" s="82">
        <f t="shared" si="26"/>
        <v>92.6</v>
      </c>
      <c r="BP69" s="82">
        <f t="shared" si="26"/>
        <v>92</v>
      </c>
      <c r="BQ69" s="82">
        <f>X82</f>
        <v>59</v>
      </c>
      <c r="BR69" s="82">
        <f>Z82</f>
        <v>0</v>
      </c>
      <c r="BS69" s="81">
        <f>AB82</f>
        <v>0</v>
      </c>
      <c r="BT69" s="81">
        <f t="shared" si="27"/>
        <v>0</v>
      </c>
      <c r="BU69" s="81">
        <f t="shared" si="27"/>
        <v>0</v>
      </c>
      <c r="BV69" s="81">
        <f t="shared" si="27"/>
        <v>0</v>
      </c>
      <c r="BW69" s="81">
        <f>B82</f>
        <v>0</v>
      </c>
    </row>
    <row r="70" spans="1:75" x14ac:dyDescent="0.25">
      <c r="A70" s="65" t="s">
        <v>89</v>
      </c>
      <c r="B70" s="76">
        <v>1</v>
      </c>
      <c r="C70" s="76">
        <v>1</v>
      </c>
      <c r="D70" s="76">
        <v>1</v>
      </c>
      <c r="E70" s="76">
        <v>1</v>
      </c>
      <c r="F70" s="76">
        <v>1</v>
      </c>
      <c r="G70" s="76">
        <v>1</v>
      </c>
      <c r="H70" s="76">
        <v>1</v>
      </c>
      <c r="I70" s="76">
        <v>1</v>
      </c>
      <c r="J70" s="76">
        <v>1</v>
      </c>
      <c r="K70" s="76">
        <v>1</v>
      </c>
      <c r="L70" s="76">
        <v>1</v>
      </c>
      <c r="M70" s="76">
        <v>1</v>
      </c>
      <c r="N70" s="76">
        <v>1</v>
      </c>
      <c r="O70" s="76">
        <v>1</v>
      </c>
      <c r="P70" s="76">
        <v>1</v>
      </c>
      <c r="Q70" s="76">
        <v>1</v>
      </c>
      <c r="R70" s="76">
        <v>1</v>
      </c>
      <c r="S70" s="76">
        <v>1</v>
      </c>
      <c r="T70" s="76">
        <v>1</v>
      </c>
      <c r="U70" s="76">
        <v>1</v>
      </c>
      <c r="V70" s="76">
        <v>1</v>
      </c>
      <c r="W70" s="76">
        <v>1</v>
      </c>
      <c r="X70" s="76">
        <v>1</v>
      </c>
      <c r="Y70" s="76">
        <v>1</v>
      </c>
      <c r="Z70" s="76">
        <v>1</v>
      </c>
      <c r="AA70" s="76">
        <v>1</v>
      </c>
      <c r="AB70" s="76">
        <v>1</v>
      </c>
      <c r="AC70" s="76">
        <v>1</v>
      </c>
      <c r="AD70" s="76">
        <v>1</v>
      </c>
      <c r="AE70" s="76">
        <v>1</v>
      </c>
      <c r="AF70" s="76">
        <v>1</v>
      </c>
      <c r="AG70" s="66">
        <v>15</v>
      </c>
      <c r="AH70" s="48">
        <f t="shared" si="8"/>
        <v>1</v>
      </c>
      <c r="AI70" s="49">
        <f t="shared" si="9"/>
        <v>1</v>
      </c>
      <c r="AK70" s="51"/>
      <c r="AL70" s="83"/>
      <c r="AO70" s="83"/>
      <c r="AY70" s="1" t="s">
        <v>90</v>
      </c>
      <c r="AZ70" s="82">
        <f>ROUND(C83,0)</f>
        <v>40</v>
      </c>
      <c r="BA70" s="81">
        <f t="shared" si="25"/>
        <v>90.6</v>
      </c>
      <c r="BB70" s="81">
        <f t="shared" si="25"/>
        <v>73</v>
      </c>
      <c r="BC70" s="81">
        <f t="shared" si="25"/>
        <v>82.7</v>
      </c>
      <c r="BD70" s="81">
        <f t="shared" si="25"/>
        <v>80.8</v>
      </c>
      <c r="BE70" s="82">
        <f>I83</f>
        <v>115.1</v>
      </c>
      <c r="BF70" s="82">
        <f>K83</f>
        <v>298.7</v>
      </c>
      <c r="BG70" s="82">
        <f t="shared" si="26"/>
        <v>205.6</v>
      </c>
      <c r="BH70" s="82">
        <f t="shared" si="26"/>
        <v>337.4</v>
      </c>
      <c r="BI70" s="82">
        <f t="shared" si="26"/>
        <v>358.5</v>
      </c>
      <c r="BJ70" s="82">
        <f t="shared" si="26"/>
        <v>373.6</v>
      </c>
      <c r="BK70" s="82">
        <f t="shared" si="26"/>
        <v>352.1</v>
      </c>
      <c r="BL70" s="82">
        <f t="shared" si="26"/>
        <v>391.9</v>
      </c>
      <c r="BM70" s="82">
        <f t="shared" si="26"/>
        <v>372</v>
      </c>
      <c r="BN70" s="82">
        <f t="shared" si="26"/>
        <v>413</v>
      </c>
      <c r="BO70" s="82">
        <f t="shared" si="26"/>
        <v>434</v>
      </c>
      <c r="BP70" s="82">
        <f t="shared" si="26"/>
        <v>329</v>
      </c>
      <c r="BQ70" s="82">
        <f>X83</f>
        <v>228</v>
      </c>
      <c r="BR70" s="82">
        <f>Z83</f>
        <v>60.5</v>
      </c>
      <c r="BS70" s="81">
        <f>AB83</f>
        <v>31.6</v>
      </c>
      <c r="BT70" s="81">
        <f t="shared" si="27"/>
        <v>0</v>
      </c>
      <c r="BU70" s="81">
        <f t="shared" si="27"/>
        <v>0</v>
      </c>
      <c r="BV70" s="81">
        <f t="shared" si="27"/>
        <v>0</v>
      </c>
      <c r="BW70" s="81">
        <f>B83</f>
        <v>78.2</v>
      </c>
    </row>
    <row r="71" spans="1:75" s="83" customFormat="1" x14ac:dyDescent="0.25">
      <c r="A71" s="65" t="s">
        <v>91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5.4</v>
      </c>
      <c r="AC71" s="76">
        <v>5.4</v>
      </c>
      <c r="AD71" s="76">
        <v>5.4</v>
      </c>
      <c r="AE71" s="76">
        <v>5.4</v>
      </c>
      <c r="AF71" s="76">
        <v>5.3</v>
      </c>
      <c r="AG71" s="66">
        <v>14.1</v>
      </c>
      <c r="AH71" s="48">
        <f t="shared" si="8"/>
        <v>5.4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5"/>
        <v>0</v>
      </c>
      <c r="BB71" s="81">
        <f t="shared" si="25"/>
        <v>0</v>
      </c>
      <c r="BC71" s="81">
        <f t="shared" si="25"/>
        <v>0</v>
      </c>
      <c r="BD71" s="81">
        <f t="shared" si="25"/>
        <v>0</v>
      </c>
      <c r="BE71" s="82">
        <f>I84</f>
        <v>0</v>
      </c>
      <c r="BF71" s="82">
        <f>K84</f>
        <v>46.9</v>
      </c>
      <c r="BG71" s="82">
        <f t="shared" si="26"/>
        <v>47.9</v>
      </c>
      <c r="BH71" s="82">
        <f t="shared" si="26"/>
        <v>46.6</v>
      </c>
      <c r="BI71" s="82">
        <f t="shared" si="26"/>
        <v>46.4</v>
      </c>
      <c r="BJ71" s="82">
        <f t="shared" si="26"/>
        <v>44</v>
      </c>
      <c r="BK71" s="82">
        <f t="shared" si="26"/>
        <v>42.9</v>
      </c>
      <c r="BL71" s="82">
        <f t="shared" si="26"/>
        <v>43.6</v>
      </c>
      <c r="BM71" s="82">
        <f t="shared" si="26"/>
        <v>41</v>
      </c>
      <c r="BN71" s="82">
        <f t="shared" si="26"/>
        <v>42.8</v>
      </c>
      <c r="BO71" s="82">
        <f t="shared" si="26"/>
        <v>44</v>
      </c>
      <c r="BP71" s="82">
        <f t="shared" si="26"/>
        <v>44.8</v>
      </c>
      <c r="BQ71" s="82">
        <f>X84</f>
        <v>45</v>
      </c>
      <c r="BR71" s="82">
        <f>Z84</f>
        <v>13</v>
      </c>
      <c r="BS71" s="81">
        <f>AB84</f>
        <v>0</v>
      </c>
      <c r="BT71" s="81">
        <f t="shared" si="27"/>
        <v>0</v>
      </c>
      <c r="BU71" s="81">
        <f t="shared" si="27"/>
        <v>0</v>
      </c>
      <c r="BV71" s="81">
        <f t="shared" si="27"/>
        <v>0</v>
      </c>
      <c r="BW71" s="81">
        <f>B84</f>
        <v>0</v>
      </c>
    </row>
    <row r="72" spans="1:75" x14ac:dyDescent="0.25">
      <c r="A72" s="84" t="s">
        <v>93</v>
      </c>
      <c r="B72" s="76">
        <v>8.6999999999999993</v>
      </c>
      <c r="C72" s="76">
        <v>8.6999999999999993</v>
      </c>
      <c r="D72" s="76">
        <v>8.6999999999999993</v>
      </c>
      <c r="E72" s="76">
        <v>8.6999999999999993</v>
      </c>
      <c r="F72" s="76">
        <v>8.6999999999999993</v>
      </c>
      <c r="G72" s="76">
        <v>8.6999999999999993</v>
      </c>
      <c r="H72" s="76">
        <v>8.6999999999999993</v>
      </c>
      <c r="I72" s="76">
        <v>8.6999999999999993</v>
      </c>
      <c r="J72" s="76">
        <v>8.6999999999999993</v>
      </c>
      <c r="K72" s="76">
        <v>8.6999999999999993</v>
      </c>
      <c r="L72" s="76">
        <v>8.6999999999999993</v>
      </c>
      <c r="M72" s="76">
        <v>6.7</v>
      </c>
      <c r="N72" s="76">
        <v>7.1</v>
      </c>
      <c r="O72" s="76">
        <v>7.1</v>
      </c>
      <c r="P72" s="76">
        <v>7</v>
      </c>
      <c r="Q72" s="76">
        <v>6.5</v>
      </c>
      <c r="R72" s="76">
        <v>6.5</v>
      </c>
      <c r="S72" s="76">
        <v>6.5</v>
      </c>
      <c r="T72" s="76">
        <v>6.5</v>
      </c>
      <c r="U72" s="76">
        <v>6.5</v>
      </c>
      <c r="V72" s="76">
        <v>6.5</v>
      </c>
      <c r="W72" s="76">
        <v>6.5</v>
      </c>
      <c r="X72" s="76">
        <v>6.5</v>
      </c>
      <c r="Y72" s="76">
        <v>6.5</v>
      </c>
      <c r="Z72" s="76">
        <v>6.5</v>
      </c>
      <c r="AA72" s="76">
        <v>6.5</v>
      </c>
      <c r="AB72" s="76">
        <v>6.5</v>
      </c>
      <c r="AC72" s="76">
        <v>6.5</v>
      </c>
      <c r="AD72" s="76">
        <v>6.5</v>
      </c>
      <c r="AE72" s="76">
        <v>10.199999999999999</v>
      </c>
      <c r="AF72" s="76">
        <v>10.199999999999999</v>
      </c>
      <c r="AG72" s="66">
        <v>14</v>
      </c>
      <c r="AH72" s="48">
        <f t="shared" si="8"/>
        <v>10.199999999999999</v>
      </c>
      <c r="AI72" s="49">
        <f t="shared" si="9"/>
        <v>6.5</v>
      </c>
      <c r="AK72" s="51"/>
      <c r="AY72" s="1" t="s">
        <v>94</v>
      </c>
      <c r="AZ72" s="82">
        <f>ROUND(C85,0)</f>
        <v>0</v>
      </c>
      <c r="BA72" s="81">
        <f t="shared" si="25"/>
        <v>0</v>
      </c>
      <c r="BB72" s="81">
        <f t="shared" si="25"/>
        <v>0</v>
      </c>
      <c r="BC72" s="81">
        <f t="shared" si="25"/>
        <v>0</v>
      </c>
      <c r="BD72" s="81">
        <f t="shared" si="25"/>
        <v>0</v>
      </c>
      <c r="BE72" s="82">
        <f>I85</f>
        <v>0</v>
      </c>
      <c r="BF72" s="82">
        <f>K85</f>
        <v>133.6</v>
      </c>
      <c r="BG72" s="82">
        <f t="shared" si="26"/>
        <v>126.2</v>
      </c>
      <c r="BH72" s="82">
        <f t="shared" si="26"/>
        <v>115.2</v>
      </c>
      <c r="BI72" s="82">
        <f t="shared" si="26"/>
        <v>128.19999999999999</v>
      </c>
      <c r="BJ72" s="82">
        <f t="shared" si="26"/>
        <v>138.9</v>
      </c>
      <c r="BK72" s="82">
        <f t="shared" si="26"/>
        <v>53</v>
      </c>
      <c r="BL72" s="82">
        <f t="shared" si="26"/>
        <v>61</v>
      </c>
      <c r="BM72" s="82">
        <f t="shared" si="26"/>
        <v>0</v>
      </c>
      <c r="BN72" s="82">
        <f t="shared" si="26"/>
        <v>122</v>
      </c>
      <c r="BO72" s="82">
        <f t="shared" si="26"/>
        <v>116</v>
      </c>
      <c r="BP72" s="82">
        <f t="shared" si="26"/>
        <v>121</v>
      </c>
      <c r="BQ72" s="82">
        <f>X85</f>
        <v>119</v>
      </c>
      <c r="BR72" s="82">
        <f>Z85</f>
        <v>95</v>
      </c>
      <c r="BS72" s="81">
        <f>AB85</f>
        <v>0</v>
      </c>
      <c r="BT72" s="81">
        <f t="shared" si="27"/>
        <v>0</v>
      </c>
      <c r="BU72" s="81">
        <f t="shared" si="27"/>
        <v>0</v>
      </c>
      <c r="BV72" s="81">
        <f t="shared" si="27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</v>
      </c>
      <c r="N73" s="76">
        <v>4.5</v>
      </c>
      <c r="O73" s="76">
        <v>4.5</v>
      </c>
      <c r="P73" s="76">
        <v>4.5</v>
      </c>
      <c r="Q73" s="76">
        <v>4.5</v>
      </c>
      <c r="R73" s="76">
        <v>4.5</v>
      </c>
      <c r="S73" s="76">
        <v>4.5</v>
      </c>
      <c r="T73" s="76">
        <v>4.5</v>
      </c>
      <c r="U73" s="76">
        <v>4.5</v>
      </c>
      <c r="V73" s="76">
        <v>4.5</v>
      </c>
      <c r="W73" s="76">
        <v>4.5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4.5</v>
      </c>
      <c r="AI73" s="49">
        <f t="shared" si="9"/>
        <v>4.5</v>
      </c>
      <c r="AK73" s="51"/>
      <c r="AY73" s="1" t="s">
        <v>96</v>
      </c>
      <c r="AZ73" s="82">
        <f>ROUND(C91,0)</f>
        <v>49</v>
      </c>
      <c r="BA73" s="82">
        <f>D91</f>
        <v>48.1</v>
      </c>
      <c r="BB73" s="82">
        <f>E91</f>
        <v>47</v>
      </c>
      <c r="BC73" s="82">
        <f>F91</f>
        <v>46.2</v>
      </c>
      <c r="BD73" s="82">
        <f>G91</f>
        <v>45.6</v>
      </c>
      <c r="BE73" s="82">
        <f>I91</f>
        <v>41.8</v>
      </c>
      <c r="BF73" s="82">
        <f>K91</f>
        <v>50.5</v>
      </c>
      <c r="BG73" s="82">
        <f t="shared" ref="BG73:BP73" si="28">M91</f>
        <v>52.1</v>
      </c>
      <c r="BH73" s="82">
        <f t="shared" si="28"/>
        <v>51.9</v>
      </c>
      <c r="BI73" s="82">
        <f t="shared" si="28"/>
        <v>54.8</v>
      </c>
      <c r="BJ73" s="82">
        <f t="shared" si="28"/>
        <v>54.7</v>
      </c>
      <c r="BK73" s="82">
        <f t="shared" si="28"/>
        <v>56.2</v>
      </c>
      <c r="BL73" s="82">
        <f t="shared" si="28"/>
        <v>53.9</v>
      </c>
      <c r="BM73" s="82">
        <f t="shared" si="28"/>
        <v>55</v>
      </c>
      <c r="BN73" s="82">
        <f t="shared" si="28"/>
        <v>51.5</v>
      </c>
      <c r="BO73" s="82">
        <f t="shared" si="28"/>
        <v>50</v>
      </c>
      <c r="BP73" s="82">
        <f t="shared" si="28"/>
        <v>48.9</v>
      </c>
      <c r="BQ73" s="82">
        <f>X91</f>
        <v>47</v>
      </c>
      <c r="BR73" s="82">
        <f>Z91</f>
        <v>45</v>
      </c>
      <c r="BS73" s="82">
        <f>AB91</f>
        <v>43.6</v>
      </c>
      <c r="BT73" s="82">
        <f>AD91</f>
        <v>43.7</v>
      </c>
      <c r="BU73" s="82">
        <f>AE91</f>
        <v>44.3</v>
      </c>
      <c r="BV73" s="82">
        <f>AF91</f>
        <v>45.9</v>
      </c>
      <c r="BW73" s="82">
        <f>B91</f>
        <v>48.6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9">VALUE(AZ68)</f>
        <v>11</v>
      </c>
      <c r="BA75" s="82">
        <f t="shared" si="29"/>
        <v>12.7</v>
      </c>
      <c r="BB75" s="82">
        <f t="shared" si="29"/>
        <v>17.399999999999999</v>
      </c>
      <c r="BC75" s="82">
        <f t="shared" si="29"/>
        <v>18.399999999999999</v>
      </c>
      <c r="BD75" s="82">
        <f t="shared" si="29"/>
        <v>28.3</v>
      </c>
      <c r="BE75" s="82">
        <f t="shared" si="29"/>
        <v>21.5</v>
      </c>
      <c r="BF75" s="82">
        <f t="shared" si="29"/>
        <v>59.4</v>
      </c>
      <c r="BG75" s="82">
        <f t="shared" si="29"/>
        <v>54.2</v>
      </c>
      <c r="BH75" s="82">
        <f t="shared" si="29"/>
        <v>65.900000000000006</v>
      </c>
      <c r="BI75" s="82">
        <f t="shared" si="29"/>
        <v>63</v>
      </c>
      <c r="BJ75" s="82">
        <f t="shared" si="29"/>
        <v>63</v>
      </c>
      <c r="BK75" s="82">
        <f t="shared" si="29"/>
        <v>67.099999999999994</v>
      </c>
      <c r="BL75" s="82">
        <f t="shared" si="29"/>
        <v>72.5</v>
      </c>
      <c r="BM75" s="82">
        <f t="shared" si="29"/>
        <v>61</v>
      </c>
      <c r="BN75" s="82">
        <f t="shared" si="29"/>
        <v>67</v>
      </c>
      <c r="BO75" s="82">
        <f t="shared" si="29"/>
        <v>61.7</v>
      </c>
      <c r="BP75" s="82">
        <f t="shared" si="29"/>
        <v>74</v>
      </c>
      <c r="BQ75" s="82">
        <f t="shared" si="29"/>
        <v>71</v>
      </c>
      <c r="BR75" s="82">
        <f t="shared" si="29"/>
        <v>36.6</v>
      </c>
      <c r="BS75" s="82">
        <f t="shared" si="29"/>
        <v>46.3</v>
      </c>
      <c r="BT75" s="82">
        <f t="shared" si="29"/>
        <v>53.5</v>
      </c>
      <c r="BU75" s="82">
        <f t="shared" si="29"/>
        <v>61.5</v>
      </c>
      <c r="BV75" s="82">
        <f t="shared" si="29"/>
        <v>54.3</v>
      </c>
      <c r="BW75" s="82">
        <f t="shared" si="29"/>
        <v>14.1</v>
      </c>
    </row>
    <row r="76" spans="1:75" ht="15.75" thickBot="1" x14ac:dyDescent="0.3">
      <c r="A76" s="87" t="s">
        <v>99</v>
      </c>
      <c r="B76" s="71">
        <f>SUM(B63:B75)</f>
        <v>355.84</v>
      </c>
      <c r="C76" s="71">
        <f>SUM(C63:C75)</f>
        <v>350.64</v>
      </c>
      <c r="D76" s="71">
        <f>SUM(D63:D75)</f>
        <v>350.64</v>
      </c>
      <c r="E76" s="71">
        <f t="shared" ref="E76:AG76" si="30">SUM(E63:E75)</f>
        <v>319.84000000000003</v>
      </c>
      <c r="F76" s="71">
        <f t="shared" si="30"/>
        <v>289.54000000000002</v>
      </c>
      <c r="G76" s="71">
        <f t="shared" si="30"/>
        <v>298.14</v>
      </c>
      <c r="H76" s="71">
        <f t="shared" si="30"/>
        <v>298.44</v>
      </c>
      <c r="I76" s="71">
        <f t="shared" si="30"/>
        <v>313.34000000000003</v>
      </c>
      <c r="J76" s="71">
        <f t="shared" si="30"/>
        <v>302.64</v>
      </c>
      <c r="K76" s="71">
        <f t="shared" si="30"/>
        <v>308.28999999999996</v>
      </c>
      <c r="L76" s="71">
        <f t="shared" si="30"/>
        <v>311.33999999999997</v>
      </c>
      <c r="M76" s="71">
        <f t="shared" si="30"/>
        <v>330.04</v>
      </c>
      <c r="N76" s="71">
        <f t="shared" si="30"/>
        <v>290.14000000000004</v>
      </c>
      <c r="O76" s="71">
        <f t="shared" si="30"/>
        <v>310.14</v>
      </c>
      <c r="P76" s="71">
        <f t="shared" si="30"/>
        <v>317.94</v>
      </c>
      <c r="Q76" s="71">
        <f t="shared" si="30"/>
        <v>325.14000000000004</v>
      </c>
      <c r="R76" s="71">
        <f t="shared" si="30"/>
        <v>320.64000000000004</v>
      </c>
      <c r="S76" s="71">
        <f t="shared" si="30"/>
        <v>320.64000000000004</v>
      </c>
      <c r="T76" s="71">
        <f t="shared" si="30"/>
        <v>320.64000000000004</v>
      </c>
      <c r="U76" s="71">
        <f t="shared" si="30"/>
        <v>312.24</v>
      </c>
      <c r="V76" s="71">
        <f t="shared" si="30"/>
        <v>272.44</v>
      </c>
      <c r="W76" s="71">
        <f t="shared" si="30"/>
        <v>260.44</v>
      </c>
      <c r="X76" s="71">
        <f t="shared" si="30"/>
        <v>259.24</v>
      </c>
      <c r="Y76" s="71">
        <f t="shared" si="30"/>
        <v>274.2</v>
      </c>
      <c r="Z76" s="71">
        <f t="shared" si="30"/>
        <v>280.7</v>
      </c>
      <c r="AA76" s="71">
        <f t="shared" si="30"/>
        <v>292.64</v>
      </c>
      <c r="AB76" s="71">
        <f t="shared" si="30"/>
        <v>304.43999999999994</v>
      </c>
      <c r="AC76" s="71">
        <f t="shared" si="30"/>
        <v>304.03999999999996</v>
      </c>
      <c r="AD76" s="71">
        <f t="shared" si="30"/>
        <v>295.64</v>
      </c>
      <c r="AE76" s="71">
        <f>SUM(AE63:AE75)</f>
        <v>297.14</v>
      </c>
      <c r="AF76" s="71">
        <f>SUM(AF63:AF75)</f>
        <v>297.04000000000002</v>
      </c>
      <c r="AG76" s="72">
        <f t="shared" si="30"/>
        <v>489.91</v>
      </c>
      <c r="AH76" s="48">
        <f t="shared" si="8"/>
        <v>355.84</v>
      </c>
      <c r="AI76" s="49">
        <f t="shared" si="9"/>
        <v>259.24</v>
      </c>
      <c r="AK76" s="51"/>
      <c r="AZ76" s="82">
        <f t="shared" si="29"/>
        <v>0</v>
      </c>
      <c r="BA76" s="82">
        <f t="shared" si="29"/>
        <v>0</v>
      </c>
      <c r="BB76" s="82">
        <f t="shared" si="29"/>
        <v>0</v>
      </c>
      <c r="BC76" s="82">
        <f t="shared" si="29"/>
        <v>0</v>
      </c>
      <c r="BD76" s="82">
        <f t="shared" si="29"/>
        <v>0</v>
      </c>
      <c r="BE76" s="82">
        <f t="shared" si="29"/>
        <v>0</v>
      </c>
      <c r="BF76" s="82">
        <f t="shared" si="29"/>
        <v>0</v>
      </c>
      <c r="BG76" s="82">
        <f t="shared" si="29"/>
        <v>56.8</v>
      </c>
      <c r="BH76" s="82">
        <f t="shared" si="29"/>
        <v>93.4</v>
      </c>
      <c r="BI76" s="82">
        <f t="shared" si="29"/>
        <v>113.6</v>
      </c>
      <c r="BJ76" s="82">
        <f t="shared" si="29"/>
        <v>125.3</v>
      </c>
      <c r="BK76" s="82">
        <f t="shared" si="29"/>
        <v>109.1</v>
      </c>
      <c r="BL76" s="82">
        <f t="shared" si="29"/>
        <v>125</v>
      </c>
      <c r="BM76" s="82">
        <f t="shared" si="29"/>
        <v>125</v>
      </c>
      <c r="BN76" s="82">
        <f t="shared" si="29"/>
        <v>87</v>
      </c>
      <c r="BO76" s="82">
        <f t="shared" si="29"/>
        <v>92.6</v>
      </c>
      <c r="BP76" s="82">
        <f t="shared" si="29"/>
        <v>92</v>
      </c>
      <c r="BQ76" s="82">
        <f t="shared" si="29"/>
        <v>59</v>
      </c>
      <c r="BR76" s="82">
        <f t="shared" si="29"/>
        <v>0</v>
      </c>
      <c r="BS76" s="82">
        <f t="shared" si="29"/>
        <v>0</v>
      </c>
      <c r="BT76" s="82">
        <f t="shared" si="29"/>
        <v>0</v>
      </c>
      <c r="BU76" s="82">
        <f t="shared" si="29"/>
        <v>0</v>
      </c>
      <c r="BV76" s="82">
        <f t="shared" si="29"/>
        <v>0</v>
      </c>
      <c r="BW76" s="82">
        <f t="shared" si="29"/>
        <v>0</v>
      </c>
    </row>
    <row r="77" spans="1:75" x14ac:dyDescent="0.25">
      <c r="A77" s="45" t="s">
        <v>100</v>
      </c>
      <c r="B77" s="46">
        <v>59.5</v>
      </c>
      <c r="C77" s="46">
        <v>59.5</v>
      </c>
      <c r="D77" s="46">
        <v>59.5</v>
      </c>
      <c r="E77" s="46">
        <v>58.9</v>
      </c>
      <c r="F77" s="46">
        <v>58.9</v>
      </c>
      <c r="G77" s="46">
        <v>59</v>
      </c>
      <c r="H77" s="46">
        <v>59</v>
      </c>
      <c r="I77" s="46">
        <v>58.9</v>
      </c>
      <c r="J77" s="46">
        <v>58.6</v>
      </c>
      <c r="K77" s="46">
        <v>58.6</v>
      </c>
      <c r="L77" s="46">
        <v>59</v>
      </c>
      <c r="M77" s="46">
        <v>59.1</v>
      </c>
      <c r="N77" s="46">
        <v>39.299999999999997</v>
      </c>
      <c r="O77" s="46">
        <v>49.2</v>
      </c>
      <c r="P77" s="46">
        <v>60</v>
      </c>
      <c r="Q77" s="46">
        <v>60</v>
      </c>
      <c r="R77" s="46">
        <v>60</v>
      </c>
      <c r="S77" s="46">
        <v>60</v>
      </c>
      <c r="T77" s="46">
        <v>60</v>
      </c>
      <c r="U77" s="46">
        <v>60</v>
      </c>
      <c r="V77" s="46">
        <v>60</v>
      </c>
      <c r="W77" s="46">
        <v>59</v>
      </c>
      <c r="X77" s="46">
        <v>29</v>
      </c>
      <c r="Y77" s="46">
        <v>29</v>
      </c>
      <c r="Z77" s="46">
        <v>39</v>
      </c>
      <c r="AA77" s="46">
        <v>49.2</v>
      </c>
      <c r="AB77" s="46">
        <v>49.2</v>
      </c>
      <c r="AC77" s="46">
        <v>48.37</v>
      </c>
      <c r="AD77" s="46">
        <v>49</v>
      </c>
      <c r="AE77" s="46">
        <v>40</v>
      </c>
      <c r="AF77" s="46">
        <v>40</v>
      </c>
      <c r="AG77" s="61">
        <v>60</v>
      </c>
      <c r="AH77" s="48">
        <f t="shared" si="8"/>
        <v>60</v>
      </c>
      <c r="AI77" s="49">
        <f t="shared" si="9"/>
        <v>29</v>
      </c>
      <c r="AK77" s="51"/>
      <c r="AZ77" s="82">
        <f t="shared" si="29"/>
        <v>40</v>
      </c>
      <c r="BA77" s="82">
        <f t="shared" si="29"/>
        <v>90.6</v>
      </c>
      <c r="BB77" s="82">
        <f t="shared" si="29"/>
        <v>73</v>
      </c>
      <c r="BC77" s="82">
        <f t="shared" si="29"/>
        <v>82.7</v>
      </c>
      <c r="BD77" s="82">
        <f t="shared" si="29"/>
        <v>80.8</v>
      </c>
      <c r="BE77" s="82">
        <f t="shared" si="29"/>
        <v>115.1</v>
      </c>
      <c r="BF77" s="82">
        <f t="shared" si="29"/>
        <v>298.7</v>
      </c>
      <c r="BG77" s="82">
        <f t="shared" si="29"/>
        <v>205.6</v>
      </c>
      <c r="BH77" s="82">
        <f t="shared" si="29"/>
        <v>337.4</v>
      </c>
      <c r="BI77" s="82">
        <f t="shared" si="29"/>
        <v>358.5</v>
      </c>
      <c r="BJ77" s="82">
        <f t="shared" si="29"/>
        <v>373.6</v>
      </c>
      <c r="BK77" s="82">
        <f t="shared" si="29"/>
        <v>352.1</v>
      </c>
      <c r="BL77" s="82">
        <f t="shared" si="29"/>
        <v>391.9</v>
      </c>
      <c r="BM77" s="82">
        <f t="shared" si="29"/>
        <v>372</v>
      </c>
      <c r="BN77" s="82">
        <f t="shared" si="29"/>
        <v>413</v>
      </c>
      <c r="BO77" s="82">
        <f t="shared" si="29"/>
        <v>434</v>
      </c>
      <c r="BP77" s="82">
        <f t="shared" si="29"/>
        <v>329</v>
      </c>
      <c r="BQ77" s="82">
        <f t="shared" si="29"/>
        <v>228</v>
      </c>
      <c r="BR77" s="82">
        <f t="shared" si="29"/>
        <v>60.5</v>
      </c>
      <c r="BS77" s="82">
        <f t="shared" si="29"/>
        <v>31.6</v>
      </c>
      <c r="BT77" s="82">
        <f t="shared" si="29"/>
        <v>0</v>
      </c>
      <c r="BU77" s="82">
        <f t="shared" si="29"/>
        <v>0</v>
      </c>
      <c r="BV77" s="82">
        <f t="shared" si="29"/>
        <v>0</v>
      </c>
      <c r="BW77" s="82">
        <f t="shared" si="29"/>
        <v>78.2</v>
      </c>
    </row>
    <row r="78" spans="1:75" x14ac:dyDescent="0.25">
      <c r="A78" s="65" t="s">
        <v>101</v>
      </c>
      <c r="B78" s="76">
        <v>27.9</v>
      </c>
      <c r="C78" s="76">
        <v>27.9</v>
      </c>
      <c r="D78" s="76">
        <v>27.9</v>
      </c>
      <c r="E78" s="76">
        <v>28.7</v>
      </c>
      <c r="F78" s="76">
        <v>28.8</v>
      </c>
      <c r="G78" s="76">
        <v>28.8</v>
      </c>
      <c r="H78" s="76">
        <v>28.8</v>
      </c>
      <c r="I78" s="76">
        <v>28.8</v>
      </c>
      <c r="J78" s="76">
        <v>28.8</v>
      </c>
      <c r="K78" s="76">
        <v>28.8</v>
      </c>
      <c r="L78" s="76">
        <v>29.1</v>
      </c>
      <c r="M78" s="76">
        <v>29.4</v>
      </c>
      <c r="N78" s="76">
        <v>16.399999999999999</v>
      </c>
      <c r="O78" s="76">
        <v>23.5</v>
      </c>
      <c r="P78" s="76">
        <v>29.4</v>
      </c>
      <c r="Q78" s="76">
        <v>29.6</v>
      </c>
      <c r="R78" s="76">
        <v>29.6</v>
      </c>
      <c r="S78" s="76">
        <v>29.6</v>
      </c>
      <c r="T78" s="76">
        <v>29.6</v>
      </c>
      <c r="U78" s="76">
        <v>29.6</v>
      </c>
      <c r="V78" s="76">
        <v>29.6</v>
      </c>
      <c r="W78" s="76">
        <v>30.9</v>
      </c>
      <c r="X78" s="76">
        <v>14.8</v>
      </c>
      <c r="Y78" s="76">
        <v>14.8</v>
      </c>
      <c r="Z78" s="76">
        <v>16.8</v>
      </c>
      <c r="AA78" s="76">
        <v>22.3</v>
      </c>
      <c r="AB78" s="76">
        <v>23</v>
      </c>
      <c r="AC78" s="76">
        <v>23.1</v>
      </c>
      <c r="AD78" s="76">
        <v>21.4</v>
      </c>
      <c r="AE78" s="76">
        <v>18.7</v>
      </c>
      <c r="AF78" s="76">
        <v>15.7</v>
      </c>
      <c r="AG78" s="66">
        <v>32</v>
      </c>
      <c r="AH78" s="48">
        <f t="shared" si="8"/>
        <v>30.9</v>
      </c>
      <c r="AI78" s="49">
        <f t="shared" si="9"/>
        <v>14.8</v>
      </c>
      <c r="AK78" s="51"/>
      <c r="AZ78" s="82">
        <f t="shared" si="29"/>
        <v>0</v>
      </c>
      <c r="BA78" s="82">
        <f t="shared" si="29"/>
        <v>0</v>
      </c>
      <c r="BB78" s="82">
        <f t="shared" si="29"/>
        <v>0</v>
      </c>
      <c r="BC78" s="82">
        <f t="shared" si="29"/>
        <v>0</v>
      </c>
      <c r="BD78" s="82">
        <f t="shared" si="29"/>
        <v>0</v>
      </c>
      <c r="BE78" s="82">
        <f t="shared" si="29"/>
        <v>0</v>
      </c>
      <c r="BF78" s="82">
        <f t="shared" si="29"/>
        <v>46.9</v>
      </c>
      <c r="BG78" s="82">
        <f t="shared" si="29"/>
        <v>47.9</v>
      </c>
      <c r="BH78" s="82">
        <f t="shared" si="29"/>
        <v>46.6</v>
      </c>
      <c r="BI78" s="82">
        <f t="shared" si="29"/>
        <v>46.4</v>
      </c>
      <c r="BJ78" s="82">
        <f t="shared" si="29"/>
        <v>44</v>
      </c>
      <c r="BK78" s="82">
        <f t="shared" si="29"/>
        <v>42.9</v>
      </c>
      <c r="BL78" s="82">
        <f t="shared" si="29"/>
        <v>43.6</v>
      </c>
      <c r="BM78" s="82">
        <f t="shared" si="29"/>
        <v>41</v>
      </c>
      <c r="BN78" s="82">
        <f t="shared" si="29"/>
        <v>42.8</v>
      </c>
      <c r="BO78" s="82">
        <f t="shared" si="29"/>
        <v>44</v>
      </c>
      <c r="BP78" s="82">
        <f t="shared" si="29"/>
        <v>44.8</v>
      </c>
      <c r="BQ78" s="82">
        <f t="shared" si="29"/>
        <v>45</v>
      </c>
      <c r="BR78" s="82">
        <f t="shared" si="29"/>
        <v>13</v>
      </c>
      <c r="BS78" s="82">
        <f t="shared" si="29"/>
        <v>0</v>
      </c>
      <c r="BT78" s="82">
        <f t="shared" si="29"/>
        <v>0</v>
      </c>
      <c r="BU78" s="82">
        <f t="shared" si="29"/>
        <v>0</v>
      </c>
      <c r="BV78" s="82">
        <f t="shared" si="29"/>
        <v>0</v>
      </c>
      <c r="BW78" s="82">
        <f t="shared" si="29"/>
        <v>0</v>
      </c>
    </row>
    <row r="79" spans="1:75" ht="15.75" thickBot="1" x14ac:dyDescent="0.3">
      <c r="A79" s="84" t="s">
        <v>102</v>
      </c>
      <c r="B79" s="78">
        <v>10.199999999999999</v>
      </c>
      <c r="C79" s="78">
        <v>10.199999999999999</v>
      </c>
      <c r="D79" s="78">
        <v>10.199999999999999</v>
      </c>
      <c r="E79" s="78">
        <v>10.5</v>
      </c>
      <c r="F79" s="78">
        <v>10.5</v>
      </c>
      <c r="G79" s="78">
        <v>10.5</v>
      </c>
      <c r="H79" s="78">
        <v>10.5</v>
      </c>
      <c r="I79" s="78">
        <v>10.5</v>
      </c>
      <c r="J79" s="78">
        <v>10.5</v>
      </c>
      <c r="K79" s="78">
        <v>10.5</v>
      </c>
      <c r="L79" s="78">
        <v>10.6</v>
      </c>
      <c r="M79" s="78">
        <v>10.7</v>
      </c>
      <c r="N79" s="78">
        <v>6</v>
      </c>
      <c r="O79" s="78">
        <v>8.5</v>
      </c>
      <c r="P79" s="78">
        <v>10.7</v>
      </c>
      <c r="Q79" s="78">
        <v>10.8</v>
      </c>
      <c r="R79" s="78">
        <v>10.8</v>
      </c>
      <c r="S79" s="78">
        <v>10.8</v>
      </c>
      <c r="T79" s="78">
        <v>10.8</v>
      </c>
      <c r="U79" s="78">
        <v>10.8</v>
      </c>
      <c r="V79" s="78">
        <v>10.8</v>
      </c>
      <c r="W79" s="78">
        <v>11.3</v>
      </c>
      <c r="X79" s="78">
        <v>5.4</v>
      </c>
      <c r="Y79" s="78">
        <v>5.4</v>
      </c>
      <c r="Z79" s="78">
        <v>6.1</v>
      </c>
      <c r="AA79" s="78">
        <v>8.1999999999999993</v>
      </c>
      <c r="AB79" s="78">
        <v>8.4</v>
      </c>
      <c r="AC79" s="78">
        <v>8.4</v>
      </c>
      <c r="AD79" s="78">
        <v>7.8</v>
      </c>
      <c r="AE79" s="78">
        <v>6.8</v>
      </c>
      <c r="AF79" s="78">
        <v>5.7</v>
      </c>
      <c r="AG79" s="79">
        <v>14</v>
      </c>
      <c r="AH79" s="48">
        <f t="shared" si="8"/>
        <v>11.3</v>
      </c>
      <c r="AI79" s="49">
        <f t="shared" si="9"/>
        <v>5.4</v>
      </c>
      <c r="AK79" s="51"/>
      <c r="AZ79" s="82">
        <f t="shared" si="29"/>
        <v>0</v>
      </c>
      <c r="BA79" s="82">
        <f t="shared" si="29"/>
        <v>0</v>
      </c>
      <c r="BB79" s="82">
        <f t="shared" si="29"/>
        <v>0</v>
      </c>
      <c r="BC79" s="82">
        <f t="shared" si="29"/>
        <v>0</v>
      </c>
      <c r="BD79" s="82">
        <f t="shared" si="29"/>
        <v>0</v>
      </c>
      <c r="BE79" s="82">
        <f t="shared" si="29"/>
        <v>0</v>
      </c>
      <c r="BF79" s="82">
        <f t="shared" si="29"/>
        <v>133.6</v>
      </c>
      <c r="BG79" s="82">
        <f t="shared" si="29"/>
        <v>126.2</v>
      </c>
      <c r="BH79" s="82">
        <f t="shared" si="29"/>
        <v>115.2</v>
      </c>
      <c r="BI79" s="82">
        <f t="shared" si="29"/>
        <v>128.19999999999999</v>
      </c>
      <c r="BJ79" s="82">
        <f t="shared" si="29"/>
        <v>138.9</v>
      </c>
      <c r="BK79" s="82">
        <f t="shared" si="29"/>
        <v>53</v>
      </c>
      <c r="BL79" s="82">
        <f t="shared" si="29"/>
        <v>61</v>
      </c>
      <c r="BM79" s="82">
        <f t="shared" si="29"/>
        <v>0</v>
      </c>
      <c r="BN79" s="82">
        <f t="shared" si="29"/>
        <v>122</v>
      </c>
      <c r="BO79" s="82">
        <f t="shared" si="29"/>
        <v>116</v>
      </c>
      <c r="BP79" s="82">
        <f t="shared" si="29"/>
        <v>121</v>
      </c>
      <c r="BQ79" s="82">
        <f t="shared" si="29"/>
        <v>119</v>
      </c>
      <c r="BR79" s="82">
        <f t="shared" si="29"/>
        <v>95</v>
      </c>
      <c r="BS79" s="82">
        <f t="shared" si="29"/>
        <v>0</v>
      </c>
      <c r="BT79" s="82">
        <f t="shared" si="29"/>
        <v>0</v>
      </c>
      <c r="BU79" s="82">
        <f t="shared" si="29"/>
        <v>0</v>
      </c>
      <c r="BV79" s="82">
        <f t="shared" si="29"/>
        <v>0</v>
      </c>
      <c r="BW79" s="82">
        <f t="shared" si="29"/>
        <v>0</v>
      </c>
    </row>
    <row r="80" spans="1:75" ht="15.75" thickBot="1" x14ac:dyDescent="0.3">
      <c r="A80" s="87" t="s">
        <v>103</v>
      </c>
      <c r="B80" s="71">
        <f>B77+B78+B79</f>
        <v>97.600000000000009</v>
      </c>
      <c r="C80" s="71">
        <f>C77+C78+C79</f>
        <v>97.600000000000009</v>
      </c>
      <c r="D80" s="71">
        <f>D77+D78+D79</f>
        <v>97.600000000000009</v>
      </c>
      <c r="E80" s="71">
        <f t="shared" ref="E80:AD80" si="31">E77+E78+E79</f>
        <v>98.1</v>
      </c>
      <c r="F80" s="71">
        <f t="shared" si="31"/>
        <v>98.2</v>
      </c>
      <c r="G80" s="71">
        <f t="shared" si="31"/>
        <v>98.3</v>
      </c>
      <c r="H80" s="71">
        <f t="shared" si="31"/>
        <v>98.3</v>
      </c>
      <c r="I80" s="71">
        <f t="shared" si="31"/>
        <v>98.2</v>
      </c>
      <c r="J80" s="71">
        <f t="shared" si="31"/>
        <v>97.9</v>
      </c>
      <c r="K80" s="71">
        <f t="shared" si="31"/>
        <v>97.9</v>
      </c>
      <c r="L80" s="71">
        <f t="shared" si="31"/>
        <v>98.699999999999989</v>
      </c>
      <c r="M80" s="71">
        <f t="shared" si="31"/>
        <v>99.2</v>
      </c>
      <c r="N80" s="71">
        <f t="shared" si="31"/>
        <v>61.699999999999996</v>
      </c>
      <c r="O80" s="71">
        <f t="shared" si="31"/>
        <v>81.2</v>
      </c>
      <c r="P80" s="71">
        <f t="shared" si="31"/>
        <v>100.10000000000001</v>
      </c>
      <c r="Q80" s="71">
        <f t="shared" si="31"/>
        <v>100.39999999999999</v>
      </c>
      <c r="R80" s="71">
        <f t="shared" si="31"/>
        <v>100.39999999999999</v>
      </c>
      <c r="S80" s="71">
        <f t="shared" si="31"/>
        <v>100.39999999999999</v>
      </c>
      <c r="T80" s="71">
        <f t="shared" si="31"/>
        <v>100.39999999999999</v>
      </c>
      <c r="U80" s="71">
        <f t="shared" si="31"/>
        <v>100.39999999999999</v>
      </c>
      <c r="V80" s="71">
        <f t="shared" si="31"/>
        <v>100.39999999999999</v>
      </c>
      <c r="W80" s="71">
        <f t="shared" si="31"/>
        <v>101.2</v>
      </c>
      <c r="X80" s="71">
        <f t="shared" si="31"/>
        <v>49.199999999999996</v>
      </c>
      <c r="Y80" s="71">
        <f t="shared" si="31"/>
        <v>49.199999999999996</v>
      </c>
      <c r="Z80" s="71">
        <f t="shared" si="31"/>
        <v>61.9</v>
      </c>
      <c r="AA80" s="71">
        <f t="shared" si="31"/>
        <v>79.7</v>
      </c>
      <c r="AB80" s="71">
        <f t="shared" si="31"/>
        <v>80.600000000000009</v>
      </c>
      <c r="AC80" s="71">
        <f t="shared" si="31"/>
        <v>79.87</v>
      </c>
      <c r="AD80" s="71">
        <f t="shared" si="31"/>
        <v>78.2</v>
      </c>
      <c r="AE80" s="71">
        <f>AE77+AE78+AE79</f>
        <v>65.5</v>
      </c>
      <c r="AF80" s="71">
        <f>AF77+AF78+AF79</f>
        <v>61.400000000000006</v>
      </c>
      <c r="AG80" s="72">
        <f>SUM(AG77:AG79)</f>
        <v>106</v>
      </c>
      <c r="AH80" s="48">
        <f t="shared" si="8"/>
        <v>101.2</v>
      </c>
      <c r="AI80" s="49">
        <f t="shared" si="9"/>
        <v>49.199999999999996</v>
      </c>
      <c r="AK80" s="51"/>
      <c r="AZ80" s="82">
        <f t="shared" si="29"/>
        <v>49</v>
      </c>
      <c r="BA80" s="82">
        <f t="shared" si="29"/>
        <v>48.1</v>
      </c>
      <c r="BB80" s="82">
        <f t="shared" si="29"/>
        <v>47</v>
      </c>
      <c r="BC80" s="82">
        <f t="shared" si="29"/>
        <v>46.2</v>
      </c>
      <c r="BD80" s="82">
        <f t="shared" si="29"/>
        <v>45.6</v>
      </c>
      <c r="BE80" s="82">
        <f t="shared" si="29"/>
        <v>41.8</v>
      </c>
      <c r="BF80" s="82">
        <f t="shared" si="29"/>
        <v>50.5</v>
      </c>
      <c r="BG80" s="82">
        <f t="shared" si="29"/>
        <v>52.1</v>
      </c>
      <c r="BH80" s="82">
        <f t="shared" si="29"/>
        <v>51.9</v>
      </c>
      <c r="BI80" s="82">
        <f t="shared" si="29"/>
        <v>54.8</v>
      </c>
      <c r="BJ80" s="82">
        <f t="shared" si="29"/>
        <v>54.7</v>
      </c>
      <c r="BK80" s="82">
        <f t="shared" si="29"/>
        <v>56.2</v>
      </c>
      <c r="BL80" s="82">
        <f t="shared" si="29"/>
        <v>53.9</v>
      </c>
      <c r="BM80" s="82">
        <f t="shared" si="29"/>
        <v>55</v>
      </c>
      <c r="BN80" s="82">
        <f t="shared" si="29"/>
        <v>51.5</v>
      </c>
      <c r="BO80" s="82">
        <f t="shared" si="29"/>
        <v>50</v>
      </c>
      <c r="BP80" s="82">
        <f t="shared" si="29"/>
        <v>48.9</v>
      </c>
      <c r="BQ80" s="82">
        <f t="shared" si="29"/>
        <v>47</v>
      </c>
      <c r="BR80" s="82">
        <f t="shared" si="29"/>
        <v>45</v>
      </c>
      <c r="BS80" s="82">
        <f t="shared" si="29"/>
        <v>43.6</v>
      </c>
      <c r="BT80" s="82">
        <f t="shared" si="29"/>
        <v>43.7</v>
      </c>
      <c r="BU80" s="82">
        <f t="shared" si="29"/>
        <v>44.3</v>
      </c>
      <c r="BV80" s="82">
        <f t="shared" si="29"/>
        <v>45.9</v>
      </c>
      <c r="BW80" s="82">
        <f t="shared" si="29"/>
        <v>48.6</v>
      </c>
    </row>
    <row r="81" spans="1:64" x14ac:dyDescent="0.25">
      <c r="A81" s="45" t="s">
        <v>104</v>
      </c>
      <c r="B81" s="46">
        <v>14.1</v>
      </c>
      <c r="C81" s="46">
        <v>10.63</v>
      </c>
      <c r="D81" s="46">
        <v>12.7</v>
      </c>
      <c r="E81" s="46">
        <v>17.399999999999999</v>
      </c>
      <c r="F81" s="46">
        <v>18.399999999999999</v>
      </c>
      <c r="G81" s="46">
        <v>28.3</v>
      </c>
      <c r="H81" s="46">
        <v>25</v>
      </c>
      <c r="I81" s="46">
        <v>21.5</v>
      </c>
      <c r="J81" s="46">
        <v>56.3</v>
      </c>
      <c r="K81" s="46">
        <v>59.4</v>
      </c>
      <c r="L81" s="46">
        <v>60.3</v>
      </c>
      <c r="M81" s="46">
        <v>54.2</v>
      </c>
      <c r="N81" s="46">
        <v>65.900000000000006</v>
      </c>
      <c r="O81" s="46">
        <v>63</v>
      </c>
      <c r="P81" s="46">
        <v>63</v>
      </c>
      <c r="Q81" s="46">
        <v>67.099999999999994</v>
      </c>
      <c r="R81" s="46">
        <v>72.5</v>
      </c>
      <c r="S81" s="46">
        <v>61</v>
      </c>
      <c r="T81" s="46">
        <v>67</v>
      </c>
      <c r="U81" s="46">
        <v>61.7</v>
      </c>
      <c r="V81" s="46">
        <v>74</v>
      </c>
      <c r="W81" s="46">
        <v>67.599999999999994</v>
      </c>
      <c r="X81" s="46">
        <v>71</v>
      </c>
      <c r="Y81" s="46">
        <v>63.8</v>
      </c>
      <c r="Z81" s="46">
        <v>36.6</v>
      </c>
      <c r="AA81" s="46">
        <v>42</v>
      </c>
      <c r="AB81" s="46">
        <v>46.3</v>
      </c>
      <c r="AC81" s="46">
        <v>50.7</v>
      </c>
      <c r="AD81" s="46">
        <v>53.5</v>
      </c>
      <c r="AE81" s="46">
        <v>61.5</v>
      </c>
      <c r="AF81" s="46">
        <v>54.3</v>
      </c>
      <c r="AG81" s="61"/>
      <c r="AH81" s="48">
        <f t="shared" si="8"/>
        <v>74</v>
      </c>
      <c r="AI81" s="49">
        <f t="shared" si="9"/>
        <v>10.63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>
        <v>56.8</v>
      </c>
      <c r="N82" s="76">
        <v>93.4</v>
      </c>
      <c r="O82" s="76">
        <v>113.6</v>
      </c>
      <c r="P82" s="76">
        <v>125.3</v>
      </c>
      <c r="Q82" s="76">
        <v>109.1</v>
      </c>
      <c r="R82" s="76">
        <v>125</v>
      </c>
      <c r="S82" s="76">
        <v>125</v>
      </c>
      <c r="T82" s="76">
        <v>87</v>
      </c>
      <c r="U82" s="76">
        <v>92.6</v>
      </c>
      <c r="V82" s="76">
        <v>92</v>
      </c>
      <c r="W82" s="76">
        <v>86</v>
      </c>
      <c r="X82" s="76">
        <v>59</v>
      </c>
      <c r="Y82" s="76">
        <v>0</v>
      </c>
      <c r="Z82" s="76">
        <v>0</v>
      </c>
      <c r="AA82" s="76"/>
      <c r="AB82" s="76"/>
      <c r="AC82" s="76"/>
      <c r="AD82" s="76"/>
      <c r="AE82" s="76"/>
      <c r="AF82" s="76"/>
      <c r="AG82" s="66"/>
      <c r="AH82" s="48">
        <f t="shared" ref="AH82:AH125" si="32">MAX(B82:AF82)</f>
        <v>125.3</v>
      </c>
      <c r="AI82" s="49">
        <f t="shared" ref="AI82:AI125" si="33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78.2</v>
      </c>
      <c r="C83" s="76">
        <v>39.799999999999997</v>
      </c>
      <c r="D83" s="76">
        <v>90.6</v>
      </c>
      <c r="E83" s="76">
        <v>73</v>
      </c>
      <c r="F83" s="76">
        <v>82.7</v>
      </c>
      <c r="G83" s="76">
        <v>80.8</v>
      </c>
      <c r="H83" s="76">
        <v>97.4</v>
      </c>
      <c r="I83" s="76">
        <v>115.1</v>
      </c>
      <c r="J83" s="76">
        <v>214</v>
      </c>
      <c r="K83" s="76">
        <v>298.7</v>
      </c>
      <c r="L83" s="76">
        <v>229.7</v>
      </c>
      <c r="M83" s="76">
        <v>205.6</v>
      </c>
      <c r="N83" s="76">
        <v>337.4</v>
      </c>
      <c r="O83" s="76">
        <v>358.5</v>
      </c>
      <c r="P83" s="76">
        <v>373.6</v>
      </c>
      <c r="Q83" s="76">
        <v>352.1</v>
      </c>
      <c r="R83" s="76">
        <v>391.9</v>
      </c>
      <c r="S83" s="76">
        <v>372</v>
      </c>
      <c r="T83" s="76">
        <v>413</v>
      </c>
      <c r="U83" s="76">
        <v>434</v>
      </c>
      <c r="V83" s="76">
        <v>329</v>
      </c>
      <c r="W83" s="76">
        <v>627</v>
      </c>
      <c r="X83" s="76">
        <v>228</v>
      </c>
      <c r="Y83" s="76">
        <v>230</v>
      </c>
      <c r="Z83" s="76">
        <v>60.5</v>
      </c>
      <c r="AA83" s="76">
        <v>33</v>
      </c>
      <c r="AB83" s="76">
        <v>31.6</v>
      </c>
      <c r="AC83" s="76">
        <v>4.8</v>
      </c>
      <c r="AD83" s="76">
        <v>0</v>
      </c>
      <c r="AE83" s="76">
        <v>0</v>
      </c>
      <c r="AF83" s="76">
        <v>0</v>
      </c>
      <c r="AG83" s="88"/>
      <c r="AH83" s="48">
        <f t="shared" si="32"/>
        <v>627</v>
      </c>
      <c r="AI83" s="49">
        <f t="shared" si="33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40</v>
      </c>
      <c r="K84" s="89">
        <v>46.9</v>
      </c>
      <c r="L84" s="89">
        <v>48.5</v>
      </c>
      <c r="M84" s="89">
        <v>47.9</v>
      </c>
      <c r="N84" s="89">
        <v>46.6</v>
      </c>
      <c r="O84" s="89">
        <v>46.4</v>
      </c>
      <c r="P84" s="89">
        <v>44</v>
      </c>
      <c r="Q84" s="89">
        <v>42.9</v>
      </c>
      <c r="R84" s="89">
        <v>43.6</v>
      </c>
      <c r="S84" s="89">
        <v>41</v>
      </c>
      <c r="T84" s="89">
        <v>42.8</v>
      </c>
      <c r="U84" s="89">
        <v>44</v>
      </c>
      <c r="V84" s="89">
        <v>44.8</v>
      </c>
      <c r="W84" s="89">
        <v>39.4</v>
      </c>
      <c r="X84" s="89">
        <v>45</v>
      </c>
      <c r="Y84" s="89">
        <v>34</v>
      </c>
      <c r="Z84" s="89">
        <v>13</v>
      </c>
      <c r="AA84" s="89">
        <v>16</v>
      </c>
      <c r="AB84" s="89">
        <v>0</v>
      </c>
      <c r="AC84" s="89">
        <v>0</v>
      </c>
      <c r="AD84" s="89"/>
      <c r="AE84" s="89">
        <v>0</v>
      </c>
      <c r="AF84" s="89">
        <v>0</v>
      </c>
      <c r="AG84" s="88"/>
      <c r="AH84" s="48">
        <f t="shared" si="32"/>
        <v>48.5</v>
      </c>
      <c r="AI84" s="49">
        <f t="shared" si="33"/>
        <v>0</v>
      </c>
      <c r="AK84" s="51"/>
      <c r="AY84" s="82"/>
      <c r="BF84" s="81"/>
      <c r="BG84" s="82">
        <f t="array" ref="BG84:BL107">TRANSPOSE(AZ68:BW73)</f>
        <v>11</v>
      </c>
      <c r="BH84" s="82">
        <v>0</v>
      </c>
      <c r="BI84" s="82">
        <v>40</v>
      </c>
      <c r="BJ84" s="82">
        <v>0</v>
      </c>
      <c r="BK84" s="82">
        <v>0</v>
      </c>
      <c r="BL84" s="82">
        <v>49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107.1</v>
      </c>
      <c r="K85" s="46">
        <v>133.6</v>
      </c>
      <c r="L85" s="46">
        <v>142.5</v>
      </c>
      <c r="M85" s="46">
        <v>126.2</v>
      </c>
      <c r="N85" s="46">
        <v>115.2</v>
      </c>
      <c r="O85" s="46">
        <v>128.19999999999999</v>
      </c>
      <c r="P85" s="46">
        <v>138.9</v>
      </c>
      <c r="Q85" s="46">
        <v>53</v>
      </c>
      <c r="R85" s="46">
        <v>61</v>
      </c>
      <c r="S85" s="46">
        <v>0</v>
      </c>
      <c r="T85" s="46">
        <v>122</v>
      </c>
      <c r="U85" s="46">
        <v>116</v>
      </c>
      <c r="V85" s="46">
        <v>121</v>
      </c>
      <c r="W85" s="46">
        <v>107</v>
      </c>
      <c r="X85" s="46">
        <v>119</v>
      </c>
      <c r="Y85" s="46">
        <v>105</v>
      </c>
      <c r="Z85" s="46">
        <v>95</v>
      </c>
      <c r="AA85" s="46"/>
      <c r="AB85" s="46">
        <v>0</v>
      </c>
      <c r="AC85" s="46">
        <v>0</v>
      </c>
      <c r="AD85" s="46"/>
      <c r="AE85" s="46">
        <v>0</v>
      </c>
      <c r="AF85" s="46">
        <v>0</v>
      </c>
      <c r="AG85" s="88"/>
      <c r="AH85" s="48">
        <f t="shared" si="32"/>
        <v>142.5</v>
      </c>
      <c r="AI85" s="49">
        <f t="shared" si="33"/>
        <v>0</v>
      </c>
      <c r="AK85" s="51"/>
      <c r="AY85" s="82"/>
      <c r="BF85" s="81"/>
      <c r="BG85" s="82">
        <v>12.7</v>
      </c>
      <c r="BH85" s="82">
        <v>0</v>
      </c>
      <c r="BI85" s="82">
        <v>90.6</v>
      </c>
      <c r="BJ85" s="82">
        <v>0</v>
      </c>
      <c r="BK85" s="82">
        <v>0</v>
      </c>
      <c r="BL85" s="82">
        <v>48.1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2"/>
        <v>0</v>
      </c>
      <c r="AI86" s="49">
        <f t="shared" si="33"/>
        <v>0</v>
      </c>
      <c r="AK86" s="51"/>
      <c r="AY86" s="82"/>
      <c r="BF86" s="81"/>
      <c r="BG86" s="82">
        <v>17.399999999999999</v>
      </c>
      <c r="BH86" s="82">
        <v>0</v>
      </c>
      <c r="BI86" s="82">
        <v>73</v>
      </c>
      <c r="BJ86" s="82">
        <v>0</v>
      </c>
      <c r="BK86" s="82">
        <v>0</v>
      </c>
      <c r="BL86" s="82">
        <v>47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2"/>
        <v>0</v>
      </c>
      <c r="AI87" s="49">
        <f t="shared" si="33"/>
        <v>0</v>
      </c>
      <c r="AK87" s="51"/>
      <c r="AL87" s="91" t="s">
        <v>111</v>
      </c>
      <c r="AM87" s="91"/>
      <c r="AY87" s="82"/>
      <c r="BF87" s="82"/>
      <c r="BG87" s="82">
        <v>18.399999999999999</v>
      </c>
      <c r="BH87" s="82">
        <v>0</v>
      </c>
      <c r="BI87" s="82">
        <v>82.7</v>
      </c>
      <c r="BJ87" s="82">
        <v>0</v>
      </c>
      <c r="BK87" s="82">
        <v>0</v>
      </c>
      <c r="BL87" s="82">
        <v>46.2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2"/>
        <v>0</v>
      </c>
      <c r="AI88" s="49">
        <f t="shared" si="33"/>
        <v>0</v>
      </c>
      <c r="AK88" s="92"/>
      <c r="AL88" s="93"/>
      <c r="AM88" s="93"/>
      <c r="AN88" s="94"/>
      <c r="AY88" s="82"/>
      <c r="BF88" s="82"/>
      <c r="BG88" s="82">
        <v>28.3</v>
      </c>
      <c r="BH88" s="82">
        <v>0</v>
      </c>
      <c r="BI88" s="82">
        <v>80.8</v>
      </c>
      <c r="BJ88" s="82">
        <v>0</v>
      </c>
      <c r="BK88" s="82">
        <v>0</v>
      </c>
      <c r="BL88" s="82">
        <v>45.6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2"/>
        <v>0</v>
      </c>
      <c r="AI89" s="49">
        <f t="shared" si="33"/>
        <v>0</v>
      </c>
      <c r="AK89" s="95" t="s">
        <v>114</v>
      </c>
      <c r="AL89" s="76"/>
      <c r="AM89" s="89"/>
      <c r="AN89" s="96"/>
      <c r="AY89" s="82"/>
      <c r="BF89" s="82"/>
      <c r="BG89" s="82">
        <v>21.5</v>
      </c>
      <c r="BH89" s="82">
        <v>0</v>
      </c>
      <c r="BI89" s="82">
        <v>115.1</v>
      </c>
      <c r="BJ89" s="82">
        <v>0</v>
      </c>
      <c r="BK89" s="82">
        <v>0</v>
      </c>
      <c r="BL89" s="82">
        <v>41.8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2"/>
        <v>0</v>
      </c>
      <c r="AI90" s="49">
        <f t="shared" si="33"/>
        <v>0</v>
      </c>
      <c r="AK90" s="95" t="s">
        <v>116</v>
      </c>
      <c r="AL90" s="89"/>
      <c r="AM90" s="89"/>
      <c r="AN90" s="96"/>
      <c r="AY90" s="82"/>
      <c r="BF90" s="82"/>
      <c r="BG90" s="82">
        <v>59.4</v>
      </c>
      <c r="BH90" s="82">
        <v>0</v>
      </c>
      <c r="BI90" s="82">
        <v>298.7</v>
      </c>
      <c r="BJ90" s="82">
        <v>46.9</v>
      </c>
      <c r="BK90" s="82">
        <v>133.6</v>
      </c>
      <c r="BL90" s="82">
        <v>50.5</v>
      </c>
    </row>
    <row r="91" spans="1:64" ht="15.75" thickBot="1" x14ac:dyDescent="0.3">
      <c r="A91" s="97" t="s">
        <v>117</v>
      </c>
      <c r="B91" s="90">
        <v>48.6</v>
      </c>
      <c r="C91" s="90">
        <v>49.3</v>
      </c>
      <c r="D91" s="90">
        <v>48.1</v>
      </c>
      <c r="E91" s="90">
        <v>47</v>
      </c>
      <c r="F91" s="90">
        <v>46.2</v>
      </c>
      <c r="G91" s="90">
        <v>45.6</v>
      </c>
      <c r="H91" s="90">
        <v>37.6</v>
      </c>
      <c r="I91" s="90">
        <v>41.8</v>
      </c>
      <c r="J91" s="90">
        <v>46.1</v>
      </c>
      <c r="K91" s="90">
        <v>50.5</v>
      </c>
      <c r="L91" s="90">
        <v>55.3</v>
      </c>
      <c r="M91" s="90">
        <v>52.1</v>
      </c>
      <c r="N91" s="90">
        <v>51.9</v>
      </c>
      <c r="O91" s="90">
        <v>54.8</v>
      </c>
      <c r="P91" s="90">
        <v>54.7</v>
      </c>
      <c r="Q91" s="90">
        <v>56.2</v>
      </c>
      <c r="R91" s="90">
        <v>53.9</v>
      </c>
      <c r="S91" s="90">
        <v>55</v>
      </c>
      <c r="T91" s="90">
        <v>51.5</v>
      </c>
      <c r="U91" s="90">
        <v>50</v>
      </c>
      <c r="V91" s="90">
        <v>48.9</v>
      </c>
      <c r="W91" s="90">
        <v>49.6</v>
      </c>
      <c r="X91" s="90">
        <v>47</v>
      </c>
      <c r="Y91" s="90">
        <v>47</v>
      </c>
      <c r="Z91" s="90">
        <v>45</v>
      </c>
      <c r="AA91" s="90">
        <v>47</v>
      </c>
      <c r="AB91" s="90">
        <v>43.6</v>
      </c>
      <c r="AC91" s="90">
        <v>43.2</v>
      </c>
      <c r="AD91" s="90">
        <v>43.7</v>
      </c>
      <c r="AE91" s="90">
        <v>44.3</v>
      </c>
      <c r="AF91" s="90">
        <v>45.9</v>
      </c>
      <c r="AG91" s="98"/>
      <c r="AH91" s="48">
        <f t="shared" si="32"/>
        <v>56.2</v>
      </c>
      <c r="AI91" s="49">
        <f t="shared" si="33"/>
        <v>37.6</v>
      </c>
      <c r="AK91" s="99"/>
      <c r="AL91" s="46"/>
      <c r="AM91" s="46"/>
      <c r="AN91" s="100"/>
      <c r="AY91" s="82"/>
      <c r="BF91" s="82"/>
      <c r="BG91" s="82">
        <v>54.2</v>
      </c>
      <c r="BH91" s="82">
        <v>56.8</v>
      </c>
      <c r="BI91" s="82">
        <v>205.6</v>
      </c>
      <c r="BJ91" s="82">
        <v>47.9</v>
      </c>
      <c r="BK91" s="82">
        <v>126.2</v>
      </c>
      <c r="BL91" s="82">
        <v>52.1</v>
      </c>
    </row>
    <row r="92" spans="1:64" ht="15.75" thickBot="1" x14ac:dyDescent="0.3">
      <c r="A92" s="87" t="s">
        <v>118</v>
      </c>
      <c r="B92" s="71">
        <f>SUMIF(B81:B91,"&gt;0")</f>
        <v>140.9</v>
      </c>
      <c r="C92" s="71">
        <f>SUMIF(C81:C91,"&gt;0")</f>
        <v>99.72999999999999</v>
      </c>
      <c r="D92" s="71">
        <f>SUMIF(D81:D91,"&gt;0")</f>
        <v>151.4</v>
      </c>
      <c r="E92" s="71">
        <f t="shared" ref="E92:AE92" si="34">SUMIF(E81:E91,"&gt;0")</f>
        <v>137.4</v>
      </c>
      <c r="F92" s="71">
        <f t="shared" si="34"/>
        <v>147.30000000000001</v>
      </c>
      <c r="G92" s="71">
        <f t="shared" si="34"/>
        <v>154.69999999999999</v>
      </c>
      <c r="H92" s="71">
        <f t="shared" si="34"/>
        <v>160</v>
      </c>
      <c r="I92" s="71">
        <f t="shared" si="34"/>
        <v>178.39999999999998</v>
      </c>
      <c r="J92" s="71">
        <f t="shared" si="34"/>
        <v>463.5</v>
      </c>
      <c r="K92" s="71">
        <f t="shared" si="34"/>
        <v>589.09999999999991</v>
      </c>
      <c r="L92" s="71">
        <f t="shared" si="34"/>
        <v>536.29999999999995</v>
      </c>
      <c r="M92" s="71">
        <f t="shared" si="34"/>
        <v>542.79999999999995</v>
      </c>
      <c r="N92" s="71">
        <f t="shared" si="34"/>
        <v>710.4</v>
      </c>
      <c r="O92" s="71">
        <f t="shared" si="34"/>
        <v>764.5</v>
      </c>
      <c r="P92" s="71">
        <f t="shared" si="34"/>
        <v>799.50000000000011</v>
      </c>
      <c r="Q92" s="71">
        <f t="shared" si="34"/>
        <v>680.4</v>
      </c>
      <c r="R92" s="71">
        <f t="shared" si="34"/>
        <v>747.9</v>
      </c>
      <c r="S92" s="71">
        <f t="shared" si="34"/>
        <v>654</v>
      </c>
      <c r="T92" s="71">
        <f t="shared" si="34"/>
        <v>783.3</v>
      </c>
      <c r="U92" s="71">
        <f t="shared" si="34"/>
        <v>798.3</v>
      </c>
      <c r="V92" s="71">
        <f t="shared" si="34"/>
        <v>709.69999999999993</v>
      </c>
      <c r="W92" s="71">
        <f t="shared" si="34"/>
        <v>976.6</v>
      </c>
      <c r="X92" s="71">
        <f t="shared" si="34"/>
        <v>569</v>
      </c>
      <c r="Y92" s="71">
        <f t="shared" si="34"/>
        <v>479.8</v>
      </c>
      <c r="Z92" s="71">
        <f t="shared" si="34"/>
        <v>250.1</v>
      </c>
      <c r="AA92" s="71">
        <f t="shared" si="34"/>
        <v>138</v>
      </c>
      <c r="AB92" s="71">
        <f t="shared" si="34"/>
        <v>121.5</v>
      </c>
      <c r="AC92" s="71">
        <f t="shared" si="34"/>
        <v>98.7</v>
      </c>
      <c r="AD92" s="71">
        <f t="shared" si="34"/>
        <v>97.2</v>
      </c>
      <c r="AE92" s="71">
        <f t="shared" si="34"/>
        <v>105.8</v>
      </c>
      <c r="AF92" s="71">
        <f>SUMIF(AF81:AF91,"&gt;0")</f>
        <v>100.19999999999999</v>
      </c>
      <c r="AG92" s="101">
        <f>SUM(AG81:AG91)</f>
        <v>0</v>
      </c>
      <c r="AH92" s="48">
        <f t="shared" si="32"/>
        <v>976.6</v>
      </c>
      <c r="AI92" s="49">
        <f t="shared" si="33"/>
        <v>97.2</v>
      </c>
      <c r="AK92" s="99"/>
      <c r="AL92" s="90"/>
      <c r="AM92" s="102"/>
      <c r="AN92" s="202"/>
      <c r="AY92" s="82"/>
      <c r="BF92" s="82"/>
      <c r="BG92" s="82">
        <v>65.900000000000006</v>
      </c>
      <c r="BH92" s="82">
        <v>93.4</v>
      </c>
      <c r="BI92" s="82">
        <v>337.4</v>
      </c>
      <c r="BJ92" s="82">
        <v>46.6</v>
      </c>
      <c r="BK92" s="82">
        <v>115.2</v>
      </c>
      <c r="BL92" s="82">
        <v>51.9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2"/>
        <v>0</v>
      </c>
      <c r="AI93" s="49">
        <f t="shared" si="33"/>
        <v>0</v>
      </c>
      <c r="AK93" s="99"/>
      <c r="AL93" s="90"/>
      <c r="AM93" s="90"/>
      <c r="AN93" s="203"/>
      <c r="BF93" s="82"/>
      <c r="BG93" s="82">
        <v>63</v>
      </c>
      <c r="BH93" s="82">
        <v>113.6</v>
      </c>
      <c r="BI93" s="82">
        <v>358.5</v>
      </c>
      <c r="BJ93" s="82">
        <v>46.4</v>
      </c>
      <c r="BK93" s="82">
        <v>128.19999999999999</v>
      </c>
      <c r="BL93" s="82">
        <v>54.8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2"/>
        <v>0</v>
      </c>
      <c r="AI94" s="49">
        <f t="shared" si="33"/>
        <v>0</v>
      </c>
      <c r="AK94" s="104"/>
      <c r="AL94" s="105"/>
      <c r="AM94" s="105"/>
      <c r="AN94" s="106"/>
      <c r="BF94" s="82"/>
      <c r="BG94" s="82">
        <v>63</v>
      </c>
      <c r="BH94" s="82">
        <v>125.3</v>
      </c>
      <c r="BI94" s="82">
        <v>373.6</v>
      </c>
      <c r="BJ94" s="82">
        <v>44</v>
      </c>
      <c r="BK94" s="82">
        <v>138.9</v>
      </c>
      <c r="BL94" s="82">
        <v>54.7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2"/>
        <v>0</v>
      </c>
      <c r="AI95" s="49">
        <f t="shared" si="33"/>
        <v>0</v>
      </c>
      <c r="BF95" s="82"/>
      <c r="BG95" s="82">
        <v>67.099999999999994</v>
      </c>
      <c r="BH95" s="82">
        <v>109.1</v>
      </c>
      <c r="BI95" s="82">
        <v>352.1</v>
      </c>
      <c r="BJ95" s="82">
        <v>42.9</v>
      </c>
      <c r="BK95" s="82">
        <v>53</v>
      </c>
      <c r="BL95" s="82">
        <v>56.2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2"/>
        <v>0</v>
      </c>
      <c r="AI96" s="49">
        <f t="shared" si="33"/>
        <v>0</v>
      </c>
      <c r="BF96" s="82"/>
      <c r="BG96" s="82">
        <v>72.5</v>
      </c>
      <c r="BH96" s="82">
        <v>125</v>
      </c>
      <c r="BI96" s="82">
        <v>391.9</v>
      </c>
      <c r="BJ96" s="82">
        <v>43.6</v>
      </c>
      <c r="BK96" s="82">
        <v>61</v>
      </c>
      <c r="BL96" s="82">
        <v>53.9</v>
      </c>
    </row>
    <row r="97" spans="1:64" ht="15.75" thickBot="1" x14ac:dyDescent="0.3">
      <c r="A97" s="87" t="s">
        <v>123</v>
      </c>
      <c r="B97" s="108">
        <f>B58+B62+B80+B76+B92+B96</f>
        <v>1430.64</v>
      </c>
      <c r="C97" s="108">
        <f>C58+C62+C80+C76+C92+C96</f>
        <v>1384.27</v>
      </c>
      <c r="D97" s="108">
        <f>D58+D62+D80+D76+D92+D96</f>
        <v>1385.94</v>
      </c>
      <c r="E97" s="108">
        <f t="shared" ref="E97:AG97" si="35">E58+E62+E80+E76+E92+E96</f>
        <v>1336.44</v>
      </c>
      <c r="F97" s="108">
        <f t="shared" si="35"/>
        <v>1315.34</v>
      </c>
      <c r="G97" s="108">
        <f t="shared" si="35"/>
        <v>1331.6399999999999</v>
      </c>
      <c r="H97" s="108">
        <f t="shared" si="35"/>
        <v>1337.2399999999998</v>
      </c>
      <c r="I97" s="108">
        <f t="shared" si="35"/>
        <v>1370.6399999999999</v>
      </c>
      <c r="J97" s="108">
        <f t="shared" si="35"/>
        <v>1494.9399999999998</v>
      </c>
      <c r="K97" s="108">
        <f t="shared" si="35"/>
        <v>1625.4899999999998</v>
      </c>
      <c r="L97" s="108">
        <f t="shared" si="35"/>
        <v>1687.0399999999997</v>
      </c>
      <c r="M97" s="108">
        <f t="shared" si="35"/>
        <v>1702.24</v>
      </c>
      <c r="N97" s="108">
        <f t="shared" si="35"/>
        <v>1742.54</v>
      </c>
      <c r="O97" s="108">
        <f t="shared" si="35"/>
        <v>1844.54</v>
      </c>
      <c r="P97" s="108">
        <f t="shared" si="35"/>
        <v>1906.04</v>
      </c>
      <c r="Q97" s="108">
        <f t="shared" si="35"/>
        <v>1777.44</v>
      </c>
      <c r="R97" s="108">
        <f t="shared" si="35"/>
        <v>1837.3399999999997</v>
      </c>
      <c r="S97" s="108">
        <f t="shared" si="35"/>
        <v>1693.4399999999998</v>
      </c>
      <c r="T97" s="108">
        <f t="shared" si="35"/>
        <v>1822.7399999999998</v>
      </c>
      <c r="U97" s="108">
        <f t="shared" si="35"/>
        <v>1829.34</v>
      </c>
      <c r="V97" s="108">
        <f t="shared" si="35"/>
        <v>1700.9399999999996</v>
      </c>
      <c r="W97" s="108">
        <f t="shared" si="35"/>
        <v>1956.6399999999999</v>
      </c>
      <c r="X97" s="108">
        <f t="shared" si="35"/>
        <v>1495.84</v>
      </c>
      <c r="Y97" s="108">
        <f t="shared" si="35"/>
        <v>1461.6</v>
      </c>
      <c r="Z97" s="108">
        <f t="shared" si="35"/>
        <v>1584.1</v>
      </c>
      <c r="AA97" s="108">
        <f t="shared" si="35"/>
        <v>1598.2399999999998</v>
      </c>
      <c r="AB97" s="108">
        <f t="shared" si="35"/>
        <v>1544.6399999999999</v>
      </c>
      <c r="AC97" s="108">
        <f t="shared" si="35"/>
        <v>1522.61</v>
      </c>
      <c r="AD97" s="108">
        <f t="shared" si="35"/>
        <v>1512.0400000000002</v>
      </c>
      <c r="AE97" s="108">
        <f t="shared" si="35"/>
        <v>1466.34</v>
      </c>
      <c r="AF97" s="108">
        <f>AF58+AF62+AF80+AF76+AF92+AF96</f>
        <v>1384.24</v>
      </c>
      <c r="AG97" s="72">
        <f t="shared" si="35"/>
        <v>2231.81</v>
      </c>
      <c r="AH97" s="48">
        <f t="shared" si="32"/>
        <v>1956.6399999999999</v>
      </c>
      <c r="AI97" s="49">
        <f t="shared" si="33"/>
        <v>1315.34</v>
      </c>
      <c r="BF97" s="82"/>
      <c r="BG97" s="82">
        <v>61</v>
      </c>
      <c r="BH97" s="82">
        <v>125</v>
      </c>
      <c r="BI97" s="82">
        <v>372</v>
      </c>
      <c r="BJ97" s="82">
        <v>41</v>
      </c>
      <c r="BK97" s="82">
        <v>0</v>
      </c>
      <c r="BL97" s="82">
        <v>55</v>
      </c>
    </row>
    <row r="98" spans="1:64" ht="15.75" thickBot="1" x14ac:dyDescent="0.3">
      <c r="A98" s="109" t="s">
        <v>124</v>
      </c>
      <c r="B98" s="110">
        <v>200</v>
      </c>
      <c r="C98" s="110">
        <v>200</v>
      </c>
      <c r="D98" s="110">
        <v>200</v>
      </c>
      <c r="E98" s="110">
        <v>200</v>
      </c>
      <c r="F98" s="110">
        <v>200</v>
      </c>
      <c r="G98" s="110">
        <v>200</v>
      </c>
      <c r="H98" s="110">
        <v>200</v>
      </c>
      <c r="I98" s="110">
        <v>170</v>
      </c>
      <c r="J98" s="110">
        <v>60</v>
      </c>
      <c r="K98" s="110"/>
      <c r="L98" s="110"/>
      <c r="M98" s="110"/>
      <c r="N98" s="110"/>
      <c r="O98" s="110"/>
      <c r="P98" s="110"/>
      <c r="Q98" s="110">
        <v>60</v>
      </c>
      <c r="R98" s="110">
        <v>60</v>
      </c>
      <c r="S98" s="110">
        <v>80</v>
      </c>
      <c r="T98" s="110">
        <v>80</v>
      </c>
      <c r="U98" s="110"/>
      <c r="V98" s="110"/>
      <c r="W98" s="110"/>
      <c r="X98" s="110"/>
      <c r="Y98" s="110">
        <v>250</v>
      </c>
      <c r="Z98" s="110">
        <v>250</v>
      </c>
      <c r="AA98" s="110">
        <v>250</v>
      </c>
      <c r="AB98" s="110">
        <v>250</v>
      </c>
      <c r="AC98" s="110">
        <v>250</v>
      </c>
      <c r="AD98" s="110">
        <v>250</v>
      </c>
      <c r="AE98" s="110">
        <v>250</v>
      </c>
      <c r="AF98" s="110">
        <v>250</v>
      </c>
      <c r="AG98" s="101"/>
      <c r="AH98" s="48">
        <f t="shared" si="32"/>
        <v>250</v>
      </c>
      <c r="AI98" s="49">
        <f t="shared" si="33"/>
        <v>60</v>
      </c>
      <c r="BF98" s="82"/>
      <c r="BG98" s="82">
        <v>67</v>
      </c>
      <c r="BH98" s="82">
        <v>87</v>
      </c>
      <c r="BI98" s="82">
        <v>413</v>
      </c>
      <c r="BJ98" s="82">
        <v>42.8</v>
      </c>
      <c r="BK98" s="82">
        <v>122</v>
      </c>
      <c r="BL98" s="82">
        <v>51.5</v>
      </c>
    </row>
    <row r="99" spans="1:64" ht="15.75" thickBot="1" x14ac:dyDescent="0.3">
      <c r="A99" s="87" t="s">
        <v>125</v>
      </c>
      <c r="B99" s="108">
        <f>B97+B98</f>
        <v>1630.64</v>
      </c>
      <c r="C99" s="108">
        <f>C97+C98</f>
        <v>1584.27</v>
      </c>
      <c r="D99" s="108">
        <f>D97+D98</f>
        <v>1585.94</v>
      </c>
      <c r="E99" s="108">
        <f t="shared" ref="E99:AE99" si="36">E97+E98</f>
        <v>1536.44</v>
      </c>
      <c r="F99" s="108">
        <f t="shared" si="36"/>
        <v>1515.34</v>
      </c>
      <c r="G99" s="108">
        <f t="shared" si="36"/>
        <v>1531.6399999999999</v>
      </c>
      <c r="H99" s="108">
        <f t="shared" si="36"/>
        <v>1537.2399999999998</v>
      </c>
      <c r="I99" s="108">
        <f t="shared" si="36"/>
        <v>1540.6399999999999</v>
      </c>
      <c r="J99" s="108">
        <f t="shared" si="36"/>
        <v>1554.9399999999998</v>
      </c>
      <c r="K99" s="108">
        <f t="shared" si="36"/>
        <v>1625.4899999999998</v>
      </c>
      <c r="L99" s="108">
        <f t="shared" si="36"/>
        <v>1687.0399999999997</v>
      </c>
      <c r="M99" s="108">
        <f t="shared" si="36"/>
        <v>1702.24</v>
      </c>
      <c r="N99" s="108">
        <f t="shared" si="36"/>
        <v>1742.54</v>
      </c>
      <c r="O99" s="108">
        <f t="shared" si="36"/>
        <v>1844.54</v>
      </c>
      <c r="P99" s="108">
        <f t="shared" si="36"/>
        <v>1906.04</v>
      </c>
      <c r="Q99" s="108">
        <f t="shared" si="36"/>
        <v>1837.44</v>
      </c>
      <c r="R99" s="108">
        <f t="shared" si="36"/>
        <v>1897.3399999999997</v>
      </c>
      <c r="S99" s="108">
        <f t="shared" si="36"/>
        <v>1773.4399999999998</v>
      </c>
      <c r="T99" s="108">
        <f t="shared" si="36"/>
        <v>1902.7399999999998</v>
      </c>
      <c r="U99" s="108">
        <f t="shared" si="36"/>
        <v>1829.34</v>
      </c>
      <c r="V99" s="108">
        <f t="shared" si="36"/>
        <v>1700.9399999999996</v>
      </c>
      <c r="W99" s="108">
        <f t="shared" si="36"/>
        <v>1956.6399999999999</v>
      </c>
      <c r="X99" s="108">
        <f t="shared" si="36"/>
        <v>1495.84</v>
      </c>
      <c r="Y99" s="108">
        <f t="shared" si="36"/>
        <v>1711.6</v>
      </c>
      <c r="Z99" s="108">
        <f t="shared" si="36"/>
        <v>1834.1</v>
      </c>
      <c r="AA99" s="108">
        <f t="shared" si="36"/>
        <v>1848.2399999999998</v>
      </c>
      <c r="AB99" s="108">
        <f t="shared" si="36"/>
        <v>1794.6399999999999</v>
      </c>
      <c r="AC99" s="108">
        <f t="shared" si="36"/>
        <v>1772.61</v>
      </c>
      <c r="AD99" s="108">
        <f t="shared" si="36"/>
        <v>1762.0400000000002</v>
      </c>
      <c r="AE99" s="108">
        <f t="shared" si="36"/>
        <v>1716.34</v>
      </c>
      <c r="AF99" s="108">
        <f>AF97+AF98</f>
        <v>1634.24</v>
      </c>
      <c r="AG99" s="101">
        <f>AG96+AG92+AG80+AG76+AG58+AG98</f>
        <v>1693.71</v>
      </c>
      <c r="AH99" s="48">
        <f t="shared" si="32"/>
        <v>1956.6399999999999</v>
      </c>
      <c r="AI99" s="49">
        <f t="shared" si="33"/>
        <v>1495.84</v>
      </c>
      <c r="BF99" s="82"/>
      <c r="BG99" s="82">
        <v>61.7</v>
      </c>
      <c r="BH99" s="82">
        <v>92.6</v>
      </c>
      <c r="BI99" s="82">
        <v>434</v>
      </c>
      <c r="BJ99" s="82">
        <v>44</v>
      </c>
      <c r="BK99" s="82">
        <v>116</v>
      </c>
      <c r="BL99" s="82">
        <v>50</v>
      </c>
    </row>
    <row r="100" spans="1:64" ht="15.75" thickBot="1" x14ac:dyDescent="0.3">
      <c r="A100" s="87" t="s">
        <v>126</v>
      </c>
      <c r="B100" s="108">
        <f>B99-(B107)</f>
        <v>1630.64</v>
      </c>
      <c r="C100" s="108">
        <f>C99-(C107)</f>
        <v>1583.27</v>
      </c>
      <c r="D100" s="108">
        <f>D99-(D107)</f>
        <v>1583.94</v>
      </c>
      <c r="E100" s="108">
        <f t="shared" ref="E100:AE100" si="37">E99-(E107)</f>
        <v>1536.44</v>
      </c>
      <c r="F100" s="108">
        <f t="shared" si="37"/>
        <v>1515.34</v>
      </c>
      <c r="G100" s="108">
        <f t="shared" si="37"/>
        <v>1531.6399999999999</v>
      </c>
      <c r="H100" s="108">
        <f t="shared" si="37"/>
        <v>1537.2399999999998</v>
      </c>
      <c r="I100" s="108">
        <f t="shared" si="37"/>
        <v>1540.6399999999999</v>
      </c>
      <c r="J100" s="108">
        <f t="shared" si="37"/>
        <v>1554.9399999999998</v>
      </c>
      <c r="K100" s="108">
        <f t="shared" si="37"/>
        <v>1625.4899999999998</v>
      </c>
      <c r="L100" s="108">
        <f t="shared" si="37"/>
        <v>1687.0399999999997</v>
      </c>
      <c r="M100" s="108">
        <f t="shared" si="37"/>
        <v>1702.24</v>
      </c>
      <c r="N100" s="108">
        <f t="shared" si="37"/>
        <v>1742.54</v>
      </c>
      <c r="O100" s="108">
        <f t="shared" si="37"/>
        <v>1844.54</v>
      </c>
      <c r="P100" s="108">
        <f t="shared" si="37"/>
        <v>1906.04</v>
      </c>
      <c r="Q100" s="108">
        <f t="shared" si="37"/>
        <v>1837.44</v>
      </c>
      <c r="R100" s="108">
        <f t="shared" si="37"/>
        <v>1897.3399999999997</v>
      </c>
      <c r="S100" s="108">
        <f t="shared" si="37"/>
        <v>1773.4399999999998</v>
      </c>
      <c r="T100" s="108">
        <f t="shared" si="37"/>
        <v>1902.7399999999998</v>
      </c>
      <c r="U100" s="108">
        <f t="shared" si="37"/>
        <v>1829.34</v>
      </c>
      <c r="V100" s="108">
        <f t="shared" si="37"/>
        <v>1700.9399999999996</v>
      </c>
      <c r="W100" s="108">
        <f t="shared" si="37"/>
        <v>1956.6399999999999</v>
      </c>
      <c r="X100" s="108">
        <f t="shared" si="37"/>
        <v>1495.84</v>
      </c>
      <c r="Y100" s="108">
        <f t="shared" si="37"/>
        <v>1711.6</v>
      </c>
      <c r="Z100" s="108">
        <f t="shared" si="37"/>
        <v>1834.1</v>
      </c>
      <c r="AA100" s="108">
        <f t="shared" si="37"/>
        <v>1848.2399999999998</v>
      </c>
      <c r="AB100" s="108">
        <f t="shared" si="37"/>
        <v>1794.6399999999999</v>
      </c>
      <c r="AC100" s="108">
        <f t="shared" si="37"/>
        <v>1772.61</v>
      </c>
      <c r="AD100" s="108">
        <f t="shared" si="37"/>
        <v>1762.0400000000002</v>
      </c>
      <c r="AE100" s="108">
        <f t="shared" si="37"/>
        <v>1716.34</v>
      </c>
      <c r="AF100" s="108">
        <f>AF99-(AF107)</f>
        <v>1634.24</v>
      </c>
      <c r="AG100" s="101"/>
      <c r="AH100" s="48">
        <f t="shared" si="32"/>
        <v>1956.6399999999999</v>
      </c>
      <c r="AI100" s="49">
        <f t="shared" si="33"/>
        <v>1495.84</v>
      </c>
      <c r="BF100" s="82"/>
      <c r="BG100" s="82">
        <v>74</v>
      </c>
      <c r="BH100" s="82">
        <v>92</v>
      </c>
      <c r="BI100" s="82">
        <v>329</v>
      </c>
      <c r="BJ100" s="82">
        <v>44.8</v>
      </c>
      <c r="BK100" s="82">
        <v>121</v>
      </c>
      <c r="BL100" s="82">
        <v>48.9</v>
      </c>
    </row>
    <row r="101" spans="1:64" x14ac:dyDescent="0.25">
      <c r="A101" s="45" t="s">
        <v>107</v>
      </c>
      <c r="B101" s="89">
        <f>IF(B84&lt;0,B84*-1,0)</f>
        <v>0</v>
      </c>
      <c r="C101" s="89">
        <f>IF(C84&lt;0,C84*-1,0)</f>
        <v>0</v>
      </c>
      <c r="D101" s="89">
        <f>IF(D84&lt;0,D84*-1,0)</f>
        <v>0</v>
      </c>
      <c r="E101" s="89">
        <f t="shared" ref="E101:AE101" si="38">IF(E84&lt;0,E84*-1,0)</f>
        <v>0</v>
      </c>
      <c r="F101" s="89">
        <f t="shared" si="38"/>
        <v>0</v>
      </c>
      <c r="G101" s="89">
        <f t="shared" si="38"/>
        <v>0</v>
      </c>
      <c r="H101" s="89">
        <f t="shared" si="38"/>
        <v>0</v>
      </c>
      <c r="I101" s="89">
        <f t="shared" si="38"/>
        <v>0</v>
      </c>
      <c r="J101" s="89">
        <f t="shared" si="38"/>
        <v>0</v>
      </c>
      <c r="K101" s="89">
        <f t="shared" si="38"/>
        <v>0</v>
      </c>
      <c r="L101" s="89">
        <f t="shared" si="38"/>
        <v>0</v>
      </c>
      <c r="M101" s="89">
        <f t="shared" si="38"/>
        <v>0</v>
      </c>
      <c r="N101" s="89">
        <f t="shared" si="38"/>
        <v>0</v>
      </c>
      <c r="O101" s="89">
        <f t="shared" si="38"/>
        <v>0</v>
      </c>
      <c r="P101" s="89">
        <f t="shared" si="38"/>
        <v>0</v>
      </c>
      <c r="Q101" s="89">
        <f t="shared" si="38"/>
        <v>0</v>
      </c>
      <c r="R101" s="89">
        <f t="shared" si="38"/>
        <v>0</v>
      </c>
      <c r="S101" s="89">
        <f t="shared" si="38"/>
        <v>0</v>
      </c>
      <c r="T101" s="89">
        <f t="shared" si="38"/>
        <v>0</v>
      </c>
      <c r="U101" s="89">
        <f t="shared" si="38"/>
        <v>0</v>
      </c>
      <c r="V101" s="89">
        <f t="shared" si="38"/>
        <v>0</v>
      </c>
      <c r="W101" s="89">
        <f t="shared" si="38"/>
        <v>0</v>
      </c>
      <c r="X101" s="89">
        <f t="shared" si="38"/>
        <v>0</v>
      </c>
      <c r="Y101" s="89">
        <f t="shared" si="38"/>
        <v>0</v>
      </c>
      <c r="Z101" s="89">
        <f t="shared" si="38"/>
        <v>0</v>
      </c>
      <c r="AA101" s="89">
        <f t="shared" si="38"/>
        <v>0</v>
      </c>
      <c r="AB101" s="89">
        <f t="shared" si="38"/>
        <v>0</v>
      </c>
      <c r="AC101" s="89">
        <f t="shared" si="38"/>
        <v>0</v>
      </c>
      <c r="AD101" s="89">
        <f t="shared" si="38"/>
        <v>0</v>
      </c>
      <c r="AE101" s="89">
        <f t="shared" si="38"/>
        <v>0</v>
      </c>
      <c r="AF101" s="89">
        <f>IF(AF84&lt;0,AF84*-1,0)</f>
        <v>0</v>
      </c>
      <c r="AG101" s="61"/>
      <c r="AH101" s="48">
        <f t="shared" si="32"/>
        <v>0</v>
      </c>
      <c r="AI101" s="49">
        <f t="shared" si="33"/>
        <v>0</v>
      </c>
      <c r="BF101" s="81"/>
      <c r="BG101" s="82">
        <v>71</v>
      </c>
      <c r="BH101" s="82">
        <v>59</v>
      </c>
      <c r="BI101" s="82">
        <v>228</v>
      </c>
      <c r="BJ101" s="82">
        <v>45</v>
      </c>
      <c r="BK101" s="82">
        <v>119</v>
      </c>
      <c r="BL101" s="82">
        <v>47</v>
      </c>
    </row>
    <row r="102" spans="1:64" x14ac:dyDescent="0.25">
      <c r="A102" s="65" t="s">
        <v>105</v>
      </c>
      <c r="B102" s="89">
        <f>IF(B82&lt;0,B82*-1,0)</f>
        <v>0</v>
      </c>
      <c r="C102" s="89">
        <f>IF(C82&lt;0,C82*-1,0)</f>
        <v>0</v>
      </c>
      <c r="D102" s="89">
        <f>IF(D82&lt;0,D82*-1,0)</f>
        <v>0</v>
      </c>
      <c r="E102" s="89">
        <f t="shared" ref="E102:AE102" si="39">IF(E82&lt;0,E82*-1,0)</f>
        <v>0</v>
      </c>
      <c r="F102" s="89">
        <f t="shared" si="39"/>
        <v>0</v>
      </c>
      <c r="G102" s="89">
        <f t="shared" si="39"/>
        <v>0</v>
      </c>
      <c r="H102" s="89">
        <f t="shared" si="39"/>
        <v>0</v>
      </c>
      <c r="I102" s="89">
        <f t="shared" si="39"/>
        <v>0</v>
      </c>
      <c r="J102" s="89">
        <f t="shared" si="39"/>
        <v>0</v>
      </c>
      <c r="K102" s="89">
        <f t="shared" si="39"/>
        <v>0</v>
      </c>
      <c r="L102" s="89">
        <f t="shared" si="39"/>
        <v>0</v>
      </c>
      <c r="M102" s="89">
        <f t="shared" si="39"/>
        <v>0</v>
      </c>
      <c r="N102" s="89">
        <f t="shared" si="39"/>
        <v>0</v>
      </c>
      <c r="O102" s="89">
        <f t="shared" si="39"/>
        <v>0</v>
      </c>
      <c r="P102" s="89">
        <f t="shared" si="39"/>
        <v>0</v>
      </c>
      <c r="Q102" s="89">
        <f t="shared" si="39"/>
        <v>0</v>
      </c>
      <c r="R102" s="89">
        <f t="shared" si="39"/>
        <v>0</v>
      </c>
      <c r="S102" s="89">
        <f t="shared" si="39"/>
        <v>0</v>
      </c>
      <c r="T102" s="89">
        <f t="shared" si="39"/>
        <v>0</v>
      </c>
      <c r="U102" s="89">
        <f t="shared" si="39"/>
        <v>0</v>
      </c>
      <c r="V102" s="89">
        <f t="shared" si="39"/>
        <v>0</v>
      </c>
      <c r="W102" s="89">
        <f t="shared" si="39"/>
        <v>0</v>
      </c>
      <c r="X102" s="89">
        <f t="shared" si="39"/>
        <v>0</v>
      </c>
      <c r="Y102" s="89">
        <f t="shared" si="39"/>
        <v>0</v>
      </c>
      <c r="Z102" s="89">
        <f t="shared" si="39"/>
        <v>0</v>
      </c>
      <c r="AA102" s="89">
        <f t="shared" si="39"/>
        <v>0</v>
      </c>
      <c r="AB102" s="89">
        <f t="shared" si="39"/>
        <v>0</v>
      </c>
      <c r="AC102" s="89">
        <f t="shared" si="39"/>
        <v>0</v>
      </c>
      <c r="AD102" s="89">
        <f t="shared" si="39"/>
        <v>0</v>
      </c>
      <c r="AE102" s="89">
        <f t="shared" si="39"/>
        <v>0</v>
      </c>
      <c r="AF102" s="89">
        <f>IF(AF82&lt;0,AF82*-1,0)</f>
        <v>0</v>
      </c>
      <c r="AG102" s="66"/>
      <c r="AH102" s="48">
        <f t="shared" si="32"/>
        <v>0</v>
      </c>
      <c r="AI102" s="49">
        <f t="shared" si="33"/>
        <v>0</v>
      </c>
      <c r="BF102" s="81"/>
      <c r="BG102" s="82">
        <v>36.6</v>
      </c>
      <c r="BH102" s="82">
        <v>0</v>
      </c>
      <c r="BI102" s="82">
        <v>60.5</v>
      </c>
      <c r="BJ102" s="82">
        <v>13</v>
      </c>
      <c r="BK102" s="82">
        <v>95</v>
      </c>
      <c r="BL102" s="82">
        <v>45</v>
      </c>
    </row>
    <row r="103" spans="1:64" x14ac:dyDescent="0.25">
      <c r="A103" s="97" t="s">
        <v>127</v>
      </c>
      <c r="B103" s="89">
        <f>IF(B85&lt;0,B85*-1,0)</f>
        <v>0</v>
      </c>
      <c r="C103" s="89">
        <f>IF(C85&lt;0,C85*-1,0)</f>
        <v>0</v>
      </c>
      <c r="D103" s="89">
        <f>IF(D85&lt;0,D85*-1,0)</f>
        <v>0</v>
      </c>
      <c r="E103" s="89">
        <f t="shared" ref="E103:AE103" si="40">IF(E85&lt;0,E85*-1,0)</f>
        <v>0</v>
      </c>
      <c r="F103" s="89">
        <f t="shared" si="40"/>
        <v>0</v>
      </c>
      <c r="G103" s="89">
        <f t="shared" si="40"/>
        <v>0</v>
      </c>
      <c r="H103" s="89">
        <f t="shared" si="40"/>
        <v>0</v>
      </c>
      <c r="I103" s="89">
        <f t="shared" si="40"/>
        <v>0</v>
      </c>
      <c r="J103" s="89">
        <f t="shared" si="40"/>
        <v>0</v>
      </c>
      <c r="K103" s="89">
        <f t="shared" si="40"/>
        <v>0</v>
      </c>
      <c r="L103" s="89">
        <f t="shared" si="40"/>
        <v>0</v>
      </c>
      <c r="M103" s="89">
        <f t="shared" si="40"/>
        <v>0</v>
      </c>
      <c r="N103" s="89">
        <f t="shared" si="40"/>
        <v>0</v>
      </c>
      <c r="O103" s="89">
        <f t="shared" si="40"/>
        <v>0</v>
      </c>
      <c r="P103" s="89">
        <f t="shared" si="40"/>
        <v>0</v>
      </c>
      <c r="Q103" s="89">
        <f t="shared" si="40"/>
        <v>0</v>
      </c>
      <c r="R103" s="89">
        <f t="shared" si="40"/>
        <v>0</v>
      </c>
      <c r="S103" s="89">
        <f t="shared" si="40"/>
        <v>0</v>
      </c>
      <c r="T103" s="89">
        <f t="shared" si="40"/>
        <v>0</v>
      </c>
      <c r="U103" s="89">
        <f t="shared" si="40"/>
        <v>0</v>
      </c>
      <c r="V103" s="89">
        <f t="shared" si="40"/>
        <v>0</v>
      </c>
      <c r="W103" s="89">
        <f t="shared" si="40"/>
        <v>0</v>
      </c>
      <c r="X103" s="89">
        <f t="shared" si="40"/>
        <v>0</v>
      </c>
      <c r="Y103" s="89">
        <f t="shared" si="40"/>
        <v>0</v>
      </c>
      <c r="Z103" s="89">
        <f t="shared" si="40"/>
        <v>0</v>
      </c>
      <c r="AA103" s="89">
        <f t="shared" si="40"/>
        <v>0</v>
      </c>
      <c r="AB103" s="89">
        <f t="shared" si="40"/>
        <v>0</v>
      </c>
      <c r="AC103" s="89">
        <f t="shared" si="40"/>
        <v>0</v>
      </c>
      <c r="AD103" s="89">
        <f t="shared" si="40"/>
        <v>0</v>
      </c>
      <c r="AE103" s="89">
        <f t="shared" si="40"/>
        <v>0</v>
      </c>
      <c r="AF103" s="89">
        <f>IF(AF85&lt;0,AF85*-1,0)</f>
        <v>0</v>
      </c>
      <c r="AG103" s="111"/>
      <c r="AH103" s="48">
        <f t="shared" si="32"/>
        <v>0</v>
      </c>
      <c r="AI103" s="49">
        <f t="shared" si="33"/>
        <v>0</v>
      </c>
      <c r="BF103" s="81"/>
      <c r="BG103" s="82">
        <v>46.3</v>
      </c>
      <c r="BH103" s="82">
        <v>0</v>
      </c>
      <c r="BI103" s="82">
        <v>31.6</v>
      </c>
      <c r="BJ103" s="82">
        <v>0</v>
      </c>
      <c r="BK103" s="82">
        <v>0</v>
      </c>
      <c r="BL103" s="82">
        <v>43.6</v>
      </c>
    </row>
    <row r="104" spans="1:64" x14ac:dyDescent="0.25">
      <c r="A104" s="97" t="s">
        <v>128</v>
      </c>
      <c r="B104" s="89">
        <f>IF(B83&lt;0,B83*-1,0)</f>
        <v>0</v>
      </c>
      <c r="C104" s="89">
        <f>IF(C83&lt;0,C83*-1,0)</f>
        <v>0</v>
      </c>
      <c r="D104" s="89">
        <f>IF(D83&lt;0,D83*-1,0)</f>
        <v>0</v>
      </c>
      <c r="E104" s="89">
        <f t="shared" ref="E104:AE104" si="41">IF(E83&lt;0,E83*-1,0)</f>
        <v>0</v>
      </c>
      <c r="F104" s="89">
        <f t="shared" si="41"/>
        <v>0</v>
      </c>
      <c r="G104" s="89">
        <f t="shared" si="41"/>
        <v>0</v>
      </c>
      <c r="H104" s="89">
        <f t="shared" si="41"/>
        <v>0</v>
      </c>
      <c r="I104" s="89">
        <f t="shared" si="41"/>
        <v>0</v>
      </c>
      <c r="J104" s="89">
        <f t="shared" si="41"/>
        <v>0</v>
      </c>
      <c r="K104" s="89">
        <f t="shared" si="41"/>
        <v>0</v>
      </c>
      <c r="L104" s="89">
        <f t="shared" si="41"/>
        <v>0</v>
      </c>
      <c r="M104" s="89">
        <f t="shared" si="41"/>
        <v>0</v>
      </c>
      <c r="N104" s="89">
        <f t="shared" si="41"/>
        <v>0</v>
      </c>
      <c r="O104" s="89">
        <f t="shared" si="41"/>
        <v>0</v>
      </c>
      <c r="P104" s="89">
        <f t="shared" si="41"/>
        <v>0</v>
      </c>
      <c r="Q104" s="89">
        <f t="shared" si="41"/>
        <v>0</v>
      </c>
      <c r="R104" s="89">
        <f t="shared" si="41"/>
        <v>0</v>
      </c>
      <c r="S104" s="89">
        <f t="shared" si="41"/>
        <v>0</v>
      </c>
      <c r="T104" s="89">
        <f t="shared" si="41"/>
        <v>0</v>
      </c>
      <c r="U104" s="89">
        <f t="shared" si="41"/>
        <v>0</v>
      </c>
      <c r="V104" s="89">
        <f t="shared" si="41"/>
        <v>0</v>
      </c>
      <c r="W104" s="89">
        <f t="shared" si="41"/>
        <v>0</v>
      </c>
      <c r="X104" s="89">
        <f t="shared" si="41"/>
        <v>0</v>
      </c>
      <c r="Y104" s="89">
        <f t="shared" si="41"/>
        <v>0</v>
      </c>
      <c r="Z104" s="89">
        <f t="shared" si="41"/>
        <v>0</v>
      </c>
      <c r="AA104" s="89">
        <f t="shared" si="41"/>
        <v>0</v>
      </c>
      <c r="AB104" s="89">
        <f t="shared" si="41"/>
        <v>0</v>
      </c>
      <c r="AC104" s="89">
        <f t="shared" si="41"/>
        <v>0</v>
      </c>
      <c r="AD104" s="89">
        <f t="shared" si="41"/>
        <v>0</v>
      </c>
      <c r="AE104" s="89">
        <f t="shared" si="41"/>
        <v>0</v>
      </c>
      <c r="AF104" s="89">
        <f>IF(AF83&lt;0,AF83*-1,0)</f>
        <v>0</v>
      </c>
      <c r="AG104" s="111"/>
      <c r="AH104" s="48">
        <f t="shared" si="32"/>
        <v>0</v>
      </c>
      <c r="AI104" s="49">
        <f t="shared" si="33"/>
        <v>0</v>
      </c>
      <c r="BF104" s="81"/>
      <c r="BG104" s="82">
        <v>53.5</v>
      </c>
      <c r="BH104" s="82">
        <v>0</v>
      </c>
      <c r="BI104" s="82">
        <v>0</v>
      </c>
      <c r="BJ104" s="82">
        <v>0</v>
      </c>
      <c r="BK104" s="82">
        <v>0</v>
      </c>
      <c r="BL104" s="82">
        <v>43.7</v>
      </c>
    </row>
    <row r="105" spans="1:64" x14ac:dyDescent="0.25">
      <c r="A105" s="97" t="s">
        <v>104</v>
      </c>
      <c r="B105" s="89">
        <f>IF(B81&lt;0,B81*-1,0)</f>
        <v>0</v>
      </c>
      <c r="C105" s="89">
        <f>IF(C81&lt;0,C81*-1,0)</f>
        <v>0</v>
      </c>
      <c r="D105" s="89">
        <f>IF(D81&lt;0,D81*-1,0)</f>
        <v>0</v>
      </c>
      <c r="E105" s="89">
        <f t="shared" ref="E105:AE105" si="42">IF(E81&lt;0,E81*-1,0)</f>
        <v>0</v>
      </c>
      <c r="F105" s="89">
        <f t="shared" si="42"/>
        <v>0</v>
      </c>
      <c r="G105" s="89">
        <f t="shared" si="42"/>
        <v>0</v>
      </c>
      <c r="H105" s="89">
        <f t="shared" si="42"/>
        <v>0</v>
      </c>
      <c r="I105" s="89">
        <f t="shared" si="42"/>
        <v>0</v>
      </c>
      <c r="J105" s="89">
        <f t="shared" si="42"/>
        <v>0</v>
      </c>
      <c r="K105" s="89">
        <f t="shared" si="42"/>
        <v>0</v>
      </c>
      <c r="L105" s="89">
        <f t="shared" si="42"/>
        <v>0</v>
      </c>
      <c r="M105" s="89">
        <f t="shared" si="42"/>
        <v>0</v>
      </c>
      <c r="N105" s="89">
        <f t="shared" si="42"/>
        <v>0</v>
      </c>
      <c r="O105" s="89">
        <f t="shared" si="42"/>
        <v>0</v>
      </c>
      <c r="P105" s="89">
        <f t="shared" si="42"/>
        <v>0</v>
      </c>
      <c r="Q105" s="89">
        <f t="shared" si="42"/>
        <v>0</v>
      </c>
      <c r="R105" s="89">
        <f t="shared" si="42"/>
        <v>0</v>
      </c>
      <c r="S105" s="89">
        <f t="shared" si="42"/>
        <v>0</v>
      </c>
      <c r="T105" s="89">
        <f t="shared" si="42"/>
        <v>0</v>
      </c>
      <c r="U105" s="89">
        <f t="shared" si="42"/>
        <v>0</v>
      </c>
      <c r="V105" s="89">
        <f t="shared" si="42"/>
        <v>0</v>
      </c>
      <c r="W105" s="89">
        <f t="shared" si="42"/>
        <v>0</v>
      </c>
      <c r="X105" s="89">
        <f t="shared" si="42"/>
        <v>0</v>
      </c>
      <c r="Y105" s="89">
        <f t="shared" si="42"/>
        <v>0</v>
      </c>
      <c r="Z105" s="89">
        <f t="shared" si="42"/>
        <v>0</v>
      </c>
      <c r="AA105" s="89">
        <f t="shared" si="42"/>
        <v>0</v>
      </c>
      <c r="AB105" s="89">
        <f t="shared" si="42"/>
        <v>0</v>
      </c>
      <c r="AC105" s="89">
        <f t="shared" si="42"/>
        <v>0</v>
      </c>
      <c r="AD105" s="89">
        <f t="shared" si="42"/>
        <v>0</v>
      </c>
      <c r="AE105" s="89">
        <f t="shared" si="42"/>
        <v>0</v>
      </c>
      <c r="AF105" s="89">
        <f>IF(AF81&lt;0,AF81*-1,0)</f>
        <v>0</v>
      </c>
      <c r="AG105" s="111"/>
      <c r="AH105" s="48">
        <f t="shared" si="32"/>
        <v>0</v>
      </c>
      <c r="AI105" s="49">
        <f t="shared" si="33"/>
        <v>0</v>
      </c>
      <c r="BF105" s="81"/>
      <c r="BG105" s="82">
        <v>61.5</v>
      </c>
      <c r="BH105" s="82">
        <v>0</v>
      </c>
      <c r="BI105" s="82">
        <v>0</v>
      </c>
      <c r="BJ105" s="82">
        <v>0</v>
      </c>
      <c r="BK105" s="82">
        <v>0</v>
      </c>
      <c r="BL105" s="82">
        <v>44.3</v>
      </c>
    </row>
    <row r="106" spans="1:64" ht="15.75" thickBot="1" x14ac:dyDescent="0.3">
      <c r="A106" s="97" t="s">
        <v>129</v>
      </c>
      <c r="B106" s="107">
        <v>0</v>
      </c>
      <c r="C106" s="107">
        <v>1</v>
      </c>
      <c r="D106" s="107">
        <v>2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2"/>
        <v>2</v>
      </c>
      <c r="AI106" s="49">
        <f t="shared" si="33"/>
        <v>0</v>
      </c>
      <c r="BG106" s="82">
        <v>54.3</v>
      </c>
      <c r="BH106" s="82">
        <v>0</v>
      </c>
      <c r="BI106" s="82">
        <v>0</v>
      </c>
      <c r="BJ106" s="82">
        <v>0</v>
      </c>
      <c r="BK106" s="82">
        <v>0</v>
      </c>
      <c r="BL106" s="82">
        <v>45.9</v>
      </c>
    </row>
    <row r="107" spans="1:64" ht="15.75" thickBot="1" x14ac:dyDescent="0.3">
      <c r="A107" s="112" t="s">
        <v>130</v>
      </c>
      <c r="B107" s="71">
        <f>SUM(B101:B106)</f>
        <v>0</v>
      </c>
      <c r="C107" s="71">
        <f>SUM(C101:C106)</f>
        <v>1</v>
      </c>
      <c r="D107" s="71">
        <f>SUM(D101:D106)</f>
        <v>2</v>
      </c>
      <c r="E107" s="71">
        <f t="shared" ref="E107:AE107" si="43">SUM(E101:E106)</f>
        <v>0</v>
      </c>
      <c r="F107" s="71">
        <f t="shared" si="43"/>
        <v>0</v>
      </c>
      <c r="G107" s="71">
        <f t="shared" si="43"/>
        <v>0</v>
      </c>
      <c r="H107" s="71">
        <f t="shared" si="43"/>
        <v>0</v>
      </c>
      <c r="I107" s="71">
        <f t="shared" si="43"/>
        <v>0</v>
      </c>
      <c r="J107" s="71">
        <f t="shared" si="43"/>
        <v>0</v>
      </c>
      <c r="K107" s="71">
        <f t="shared" si="43"/>
        <v>0</v>
      </c>
      <c r="L107" s="71">
        <f t="shared" si="43"/>
        <v>0</v>
      </c>
      <c r="M107" s="71">
        <f t="shared" si="43"/>
        <v>0</v>
      </c>
      <c r="N107" s="71">
        <f t="shared" si="43"/>
        <v>0</v>
      </c>
      <c r="O107" s="71">
        <f t="shared" si="43"/>
        <v>0</v>
      </c>
      <c r="P107" s="71">
        <f t="shared" si="43"/>
        <v>0</v>
      </c>
      <c r="Q107" s="71">
        <f t="shared" si="43"/>
        <v>0</v>
      </c>
      <c r="R107" s="71">
        <f t="shared" si="43"/>
        <v>0</v>
      </c>
      <c r="S107" s="71">
        <f t="shared" si="43"/>
        <v>0</v>
      </c>
      <c r="T107" s="71">
        <f t="shared" si="43"/>
        <v>0</v>
      </c>
      <c r="U107" s="71">
        <f t="shared" si="43"/>
        <v>0</v>
      </c>
      <c r="V107" s="71">
        <f t="shared" si="43"/>
        <v>0</v>
      </c>
      <c r="W107" s="71">
        <f t="shared" si="43"/>
        <v>0</v>
      </c>
      <c r="X107" s="71">
        <f t="shared" si="43"/>
        <v>0</v>
      </c>
      <c r="Y107" s="71">
        <f t="shared" si="43"/>
        <v>0</v>
      </c>
      <c r="Z107" s="71">
        <f t="shared" si="43"/>
        <v>0</v>
      </c>
      <c r="AA107" s="71">
        <f t="shared" si="43"/>
        <v>0</v>
      </c>
      <c r="AB107" s="71">
        <f t="shared" si="43"/>
        <v>0</v>
      </c>
      <c r="AC107" s="71">
        <f t="shared" si="43"/>
        <v>0</v>
      </c>
      <c r="AD107" s="71">
        <f t="shared" si="43"/>
        <v>0</v>
      </c>
      <c r="AE107" s="71">
        <f t="shared" si="43"/>
        <v>0</v>
      </c>
      <c r="AF107" s="71">
        <f>SUM(AF101:AF106)</f>
        <v>0</v>
      </c>
      <c r="AG107" s="101"/>
      <c r="AH107" s="48">
        <f t="shared" si="32"/>
        <v>2</v>
      </c>
      <c r="AI107" s="49">
        <f t="shared" si="33"/>
        <v>0</v>
      </c>
      <c r="AK107" s="51"/>
      <c r="BG107" s="82">
        <v>14.1</v>
      </c>
      <c r="BH107" s="82">
        <v>0</v>
      </c>
      <c r="BI107" s="82">
        <v>78.2</v>
      </c>
      <c r="BJ107" s="82">
        <v>0</v>
      </c>
      <c r="BK107" s="82">
        <v>0</v>
      </c>
      <c r="BL107" s="82">
        <v>48.6</v>
      </c>
    </row>
    <row r="108" spans="1:64" ht="15.75" thickBot="1" x14ac:dyDescent="0.3">
      <c r="A108" s="87" t="s">
        <v>131</v>
      </c>
      <c r="B108" s="71">
        <f>B92-B107</f>
        <v>140.9</v>
      </c>
      <c r="C108" s="71">
        <f>C92-C107</f>
        <v>98.72999999999999</v>
      </c>
      <c r="D108" s="71">
        <f>D92-D107</f>
        <v>149.4</v>
      </c>
      <c r="E108" s="71">
        <f t="shared" ref="E108:AE108" si="44">E92-E107</f>
        <v>137.4</v>
      </c>
      <c r="F108" s="71">
        <f t="shared" si="44"/>
        <v>147.30000000000001</v>
      </c>
      <c r="G108" s="71">
        <f t="shared" si="44"/>
        <v>154.69999999999999</v>
      </c>
      <c r="H108" s="71">
        <f t="shared" si="44"/>
        <v>160</v>
      </c>
      <c r="I108" s="71">
        <f t="shared" si="44"/>
        <v>178.39999999999998</v>
      </c>
      <c r="J108" s="71">
        <f t="shared" si="44"/>
        <v>463.5</v>
      </c>
      <c r="K108" s="71">
        <f t="shared" si="44"/>
        <v>589.09999999999991</v>
      </c>
      <c r="L108" s="71">
        <f t="shared" si="44"/>
        <v>536.29999999999995</v>
      </c>
      <c r="M108" s="71">
        <f t="shared" si="44"/>
        <v>542.79999999999995</v>
      </c>
      <c r="N108" s="71">
        <f t="shared" si="44"/>
        <v>710.4</v>
      </c>
      <c r="O108" s="71">
        <f t="shared" si="44"/>
        <v>764.5</v>
      </c>
      <c r="P108" s="71">
        <f t="shared" si="44"/>
        <v>799.50000000000011</v>
      </c>
      <c r="Q108" s="71">
        <f t="shared" si="44"/>
        <v>680.4</v>
      </c>
      <c r="R108" s="71">
        <f t="shared" si="44"/>
        <v>747.9</v>
      </c>
      <c r="S108" s="71">
        <f t="shared" si="44"/>
        <v>654</v>
      </c>
      <c r="T108" s="71">
        <f t="shared" si="44"/>
        <v>783.3</v>
      </c>
      <c r="U108" s="71">
        <f t="shared" si="44"/>
        <v>798.3</v>
      </c>
      <c r="V108" s="71">
        <f t="shared" si="44"/>
        <v>709.69999999999993</v>
      </c>
      <c r="W108" s="71">
        <f t="shared" si="44"/>
        <v>976.6</v>
      </c>
      <c r="X108" s="71">
        <f t="shared" si="44"/>
        <v>569</v>
      </c>
      <c r="Y108" s="71">
        <f t="shared" si="44"/>
        <v>479.8</v>
      </c>
      <c r="Z108" s="71">
        <f t="shared" si="44"/>
        <v>250.1</v>
      </c>
      <c r="AA108" s="71">
        <f t="shared" si="44"/>
        <v>138</v>
      </c>
      <c r="AB108" s="71">
        <f t="shared" si="44"/>
        <v>121.5</v>
      </c>
      <c r="AC108" s="71">
        <f t="shared" si="44"/>
        <v>98.7</v>
      </c>
      <c r="AD108" s="71">
        <f t="shared" si="44"/>
        <v>97.2</v>
      </c>
      <c r="AE108" s="71">
        <f t="shared" si="44"/>
        <v>105.8</v>
      </c>
      <c r="AF108" s="71">
        <f>AF92-AF107</f>
        <v>100.19999999999999</v>
      </c>
      <c r="AG108" s="101"/>
      <c r="AH108" s="48">
        <f t="shared" si="32"/>
        <v>976.6</v>
      </c>
      <c r="AI108" s="49">
        <f t="shared" si="33"/>
        <v>97.2</v>
      </c>
    </row>
    <row r="109" spans="1:64" x14ac:dyDescent="0.25">
      <c r="A109" s="113" t="s">
        <v>132</v>
      </c>
      <c r="B109" s="114">
        <v>49.97</v>
      </c>
      <c r="C109" s="114">
        <v>50.02</v>
      </c>
      <c r="D109" s="114">
        <v>50.01</v>
      </c>
      <c r="E109" s="114">
        <v>50.02</v>
      </c>
      <c r="F109" s="114">
        <v>49.97</v>
      </c>
      <c r="G109" s="114">
        <v>49.942</v>
      </c>
      <c r="H109" s="114">
        <v>49.91</v>
      </c>
      <c r="I109" s="114">
        <v>49.970999999999997</v>
      </c>
      <c r="J109" s="114">
        <v>50.006999999999998</v>
      </c>
      <c r="K109" s="114">
        <v>50.08</v>
      </c>
      <c r="L109" s="114">
        <v>49.927999999999997</v>
      </c>
      <c r="M109" s="114">
        <v>50.036000000000001</v>
      </c>
      <c r="N109" s="114">
        <v>50.012999999999998</v>
      </c>
      <c r="O109" s="114">
        <v>49.966000000000001</v>
      </c>
      <c r="P109" s="114">
        <v>50.012</v>
      </c>
      <c r="Q109" s="114">
        <v>49.96</v>
      </c>
      <c r="R109" s="114">
        <v>50</v>
      </c>
      <c r="S109" s="114"/>
      <c r="T109" s="114">
        <v>50.002000000000002</v>
      </c>
      <c r="U109" s="114">
        <v>50.03</v>
      </c>
      <c r="V109" s="114">
        <v>50.094999999999999</v>
      </c>
      <c r="W109" s="114">
        <v>50.024999999999999</v>
      </c>
      <c r="X109" s="114">
        <v>50.030999999999999</v>
      </c>
      <c r="Y109" s="114">
        <v>49.984000000000002</v>
      </c>
      <c r="Z109" s="114">
        <v>50.023000000000003</v>
      </c>
      <c r="AA109" s="114">
        <v>49.951000000000001</v>
      </c>
      <c r="AB109" s="114">
        <v>50.055999999999997</v>
      </c>
      <c r="AC109" s="114">
        <v>50.037999999999997</v>
      </c>
      <c r="AD109" s="114">
        <v>50.018000000000001</v>
      </c>
      <c r="AE109" s="114">
        <v>49.98</v>
      </c>
      <c r="AF109" s="114">
        <v>49.95</v>
      </c>
      <c r="AG109" s="115"/>
      <c r="AH109" s="48">
        <f t="shared" si="32"/>
        <v>50.094999999999999</v>
      </c>
      <c r="AI109" s="49">
        <f t="shared" si="33"/>
        <v>49.91</v>
      </c>
    </row>
    <row r="110" spans="1:64" x14ac:dyDescent="0.25">
      <c r="A110" s="116" t="s">
        <v>133</v>
      </c>
      <c r="B110" s="76">
        <v>126.6</v>
      </c>
      <c r="C110" s="76">
        <v>126.6</v>
      </c>
      <c r="D110" s="76">
        <v>126.6</v>
      </c>
      <c r="E110" s="76">
        <v>127.4</v>
      </c>
      <c r="F110" s="76">
        <v>128.1</v>
      </c>
      <c r="G110" s="76">
        <v>127.8</v>
      </c>
      <c r="H110" s="76">
        <v>127.5</v>
      </c>
      <c r="I110" s="76">
        <v>127.5</v>
      </c>
      <c r="J110" s="76">
        <v>128.19999999999999</v>
      </c>
      <c r="K110" s="76">
        <v>127</v>
      </c>
      <c r="L110" s="76">
        <v>125.7</v>
      </c>
      <c r="M110" s="76">
        <v>127</v>
      </c>
      <c r="N110" s="76">
        <v>124</v>
      </c>
      <c r="O110" s="76">
        <v>124.1</v>
      </c>
      <c r="P110" s="76">
        <v>124.7</v>
      </c>
      <c r="Q110" s="76">
        <v>123.6</v>
      </c>
      <c r="R110" s="76">
        <v>124</v>
      </c>
      <c r="S110" s="76"/>
      <c r="T110" s="76">
        <v>123</v>
      </c>
      <c r="U110" s="76">
        <v>122.4</v>
      </c>
      <c r="V110" s="76">
        <v>127.1</v>
      </c>
      <c r="W110" s="76">
        <v>125.9</v>
      </c>
      <c r="X110" s="76">
        <v>128.69999999999999</v>
      </c>
      <c r="Y110" s="76">
        <v>128.30000000000001</v>
      </c>
      <c r="Z110" s="76">
        <v>128.1</v>
      </c>
      <c r="AA110" s="76">
        <v>123.9</v>
      </c>
      <c r="AB110" s="76">
        <v>126.3</v>
      </c>
      <c r="AC110" s="76">
        <v>126.9</v>
      </c>
      <c r="AD110" s="76">
        <v>125.9</v>
      </c>
      <c r="AE110" s="76">
        <v>125.9</v>
      </c>
      <c r="AF110" s="76">
        <v>127.4</v>
      </c>
      <c r="AG110" s="117"/>
      <c r="AH110" s="48">
        <f t="shared" si="32"/>
        <v>128.69999999999999</v>
      </c>
      <c r="AI110" s="49">
        <f t="shared" si="33"/>
        <v>122.4</v>
      </c>
    </row>
    <row r="111" spans="1:64" x14ac:dyDescent="0.25">
      <c r="A111" s="116" t="s">
        <v>134</v>
      </c>
      <c r="B111" s="76">
        <v>130.5</v>
      </c>
      <c r="C111" s="76">
        <v>130.5</v>
      </c>
      <c r="D111" s="76">
        <v>130.5</v>
      </c>
      <c r="E111" s="76">
        <v>130.9</v>
      </c>
      <c r="F111" s="76">
        <v>131</v>
      </c>
      <c r="G111" s="76">
        <v>131.19999999999999</v>
      </c>
      <c r="H111" s="76">
        <v>130</v>
      </c>
      <c r="I111" s="76">
        <v>130</v>
      </c>
      <c r="J111" s="76">
        <v>129.80000000000001</v>
      </c>
      <c r="K111" s="76">
        <v>129</v>
      </c>
      <c r="L111" s="76">
        <v>128.19999999999999</v>
      </c>
      <c r="M111" s="76">
        <v>129.1</v>
      </c>
      <c r="N111" s="76">
        <v>126.3</v>
      </c>
      <c r="O111" s="76">
        <v>126.1</v>
      </c>
      <c r="P111" s="76">
        <v>127</v>
      </c>
      <c r="Q111" s="76">
        <v>125.9</v>
      </c>
      <c r="R111" s="76">
        <v>126</v>
      </c>
      <c r="S111" s="76"/>
      <c r="T111" s="76">
        <v>125.7</v>
      </c>
      <c r="U111" s="76">
        <v>125.5</v>
      </c>
      <c r="V111" s="76">
        <v>129.1</v>
      </c>
      <c r="W111" s="76">
        <v>128.6</v>
      </c>
      <c r="X111" s="76">
        <v>130.9</v>
      </c>
      <c r="Y111" s="76">
        <v>130.69999999999999</v>
      </c>
      <c r="Z111" s="76">
        <v>129.9</v>
      </c>
      <c r="AA111" s="76">
        <v>127.4</v>
      </c>
      <c r="AB111" s="76">
        <v>130.5</v>
      </c>
      <c r="AC111" s="76">
        <v>130.69999999999999</v>
      </c>
      <c r="AD111" s="76">
        <v>129.69999999999999</v>
      </c>
      <c r="AE111" s="76">
        <v>130</v>
      </c>
      <c r="AF111" s="76">
        <v>131</v>
      </c>
      <c r="AG111" s="117"/>
      <c r="AH111" s="48">
        <f t="shared" si="32"/>
        <v>131.19999999999999</v>
      </c>
      <c r="AI111" s="49">
        <f t="shared" si="33"/>
        <v>125.5</v>
      </c>
    </row>
    <row r="112" spans="1:64" x14ac:dyDescent="0.25">
      <c r="A112" s="116" t="s">
        <v>135</v>
      </c>
      <c r="B112" s="76">
        <v>130.6</v>
      </c>
      <c r="C112" s="76">
        <v>130.6</v>
      </c>
      <c r="D112" s="76">
        <v>130.6</v>
      </c>
      <c r="E112" s="76">
        <v>132.30000000000001</v>
      </c>
      <c r="F112" s="76">
        <v>132.9</v>
      </c>
      <c r="G112" s="76">
        <v>133.5</v>
      </c>
      <c r="H112" s="76">
        <v>131.4</v>
      </c>
      <c r="I112" s="76">
        <v>133.1</v>
      </c>
      <c r="J112" s="76">
        <v>128.69999999999999</v>
      </c>
      <c r="K112" s="76">
        <v>127.5</v>
      </c>
      <c r="L112" s="76">
        <v>128.80000000000001</v>
      </c>
      <c r="M112" s="76">
        <v>130.19999999999999</v>
      </c>
      <c r="N112" s="76">
        <v>129.4</v>
      </c>
      <c r="O112" s="76">
        <v>128.5</v>
      </c>
      <c r="P112" s="76">
        <v>125.3</v>
      </c>
      <c r="Q112" s="76">
        <v>127.7</v>
      </c>
      <c r="R112" s="76">
        <v>125</v>
      </c>
      <c r="S112" s="76"/>
      <c r="T112" s="76">
        <v>129.19999999999999</v>
      </c>
      <c r="U112" s="76">
        <v>128.1</v>
      </c>
      <c r="V112" s="76">
        <v>130.9</v>
      </c>
      <c r="W112" s="76">
        <v>132.30000000000001</v>
      </c>
      <c r="X112" s="76">
        <v>132.1</v>
      </c>
      <c r="Y112" s="76">
        <v>132.30000000000001</v>
      </c>
      <c r="Z112" s="76">
        <v>128.9</v>
      </c>
      <c r="AA112" s="76">
        <v>126.7</v>
      </c>
      <c r="AB112" s="76">
        <v>126.1</v>
      </c>
      <c r="AC112" s="76">
        <v>126.7</v>
      </c>
      <c r="AD112" s="76">
        <v>125.4</v>
      </c>
      <c r="AE112" s="76">
        <v>128.1</v>
      </c>
      <c r="AF112" s="76">
        <v>130.6</v>
      </c>
      <c r="AG112" s="117"/>
      <c r="AH112" s="48">
        <f t="shared" si="32"/>
        <v>133.5</v>
      </c>
      <c r="AI112" s="49">
        <f t="shared" si="33"/>
        <v>125</v>
      </c>
    </row>
    <row r="113" spans="1:35" x14ac:dyDescent="0.25">
      <c r="A113" s="118" t="s">
        <v>136</v>
      </c>
      <c r="B113" s="76">
        <v>131.9</v>
      </c>
      <c r="C113" s="76">
        <v>131.9</v>
      </c>
      <c r="D113" s="76">
        <v>131.9</v>
      </c>
      <c r="E113" s="76">
        <v>133</v>
      </c>
      <c r="F113" s="76">
        <v>133.80000000000001</v>
      </c>
      <c r="G113" s="76">
        <v>132.80000000000001</v>
      </c>
      <c r="H113" s="76">
        <v>131.6</v>
      </c>
      <c r="I113" s="76">
        <v>131.4</v>
      </c>
      <c r="J113" s="76">
        <v>128.9</v>
      </c>
      <c r="K113" s="76">
        <v>129.4</v>
      </c>
      <c r="L113" s="76">
        <v>128.80000000000001</v>
      </c>
      <c r="M113" s="76">
        <v>128.4</v>
      </c>
      <c r="N113" s="76">
        <v>129</v>
      </c>
      <c r="O113" s="76">
        <v>128.80000000000001</v>
      </c>
      <c r="P113" s="76">
        <v>125.7</v>
      </c>
      <c r="Q113" s="76">
        <v>128.19999999999999</v>
      </c>
      <c r="R113" s="76">
        <v>127</v>
      </c>
      <c r="S113" s="76"/>
      <c r="T113" s="76">
        <v>129.9</v>
      </c>
      <c r="U113" s="76">
        <v>128.4</v>
      </c>
      <c r="V113" s="76">
        <v>131.69999999999999</v>
      </c>
      <c r="W113" s="76">
        <v>131.5</v>
      </c>
      <c r="X113" s="76">
        <v>132</v>
      </c>
      <c r="Y113" s="76">
        <v>132.30000000000001</v>
      </c>
      <c r="Z113" s="76">
        <v>128.69999999999999</v>
      </c>
      <c r="AA113" s="76">
        <v>127</v>
      </c>
      <c r="AB113" s="76">
        <v>124.7</v>
      </c>
      <c r="AC113" s="76">
        <v>125.2</v>
      </c>
      <c r="AD113" s="76">
        <v>124.3</v>
      </c>
      <c r="AE113" s="76">
        <v>127.9</v>
      </c>
      <c r="AF113" s="76">
        <v>130.30000000000001</v>
      </c>
      <c r="AG113" s="117"/>
      <c r="AH113" s="48">
        <f t="shared" si="32"/>
        <v>133.80000000000001</v>
      </c>
      <c r="AI113" s="49">
        <f t="shared" si="33"/>
        <v>124.3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32"/>
        <v>0</v>
      </c>
      <c r="AI114" s="49">
        <f t="shared" si="33"/>
        <v>0</v>
      </c>
    </row>
    <row r="115" spans="1:35" x14ac:dyDescent="0.25">
      <c r="A115" s="116" t="s">
        <v>138</v>
      </c>
      <c r="B115" s="76">
        <v>131</v>
      </c>
      <c r="C115" s="76">
        <v>131</v>
      </c>
      <c r="D115" s="76">
        <v>131</v>
      </c>
      <c r="E115" s="76">
        <v>132.1</v>
      </c>
      <c r="F115" s="76">
        <v>129.1</v>
      </c>
      <c r="G115" s="76">
        <v>129.6</v>
      </c>
      <c r="H115" s="76">
        <v>127.2</v>
      </c>
      <c r="I115" s="76">
        <v>126.6</v>
      </c>
      <c r="J115" s="76">
        <v>124.9</v>
      </c>
      <c r="K115" s="76">
        <v>125.8</v>
      </c>
      <c r="L115" s="76">
        <v>123.1</v>
      </c>
      <c r="M115" s="76">
        <v>124.6</v>
      </c>
      <c r="N115" s="76">
        <v>123.1</v>
      </c>
      <c r="O115" s="76">
        <v>118</v>
      </c>
      <c r="P115" s="76">
        <v>117</v>
      </c>
      <c r="Q115" s="76">
        <v>121.3</v>
      </c>
      <c r="R115" s="76">
        <v>129</v>
      </c>
      <c r="S115" s="76"/>
      <c r="T115" s="76">
        <v>133.4</v>
      </c>
      <c r="U115" s="76">
        <v>131.80000000000001</v>
      </c>
      <c r="V115" s="76">
        <v>125.1</v>
      </c>
      <c r="W115" s="76">
        <v>127.2</v>
      </c>
      <c r="X115" s="76">
        <v>127</v>
      </c>
      <c r="Y115" s="76">
        <v>125.9</v>
      </c>
      <c r="Z115" s="76">
        <v>129.30000000000001</v>
      </c>
      <c r="AA115" s="76">
        <v>130.6</v>
      </c>
      <c r="AB115" s="76">
        <v>134.19999999999999</v>
      </c>
      <c r="AC115" s="76">
        <v>131</v>
      </c>
      <c r="AD115" s="76">
        <v>129.80000000000001</v>
      </c>
      <c r="AE115" s="76">
        <v>130.4</v>
      </c>
      <c r="AF115" s="76">
        <v>134.1</v>
      </c>
      <c r="AG115" s="117"/>
      <c r="AH115" s="48">
        <f t="shared" si="32"/>
        <v>134.19999999999999</v>
      </c>
      <c r="AI115" s="49">
        <f t="shared" si="33"/>
        <v>117</v>
      </c>
    </row>
    <row r="116" spans="1:35" ht="15.75" thickBot="1" x14ac:dyDescent="0.3">
      <c r="A116" s="116" t="s">
        <v>139</v>
      </c>
      <c r="B116" s="105">
        <v>65.599999999999994</v>
      </c>
      <c r="C116" s="105">
        <v>65.599999999999994</v>
      </c>
      <c r="D116" s="105">
        <v>65.599999999999994</v>
      </c>
      <c r="E116" s="105">
        <v>65.900000000000006</v>
      </c>
      <c r="F116" s="105">
        <v>66</v>
      </c>
      <c r="G116" s="105">
        <v>65.900000000000006</v>
      </c>
      <c r="H116" s="105">
        <v>65.400000000000006</v>
      </c>
      <c r="I116" s="105">
        <v>65.2</v>
      </c>
      <c r="J116" s="105">
        <v>65.400000000000006</v>
      </c>
      <c r="K116" s="105">
        <v>64.900000000000006</v>
      </c>
      <c r="L116" s="105">
        <v>64.599999999999994</v>
      </c>
      <c r="M116" s="105">
        <v>64.8</v>
      </c>
      <c r="N116" s="105">
        <v>63.6</v>
      </c>
      <c r="O116" s="105">
        <v>63.2</v>
      </c>
      <c r="P116" s="105">
        <v>63.7</v>
      </c>
      <c r="Q116" s="105">
        <v>62.9</v>
      </c>
      <c r="R116" s="105">
        <v>63.2</v>
      </c>
      <c r="S116" s="105"/>
      <c r="T116" s="105">
        <v>63.2</v>
      </c>
      <c r="U116" s="105">
        <v>63.1</v>
      </c>
      <c r="V116" s="105">
        <v>64.8</v>
      </c>
      <c r="W116" s="105">
        <v>64.5</v>
      </c>
      <c r="X116" s="105">
        <v>65.2</v>
      </c>
      <c r="Y116" s="105">
        <v>65</v>
      </c>
      <c r="Z116" s="105">
        <v>64.5</v>
      </c>
      <c r="AA116" s="105">
        <v>63.8</v>
      </c>
      <c r="AB116" s="105">
        <v>65.099999999999994</v>
      </c>
      <c r="AC116" s="105">
        <v>65.3</v>
      </c>
      <c r="AD116" s="105">
        <v>65.099999999999994</v>
      </c>
      <c r="AE116" s="105">
        <v>64.900000000000006</v>
      </c>
      <c r="AF116" s="105">
        <v>65.400000000000006</v>
      </c>
      <c r="AG116" s="121"/>
      <c r="AH116" s="48">
        <f t="shared" si="32"/>
        <v>66</v>
      </c>
      <c r="AI116" s="49">
        <f t="shared" si="33"/>
        <v>62.9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2"/>
        <v>0</v>
      </c>
      <c r="AI117" s="49">
        <f t="shared" si="33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167.94</v>
      </c>
      <c r="C118" s="124">
        <f>SUM(C22,C28,C31:C32,C66,C68:C69,C71,C73,C119:C123,C155,C161,C167,C176,C178,C190,C197,C200:C201,C208,C210,C212,C216:C218,C220:C222,C227,C233:C234,C236:C238,C246,C251)</f>
        <v>181.33999999999997</v>
      </c>
      <c r="D118" s="124">
        <f>SUM(D22,D28,D31:D32,D66,D68:D69,D71,D73,D119:D123,D155,D161,D167,D176,D178,D190,D197,D200:D201,D208,D210,D212,D216:D218,D220:D222,D227,D233:D234,D236:D238,D246,D251)</f>
        <v>114.13999999999999</v>
      </c>
      <c r="E118" s="124">
        <f t="shared" ref="E118:P118" si="45">SUM(E22,E28,E31:E32,E66,E68:E69,E71,E73,E119:E123,E155,E161,E167,E176,E178,E190,E197,E200:E201,E208,E210,E212,E216:E218,E220:E222,E227,E233:E234,E236:E238,E246,E251)</f>
        <v>75.040000000000006</v>
      </c>
      <c r="F118" s="124">
        <f t="shared" si="45"/>
        <v>115.84000000000002</v>
      </c>
      <c r="G118" s="124">
        <f t="shared" si="45"/>
        <v>133.64000000000001</v>
      </c>
      <c r="H118" s="124">
        <f t="shared" si="45"/>
        <v>162.44</v>
      </c>
      <c r="I118" s="124">
        <f t="shared" si="45"/>
        <v>179.33999999999997</v>
      </c>
      <c r="J118" s="124">
        <f t="shared" si="45"/>
        <v>226.43999999999997</v>
      </c>
      <c r="K118" s="124">
        <f t="shared" si="45"/>
        <v>251.24</v>
      </c>
      <c r="L118" s="124">
        <f t="shared" si="45"/>
        <v>278.24</v>
      </c>
      <c r="M118" s="124">
        <f t="shared" si="45"/>
        <v>241.64</v>
      </c>
      <c r="N118" s="124">
        <f t="shared" si="45"/>
        <v>261.74</v>
      </c>
      <c r="O118" s="124">
        <f t="shared" si="45"/>
        <v>265.54000000000002</v>
      </c>
      <c r="P118" s="124">
        <f t="shared" si="45"/>
        <v>250.54000000000002</v>
      </c>
      <c r="Q118" s="124">
        <f t="shared" ref="Q118:X118" si="46">SUM(Q22,Q28,Q31:Q32,Q66,Q68:Q69,Q71,Q73,Q119:Q123,Q155,Q161,Q167,Q176,Q178,Q190,Q197,Q200:Q201,Q208,Q210,Q212,Q216:Q218,Q220:Q222,Q227,Q233:Q234,Q236:Q238,Q246,Q251)</f>
        <v>263.04000000000002</v>
      </c>
      <c r="R118" s="124">
        <f t="shared" si="46"/>
        <v>304.04000000000002</v>
      </c>
      <c r="S118" s="124">
        <f t="shared" si="46"/>
        <v>110.04</v>
      </c>
      <c r="T118" s="124">
        <f t="shared" si="46"/>
        <v>333.24</v>
      </c>
      <c r="U118" s="124">
        <f t="shared" si="46"/>
        <v>304.64000000000004</v>
      </c>
      <c r="V118" s="124">
        <f t="shared" si="46"/>
        <v>283.04000000000002</v>
      </c>
      <c r="W118" s="124">
        <f t="shared" si="46"/>
        <v>277.94</v>
      </c>
      <c r="X118" s="124">
        <f t="shared" si="46"/>
        <v>265.83999999999997</v>
      </c>
      <c r="Y118" s="124">
        <f>SUM(Y20,Y26,Y37:Y38,Y66,Y68:Y69,Y71,Y73,Y119:Y123,Y148,Y154,Y160,Y169,Y171,Y183,Y190,Y193:Y194,Y201,Y203,Y205,Y209:Y211,Y213:Y215,Y220,Y226:Y227,Y229:Y231,Y239,Y244)</f>
        <v>286.89999999999998</v>
      </c>
      <c r="Z118" s="124">
        <f>SUM(Z20,Z26,Z37:Z38,Z66,Z68:Z69,Z71,Z73,Z119:Z123,Z148,Z154,Z160,Z169,Z171,Z183,Z190,Z193:Z194,Z201,Z203,Z205,Z209:Z211,Z213:Z215,Z220,Z226:Z227,Z229:Z231,Z239,Z244)</f>
        <v>322.60000000000002</v>
      </c>
      <c r="AA118" s="124">
        <f t="shared" ref="AA118:AF118" si="47">SUM(AA22,AA28,AA31:AA32,AA66,AA68:AA69,AA71,AA73,AA119:AA123,AA155,AA161,AA167,AA176,AA178,AA190,AA197,AA200:AA201,AA208,AA210,AA212,AA216:AA218,AA220:AA222,AA227,AA233:AA234,AA236:AA238,AA246,AA251)</f>
        <v>324.44</v>
      </c>
      <c r="AB118" s="124">
        <f t="shared" si="47"/>
        <v>291.74000000000007</v>
      </c>
      <c r="AC118" s="124">
        <f t="shared" si="47"/>
        <v>273.24000000000007</v>
      </c>
      <c r="AD118" s="124">
        <f t="shared" si="47"/>
        <v>144.14000000000001</v>
      </c>
      <c r="AE118" s="124">
        <f t="shared" si="47"/>
        <v>183.64</v>
      </c>
      <c r="AF118" s="124">
        <f t="shared" si="47"/>
        <v>142.24</v>
      </c>
      <c r="AG118" s="125"/>
      <c r="AH118" s="48">
        <f t="shared" si="32"/>
        <v>333.24</v>
      </c>
      <c r="AI118" s="49">
        <f t="shared" si="33"/>
        <v>75.040000000000006</v>
      </c>
    </row>
    <row r="119" spans="1:35" x14ac:dyDescent="0.25">
      <c r="A119" s="126" t="s">
        <v>142</v>
      </c>
      <c r="B119" s="127">
        <v>31.7</v>
      </c>
      <c r="C119" s="127">
        <v>49.1</v>
      </c>
      <c r="D119" s="127">
        <v>39.9</v>
      </c>
      <c r="E119" s="127">
        <v>36.6</v>
      </c>
      <c r="F119" s="127">
        <v>33.9</v>
      </c>
      <c r="G119" s="127">
        <v>30.6</v>
      </c>
      <c r="H119" s="127">
        <v>28.3</v>
      </c>
      <c r="I119" s="127">
        <v>30.2</v>
      </c>
      <c r="J119" s="127">
        <v>45.9</v>
      </c>
      <c r="K119" s="127">
        <v>41.4</v>
      </c>
      <c r="L119" s="127">
        <v>29.4</v>
      </c>
      <c r="M119" s="127">
        <v>32.1</v>
      </c>
      <c r="N119" s="127">
        <v>19</v>
      </c>
      <c r="O119" s="127">
        <v>21</v>
      </c>
      <c r="P119" s="127">
        <v>14.9</v>
      </c>
      <c r="Q119" s="127">
        <v>17.100000000000001</v>
      </c>
      <c r="R119" s="127">
        <v>12.7</v>
      </c>
      <c r="S119" s="127"/>
      <c r="T119" s="127">
        <v>11.7</v>
      </c>
      <c r="U119" s="127">
        <v>3.2</v>
      </c>
      <c r="V119" s="127">
        <v>23</v>
      </c>
      <c r="W119" s="127">
        <v>19.5</v>
      </c>
      <c r="X119" s="127">
        <v>29.3</v>
      </c>
      <c r="Y119" s="127">
        <v>28.9</v>
      </c>
      <c r="Z119" s="127">
        <v>24.3</v>
      </c>
      <c r="AA119" s="127">
        <v>21.7</v>
      </c>
      <c r="AB119" s="127">
        <v>26</v>
      </c>
      <c r="AC119" s="127">
        <v>21.2</v>
      </c>
      <c r="AD119" s="127">
        <v>15.5</v>
      </c>
      <c r="AE119" s="127">
        <v>26.9</v>
      </c>
      <c r="AF119" s="127">
        <v>28</v>
      </c>
      <c r="AG119" s="128">
        <v>75</v>
      </c>
      <c r="AH119" s="48">
        <f t="shared" si="32"/>
        <v>49.1</v>
      </c>
      <c r="AI119" s="49">
        <f t="shared" si="33"/>
        <v>3.2</v>
      </c>
    </row>
    <row r="120" spans="1:35" x14ac:dyDescent="0.25">
      <c r="A120" s="129" t="s">
        <v>143</v>
      </c>
      <c r="B120" s="130">
        <v>45.3</v>
      </c>
      <c r="C120" s="130">
        <v>71.5</v>
      </c>
      <c r="D120" s="130">
        <v>58.1</v>
      </c>
      <c r="E120" s="130">
        <v>54.1</v>
      </c>
      <c r="F120" s="130">
        <v>49.9</v>
      </c>
      <c r="G120" s="130">
        <v>44.2</v>
      </c>
      <c r="H120" s="130">
        <v>40.9</v>
      </c>
      <c r="I120" s="130">
        <v>44.2</v>
      </c>
      <c r="J120" s="130">
        <v>62.9</v>
      </c>
      <c r="K120" s="130">
        <v>55.2</v>
      </c>
      <c r="L120" s="130">
        <v>36.200000000000003</v>
      </c>
      <c r="M120" s="130">
        <v>41.4</v>
      </c>
      <c r="N120" s="130">
        <v>22.9</v>
      </c>
      <c r="O120" s="130">
        <v>24.2</v>
      </c>
      <c r="P120" s="130">
        <v>17.600000000000001</v>
      </c>
      <c r="Q120" s="130">
        <v>21</v>
      </c>
      <c r="R120" s="130">
        <v>11.9</v>
      </c>
      <c r="S120" s="130"/>
      <c r="T120" s="130">
        <v>11.5</v>
      </c>
      <c r="U120" s="130">
        <v>0.4</v>
      </c>
      <c r="V120" s="130">
        <v>27.5</v>
      </c>
      <c r="W120" s="130">
        <v>24.1</v>
      </c>
      <c r="X120" s="130">
        <v>38.5</v>
      </c>
      <c r="Y120" s="130">
        <v>40.5</v>
      </c>
      <c r="Z120" s="130">
        <v>36.799999999999997</v>
      </c>
      <c r="AA120" s="130">
        <v>29</v>
      </c>
      <c r="AB120" s="130">
        <v>39.4</v>
      </c>
      <c r="AC120" s="130">
        <v>32.4</v>
      </c>
      <c r="AD120" s="130">
        <v>26.1</v>
      </c>
      <c r="AE120" s="130">
        <v>43.7</v>
      </c>
      <c r="AF120" s="130">
        <v>48.3</v>
      </c>
      <c r="AG120" s="128">
        <v>240</v>
      </c>
      <c r="AH120" s="48">
        <f t="shared" si="32"/>
        <v>71.5</v>
      </c>
      <c r="AI120" s="49">
        <f t="shared" si="33"/>
        <v>0.4</v>
      </c>
    </row>
    <row r="121" spans="1:35" x14ac:dyDescent="0.25">
      <c r="A121" s="129" t="s">
        <v>144</v>
      </c>
      <c r="B121" s="130">
        <v>-70.099999999999994</v>
      </c>
      <c r="C121" s="130">
        <v>-70.099999999999994</v>
      </c>
      <c r="D121" s="130">
        <v>-110</v>
      </c>
      <c r="E121" s="130">
        <f>-85.1-57.8</f>
        <v>-142.89999999999998</v>
      </c>
      <c r="F121" s="130">
        <f>-40.7-52.7</f>
        <v>-93.4</v>
      </c>
      <c r="G121" s="130">
        <f>-35-46</f>
        <v>-81</v>
      </c>
      <c r="H121" s="130">
        <f>-26.4-37.9</f>
        <v>-64.3</v>
      </c>
      <c r="I121" s="130">
        <f>-24.3-35.5</f>
        <v>-59.8</v>
      </c>
      <c r="J121" s="130">
        <f>-30.2-40.5</f>
        <v>-70.7</v>
      </c>
      <c r="K121" s="130">
        <f>-18.6-30.2</f>
        <v>-48.8</v>
      </c>
      <c r="L121" s="130">
        <f>-1.9-11.7</f>
        <v>-13.6</v>
      </c>
      <c r="M121" s="130">
        <v>-58</v>
      </c>
      <c r="N121" s="130">
        <v>-22</v>
      </c>
      <c r="O121" s="130">
        <v>-32</v>
      </c>
      <c r="P121" s="130">
        <v>-36</v>
      </c>
      <c r="Q121" s="130">
        <v>-35</v>
      </c>
      <c r="R121" s="130">
        <v>11</v>
      </c>
      <c r="S121" s="130"/>
      <c r="T121" s="130">
        <v>32</v>
      </c>
      <c r="U121" s="130">
        <f>15+7.6</f>
        <v>22.6</v>
      </c>
      <c r="V121" s="130">
        <v>7.9</v>
      </c>
      <c r="W121" s="130">
        <v>7.9</v>
      </c>
      <c r="X121" s="130">
        <v>-20</v>
      </c>
      <c r="Y121" s="130">
        <v>-24</v>
      </c>
      <c r="Z121" s="130">
        <v>-21</v>
      </c>
      <c r="AA121" s="130">
        <v>3</v>
      </c>
      <c r="AB121" s="130">
        <f>-14-22.5</f>
        <v>-36.5</v>
      </c>
      <c r="AC121" s="130">
        <f>-12-20.5</f>
        <v>-32.5</v>
      </c>
      <c r="AD121" s="130">
        <f>-114.9-19.6</f>
        <v>-134.5</v>
      </c>
      <c r="AE121" s="130">
        <f>-36.7-44.7</f>
        <v>-81.400000000000006</v>
      </c>
      <c r="AF121" s="130">
        <f>-51-58.1</f>
        <v>-109.1</v>
      </c>
      <c r="AG121" s="128">
        <v>240</v>
      </c>
      <c r="AH121" s="48">
        <f t="shared" si="32"/>
        <v>32</v>
      </c>
      <c r="AI121" s="49">
        <f t="shared" si="33"/>
        <v>-142.89999999999998</v>
      </c>
    </row>
    <row r="122" spans="1:35" ht="15.75" thickBot="1" x14ac:dyDescent="0.3">
      <c r="A122" s="129" t="s">
        <v>145</v>
      </c>
      <c r="B122" s="130">
        <v>25.2</v>
      </c>
      <c r="C122" s="130">
        <v>16.600000000000001</v>
      </c>
      <c r="D122" s="130">
        <v>17.8</v>
      </c>
      <c r="E122" s="130">
        <v>19.100000000000001</v>
      </c>
      <c r="F122" s="130">
        <v>18.399999999999999</v>
      </c>
      <c r="G122" s="130">
        <v>21.5</v>
      </c>
      <c r="H122" s="130">
        <v>23.7</v>
      </c>
      <c r="I122" s="130">
        <v>23</v>
      </c>
      <c r="J122" s="130">
        <v>22.1</v>
      </c>
      <c r="K122" s="130">
        <v>26.6</v>
      </c>
      <c r="L122" s="130">
        <v>30.7</v>
      </c>
      <c r="M122" s="130">
        <v>32.6</v>
      </c>
      <c r="N122" s="130">
        <v>25.4</v>
      </c>
      <c r="O122" s="130">
        <v>33.4</v>
      </c>
      <c r="P122" s="130">
        <v>37.4</v>
      </c>
      <c r="Q122" s="130">
        <v>36.6</v>
      </c>
      <c r="R122" s="130">
        <v>38.799999999999997</v>
      </c>
      <c r="S122" s="130"/>
      <c r="T122" s="130">
        <v>40</v>
      </c>
      <c r="U122" s="130">
        <v>36.4</v>
      </c>
      <c r="V122" s="130">
        <v>39.4</v>
      </c>
      <c r="W122" s="130">
        <v>39.200000000000003</v>
      </c>
      <c r="X122" s="130">
        <v>37</v>
      </c>
      <c r="Y122" s="130">
        <v>38</v>
      </c>
      <c r="Z122" s="130">
        <v>58</v>
      </c>
      <c r="AA122" s="130">
        <v>56</v>
      </c>
      <c r="AB122" s="130">
        <v>57.2</v>
      </c>
      <c r="AC122" s="130">
        <v>56.2</v>
      </c>
      <c r="AD122" s="130">
        <v>56.5</v>
      </c>
      <c r="AE122" s="130">
        <v>48.4</v>
      </c>
      <c r="AF122" s="130">
        <v>48.2</v>
      </c>
      <c r="AG122" s="128">
        <v>60</v>
      </c>
      <c r="AH122" s="48">
        <f t="shared" si="32"/>
        <v>58</v>
      </c>
      <c r="AI122" s="49">
        <f t="shared" si="33"/>
        <v>16.600000000000001</v>
      </c>
    </row>
    <row r="123" spans="1:35" x14ac:dyDescent="0.25">
      <c r="A123" s="126" t="s">
        <v>146</v>
      </c>
      <c r="B123" s="131">
        <v>41.8</v>
      </c>
      <c r="C123" s="131">
        <v>20.2</v>
      </c>
      <c r="D123" s="131">
        <v>14.3</v>
      </c>
      <c r="E123" s="131">
        <v>14.1</v>
      </c>
      <c r="F123" s="131">
        <v>13.3</v>
      </c>
      <c r="G123" s="131">
        <v>24.6</v>
      </c>
      <c r="H123" s="131">
        <v>40.299999999999997</v>
      </c>
      <c r="I123" s="131">
        <v>47.2</v>
      </c>
      <c r="J123" s="131">
        <v>71</v>
      </c>
      <c r="K123" s="131">
        <v>79.400000000000006</v>
      </c>
      <c r="L123" s="131">
        <v>95.7</v>
      </c>
      <c r="M123" s="131">
        <v>91.1</v>
      </c>
      <c r="N123" s="131">
        <v>110.9</v>
      </c>
      <c r="O123" s="131">
        <v>108.1</v>
      </c>
      <c r="P123" s="131">
        <v>105.2</v>
      </c>
      <c r="Q123" s="131">
        <v>111.3</v>
      </c>
      <c r="R123" s="131">
        <v>119.6</v>
      </c>
      <c r="S123" s="131"/>
      <c r="T123" s="131">
        <v>128</v>
      </c>
      <c r="U123" s="131">
        <v>132</v>
      </c>
      <c r="V123" s="131">
        <v>86</v>
      </c>
      <c r="W123" s="131">
        <v>91</v>
      </c>
      <c r="X123" s="131">
        <v>86</v>
      </c>
      <c r="Y123" s="131">
        <v>91</v>
      </c>
      <c r="Z123" s="131">
        <v>112</v>
      </c>
      <c r="AA123" s="131">
        <v>119</v>
      </c>
      <c r="AB123" s="131">
        <v>98.1</v>
      </c>
      <c r="AC123" s="131">
        <v>88.4</v>
      </c>
      <c r="AD123" s="131">
        <v>73</v>
      </c>
      <c r="AE123" s="131">
        <v>38</v>
      </c>
      <c r="AF123" s="131">
        <v>18.899999999999999</v>
      </c>
      <c r="AG123" s="132">
        <v>120</v>
      </c>
      <c r="AH123" s="48">
        <f t="shared" si="32"/>
        <v>132</v>
      </c>
      <c r="AI123" s="49">
        <f t="shared" si="33"/>
        <v>13.3</v>
      </c>
    </row>
    <row r="124" spans="1:35" x14ac:dyDescent="0.25">
      <c r="A124" s="129" t="s">
        <v>147</v>
      </c>
      <c r="B124" s="131">
        <v>43.8</v>
      </c>
      <c r="C124" s="131">
        <v>36.1</v>
      </c>
      <c r="D124" s="131">
        <v>34.200000000000003</v>
      </c>
      <c r="E124" s="131">
        <v>35.6</v>
      </c>
      <c r="F124" s="131">
        <v>36</v>
      </c>
      <c r="G124" s="131">
        <v>42.2</v>
      </c>
      <c r="H124" s="131">
        <v>50.3</v>
      </c>
      <c r="I124" s="131">
        <v>53.9</v>
      </c>
      <c r="J124" s="131">
        <v>65.2</v>
      </c>
      <c r="K124" s="131">
        <v>68.099999999999994</v>
      </c>
      <c r="L124" s="131">
        <v>75.8</v>
      </c>
      <c r="M124" s="131">
        <v>74.5</v>
      </c>
      <c r="N124" s="131">
        <v>84.3</v>
      </c>
      <c r="O124" s="131">
        <v>83.2</v>
      </c>
      <c r="P124" s="131">
        <v>81.3</v>
      </c>
      <c r="Q124" s="131">
        <v>83.4</v>
      </c>
      <c r="R124" s="131">
        <v>87.5</v>
      </c>
      <c r="S124" s="131"/>
      <c r="T124" s="131">
        <v>93</v>
      </c>
      <c r="U124" s="131">
        <v>95</v>
      </c>
      <c r="V124" s="131">
        <v>73</v>
      </c>
      <c r="W124" s="131">
        <v>76.5</v>
      </c>
      <c r="X124" s="131">
        <v>74</v>
      </c>
      <c r="Y124" s="131">
        <v>76</v>
      </c>
      <c r="Z124" s="131">
        <v>88</v>
      </c>
      <c r="AA124" s="131">
        <v>93</v>
      </c>
      <c r="AB124" s="131">
        <v>82.5</v>
      </c>
      <c r="AC124" s="131">
        <v>77.599999999999994</v>
      </c>
      <c r="AD124" s="131">
        <v>72.099999999999994</v>
      </c>
      <c r="AE124" s="131">
        <v>55.7</v>
      </c>
      <c r="AF124" s="131">
        <v>45.3</v>
      </c>
      <c r="AG124" s="132"/>
      <c r="AH124" s="48">
        <f t="shared" si="32"/>
        <v>95</v>
      </c>
      <c r="AI124" s="49">
        <f t="shared" si="33"/>
        <v>34.200000000000003</v>
      </c>
    </row>
    <row r="125" spans="1:35" x14ac:dyDescent="0.25">
      <c r="A125" s="129" t="s">
        <v>148</v>
      </c>
      <c r="B125" s="131">
        <v>-8.8000000000000007</v>
      </c>
      <c r="C125" s="131">
        <v>-6.8</v>
      </c>
      <c r="D125" s="131">
        <v>-5.7</v>
      </c>
      <c r="E125" s="131">
        <v>-4.9000000000000004</v>
      </c>
      <c r="F125" s="131">
        <v>-5.3</v>
      </c>
      <c r="G125" s="131">
        <v>-6.2</v>
      </c>
      <c r="H125" s="131">
        <v>-9.3000000000000007</v>
      </c>
      <c r="I125" s="131">
        <v>-11.8</v>
      </c>
      <c r="J125" s="131">
        <v>-17.399999999999999</v>
      </c>
      <c r="K125" s="131">
        <v>-18.100000000000001</v>
      </c>
      <c r="L125" s="131">
        <v>-18.899999999999999</v>
      </c>
      <c r="M125" s="131">
        <v>-19.899999999999999</v>
      </c>
      <c r="N125" s="131">
        <v>0.6</v>
      </c>
      <c r="O125" s="131">
        <v>-4.0999999999999996</v>
      </c>
      <c r="P125" s="131">
        <v>0.6</v>
      </c>
      <c r="Q125" s="131">
        <v>3.4</v>
      </c>
      <c r="R125" s="131">
        <v>9.74</v>
      </c>
      <c r="S125" s="131"/>
      <c r="T125" s="131">
        <v>14</v>
      </c>
      <c r="U125" s="131">
        <v>13</v>
      </c>
      <c r="V125" s="131">
        <v>-21</v>
      </c>
      <c r="W125" s="131">
        <v>-20</v>
      </c>
      <c r="X125" s="131">
        <v>-18</v>
      </c>
      <c r="Y125" s="131">
        <v>-18</v>
      </c>
      <c r="Z125" s="131">
        <v>-14</v>
      </c>
      <c r="AA125" s="131">
        <v>-18</v>
      </c>
      <c r="AB125" s="131">
        <v>-13.9</v>
      </c>
      <c r="AC125" s="131">
        <v>-11.4</v>
      </c>
      <c r="AD125" s="131">
        <v>-9.3000000000000007</v>
      </c>
      <c r="AE125" s="131">
        <v>-4.8</v>
      </c>
      <c r="AF125" s="131">
        <v>0</v>
      </c>
      <c r="AG125" s="132"/>
      <c r="AH125" s="48">
        <f t="shared" si="32"/>
        <v>14</v>
      </c>
      <c r="AI125" s="49">
        <f t="shared" si="33"/>
        <v>-21</v>
      </c>
    </row>
    <row r="126" spans="1:35" ht="15.75" thickBot="1" x14ac:dyDescent="0.3">
      <c r="A126" s="129" t="s">
        <v>149</v>
      </c>
      <c r="B126" s="131">
        <v>50.1</v>
      </c>
      <c r="C126" s="131">
        <v>25</v>
      </c>
      <c r="D126" s="131">
        <v>30.1</v>
      </c>
      <c r="E126" s="131">
        <v>25</v>
      </c>
      <c r="F126" s="131">
        <v>33.799999999999997</v>
      </c>
      <c r="G126" s="131">
        <v>28.2</v>
      </c>
      <c r="H126" s="131">
        <v>28.9</v>
      </c>
      <c r="I126" s="131">
        <v>51.3</v>
      </c>
      <c r="J126" s="131">
        <v>10.6</v>
      </c>
      <c r="K126" s="131">
        <v>31.9</v>
      </c>
      <c r="L126" s="131">
        <v>61.5</v>
      </c>
      <c r="M126" s="131">
        <v>48.2</v>
      </c>
      <c r="N126" s="131">
        <v>83.5</v>
      </c>
      <c r="O126" s="131">
        <v>86</v>
      </c>
      <c r="P126" s="131">
        <v>72.8</v>
      </c>
      <c r="Q126" s="131">
        <v>82.4</v>
      </c>
      <c r="R126" s="131">
        <v>92</v>
      </c>
      <c r="S126" s="131"/>
      <c r="T126" s="131">
        <v>100</v>
      </c>
      <c r="U126" s="131">
        <v>100</v>
      </c>
      <c r="V126" s="131">
        <v>70</v>
      </c>
      <c r="W126" s="131">
        <v>73.400000000000006</v>
      </c>
      <c r="X126" s="131">
        <v>48</v>
      </c>
      <c r="Y126" s="131">
        <v>42</v>
      </c>
      <c r="Z126" s="131">
        <v>45</v>
      </c>
      <c r="AA126" s="131">
        <v>90</v>
      </c>
      <c r="AB126" s="131">
        <v>75</v>
      </c>
      <c r="AC126" s="131">
        <v>66.2</v>
      </c>
      <c r="AD126" s="131">
        <v>72.3</v>
      </c>
      <c r="AE126" s="131">
        <v>55.3</v>
      </c>
      <c r="AF126" s="131">
        <v>85</v>
      </c>
      <c r="AG126" s="128"/>
      <c r="AH126" s="48">
        <f>MAX(B126:AF126)</f>
        <v>100</v>
      </c>
      <c r="AI126" s="49">
        <f>MIN(B126:AF126)</f>
        <v>10.6</v>
      </c>
    </row>
    <row r="127" spans="1:35" x14ac:dyDescent="0.25">
      <c r="A127" s="126" t="s">
        <v>150</v>
      </c>
      <c r="B127" s="131">
        <v>-158.5</v>
      </c>
      <c r="C127" s="131">
        <v>-125.6</v>
      </c>
      <c r="D127" s="131">
        <v>-102.1</v>
      </c>
      <c r="E127" s="131">
        <v>-101.4</v>
      </c>
      <c r="F127" s="131">
        <v>-100.9</v>
      </c>
      <c r="G127" s="131">
        <v>-96.1</v>
      </c>
      <c r="H127" s="131">
        <v>-88.7</v>
      </c>
      <c r="I127" s="131">
        <v>-78.8</v>
      </c>
      <c r="J127" s="131">
        <v>2</v>
      </c>
      <c r="K127" s="131">
        <v>7.1</v>
      </c>
      <c r="L127" s="131">
        <v>-39.200000000000003</v>
      </c>
      <c r="M127" s="131">
        <v>-37.6</v>
      </c>
      <c r="N127" s="131">
        <v>-0.5</v>
      </c>
      <c r="O127" s="131">
        <v>-1.9</v>
      </c>
      <c r="P127" s="131">
        <v>-3.3</v>
      </c>
      <c r="Q127" s="131">
        <v>-1</v>
      </c>
      <c r="R127" s="131">
        <v>2.8</v>
      </c>
      <c r="S127" s="131"/>
      <c r="T127" s="131">
        <v>32</v>
      </c>
      <c r="U127" s="131">
        <v>31</v>
      </c>
      <c r="V127" s="131">
        <v>5</v>
      </c>
      <c r="W127" s="131">
        <v>8</v>
      </c>
      <c r="X127" s="131">
        <v>3</v>
      </c>
      <c r="Y127" s="131">
        <v>-16</v>
      </c>
      <c r="Z127" s="131">
        <v>-138</v>
      </c>
      <c r="AA127" s="131">
        <v>-201</v>
      </c>
      <c r="AB127" s="131">
        <v>-186.3</v>
      </c>
      <c r="AC127" s="131">
        <v>-190.8</v>
      </c>
      <c r="AD127" s="131">
        <v>-198.7</v>
      </c>
      <c r="AE127" s="131">
        <v>-192.2</v>
      </c>
      <c r="AF127" s="131">
        <v>-165.8</v>
      </c>
      <c r="AG127" s="128"/>
      <c r="AH127" s="48">
        <f>MAX(B127:AF127)</f>
        <v>32</v>
      </c>
      <c r="AI127" s="49">
        <f>MIN(B127:AF127)</f>
        <v>-201</v>
      </c>
    </row>
    <row r="128" spans="1:35" x14ac:dyDescent="0.25">
      <c r="A128" s="129" t="s">
        <v>151</v>
      </c>
      <c r="B128" s="119">
        <v>0</v>
      </c>
      <c r="C128" s="119">
        <v>6.9</v>
      </c>
      <c r="D128" s="119">
        <v>4.5</v>
      </c>
      <c r="E128" s="119">
        <v>4.0999999999999996</v>
      </c>
      <c r="F128" s="119">
        <v>10</v>
      </c>
      <c r="G128" s="119">
        <v>10</v>
      </c>
      <c r="H128" s="119">
        <v>-1.8</v>
      </c>
      <c r="I128" s="119">
        <v>5.6</v>
      </c>
      <c r="J128" s="119">
        <v>0.5</v>
      </c>
      <c r="K128" s="119">
        <v>-6.1</v>
      </c>
      <c r="L128" s="119">
        <v>-3.3</v>
      </c>
      <c r="M128" s="119">
        <v>-14.9</v>
      </c>
      <c r="N128" s="119">
        <v>-11.7</v>
      </c>
      <c r="O128" s="119">
        <v>-10.199999999999999</v>
      </c>
      <c r="P128" s="119">
        <v>-24.9</v>
      </c>
      <c r="Q128" s="119">
        <v>-0.3</v>
      </c>
      <c r="R128" s="119">
        <v>-20.9</v>
      </c>
      <c r="S128" s="119"/>
      <c r="T128" s="119">
        <v>0.5</v>
      </c>
      <c r="U128" s="119">
        <v>4.0999999999999996</v>
      </c>
      <c r="V128" s="119">
        <v>-12</v>
      </c>
      <c r="W128" s="119">
        <v>-13.6</v>
      </c>
      <c r="X128" s="119">
        <v>-14</v>
      </c>
      <c r="Y128" s="119">
        <v>-16</v>
      </c>
      <c r="Z128" s="119">
        <v>-21</v>
      </c>
      <c r="AA128" s="119">
        <v>-16</v>
      </c>
      <c r="AB128" s="119">
        <v>-13.4</v>
      </c>
      <c r="AC128" s="119">
        <v>-12.6</v>
      </c>
      <c r="AD128" s="119">
        <v>-12.3</v>
      </c>
      <c r="AE128" s="119">
        <v>-8.6999999999999993</v>
      </c>
      <c r="AF128" s="119">
        <v>-3.7</v>
      </c>
      <c r="AG128" s="128"/>
      <c r="AH128" s="48">
        <f>MAX(B128:AF128)</f>
        <v>10</v>
      </c>
      <c r="AI128" s="49">
        <f>MIN(B128:AF128)</f>
        <v>-24.9</v>
      </c>
    </row>
    <row r="129" spans="1:37" x14ac:dyDescent="0.25">
      <c r="A129" s="129" t="s">
        <v>152</v>
      </c>
      <c r="B129" s="119">
        <v>93.1</v>
      </c>
      <c r="C129" s="119">
        <v>79.5</v>
      </c>
      <c r="D129" s="119">
        <v>75.2</v>
      </c>
      <c r="E129" s="119">
        <v>68.8</v>
      </c>
      <c r="F129" s="119">
        <v>65.2</v>
      </c>
      <c r="G129" s="119">
        <v>59.5</v>
      </c>
      <c r="H129" s="119">
        <v>61.1</v>
      </c>
      <c r="I129" s="119">
        <v>52</v>
      </c>
      <c r="J129" s="119">
        <v>73.900000000000006</v>
      </c>
      <c r="K129" s="119">
        <v>87.2</v>
      </c>
      <c r="L129" s="119">
        <v>54.7</v>
      </c>
      <c r="M129" s="119">
        <v>72.400000000000006</v>
      </c>
      <c r="N129" s="119">
        <v>56.6</v>
      </c>
      <c r="O129" s="119">
        <v>62.2</v>
      </c>
      <c r="P129" s="119">
        <v>72.400000000000006</v>
      </c>
      <c r="Q129" s="119">
        <v>62.6</v>
      </c>
      <c r="R129" s="119">
        <v>61.8</v>
      </c>
      <c r="S129" s="119"/>
      <c r="T129" s="119">
        <v>47</v>
      </c>
      <c r="U129" s="119">
        <v>45.2</v>
      </c>
      <c r="V129" s="119">
        <v>51</v>
      </c>
      <c r="W129" s="119">
        <v>49.9</v>
      </c>
      <c r="X129" s="119">
        <v>40</v>
      </c>
      <c r="Y129" s="119">
        <v>64</v>
      </c>
      <c r="Z129" s="119">
        <v>85</v>
      </c>
      <c r="AA129" s="119">
        <v>89</v>
      </c>
      <c r="AB129" s="119">
        <v>86.1</v>
      </c>
      <c r="AC129" s="119">
        <v>84.9</v>
      </c>
      <c r="AD129" s="119">
        <v>89.2</v>
      </c>
      <c r="AE129" s="119">
        <v>89.8</v>
      </c>
      <c r="AF129" s="119">
        <v>85</v>
      </c>
      <c r="AG129" s="128"/>
      <c r="AH129" s="48">
        <f>MAX(B129:AF129)</f>
        <v>93.1</v>
      </c>
      <c r="AI129" s="49">
        <f>MIN(B129:AF129)</f>
        <v>40</v>
      </c>
    </row>
    <row r="130" spans="1:37" ht="15.75" thickBot="1" x14ac:dyDescent="0.3">
      <c r="A130" s="129" t="s">
        <v>153</v>
      </c>
      <c r="B130" s="119">
        <v>100.2</v>
      </c>
      <c r="C130" s="119">
        <v>87.3</v>
      </c>
      <c r="D130" s="119">
        <v>83.7</v>
      </c>
      <c r="E130" s="119">
        <v>80.5</v>
      </c>
      <c r="F130" s="119">
        <v>77.099999999999994</v>
      </c>
      <c r="G130" s="119">
        <v>71.5</v>
      </c>
      <c r="H130" s="119">
        <v>72.599999999999994</v>
      </c>
      <c r="I130" s="119">
        <v>64.7</v>
      </c>
      <c r="J130" s="119">
        <v>77.8</v>
      </c>
      <c r="K130" s="119">
        <v>93.1</v>
      </c>
      <c r="L130" s="119">
        <v>73.099999999999994</v>
      </c>
      <c r="M130" s="119">
        <v>77.099999999999994</v>
      </c>
      <c r="N130" s="119">
        <v>54.5</v>
      </c>
      <c r="O130" s="119">
        <v>64.7</v>
      </c>
      <c r="P130" s="119">
        <v>72.2</v>
      </c>
      <c r="Q130" s="119">
        <v>62.3</v>
      </c>
      <c r="R130" s="119">
        <v>71.900000000000006</v>
      </c>
      <c r="S130" s="119"/>
      <c r="T130" s="119">
        <v>55</v>
      </c>
      <c r="U130" s="119">
        <v>53.2</v>
      </c>
      <c r="V130" s="119">
        <v>48</v>
      </c>
      <c r="W130" s="119">
        <v>44.7</v>
      </c>
      <c r="X130" s="119">
        <v>49</v>
      </c>
      <c r="Y130" s="119">
        <v>83</v>
      </c>
      <c r="Z130" s="119">
        <v>101</v>
      </c>
      <c r="AA130" s="119">
        <v>101</v>
      </c>
      <c r="AB130" s="119">
        <v>102</v>
      </c>
      <c r="AC130" s="119">
        <v>96.2</v>
      </c>
      <c r="AD130" s="119">
        <v>100.8</v>
      </c>
      <c r="AE130" s="119">
        <v>102.5</v>
      </c>
      <c r="AF130" s="119">
        <v>98.5</v>
      </c>
      <c r="AG130" s="128"/>
      <c r="AH130" s="48">
        <f>MAX(B130:AF130)</f>
        <v>102.5</v>
      </c>
      <c r="AI130" s="49">
        <f>MIN(B130:AF130)</f>
        <v>44.7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1983.03</v>
      </c>
      <c r="C132" s="137">
        <v>1982.82</v>
      </c>
      <c r="D132" s="137">
        <v>1982.62</v>
      </c>
      <c r="E132" s="137">
        <v>1982.6</v>
      </c>
      <c r="F132" s="137">
        <v>1982.59</v>
      </c>
      <c r="G132" s="137">
        <v>1982.55</v>
      </c>
      <c r="H132" s="137"/>
      <c r="I132" s="137">
        <v>1982.55</v>
      </c>
      <c r="J132" s="137"/>
      <c r="K132" s="137">
        <v>1982.98</v>
      </c>
      <c r="L132" s="137"/>
      <c r="M132" s="137">
        <v>1983.2</v>
      </c>
      <c r="N132" s="137">
        <v>1983.5</v>
      </c>
      <c r="O132" s="137">
        <v>1983.82</v>
      </c>
      <c r="P132" s="137">
        <v>1984.09</v>
      </c>
      <c r="Q132" s="137">
        <v>1984.35</v>
      </c>
      <c r="R132" s="137">
        <v>1984.6</v>
      </c>
      <c r="S132" s="137">
        <v>1984.95</v>
      </c>
      <c r="T132" s="137">
        <v>1985.15</v>
      </c>
      <c r="U132" s="137">
        <v>1985.52</v>
      </c>
      <c r="V132" s="137">
        <v>1985.85</v>
      </c>
      <c r="W132" s="137"/>
      <c r="X132" s="137">
        <v>1986.2</v>
      </c>
      <c r="Y132" s="137"/>
      <c r="Z132" s="137">
        <v>1986.2</v>
      </c>
      <c r="AA132" s="137"/>
      <c r="AB132" s="137">
        <v>1985.4</v>
      </c>
      <c r="AC132" s="137"/>
      <c r="AD132" s="137">
        <v>1984.6</v>
      </c>
      <c r="AE132" s="137">
        <v>1983.98</v>
      </c>
      <c r="AF132" s="138">
        <v>1983.4</v>
      </c>
      <c r="AG132" s="139"/>
      <c r="AH132" s="48"/>
      <c r="AI132" s="49"/>
    </row>
    <row r="133" spans="1:37" x14ac:dyDescent="0.25">
      <c r="A133" s="136" t="s">
        <v>156</v>
      </c>
      <c r="B133" s="140">
        <v>520.14</v>
      </c>
      <c r="C133" s="140">
        <v>519.78</v>
      </c>
      <c r="D133" s="140">
        <v>519.4</v>
      </c>
      <c r="E133" s="140">
        <v>519.05999999999995</v>
      </c>
      <c r="F133" s="140">
        <v>518.92999999999995</v>
      </c>
      <c r="G133" s="140">
        <v>519.12</v>
      </c>
      <c r="H133" s="140"/>
      <c r="I133" s="140">
        <v>519.26</v>
      </c>
      <c r="J133" s="140"/>
      <c r="K133" s="140">
        <v>519.32000000000005</v>
      </c>
      <c r="L133" s="140"/>
      <c r="M133" s="140">
        <v>519.48</v>
      </c>
      <c r="N133" s="140">
        <v>519.54999999999995</v>
      </c>
      <c r="O133" s="140">
        <v>519.65</v>
      </c>
      <c r="P133" s="140">
        <v>519.65</v>
      </c>
      <c r="Q133" s="140">
        <v>519.63</v>
      </c>
      <c r="R133" s="140">
        <v>519.54</v>
      </c>
      <c r="S133" s="140">
        <v>519.47</v>
      </c>
      <c r="T133" s="140">
        <v>519.41</v>
      </c>
      <c r="U133" s="140">
        <v>519.26</v>
      </c>
      <c r="V133" s="140">
        <v>519.19000000000005</v>
      </c>
      <c r="W133" s="140"/>
      <c r="X133" s="140">
        <v>519.36</v>
      </c>
      <c r="Y133" s="140"/>
      <c r="Z133" s="140">
        <v>519.5</v>
      </c>
      <c r="AA133" s="140"/>
      <c r="AB133" s="140">
        <v>519.62</v>
      </c>
      <c r="AC133" s="140"/>
      <c r="AD133" s="140">
        <v>519.70000000000005</v>
      </c>
      <c r="AE133" s="140">
        <v>519.87</v>
      </c>
      <c r="AF133" s="141">
        <v>520.01</v>
      </c>
      <c r="AG133" s="139"/>
      <c r="AH133" s="48"/>
      <c r="AI133" s="49"/>
    </row>
    <row r="134" spans="1:37" x14ac:dyDescent="0.25">
      <c r="A134" s="136" t="s">
        <v>157</v>
      </c>
      <c r="B134" s="140">
        <v>623.74</v>
      </c>
      <c r="C134" s="140">
        <v>623.55999999999995</v>
      </c>
      <c r="D134" s="140">
        <v>623.45000000000005</v>
      </c>
      <c r="E134" s="140">
        <v>623.4</v>
      </c>
      <c r="F134" s="140">
        <v>623.4</v>
      </c>
      <c r="G134" s="140">
        <v>623.4</v>
      </c>
      <c r="H134" s="140">
        <v>623.44000000000005</v>
      </c>
      <c r="I134" s="140">
        <v>623.46</v>
      </c>
      <c r="J134" s="140"/>
      <c r="K134" s="140">
        <v>623.41999999999996</v>
      </c>
      <c r="L134" s="140"/>
      <c r="M134" s="140">
        <v>623.34</v>
      </c>
      <c r="N134" s="140">
        <v>623.35</v>
      </c>
      <c r="O134" s="140">
        <v>623.34</v>
      </c>
      <c r="P134" s="140">
        <v>623.36</v>
      </c>
      <c r="Q134" s="140">
        <v>623.36</v>
      </c>
      <c r="R134" s="140">
        <v>623.4</v>
      </c>
      <c r="S134" s="140"/>
      <c r="T134" s="140"/>
      <c r="U134" s="140">
        <v>623.45000000000005</v>
      </c>
      <c r="V134" s="140">
        <v>623.4</v>
      </c>
      <c r="W134" s="140"/>
      <c r="X134" s="140">
        <v>623.30999999999995</v>
      </c>
      <c r="Y134" s="140"/>
      <c r="Z134" s="140">
        <v>623.38</v>
      </c>
      <c r="AA134" s="140"/>
      <c r="AB134" s="140">
        <v>623.07000000000005</v>
      </c>
      <c r="AC134" s="140"/>
      <c r="AD134" s="140">
        <v>622.9</v>
      </c>
      <c r="AE134" s="140">
        <v>622.72</v>
      </c>
      <c r="AF134" s="141">
        <v>622.54999999999995</v>
      </c>
      <c r="AG134" s="139"/>
      <c r="AH134" s="48"/>
      <c r="AI134" s="49"/>
    </row>
    <row r="135" spans="1:37" x14ac:dyDescent="0.25">
      <c r="A135" s="136" t="s">
        <v>158</v>
      </c>
      <c r="B135" s="140">
        <v>336.23</v>
      </c>
      <c r="C135" s="140">
        <v>336.13</v>
      </c>
      <c r="D135" s="140">
        <v>336.11</v>
      </c>
      <c r="E135" s="140">
        <v>336.14</v>
      </c>
      <c r="F135" s="140">
        <v>336.22</v>
      </c>
      <c r="G135" s="140">
        <v>336.24</v>
      </c>
      <c r="H135" s="140"/>
      <c r="I135" s="140">
        <v>336.09</v>
      </c>
      <c r="J135" s="140"/>
      <c r="K135" s="140">
        <v>335.99</v>
      </c>
      <c r="L135" s="140"/>
      <c r="M135" s="140">
        <v>335.85</v>
      </c>
      <c r="N135" s="140">
        <v>335.85</v>
      </c>
      <c r="O135" s="140">
        <v>335.86</v>
      </c>
      <c r="P135" s="140">
        <v>335.86</v>
      </c>
      <c r="Q135" s="140">
        <v>335.87</v>
      </c>
      <c r="R135" s="140">
        <v>335.89</v>
      </c>
      <c r="S135" s="140">
        <v>335.87</v>
      </c>
      <c r="T135" s="140">
        <v>335.78</v>
      </c>
      <c r="U135" s="140">
        <v>335.71</v>
      </c>
      <c r="V135" s="140">
        <v>335.69</v>
      </c>
      <c r="W135" s="140"/>
      <c r="X135" s="140">
        <v>335.71</v>
      </c>
      <c r="Y135" s="140"/>
      <c r="Z135" s="140">
        <v>335.72</v>
      </c>
      <c r="AA135" s="140"/>
      <c r="AB135" s="140">
        <v>335.6</v>
      </c>
      <c r="AC135" s="140"/>
      <c r="AD135" s="140">
        <v>335.5</v>
      </c>
      <c r="AE135" s="140">
        <v>335.34</v>
      </c>
      <c r="AF135" s="141">
        <v>335.14</v>
      </c>
      <c r="AG135" s="139"/>
      <c r="AH135" s="48"/>
      <c r="AI135" s="49"/>
    </row>
    <row r="136" spans="1:37" x14ac:dyDescent="0.25">
      <c r="A136" s="136" t="s">
        <v>159</v>
      </c>
      <c r="B136" s="140"/>
      <c r="C136" s="140">
        <v>885.1</v>
      </c>
      <c r="D136" s="140">
        <v>885.4</v>
      </c>
      <c r="E136" s="140">
        <v>886</v>
      </c>
      <c r="F136" s="140">
        <v>886.3</v>
      </c>
      <c r="G136" s="140">
        <v>886</v>
      </c>
      <c r="H136" s="140"/>
      <c r="I136" s="140">
        <v>885.6</v>
      </c>
      <c r="J136" s="140"/>
      <c r="K136" s="140">
        <v>885.1</v>
      </c>
      <c r="L136" s="140"/>
      <c r="M136" s="140">
        <v>884.9</v>
      </c>
      <c r="N136" s="140">
        <v>883.8</v>
      </c>
      <c r="O136" s="140">
        <v>883.7</v>
      </c>
      <c r="P136" s="140">
        <v>883.7</v>
      </c>
      <c r="Q136" s="140">
        <v>883.7</v>
      </c>
      <c r="R136" s="140">
        <v>882.8</v>
      </c>
      <c r="S136" s="140">
        <v>882.4</v>
      </c>
      <c r="T136" s="140">
        <v>883.8</v>
      </c>
      <c r="U136" s="140">
        <v>884.8</v>
      </c>
      <c r="V136" s="140">
        <v>885.4</v>
      </c>
      <c r="W136" s="140"/>
      <c r="X136" s="140">
        <v>885.3</v>
      </c>
      <c r="Y136" s="140"/>
      <c r="Z136" s="140">
        <v>884.8</v>
      </c>
      <c r="AA136" s="140"/>
      <c r="AB136" s="140">
        <v>883.4</v>
      </c>
      <c r="AC136" s="140"/>
      <c r="AD136" s="140"/>
      <c r="AE136" s="140">
        <v>881.9</v>
      </c>
      <c r="AF136" s="141">
        <v>882.1</v>
      </c>
      <c r="AG136" s="139"/>
      <c r="AH136" s="48"/>
      <c r="AI136" s="49"/>
    </row>
    <row r="137" spans="1:37" ht="15.75" thickBot="1" x14ac:dyDescent="0.3">
      <c r="A137" s="136" t="s">
        <v>160</v>
      </c>
      <c r="B137" s="142">
        <v>1493.75</v>
      </c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>
        <v>1492.79</v>
      </c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8">SUM(B139:B243)</f>
        <v>0</v>
      </c>
      <c r="C244" s="161">
        <f t="shared" si="48"/>
        <v>0</v>
      </c>
      <c r="D244" s="161">
        <f t="shared" si="48"/>
        <v>0</v>
      </c>
      <c r="E244" s="161">
        <f t="shared" si="48"/>
        <v>0</v>
      </c>
      <c r="F244" s="161">
        <f t="shared" si="48"/>
        <v>0</v>
      </c>
      <c r="G244" s="161">
        <f t="shared" si="48"/>
        <v>0</v>
      </c>
      <c r="H244" s="161">
        <f t="shared" si="48"/>
        <v>0</v>
      </c>
      <c r="I244" s="161">
        <f t="shared" si="48"/>
        <v>0</v>
      </c>
      <c r="J244" s="161">
        <f t="shared" si="48"/>
        <v>0</v>
      </c>
      <c r="K244" s="161">
        <f t="shared" si="48"/>
        <v>0</v>
      </c>
      <c r="L244" s="161">
        <f t="shared" si="48"/>
        <v>0</v>
      </c>
      <c r="M244" s="161">
        <f t="shared" si="48"/>
        <v>0</v>
      </c>
      <c r="N244" s="161">
        <f t="shared" si="48"/>
        <v>0</v>
      </c>
      <c r="O244" s="161">
        <f t="shared" si="48"/>
        <v>0</v>
      </c>
      <c r="P244" s="161">
        <f t="shared" si="48"/>
        <v>0</v>
      </c>
      <c r="Q244" s="161">
        <f t="shared" si="48"/>
        <v>0</v>
      </c>
      <c r="R244" s="161">
        <f t="shared" si="48"/>
        <v>0</v>
      </c>
      <c r="S244" s="161">
        <f t="shared" si="48"/>
        <v>0</v>
      </c>
      <c r="T244" s="161">
        <f t="shared" si="48"/>
        <v>0</v>
      </c>
      <c r="U244" s="161">
        <f t="shared" si="48"/>
        <v>0</v>
      </c>
      <c r="V244" s="161">
        <f t="shared" si="48"/>
        <v>0</v>
      </c>
      <c r="W244" s="161">
        <f t="shared" si="48"/>
        <v>0</v>
      </c>
      <c r="X244" s="161">
        <f t="shared" si="48"/>
        <v>0</v>
      </c>
      <c r="Y244" s="161">
        <f t="shared" si="48"/>
        <v>0</v>
      </c>
      <c r="Z244" s="161">
        <f t="shared" si="48"/>
        <v>0</v>
      </c>
      <c r="AA244" s="161">
        <f t="shared" si="48"/>
        <v>0</v>
      </c>
      <c r="AB244" s="161">
        <f t="shared" si="48"/>
        <v>0</v>
      </c>
      <c r="AC244" s="161">
        <f t="shared" si="48"/>
        <v>0</v>
      </c>
      <c r="AD244" s="161">
        <f t="shared" si="48"/>
        <v>0</v>
      </c>
      <c r="AE244" s="161">
        <f t="shared" si="48"/>
        <v>0</v>
      </c>
      <c r="AF244" s="162">
        <f t="shared" si="48"/>
        <v>0</v>
      </c>
      <c r="AG244" s="163">
        <f t="shared" si="48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9">AF246</f>
        <v>0.3</v>
      </c>
      <c r="C246" s="166">
        <v>0.3</v>
      </c>
      <c r="D246" s="166">
        <f t="shared" ref="D246:S251" si="50">C246</f>
        <v>0.3</v>
      </c>
      <c r="E246" s="166">
        <f t="shared" si="50"/>
        <v>0.3</v>
      </c>
      <c r="F246" s="166">
        <f t="shared" si="50"/>
        <v>0.3</v>
      </c>
      <c r="G246" s="166">
        <f t="shared" si="50"/>
        <v>0.3</v>
      </c>
      <c r="H246" s="166">
        <f t="shared" si="50"/>
        <v>0.3</v>
      </c>
      <c r="I246" s="166">
        <f t="shared" si="50"/>
        <v>0.3</v>
      </c>
      <c r="J246" s="166">
        <f t="shared" si="50"/>
        <v>0.3</v>
      </c>
      <c r="K246" s="166">
        <f t="shared" si="50"/>
        <v>0.3</v>
      </c>
      <c r="L246" s="166">
        <f t="shared" si="50"/>
        <v>0.3</v>
      </c>
      <c r="M246" s="166">
        <f t="shared" si="50"/>
        <v>0.3</v>
      </c>
      <c r="N246" s="166">
        <f t="shared" si="50"/>
        <v>0.3</v>
      </c>
      <c r="O246" s="166">
        <f t="shared" si="50"/>
        <v>0.3</v>
      </c>
      <c r="P246" s="166">
        <f t="shared" si="50"/>
        <v>0.3</v>
      </c>
      <c r="Q246" s="166">
        <f t="shared" si="50"/>
        <v>0.3</v>
      </c>
      <c r="R246" s="166">
        <f t="shared" si="50"/>
        <v>0.3</v>
      </c>
      <c r="S246" s="166">
        <f t="shared" si="50"/>
        <v>0.3</v>
      </c>
      <c r="T246" s="166">
        <f t="shared" ref="T246:AF251" si="51">S246</f>
        <v>0.3</v>
      </c>
      <c r="U246" s="166">
        <f t="shared" si="51"/>
        <v>0.3</v>
      </c>
      <c r="V246" s="166">
        <f t="shared" si="51"/>
        <v>0.3</v>
      </c>
      <c r="W246" s="166">
        <f t="shared" si="51"/>
        <v>0.3</v>
      </c>
      <c r="X246" s="166">
        <f t="shared" si="51"/>
        <v>0.3</v>
      </c>
      <c r="Y246" s="166">
        <f t="shared" si="51"/>
        <v>0.3</v>
      </c>
      <c r="Z246" s="166">
        <f t="shared" si="51"/>
        <v>0.3</v>
      </c>
      <c r="AA246" s="166">
        <f t="shared" si="51"/>
        <v>0.3</v>
      </c>
      <c r="AB246" s="166">
        <f t="shared" si="51"/>
        <v>0.3</v>
      </c>
      <c r="AC246" s="166">
        <f t="shared" si="51"/>
        <v>0.3</v>
      </c>
      <c r="AD246" s="166">
        <f t="shared" si="51"/>
        <v>0.3</v>
      </c>
      <c r="AE246" s="166">
        <f t="shared" si="51"/>
        <v>0.3</v>
      </c>
      <c r="AF246" s="166">
        <f t="shared" si="51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9"/>
        <v>0.4</v>
      </c>
      <c r="C247" s="152">
        <v>0.4</v>
      </c>
      <c r="D247" s="152">
        <f t="shared" si="50"/>
        <v>0.4</v>
      </c>
      <c r="E247" s="152">
        <f t="shared" si="50"/>
        <v>0.4</v>
      </c>
      <c r="F247" s="152">
        <f t="shared" si="50"/>
        <v>0.4</v>
      </c>
      <c r="G247" s="152">
        <f t="shared" si="50"/>
        <v>0.4</v>
      </c>
      <c r="H247" s="152">
        <f t="shared" si="50"/>
        <v>0.4</v>
      </c>
      <c r="I247" s="152">
        <f t="shared" si="50"/>
        <v>0.4</v>
      </c>
      <c r="J247" s="152">
        <f t="shared" si="50"/>
        <v>0.4</v>
      </c>
      <c r="K247" s="152">
        <f t="shared" si="50"/>
        <v>0.4</v>
      </c>
      <c r="L247" s="152">
        <f t="shared" si="50"/>
        <v>0.4</v>
      </c>
      <c r="M247" s="152">
        <f t="shared" si="50"/>
        <v>0.4</v>
      </c>
      <c r="N247" s="152">
        <f t="shared" si="50"/>
        <v>0.4</v>
      </c>
      <c r="O247" s="152">
        <f t="shared" si="50"/>
        <v>0.4</v>
      </c>
      <c r="P247" s="152">
        <f t="shared" si="50"/>
        <v>0.4</v>
      </c>
      <c r="Q247" s="152">
        <f t="shared" si="50"/>
        <v>0.4</v>
      </c>
      <c r="R247" s="152">
        <f t="shared" si="50"/>
        <v>0.4</v>
      </c>
      <c r="S247" s="152">
        <f t="shared" si="50"/>
        <v>0.4</v>
      </c>
      <c r="T247" s="152">
        <f t="shared" si="51"/>
        <v>0.4</v>
      </c>
      <c r="U247" s="152">
        <f t="shared" si="51"/>
        <v>0.4</v>
      </c>
      <c r="V247" s="152">
        <f t="shared" si="51"/>
        <v>0.4</v>
      </c>
      <c r="W247" s="152">
        <f t="shared" si="51"/>
        <v>0.4</v>
      </c>
      <c r="X247" s="152">
        <f t="shared" si="51"/>
        <v>0.4</v>
      </c>
      <c r="Y247" s="152">
        <f t="shared" si="51"/>
        <v>0.4</v>
      </c>
      <c r="Z247" s="152">
        <f t="shared" si="51"/>
        <v>0.4</v>
      </c>
      <c r="AA247" s="152">
        <f t="shared" si="51"/>
        <v>0.4</v>
      </c>
      <c r="AB247" s="152">
        <f t="shared" si="51"/>
        <v>0.4</v>
      </c>
      <c r="AC247" s="152">
        <f t="shared" si="51"/>
        <v>0.4</v>
      </c>
      <c r="AD247" s="152">
        <f t="shared" si="51"/>
        <v>0.4</v>
      </c>
      <c r="AE247" s="152">
        <f t="shared" si="51"/>
        <v>0.4</v>
      </c>
      <c r="AF247" s="152">
        <f t="shared" si="51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9"/>
        <v>1.5</v>
      </c>
      <c r="C248" s="152">
        <v>1.5</v>
      </c>
      <c r="D248" s="152">
        <f t="shared" si="50"/>
        <v>1.5</v>
      </c>
      <c r="E248" s="152">
        <f t="shared" si="50"/>
        <v>1.5</v>
      </c>
      <c r="F248" s="152">
        <f t="shared" si="50"/>
        <v>1.5</v>
      </c>
      <c r="G248" s="152">
        <f t="shared" si="50"/>
        <v>1.5</v>
      </c>
      <c r="H248" s="152">
        <f t="shared" si="50"/>
        <v>1.5</v>
      </c>
      <c r="I248" s="152">
        <f t="shared" si="50"/>
        <v>1.5</v>
      </c>
      <c r="J248" s="152">
        <f t="shared" si="50"/>
        <v>1.5</v>
      </c>
      <c r="K248" s="152">
        <f t="shared" si="50"/>
        <v>1.5</v>
      </c>
      <c r="L248" s="152">
        <f t="shared" si="50"/>
        <v>1.5</v>
      </c>
      <c r="M248" s="152">
        <f t="shared" si="50"/>
        <v>1.5</v>
      </c>
      <c r="N248" s="152">
        <f t="shared" si="50"/>
        <v>1.5</v>
      </c>
      <c r="O248" s="152">
        <f t="shared" si="50"/>
        <v>1.5</v>
      </c>
      <c r="P248" s="152">
        <f t="shared" si="50"/>
        <v>1.5</v>
      </c>
      <c r="Q248" s="152">
        <f t="shared" si="50"/>
        <v>1.5</v>
      </c>
      <c r="R248" s="152">
        <f t="shared" si="50"/>
        <v>1.5</v>
      </c>
      <c r="S248" s="152">
        <f t="shared" si="50"/>
        <v>1.5</v>
      </c>
      <c r="T248" s="152">
        <f t="shared" si="51"/>
        <v>1.5</v>
      </c>
      <c r="U248" s="152">
        <f t="shared" si="51"/>
        <v>1.5</v>
      </c>
      <c r="V248" s="152">
        <f t="shared" si="51"/>
        <v>1.5</v>
      </c>
      <c r="W248" s="152">
        <f t="shared" si="51"/>
        <v>1.5</v>
      </c>
      <c r="X248" s="152">
        <f t="shared" si="51"/>
        <v>1.5</v>
      </c>
      <c r="Y248" s="152">
        <f t="shared" si="51"/>
        <v>1.5</v>
      </c>
      <c r="Z248" s="152">
        <f t="shared" si="51"/>
        <v>1.5</v>
      </c>
      <c r="AA248" s="152">
        <f t="shared" si="51"/>
        <v>1.5</v>
      </c>
      <c r="AB248" s="152">
        <f t="shared" si="51"/>
        <v>1.5</v>
      </c>
      <c r="AC248" s="152">
        <f t="shared" si="51"/>
        <v>1.5</v>
      </c>
      <c r="AD248" s="152">
        <f t="shared" si="51"/>
        <v>1.5</v>
      </c>
      <c r="AE248" s="152">
        <f t="shared" si="51"/>
        <v>1.5</v>
      </c>
      <c r="AF248" s="152">
        <f t="shared" si="51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9"/>
        <v>0.3</v>
      </c>
      <c r="C249" s="152">
        <v>0.3</v>
      </c>
      <c r="D249" s="152">
        <f t="shared" si="50"/>
        <v>0.3</v>
      </c>
      <c r="E249" s="152">
        <f t="shared" si="50"/>
        <v>0.3</v>
      </c>
      <c r="F249" s="152">
        <f t="shared" si="50"/>
        <v>0.3</v>
      </c>
      <c r="G249" s="152">
        <f t="shared" si="50"/>
        <v>0.3</v>
      </c>
      <c r="H249" s="152">
        <f t="shared" si="50"/>
        <v>0.3</v>
      </c>
      <c r="I249" s="152">
        <f t="shared" si="50"/>
        <v>0.3</v>
      </c>
      <c r="J249" s="152">
        <f t="shared" si="50"/>
        <v>0.3</v>
      </c>
      <c r="K249" s="152">
        <f t="shared" si="50"/>
        <v>0.3</v>
      </c>
      <c r="L249" s="152">
        <f t="shared" si="50"/>
        <v>0.3</v>
      </c>
      <c r="M249" s="152">
        <f t="shared" si="50"/>
        <v>0.3</v>
      </c>
      <c r="N249" s="152">
        <f t="shared" si="50"/>
        <v>0.3</v>
      </c>
      <c r="O249" s="152">
        <f t="shared" si="50"/>
        <v>0.3</v>
      </c>
      <c r="P249" s="152">
        <f t="shared" si="50"/>
        <v>0.3</v>
      </c>
      <c r="Q249" s="152">
        <f t="shared" si="50"/>
        <v>0.3</v>
      </c>
      <c r="R249" s="152">
        <f t="shared" si="50"/>
        <v>0.3</v>
      </c>
      <c r="S249" s="152">
        <f t="shared" si="50"/>
        <v>0.3</v>
      </c>
      <c r="T249" s="152">
        <f t="shared" si="51"/>
        <v>0.3</v>
      </c>
      <c r="U249" s="152">
        <f t="shared" si="51"/>
        <v>0.3</v>
      </c>
      <c r="V249" s="152">
        <f t="shared" si="51"/>
        <v>0.3</v>
      </c>
      <c r="W249" s="152">
        <f t="shared" si="51"/>
        <v>0.3</v>
      </c>
      <c r="X249" s="152">
        <f t="shared" si="51"/>
        <v>0.3</v>
      </c>
      <c r="Y249" s="152">
        <f t="shared" si="51"/>
        <v>0.3</v>
      </c>
      <c r="Z249" s="152">
        <f t="shared" si="51"/>
        <v>0.3</v>
      </c>
      <c r="AA249" s="152">
        <f t="shared" si="51"/>
        <v>0.3</v>
      </c>
      <c r="AB249" s="152">
        <f t="shared" si="51"/>
        <v>0.3</v>
      </c>
      <c r="AC249" s="152">
        <f t="shared" si="51"/>
        <v>0.3</v>
      </c>
      <c r="AD249" s="152">
        <f t="shared" si="51"/>
        <v>0.3</v>
      </c>
      <c r="AE249" s="152">
        <f t="shared" si="51"/>
        <v>0.3</v>
      </c>
      <c r="AF249" s="152">
        <f t="shared" si="51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9"/>
        <v>0.4</v>
      </c>
      <c r="C250" s="152">
        <v>0.4</v>
      </c>
      <c r="D250" s="152">
        <f t="shared" si="50"/>
        <v>0.4</v>
      </c>
      <c r="E250" s="152">
        <f t="shared" si="50"/>
        <v>0.4</v>
      </c>
      <c r="F250" s="152">
        <f t="shared" si="50"/>
        <v>0.4</v>
      </c>
      <c r="G250" s="152">
        <f t="shared" si="50"/>
        <v>0.4</v>
      </c>
      <c r="H250" s="152">
        <f t="shared" si="50"/>
        <v>0.4</v>
      </c>
      <c r="I250" s="152">
        <f t="shared" si="50"/>
        <v>0.4</v>
      </c>
      <c r="J250" s="152">
        <f t="shared" si="50"/>
        <v>0.4</v>
      </c>
      <c r="K250" s="152">
        <f t="shared" si="50"/>
        <v>0.4</v>
      </c>
      <c r="L250" s="152">
        <f t="shared" si="50"/>
        <v>0.4</v>
      </c>
      <c r="M250" s="152">
        <f t="shared" si="50"/>
        <v>0.4</v>
      </c>
      <c r="N250" s="152">
        <f t="shared" si="50"/>
        <v>0.4</v>
      </c>
      <c r="O250" s="152">
        <f t="shared" si="50"/>
        <v>0.4</v>
      </c>
      <c r="P250" s="152">
        <f t="shared" si="50"/>
        <v>0.4</v>
      </c>
      <c r="Q250" s="152">
        <f t="shared" si="50"/>
        <v>0.4</v>
      </c>
      <c r="R250" s="152">
        <f t="shared" si="50"/>
        <v>0.4</v>
      </c>
      <c r="S250" s="152">
        <f t="shared" si="50"/>
        <v>0.4</v>
      </c>
      <c r="T250" s="152">
        <f t="shared" si="51"/>
        <v>0.4</v>
      </c>
      <c r="U250" s="152">
        <f t="shared" si="51"/>
        <v>0.4</v>
      </c>
      <c r="V250" s="152">
        <f t="shared" si="51"/>
        <v>0.4</v>
      </c>
      <c r="W250" s="152">
        <f t="shared" si="51"/>
        <v>0.4</v>
      </c>
      <c r="X250" s="152">
        <f t="shared" si="51"/>
        <v>0.4</v>
      </c>
      <c r="Y250" s="152">
        <f t="shared" si="51"/>
        <v>0.4</v>
      </c>
      <c r="Z250" s="152">
        <f t="shared" si="51"/>
        <v>0.4</v>
      </c>
      <c r="AA250" s="152">
        <f t="shared" si="51"/>
        <v>0.4</v>
      </c>
      <c r="AB250" s="152">
        <f t="shared" si="51"/>
        <v>0.4</v>
      </c>
      <c r="AC250" s="152">
        <f t="shared" si="51"/>
        <v>0.4</v>
      </c>
      <c r="AD250" s="152">
        <f t="shared" si="51"/>
        <v>0.4</v>
      </c>
      <c r="AE250" s="152">
        <f t="shared" si="51"/>
        <v>0.4</v>
      </c>
      <c r="AF250" s="152">
        <f t="shared" si="51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9"/>
        <v>0.64</v>
      </c>
      <c r="C251" s="157">
        <v>0.64</v>
      </c>
      <c r="D251" s="157">
        <f t="shared" si="50"/>
        <v>0.64</v>
      </c>
      <c r="E251" s="157">
        <f t="shared" si="50"/>
        <v>0.64</v>
      </c>
      <c r="F251" s="157">
        <f t="shared" si="50"/>
        <v>0.64</v>
      </c>
      <c r="G251" s="157">
        <f t="shared" si="50"/>
        <v>0.64</v>
      </c>
      <c r="H251" s="157">
        <f t="shared" si="50"/>
        <v>0.64</v>
      </c>
      <c r="I251" s="157">
        <f t="shared" si="50"/>
        <v>0.64</v>
      </c>
      <c r="J251" s="157">
        <f t="shared" si="50"/>
        <v>0.64</v>
      </c>
      <c r="K251" s="157">
        <f t="shared" si="50"/>
        <v>0.64</v>
      </c>
      <c r="L251" s="157">
        <f t="shared" si="50"/>
        <v>0.64</v>
      </c>
      <c r="M251" s="157">
        <f t="shared" si="50"/>
        <v>0.64</v>
      </c>
      <c r="N251" s="157">
        <f t="shared" si="50"/>
        <v>0.64</v>
      </c>
      <c r="O251" s="157">
        <f t="shared" si="50"/>
        <v>0.64</v>
      </c>
      <c r="P251" s="157">
        <f t="shared" si="50"/>
        <v>0.64</v>
      </c>
      <c r="Q251" s="157">
        <f t="shared" si="50"/>
        <v>0.64</v>
      </c>
      <c r="R251" s="157">
        <f t="shared" si="50"/>
        <v>0.64</v>
      </c>
      <c r="S251" s="157">
        <f t="shared" si="50"/>
        <v>0.64</v>
      </c>
      <c r="T251" s="157">
        <f t="shared" si="51"/>
        <v>0.64</v>
      </c>
      <c r="U251" s="157">
        <f t="shared" si="51"/>
        <v>0.64</v>
      </c>
      <c r="V251" s="157">
        <f t="shared" si="51"/>
        <v>0.64</v>
      </c>
      <c r="W251" s="157">
        <f t="shared" si="51"/>
        <v>0.64</v>
      </c>
      <c r="X251" s="157">
        <f t="shared" si="51"/>
        <v>0.64</v>
      </c>
      <c r="Y251" s="157">
        <f t="shared" si="51"/>
        <v>0.64</v>
      </c>
      <c r="Z251" s="157">
        <f t="shared" si="51"/>
        <v>0.64</v>
      </c>
      <c r="AA251" s="157">
        <f t="shared" si="51"/>
        <v>0.64</v>
      </c>
      <c r="AB251" s="157">
        <f t="shared" si="51"/>
        <v>0.64</v>
      </c>
      <c r="AC251" s="157">
        <f t="shared" si="51"/>
        <v>0.64</v>
      </c>
      <c r="AD251" s="157">
        <f t="shared" si="51"/>
        <v>0.64</v>
      </c>
      <c r="AE251" s="157">
        <f t="shared" si="51"/>
        <v>0.64</v>
      </c>
      <c r="AF251" s="157">
        <f t="shared" si="51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2">SUM(B246:B251)</f>
        <v>3.54</v>
      </c>
      <c r="C252" s="161">
        <f t="shared" si="52"/>
        <v>3.54</v>
      </c>
      <c r="D252" s="161">
        <f t="shared" si="52"/>
        <v>3.54</v>
      </c>
      <c r="E252" s="161">
        <f t="shared" si="52"/>
        <v>3.54</v>
      </c>
      <c r="F252" s="161">
        <f t="shared" si="52"/>
        <v>3.54</v>
      </c>
      <c r="G252" s="161">
        <f t="shared" si="52"/>
        <v>3.54</v>
      </c>
      <c r="H252" s="161">
        <f t="shared" si="52"/>
        <v>3.54</v>
      </c>
      <c r="I252" s="161">
        <f t="shared" si="52"/>
        <v>3.54</v>
      </c>
      <c r="J252" s="161">
        <f t="shared" si="52"/>
        <v>3.54</v>
      </c>
      <c r="K252" s="161">
        <f t="shared" si="52"/>
        <v>3.54</v>
      </c>
      <c r="L252" s="161">
        <f t="shared" si="52"/>
        <v>3.54</v>
      </c>
      <c r="M252" s="161">
        <f t="shared" si="52"/>
        <v>3.54</v>
      </c>
      <c r="N252" s="161">
        <f t="shared" si="52"/>
        <v>3.54</v>
      </c>
      <c r="O252" s="161">
        <f t="shared" si="52"/>
        <v>3.54</v>
      </c>
      <c r="P252" s="161">
        <f t="shared" si="52"/>
        <v>3.54</v>
      </c>
      <c r="Q252" s="161">
        <f t="shared" si="52"/>
        <v>3.54</v>
      </c>
      <c r="R252" s="161">
        <f t="shared" si="52"/>
        <v>3.54</v>
      </c>
      <c r="S252" s="161">
        <f t="shared" si="52"/>
        <v>3.54</v>
      </c>
      <c r="T252" s="161">
        <f t="shared" si="52"/>
        <v>3.54</v>
      </c>
      <c r="U252" s="161">
        <f t="shared" si="52"/>
        <v>3.54</v>
      </c>
      <c r="V252" s="161">
        <f t="shared" si="52"/>
        <v>3.54</v>
      </c>
      <c r="W252" s="161">
        <f t="shared" si="52"/>
        <v>3.54</v>
      </c>
      <c r="X252" s="161">
        <f t="shared" si="52"/>
        <v>3.54</v>
      </c>
      <c r="Y252" s="161">
        <f t="shared" si="52"/>
        <v>3.54</v>
      </c>
      <c r="Z252" s="161">
        <f t="shared" si="52"/>
        <v>3.54</v>
      </c>
      <c r="AA252" s="161">
        <f t="shared" si="52"/>
        <v>3.54</v>
      </c>
      <c r="AB252" s="161">
        <f t="shared" si="52"/>
        <v>3.54</v>
      </c>
      <c r="AC252" s="161">
        <f t="shared" si="52"/>
        <v>3.54</v>
      </c>
      <c r="AD252" s="161">
        <f t="shared" si="52"/>
        <v>3.54</v>
      </c>
      <c r="AE252" s="161">
        <f t="shared" si="52"/>
        <v>3.54</v>
      </c>
      <c r="AF252" s="161">
        <f t="shared" si="52"/>
        <v>3.54</v>
      </c>
      <c r="AG252" s="171">
        <f t="shared" si="52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1742.54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2080/10/11)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298" priority="89">
      <formula>$AH11=0</formula>
    </cfRule>
  </conditionalFormatting>
  <conditionalFormatting sqref="A132:A253">
    <cfRule type="expression" dxfId="3297" priority="90">
      <formula>$AH132=0</formula>
    </cfRule>
  </conditionalFormatting>
  <conditionalFormatting sqref="B8">
    <cfRule type="expression" dxfId="3296" priority="144">
      <formula>AND(C$9&gt;=14/24,C$9&lt;20/24)</formula>
    </cfRule>
    <cfRule type="expression" dxfId="3295" priority="145">
      <formula>AND(C$9&gt;=8/24,C$9&lt;14/24)</formula>
    </cfRule>
    <cfRule type="expression" dxfId="3294" priority="146">
      <formula>C$9&lt;8/24</formula>
    </cfRule>
    <cfRule type="expression" dxfId="3293" priority="147">
      <formula>C$9&gt;=20/24</formula>
    </cfRule>
  </conditionalFormatting>
  <conditionalFormatting sqref="B11:AA52 AB12:AF52 B59:D69 E68:F69 E69:I69 J69:AF74 B70:I74 B77:AF99 B9:AF10 B101:AF117 B119:AF137 B244:AF244 B246:B252">
    <cfRule type="expression" dxfId="3292" priority="41">
      <formula>B$9&gt;=20/24</formula>
    </cfRule>
  </conditionalFormatting>
  <conditionalFormatting sqref="B9:AF10 B11:AA52 AB12:AF52 B59:D69 E68:F69 E69:I69 J69:AF74 B70:I74 B77:AF99 B101:AF117 B119:AF137 B244:AF244 B246:B252">
    <cfRule type="expression" dxfId="3291" priority="42">
      <formula>AND(B$9&gt;=14/24,B$9&lt;20/24)</formula>
    </cfRule>
    <cfRule type="expression" dxfId="3290" priority="43">
      <formula>AND(B$9&gt;=8/24,B$9&lt;14/24)</formula>
    </cfRule>
    <cfRule type="expression" dxfId="3289" priority="44">
      <formula>B$9&lt;8/24</formula>
    </cfRule>
  </conditionalFormatting>
  <conditionalFormatting sqref="D246:AF252">
    <cfRule type="expression" dxfId="3288" priority="129">
      <formula>D$9&gt;=20/24</formula>
    </cfRule>
    <cfRule type="expression" dxfId="3287" priority="130">
      <formula>AND(D$9&gt;=14/24,D$9&lt;20/24)</formula>
    </cfRule>
    <cfRule type="expression" dxfId="3286" priority="131">
      <formula>AND(D$9&gt;=8/24,D$9&lt;14/24)</formula>
    </cfRule>
    <cfRule type="expression" dxfId="3285" priority="132">
      <formula>D$9&lt;8/24</formula>
    </cfRule>
  </conditionalFormatting>
  <conditionalFormatting sqref="E63:I67 J64:J67 K67">
    <cfRule type="expression" dxfId="3284" priority="54">
      <formula>E$9&gt;=20/24</formula>
    </cfRule>
    <cfRule type="expression" dxfId="3283" priority="55">
      <formula>AND(E$9&gt;=14/24,E$9&lt;20/24)</formula>
    </cfRule>
    <cfRule type="expression" dxfId="3282" priority="56">
      <formula>AND(E$9&gt;=8/24,E$9&lt;14/24)</formula>
    </cfRule>
    <cfRule type="expression" dxfId="3281" priority="57">
      <formula>E$9&lt;8/24</formula>
    </cfRule>
  </conditionalFormatting>
  <conditionalFormatting sqref="E68:K68">
    <cfRule type="expression" dxfId="3280" priority="49">
      <formula>E$9&gt;=20/24</formula>
    </cfRule>
    <cfRule type="expression" dxfId="3279" priority="50">
      <formula>AND(E$9&gt;=14/24,E$9&lt;20/24)</formula>
    </cfRule>
    <cfRule type="expression" dxfId="3278" priority="51">
      <formula>AND(E$9&gt;=8/24,E$9&lt;14/24)</formula>
    </cfRule>
    <cfRule type="expression" dxfId="3277" priority="52">
      <formula>E$9&lt;8/24</formula>
    </cfRule>
  </conditionalFormatting>
  <conditionalFormatting sqref="E11:AA62 B11:D69 AB12:AB74 AC12:AD75 AE12:AF80 AG62 E63:N68 O63:AA74 E69:I69 AB69:AD71 J69:N74 B70:I74 B75:AB75 B76:AD80 AG80">
    <cfRule type="expression" dxfId="3276" priority="40">
      <formula>B11&gt;$AG11</formula>
    </cfRule>
  </conditionalFormatting>
  <conditionalFormatting sqref="E53:AF55 B53:D57">
    <cfRule type="expression" dxfId="3275" priority="37">
      <formula>B$9&gt;=20/24</formula>
    </cfRule>
    <cfRule type="expression" dxfId="3274" priority="38">
      <formula>AND(B$9&gt;=14/24,B$9&lt;20/24)</formula>
    </cfRule>
    <cfRule type="expression" dxfId="3273" priority="39">
      <formula>AND(B$9&gt;=8/24,B$9&lt;14/24)</formula>
    </cfRule>
  </conditionalFormatting>
  <conditionalFormatting sqref="E56:AF57">
    <cfRule type="expression" dxfId="3272" priority="46">
      <formula>E$9&gt;=20/24</formula>
    </cfRule>
    <cfRule type="expression" dxfId="3271" priority="47">
      <formula>AND(E$9&gt;=14/24,E$9&lt;20/24)</formula>
    </cfRule>
    <cfRule type="expression" dxfId="3270" priority="48">
      <formula>AND(E$9&gt;=8/24,E$9&lt;14/24)</formula>
    </cfRule>
  </conditionalFormatting>
  <conditionalFormatting sqref="E59:AF62">
    <cfRule type="expression" dxfId="3269" priority="67">
      <formula>E$9&gt;=20/24</formula>
    </cfRule>
    <cfRule type="expression" dxfId="3268" priority="68">
      <formula>AND(E$9&gt;=14/24,E$9&lt;20/24)</formula>
    </cfRule>
    <cfRule type="expression" dxfId="3267" priority="69">
      <formula>AND(E$9&gt;=8/24,E$9&lt;14/24)</formula>
    </cfRule>
    <cfRule type="expression" dxfId="3266" priority="70">
      <formula>E$9&lt;8/24</formula>
    </cfRule>
  </conditionalFormatting>
  <conditionalFormatting sqref="F63:L65">
    <cfRule type="expression" dxfId="3265" priority="81">
      <formula>F$9&gt;=20/24</formula>
    </cfRule>
    <cfRule type="expression" dxfId="3264" priority="82">
      <formula>AND(F$9&gt;=14/24,F$9&lt;20/24)</formula>
    </cfRule>
    <cfRule type="expression" dxfId="3263" priority="83">
      <formula>AND(F$9&gt;=8/24,F$9&lt;14/24)</formula>
    </cfRule>
    <cfRule type="expression" dxfId="3262" priority="84">
      <formula>F$9&lt;8/24</formula>
    </cfRule>
  </conditionalFormatting>
  <conditionalFormatting sqref="L68:AF68">
    <cfRule type="expression" dxfId="3261" priority="77">
      <formula>L$9&gt;=20/24</formula>
    </cfRule>
    <cfRule type="expression" dxfId="3260" priority="78">
      <formula>AND(L$9&gt;=14/24,L$9&lt;20/24)</formula>
    </cfRule>
    <cfRule type="expression" dxfId="3259" priority="79">
      <formula>AND(L$9&gt;=8/24,L$9&lt;14/24)</formula>
    </cfRule>
    <cfRule type="expression" dxfId="3258" priority="80">
      <formula>L$9&lt;8/24</formula>
    </cfRule>
  </conditionalFormatting>
  <conditionalFormatting sqref="M8 S8 AB8">
    <cfRule type="expression" dxfId="3257" priority="136">
      <formula>AND(N$9&gt;=14/24,N$9&lt;20/24)</formula>
    </cfRule>
    <cfRule type="expression" dxfId="3256" priority="137">
      <formula>AND(N$9&gt;=8/24,N$9&lt;14/24)</formula>
    </cfRule>
    <cfRule type="expression" dxfId="3255" priority="138">
      <formula>N$9&lt;8/24</formula>
    </cfRule>
  </conditionalFormatting>
  <conditionalFormatting sqref="M63:AB67">
    <cfRule type="expression" dxfId="3254" priority="85">
      <formula>M$9&gt;=20/24</formula>
    </cfRule>
    <cfRule type="expression" dxfId="3253" priority="86">
      <formula>AND(M$9&gt;=14/24,M$9&lt;20/24)</formula>
    </cfRule>
    <cfRule type="expression" dxfId="3252" priority="87">
      <formula>AND(M$9&gt;=8/24,M$9&lt;14/24)</formula>
    </cfRule>
    <cfRule type="expression" dxfId="3251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250" priority="135">
      <formula>N$9&gt;=20/24</formula>
    </cfRule>
  </conditionalFormatting>
  <conditionalFormatting sqref="S8">
    <cfRule type="expression" dxfId="3249" priority="122">
      <formula>U$9&gt;=20/24</formula>
    </cfRule>
    <cfRule type="expression" dxfId="3248" priority="123">
      <formula>AND(U$9&gt;=14/24,U$9&lt;20/24)</formula>
    </cfRule>
    <cfRule type="expression" dxfId="3247" priority="124">
      <formula>AND(U$9&gt;=8/24,U$9&lt;14/24)</formula>
    </cfRule>
    <cfRule type="expression" dxfId="3246" priority="125">
      <formula>U$9&lt;8/24</formula>
    </cfRule>
  </conditionalFormatting>
  <conditionalFormatting sqref="T63:AF68">
    <cfRule type="expression" dxfId="3245" priority="71">
      <formula>T$9&gt;=20/24</formula>
    </cfRule>
    <cfRule type="expression" dxfId="3244" priority="72">
      <formula>AND(T$9&gt;=14/24,T$9&lt;20/24)</formula>
    </cfRule>
    <cfRule type="expression" dxfId="3243" priority="73">
      <formula>AND(T$9&gt;=8/24,T$9&lt;14/24)</formula>
    </cfRule>
    <cfRule type="expression" dxfId="3242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241" priority="118">
      <formula>AD$9&gt;=20/24</formula>
    </cfRule>
    <cfRule type="expression" dxfId="3240" priority="119">
      <formula>AND(AD$9&gt;=14/24,AD$9&lt;20/24)</formula>
    </cfRule>
    <cfRule type="expression" dxfId="3239" priority="120">
      <formula>AND(AD$9&gt;=8/24,AD$9&lt;14/24)</formula>
    </cfRule>
    <cfRule type="expression" dxfId="3238" priority="121">
      <formula>AD$9&lt;8/24</formula>
    </cfRule>
  </conditionalFormatting>
  <conditionalFormatting sqref="AB11:AF11">
    <cfRule type="expression" dxfId="3237" priority="58">
      <formula>AB11&gt;$AG11</formula>
    </cfRule>
    <cfRule type="expression" dxfId="3236" priority="59">
      <formula>AB$9&gt;=20/24</formula>
    </cfRule>
    <cfRule type="expression" dxfId="3235" priority="60">
      <formula>AND(AB$9&gt;=14/24,AB$9&lt;20/24)</formula>
    </cfRule>
    <cfRule type="expression" dxfId="3234" priority="61">
      <formula>AND(AB$9&gt;=8/24,AB$9&lt;14/24)</formula>
    </cfRule>
    <cfRule type="expression" dxfId="3233" priority="62">
      <formula>AB$9&lt;8/24</formula>
    </cfRule>
  </conditionalFormatting>
  <conditionalFormatting sqref="AC53:AC56 B53:AB57 AD53:AF55">
    <cfRule type="expression" dxfId="3232" priority="53">
      <formula>B$9&lt;8/24</formula>
    </cfRule>
  </conditionalFormatting>
  <conditionalFormatting sqref="AD56 AE56:AF57 AC57:AD57">
    <cfRule type="expression" dxfId="3231" priority="75">
      <formula>AC$9&lt;8/24</formula>
    </cfRule>
  </conditionalFormatting>
  <conditionalFormatting sqref="AG58">
    <cfRule type="expression" dxfId="3230" priority="113">
      <formula>AG58&gt;$AG58</formula>
    </cfRule>
  </conditionalFormatting>
  <conditionalFormatting sqref="AG62">
    <cfRule type="expression" dxfId="3229" priority="96">
      <formula>AG$9&gt;=20/24</formula>
    </cfRule>
    <cfRule type="expression" dxfId="3228" priority="97">
      <formula>AND(AG$9&gt;=14/24,AG$9&lt;20/24)</formula>
    </cfRule>
    <cfRule type="expression" dxfId="3227" priority="98">
      <formula>AND(AG$9&gt;=8/24,AG$9&lt;14/24)</formula>
    </cfRule>
    <cfRule type="expression" dxfId="3226" priority="99">
      <formula>AG$9&lt;8/24</formula>
    </cfRule>
  </conditionalFormatting>
  <conditionalFormatting sqref="AG75:AG76">
    <cfRule type="expression" dxfId="3225" priority="91">
      <formula>AG75&gt;$AG75</formula>
    </cfRule>
  </conditionalFormatting>
  <conditionalFormatting sqref="AG80">
    <cfRule type="expression" dxfId="3224" priority="92">
      <formula>AG$9&gt;=20/24</formula>
    </cfRule>
    <cfRule type="expression" dxfId="3223" priority="93">
      <formula>AND(AG$9&gt;=14/24,AG$9&lt;20/24)</formula>
    </cfRule>
    <cfRule type="expression" dxfId="3222" priority="94">
      <formula>AND(AG$9&gt;=8/24,AG$9&lt;14/24)</formula>
    </cfRule>
    <cfRule type="expression" dxfId="3221" priority="95">
      <formula>AG$9&lt;8/24</formula>
    </cfRule>
  </conditionalFormatting>
  <conditionalFormatting sqref="AG97">
    <cfRule type="expression" dxfId="3220" priority="114">
      <formula>AG$9&gt;=20/24</formula>
    </cfRule>
    <cfRule type="expression" dxfId="3219" priority="115">
      <formula>AND(AG$9&gt;=14/24,AG$9&lt;20/24)</formula>
    </cfRule>
    <cfRule type="expression" dxfId="3218" priority="116">
      <formula>AND(AG$9&gt;=8/24,AG$9&lt;14/24)</formula>
    </cfRule>
    <cfRule type="expression" dxfId="3217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16" priority="139">
      <formula>AJ$9&gt;=20/24</formula>
    </cfRule>
    <cfRule type="expression" dxfId="3215" priority="140">
      <formula>AND(AJ$9&gt;=14/24,AJ$9&lt;20/24)</formula>
    </cfRule>
    <cfRule type="expression" dxfId="3214" priority="141">
      <formula>AND(AJ$9&gt;=8/24,AJ$9&lt;14/24)</formula>
    </cfRule>
    <cfRule type="expression" dxfId="3213" priority="142">
      <formula>AJ$9&lt;8/24</formula>
    </cfRule>
  </conditionalFormatting>
  <conditionalFormatting sqref="AL88:AN88 AL94:AN94">
    <cfRule type="expression" dxfId="3212" priority="106">
      <formula>AL$9&gt;=20/24</formula>
    </cfRule>
    <cfRule type="expression" dxfId="3211" priority="107">
      <formula>AND(AL$9&gt;=14/24,AL$9&lt;20/24)</formula>
    </cfRule>
    <cfRule type="expression" dxfId="3210" priority="108">
      <formula>AND(AL$9&gt;=8/24,AL$9&lt;14/24)</formula>
    </cfRule>
    <cfRule type="expression" dxfId="3209" priority="109">
      <formula>AL$9&lt;8/24</formula>
    </cfRule>
  </conditionalFormatting>
  <conditionalFormatting sqref="AM15:AM21 AN16:AR21">
    <cfRule type="expression" dxfId="3208" priority="13">
      <formula>AX$9&gt;=20/24</formula>
    </cfRule>
    <cfRule type="expression" dxfId="3207" priority="14">
      <formula>AND(AX$9&gt;=14/24,AX$9&lt;20/24)</formula>
    </cfRule>
    <cfRule type="expression" dxfId="3206" priority="15">
      <formula>AND(AX$9&gt;=8/24,AX$9&lt;14/24)</formula>
    </cfRule>
    <cfRule type="expression" dxfId="3205" priority="16">
      <formula>AX$9&lt;8/24</formula>
    </cfRule>
  </conditionalFormatting>
  <conditionalFormatting sqref="AN89:AN92">
    <cfRule type="expression" dxfId="3204" priority="102">
      <formula>AN$9&gt;=20/24</formula>
    </cfRule>
    <cfRule type="expression" dxfId="3203" priority="103">
      <formula>AND(AN$9&gt;=14/24,AN$9&lt;20/24)</formula>
    </cfRule>
    <cfRule type="expression" dxfId="3202" priority="104">
      <formula>AND(AN$9&gt;=8/24,AN$9&lt;14/24)</formula>
    </cfRule>
    <cfRule type="expression" dxfId="3201" priority="105">
      <formula>AN$9&lt;8/24</formula>
    </cfRule>
  </conditionalFormatting>
  <conditionalFormatting sqref="AN15:AR15">
    <cfRule type="expression" dxfId="3200" priority="1">
      <formula>U$9&gt;=20/24</formula>
    </cfRule>
    <cfRule type="expression" dxfId="3199" priority="2">
      <formula>AND(U$9&gt;=14/24,U$9&lt;20/24)</formula>
    </cfRule>
    <cfRule type="expression" dxfId="3198" priority="3">
      <formula>AND(U$9&gt;=8/24,U$9&lt;14/24)</formula>
    </cfRule>
    <cfRule type="expression" dxfId="3197" priority="4">
      <formula>U$9&lt;8/24</formula>
    </cfRule>
  </conditionalFormatting>
  <conditionalFormatting sqref="AS15">
    <cfRule type="expression" dxfId="3196" priority="9">
      <formula>AA$9&gt;=20/24</formula>
    </cfRule>
    <cfRule type="expression" dxfId="3195" priority="10">
      <formula>AND(AA$9&gt;=14/24,AA$9&lt;20/24)</formula>
    </cfRule>
    <cfRule type="expression" dxfId="3194" priority="11">
      <formula>AND(AA$9&gt;=8/24,AA$9&lt;14/24)</formula>
    </cfRule>
    <cfRule type="expression" dxfId="3193" priority="12">
      <formula>AA$9&lt;8/24</formula>
    </cfRule>
  </conditionalFormatting>
  <conditionalFormatting sqref="AS16:AS21">
    <cfRule type="expression" dxfId="3192" priority="17">
      <formula>BE$9&gt;=20/24</formula>
    </cfRule>
    <cfRule type="expression" dxfId="3191" priority="18">
      <formula>AND(BE$9&gt;=14/24,BE$9&lt;20/24)</formula>
    </cfRule>
    <cfRule type="expression" dxfId="3190" priority="19">
      <formula>AND(BE$9&gt;=8/24,BE$9&lt;14/24)</formula>
    </cfRule>
    <cfRule type="expression" dxfId="3189" priority="20">
      <formula>BE$9&lt;8/24</formula>
    </cfRule>
  </conditionalFormatting>
  <conditionalFormatting sqref="AT15 AX15:BJ15">
    <cfRule type="expression" dxfId="3188" priority="21">
      <formula>AC$9&gt;=20/24</formula>
    </cfRule>
    <cfRule type="expression" dxfId="3187" priority="22">
      <formula>AND(AC$9&gt;=14/24,AC$9&lt;20/24)</formula>
    </cfRule>
    <cfRule type="expression" dxfId="3186" priority="23">
      <formula>AND(AC$9&gt;=8/24,AC$9&lt;14/24)</formula>
    </cfRule>
    <cfRule type="expression" dxfId="3185" priority="24">
      <formula>AC$9&lt;8/24</formula>
    </cfRule>
  </conditionalFormatting>
  <conditionalFormatting sqref="AT16:AT21">
    <cfRule type="expression" dxfId="3184" priority="25">
      <formula>BG$9&gt;=20/24</formula>
    </cfRule>
    <cfRule type="expression" dxfId="3183" priority="26">
      <formula>AND(BG$9&gt;=14/24,BG$9&lt;20/24)</formula>
    </cfRule>
    <cfRule type="expression" dxfId="3182" priority="27">
      <formula>AND(BG$9&gt;=8/24,BG$9&lt;14/24)</formula>
    </cfRule>
    <cfRule type="expression" dxfId="3181" priority="28">
      <formula>BG$9&lt;8/24</formula>
    </cfRule>
  </conditionalFormatting>
  <conditionalFormatting sqref="AU15:AV15">
    <cfRule type="expression" dxfId="3180" priority="29">
      <formula>AE$9&gt;=20/24</formula>
    </cfRule>
    <cfRule type="expression" dxfId="3179" priority="30">
      <formula>AND(AE$9&gt;=14/24,AE$9&lt;20/24)</formula>
    </cfRule>
    <cfRule type="expression" dxfId="3178" priority="31">
      <formula>AND(AE$9&gt;=8/24,AE$9&lt;14/24)</formula>
    </cfRule>
    <cfRule type="expression" dxfId="3177" priority="32">
      <formula>AE$9&lt;8/24</formula>
    </cfRule>
  </conditionalFormatting>
  <conditionalFormatting sqref="AU16:BJ21">
    <cfRule type="expression" dxfId="3176" priority="33">
      <formula>BI$9&gt;=20/24</formula>
    </cfRule>
    <cfRule type="expression" dxfId="3175" priority="34">
      <formula>AND(BI$9&gt;=14/24,BI$9&lt;20/24)</formula>
    </cfRule>
    <cfRule type="expression" dxfId="3174" priority="35">
      <formula>AND(BI$9&gt;=8/24,BI$9&lt;14/24)</formula>
    </cfRule>
    <cfRule type="expression" dxfId="3173" priority="36">
      <formula>BI$9&lt;8/24</formula>
    </cfRule>
  </conditionalFormatting>
  <conditionalFormatting sqref="AW15">
    <cfRule type="expression" dxfId="3172" priority="5">
      <formula>B$9&gt;=20/24</formula>
    </cfRule>
    <cfRule type="expression" dxfId="3171" priority="6">
      <formula>AND(B$9&gt;=14/24,B$9&lt;20/24)</formula>
    </cfRule>
    <cfRule type="expression" dxfId="3170" priority="7">
      <formula>AND(B$9&gt;=8/24,B$9&lt;14/24)</formula>
    </cfRule>
    <cfRule type="expression" dxfId="316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CBE3-52A4-46EE-8234-94BBA142AAFD}">
  <sheetPr codeName="Sheet12"/>
  <dimension ref="A1:CJ294"/>
  <sheetViews>
    <sheetView zoomScale="106" workbookViewId="0">
      <pane xSplit="1" ySplit="10" topLeftCell="H7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2080/10/12</v>
      </c>
      <c r="C4" s="187"/>
      <c r="D4" s="187"/>
      <c r="E4" s="188" t="str">
        <f ca="1">"2080/"&amp;"10/"&amp;INT(MID(CELL("filename",G6),FIND("]",CELL("filename",G6))+1,200))</f>
        <v>2080/10/12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94.5</v>
      </c>
      <c r="C5" s="30">
        <f t="shared" si="0"/>
        <v>96.2</v>
      </c>
      <c r="D5" s="30">
        <f t="shared" si="0"/>
        <v>97.6</v>
      </c>
      <c r="E5" s="30">
        <f t="shared" si="0"/>
        <v>86.2</v>
      </c>
      <c r="F5" s="30">
        <f t="shared" si="0"/>
        <v>82.9</v>
      </c>
      <c r="G5" s="30">
        <f t="shared" si="0"/>
        <v>79.400000000000006</v>
      </c>
      <c r="H5" s="30">
        <f t="shared" si="0"/>
        <v>81</v>
      </c>
      <c r="I5" s="30">
        <f t="shared" si="0"/>
        <v>459.2</v>
      </c>
      <c r="J5" s="30">
        <f t="shared" si="0"/>
        <v>490.9</v>
      </c>
      <c r="K5" s="30">
        <f t="shared" si="0"/>
        <v>505.59999999999997</v>
      </c>
      <c r="L5" s="30">
        <f t="shared" si="0"/>
        <v>619.9</v>
      </c>
      <c r="M5" s="30">
        <f t="shared" si="0"/>
        <v>593</v>
      </c>
      <c r="N5" s="30">
        <f t="shared" si="0"/>
        <v>642.09999999999991</v>
      </c>
      <c r="O5" s="30">
        <f t="shared" si="0"/>
        <v>568.29999999999995</v>
      </c>
      <c r="P5" s="30">
        <f t="shared" si="0"/>
        <v>669</v>
      </c>
      <c r="Q5" s="30">
        <f t="shared" si="0"/>
        <v>666</v>
      </c>
      <c r="R5" s="30">
        <f t="shared" si="0"/>
        <v>625.30000000000007</v>
      </c>
      <c r="S5" s="30">
        <f t="shared" si="0"/>
        <v>614.39999999999986</v>
      </c>
      <c r="T5" s="30">
        <f t="shared" si="0"/>
        <v>549.9</v>
      </c>
      <c r="U5" s="30">
        <f t="shared" si="0"/>
        <v>528.70000000000005</v>
      </c>
      <c r="V5" s="30">
        <f t="shared" si="0"/>
        <v>550.9</v>
      </c>
      <c r="W5" s="30">
        <f t="shared" si="0"/>
        <v>349.9</v>
      </c>
      <c r="X5" s="30">
        <f t="shared" si="0"/>
        <v>144.30000000000001</v>
      </c>
      <c r="Y5" s="30">
        <f t="shared" si="0"/>
        <v>71.400000000000006</v>
      </c>
      <c r="Z5" s="30">
        <f t="shared" si="0"/>
        <v>78.5</v>
      </c>
      <c r="AA5" s="30">
        <f t="shared" si="0"/>
        <v>80</v>
      </c>
      <c r="AB5" s="30">
        <f t="shared" si="0"/>
        <v>72</v>
      </c>
      <c r="AC5" s="30">
        <f t="shared" si="0"/>
        <v>73</v>
      </c>
      <c r="AD5" s="30">
        <f t="shared" si="0"/>
        <v>0</v>
      </c>
      <c r="AE5" s="30">
        <f t="shared" si="0"/>
        <v>87</v>
      </c>
      <c r="AF5" s="30">
        <f>B92</f>
        <v>97.2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Load=744</v>
      </c>
      <c r="B7" s="35">
        <f t="shared" ref="B7:AF7" si="1">B100</f>
        <v>996.54000000000008</v>
      </c>
      <c r="C7" s="35">
        <f t="shared" si="1"/>
        <v>1520.1399999999999</v>
      </c>
      <c r="D7" s="35">
        <f t="shared" si="1"/>
        <v>1519.34</v>
      </c>
      <c r="E7" s="35">
        <f t="shared" si="1"/>
        <v>1509.1399999999999</v>
      </c>
      <c r="F7" s="35">
        <f t="shared" si="1"/>
        <v>1453.4399999999998</v>
      </c>
      <c r="G7" s="35">
        <f t="shared" si="1"/>
        <v>1439.64</v>
      </c>
      <c r="H7" s="35">
        <f t="shared" si="1"/>
        <v>1456.84</v>
      </c>
      <c r="I7" s="35">
        <f t="shared" si="1"/>
        <v>1449.94</v>
      </c>
      <c r="J7" s="35">
        <f t="shared" si="1"/>
        <v>1451.54</v>
      </c>
      <c r="K7" s="35">
        <f t="shared" si="1"/>
        <v>1504.3400000000001</v>
      </c>
      <c r="L7" s="35">
        <f t="shared" si="1"/>
        <v>1462.54</v>
      </c>
      <c r="M7" s="35">
        <f t="shared" si="1"/>
        <v>1588.8400000000001</v>
      </c>
      <c r="N7" s="35">
        <f t="shared" si="1"/>
        <v>1579.04</v>
      </c>
      <c r="O7" s="35">
        <f t="shared" si="1"/>
        <v>1617.44</v>
      </c>
      <c r="P7" s="35">
        <f t="shared" si="1"/>
        <v>1534.44</v>
      </c>
      <c r="Q7" s="35">
        <f t="shared" si="1"/>
        <v>1685.1399999999999</v>
      </c>
      <c r="R7" s="35">
        <f t="shared" si="1"/>
        <v>1686.1399999999999</v>
      </c>
      <c r="S7" s="35">
        <f t="shared" si="1"/>
        <v>1602.74</v>
      </c>
      <c r="T7" s="35">
        <f t="shared" si="1"/>
        <v>1620.6399999999999</v>
      </c>
      <c r="U7" s="35">
        <f t="shared" si="1"/>
        <v>1578.04</v>
      </c>
      <c r="V7" s="35">
        <f t="shared" si="1"/>
        <v>1482.8400000000001</v>
      </c>
      <c r="W7" s="35">
        <f t="shared" si="1"/>
        <v>1507.2399999999998</v>
      </c>
      <c r="X7" s="35">
        <f t="shared" si="1"/>
        <v>1358.2399999999998</v>
      </c>
      <c r="Y7" s="35">
        <f t="shared" si="1"/>
        <v>1387.8999999999999</v>
      </c>
      <c r="Z7" s="35">
        <f t="shared" si="1"/>
        <v>1627.7</v>
      </c>
      <c r="AA7" s="35">
        <f t="shared" si="1"/>
        <v>1795.14</v>
      </c>
      <c r="AB7" s="35">
        <f t="shared" si="1"/>
        <v>1738.3400000000001</v>
      </c>
      <c r="AC7" s="35">
        <f t="shared" si="1"/>
        <v>1692.34</v>
      </c>
      <c r="AD7" s="35">
        <f t="shared" si="1"/>
        <v>1701.04</v>
      </c>
      <c r="AE7" s="35">
        <f t="shared" si="1"/>
        <v>744.33999999999992</v>
      </c>
      <c r="AF7" s="35">
        <f t="shared" si="1"/>
        <v>1513.3400000000001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1738.34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1738.34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25.9</v>
      </c>
      <c r="C11" s="46">
        <v>25.9</v>
      </c>
      <c r="D11" s="46">
        <v>25.9</v>
      </c>
      <c r="E11" s="46">
        <v>22.8</v>
      </c>
      <c r="F11" s="46">
        <v>21.3</v>
      </c>
      <c r="G11" s="46">
        <v>21.3</v>
      </c>
      <c r="H11" s="46">
        <v>21.3</v>
      </c>
      <c r="I11" s="46">
        <v>22.8</v>
      </c>
      <c r="J11" s="46">
        <v>22.8</v>
      </c>
      <c r="K11" s="46">
        <v>22.1</v>
      </c>
      <c r="L11" s="46">
        <v>19.600000000000001</v>
      </c>
      <c r="M11" s="46">
        <v>22.8</v>
      </c>
      <c r="N11" s="46">
        <v>22.8</v>
      </c>
      <c r="O11" s="46">
        <v>22.8</v>
      </c>
      <c r="P11" s="46">
        <v>22.8</v>
      </c>
      <c r="Q11" s="46">
        <v>22.8</v>
      </c>
      <c r="R11" s="46">
        <v>22.8</v>
      </c>
      <c r="S11" s="46">
        <v>8.8000000000000007</v>
      </c>
      <c r="T11" s="46">
        <v>6.8</v>
      </c>
      <c r="U11" s="46">
        <v>21.3</v>
      </c>
      <c r="V11" s="46">
        <v>21.3</v>
      </c>
      <c r="W11" s="46">
        <v>23</v>
      </c>
      <c r="X11" s="46">
        <v>23</v>
      </c>
      <c r="Y11" s="46">
        <v>23</v>
      </c>
      <c r="Z11" s="46">
        <v>20.100000000000001</v>
      </c>
      <c r="AA11" s="46">
        <v>20.100000000000001</v>
      </c>
      <c r="AB11" s="46">
        <v>20.100000000000001</v>
      </c>
      <c r="AC11" s="46">
        <v>20.100000000000001</v>
      </c>
      <c r="AD11" s="46">
        <v>20.100000000000001</v>
      </c>
      <c r="AE11" s="46">
        <v>20.100000000000001</v>
      </c>
      <c r="AF11" s="46">
        <v>20.100000000000001</v>
      </c>
      <c r="AG11" s="47">
        <v>86</v>
      </c>
      <c r="AH11" s="48">
        <f t="shared" ref="AH11:AH16" si="2">MAX(B11:AF11)</f>
        <v>25.9</v>
      </c>
      <c r="AI11" s="49">
        <f t="shared" ref="AI11:AI16" si="3">MIN(B11:AF11)</f>
        <v>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11</v>
      </c>
      <c r="C12" s="46">
        <v>11</v>
      </c>
      <c r="D12" s="46">
        <v>11</v>
      </c>
      <c r="E12" s="46">
        <v>11</v>
      </c>
      <c r="F12" s="46">
        <v>11</v>
      </c>
      <c r="G12" s="46">
        <v>11</v>
      </c>
      <c r="H12" s="46">
        <v>11</v>
      </c>
      <c r="I12" s="46">
        <v>11</v>
      </c>
      <c r="J12" s="46">
        <v>11</v>
      </c>
      <c r="K12" s="46">
        <v>11</v>
      </c>
      <c r="L12" s="46">
        <v>11</v>
      </c>
      <c r="M12" s="46">
        <v>11</v>
      </c>
      <c r="N12" s="46">
        <v>11</v>
      </c>
      <c r="O12" s="46">
        <v>11</v>
      </c>
      <c r="P12" s="46">
        <v>11</v>
      </c>
      <c r="Q12" s="46">
        <v>11</v>
      </c>
      <c r="R12" s="46">
        <v>11</v>
      </c>
      <c r="S12" s="46">
        <v>14.3</v>
      </c>
      <c r="T12" s="46">
        <v>14.3</v>
      </c>
      <c r="U12" s="46">
        <v>14.3</v>
      </c>
      <c r="V12" s="46">
        <v>14.3</v>
      </c>
      <c r="W12" s="46">
        <v>14.2</v>
      </c>
      <c r="X12" s="46">
        <v>14.2</v>
      </c>
      <c r="Y12" s="46">
        <v>14.2</v>
      </c>
      <c r="Z12" s="46">
        <v>14.2</v>
      </c>
      <c r="AA12" s="46">
        <v>14.2</v>
      </c>
      <c r="AB12" s="46">
        <v>14.2</v>
      </c>
      <c r="AC12" s="46">
        <v>14.2</v>
      </c>
      <c r="AD12" s="46">
        <v>14.2</v>
      </c>
      <c r="AE12" s="46">
        <v>14.2</v>
      </c>
      <c r="AF12" s="46">
        <v>14.2</v>
      </c>
      <c r="AG12" s="50">
        <v>54</v>
      </c>
      <c r="AH12" s="48">
        <f t="shared" si="2"/>
        <v>14.3</v>
      </c>
      <c r="AI12" s="49">
        <f t="shared" si="3"/>
        <v>11</v>
      </c>
      <c r="AK12" s="51"/>
      <c r="AL12" s="52" t="str">
        <f ca="1">MID(CELL("filename",C7),FIND("]",CELL("filename",C7))+1,600)</f>
        <v>12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17</v>
      </c>
      <c r="C13" s="46">
        <v>17</v>
      </c>
      <c r="D13" s="46">
        <v>17</v>
      </c>
      <c r="E13" s="46">
        <v>17</v>
      </c>
      <c r="F13" s="46">
        <v>17</v>
      </c>
      <c r="G13" s="46">
        <v>17</v>
      </c>
      <c r="H13" s="46">
        <v>17</v>
      </c>
      <c r="I13" s="46">
        <v>17</v>
      </c>
      <c r="J13" s="46">
        <v>17</v>
      </c>
      <c r="K13" s="46">
        <v>17</v>
      </c>
      <c r="L13" s="46">
        <v>17</v>
      </c>
      <c r="M13" s="46">
        <v>17</v>
      </c>
      <c r="N13" s="46">
        <v>17</v>
      </c>
      <c r="O13" s="46">
        <v>17</v>
      </c>
      <c r="P13" s="46">
        <v>17</v>
      </c>
      <c r="Q13" s="46">
        <v>17</v>
      </c>
      <c r="R13" s="46">
        <v>17</v>
      </c>
      <c r="S13" s="46">
        <v>17</v>
      </c>
      <c r="T13" s="46">
        <v>17</v>
      </c>
      <c r="U13" s="46">
        <v>17</v>
      </c>
      <c r="V13" s="46">
        <v>17</v>
      </c>
      <c r="W13" s="46">
        <v>17</v>
      </c>
      <c r="X13" s="46">
        <v>17</v>
      </c>
      <c r="Y13" s="46">
        <v>17</v>
      </c>
      <c r="Z13" s="46">
        <v>17</v>
      </c>
      <c r="AA13" s="46">
        <v>29</v>
      </c>
      <c r="AB13" s="46">
        <v>29</v>
      </c>
      <c r="AC13" s="46">
        <v>29</v>
      </c>
      <c r="AD13" s="46">
        <v>29</v>
      </c>
      <c r="AE13" s="46">
        <v>29</v>
      </c>
      <c r="AF13" s="46">
        <v>29</v>
      </c>
      <c r="AG13" s="50">
        <v>54</v>
      </c>
      <c r="AH13" s="48">
        <f t="shared" si="2"/>
        <v>29</v>
      </c>
      <c r="AI13" s="49">
        <f t="shared" si="3"/>
        <v>17</v>
      </c>
      <c r="AK13" s="51"/>
      <c r="AL13" s="52" t="str">
        <f ca="1">"Daily Load Curve(Excluding of Export) of Nepal ("&amp;A4&amp;" "&amp;B4&amp;")"</f>
        <v>Daily Load Curve(Excluding of Export) of Nepal (Nepali Date: 2080/10/12)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50.4</v>
      </c>
      <c r="C15" s="46">
        <v>50.4</v>
      </c>
      <c r="D15" s="46">
        <v>50.4</v>
      </c>
      <c r="E15" s="46">
        <v>50.4</v>
      </c>
      <c r="F15" s="46">
        <v>50.4</v>
      </c>
      <c r="G15" s="46">
        <v>50.4</v>
      </c>
      <c r="H15" s="46">
        <v>50.4</v>
      </c>
      <c r="I15" s="46">
        <v>50.4</v>
      </c>
      <c r="J15" s="46">
        <v>50.4</v>
      </c>
      <c r="K15" s="46">
        <v>50.4</v>
      </c>
      <c r="L15" s="46">
        <v>50.4</v>
      </c>
      <c r="M15" s="46">
        <v>50.4</v>
      </c>
      <c r="N15" s="46">
        <v>50.4</v>
      </c>
      <c r="O15" s="46">
        <v>50.4</v>
      </c>
      <c r="P15" s="46">
        <v>50.4</v>
      </c>
      <c r="Q15" s="46">
        <v>50.4</v>
      </c>
      <c r="R15" s="46">
        <v>50.4</v>
      </c>
      <c r="S15" s="46">
        <v>50.4</v>
      </c>
      <c r="T15" s="46">
        <v>50.4</v>
      </c>
      <c r="U15" s="46">
        <v>50.4</v>
      </c>
      <c r="V15" s="46">
        <v>50.4</v>
      </c>
      <c r="W15" s="53">
        <v>50.4</v>
      </c>
      <c r="X15" s="53">
        <v>50.4</v>
      </c>
      <c r="Y15" s="53">
        <v>50.4</v>
      </c>
      <c r="Z15" s="53">
        <v>50.4</v>
      </c>
      <c r="AA15" s="53">
        <v>50.4</v>
      </c>
      <c r="AB15" s="53">
        <v>50.4</v>
      </c>
      <c r="AC15" s="53">
        <v>50.4</v>
      </c>
      <c r="AD15" s="53">
        <v>50.4</v>
      </c>
      <c r="AE15" s="53">
        <v>50.4</v>
      </c>
      <c r="AF15" s="53">
        <v>50.4</v>
      </c>
      <c r="AG15" s="50">
        <v>50</v>
      </c>
      <c r="AH15" s="48">
        <f t="shared" si="2"/>
        <v>50.4</v>
      </c>
      <c r="AI15" s="49">
        <f t="shared" si="3"/>
        <v>50.4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23</v>
      </c>
      <c r="C16" s="46">
        <v>23</v>
      </c>
      <c r="D16" s="46">
        <v>23</v>
      </c>
      <c r="E16" s="46">
        <v>23</v>
      </c>
      <c r="F16" s="46">
        <v>23</v>
      </c>
      <c r="G16" s="46">
        <v>23</v>
      </c>
      <c r="H16" s="46">
        <v>23</v>
      </c>
      <c r="I16" s="46">
        <v>23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23</v>
      </c>
      <c r="S16" s="46">
        <v>23</v>
      </c>
      <c r="T16" s="46">
        <v>23</v>
      </c>
      <c r="U16" s="46">
        <v>23</v>
      </c>
      <c r="V16" s="46">
        <v>23</v>
      </c>
      <c r="W16" s="46">
        <v>23</v>
      </c>
      <c r="X16" s="46">
        <v>23</v>
      </c>
      <c r="Y16" s="46">
        <v>23</v>
      </c>
      <c r="Z16" s="46">
        <v>23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23</v>
      </c>
      <c r="AK16" s="51"/>
      <c r="AL16" s="54" t="s">
        <v>7</v>
      </c>
      <c r="AM16" s="59">
        <f t="shared" ref="AM16:AR16" si="4">B58</f>
        <v>0</v>
      </c>
      <c r="AN16" s="59">
        <f t="shared" si="4"/>
        <v>593</v>
      </c>
      <c r="AO16" s="59">
        <f t="shared" si="4"/>
        <v>593</v>
      </c>
      <c r="AP16" s="59">
        <f t="shared" si="4"/>
        <v>591.79999999999995</v>
      </c>
      <c r="AQ16" s="59">
        <f t="shared" si="4"/>
        <v>590.29999999999995</v>
      </c>
      <c r="AR16" s="59">
        <f t="shared" si="4"/>
        <v>590.29999999999995</v>
      </c>
      <c r="AS16" s="59">
        <f>I58</f>
        <v>591.79999999999995</v>
      </c>
      <c r="AT16" s="59">
        <f>K58</f>
        <v>591.1</v>
      </c>
      <c r="AU16" s="59">
        <f t="shared" ref="AU16:BD16" si="5">M58</f>
        <v>591.79999999999995</v>
      </c>
      <c r="AV16" s="59">
        <f t="shared" si="5"/>
        <v>591.79999999999995</v>
      </c>
      <c r="AW16" s="59">
        <f t="shared" si="5"/>
        <v>591.79999999999995</v>
      </c>
      <c r="AX16" s="59">
        <f t="shared" si="5"/>
        <v>591.79999999999995</v>
      </c>
      <c r="AY16" s="59">
        <f t="shared" si="5"/>
        <v>591.79999999999995</v>
      </c>
      <c r="AZ16" s="59">
        <f t="shared" si="5"/>
        <v>591.79999999999995</v>
      </c>
      <c r="BA16" s="59">
        <f t="shared" si="5"/>
        <v>569.09999999999991</v>
      </c>
      <c r="BB16" s="59">
        <f t="shared" si="5"/>
        <v>567.09999999999991</v>
      </c>
      <c r="BC16" s="59">
        <f t="shared" si="5"/>
        <v>581.59999999999991</v>
      </c>
      <c r="BD16" s="59">
        <f t="shared" si="5"/>
        <v>581.59999999999991</v>
      </c>
      <c r="BE16" s="60">
        <f>X58</f>
        <v>589.09999999999991</v>
      </c>
      <c r="BF16" s="60">
        <f>Z58</f>
        <v>591.39999999999986</v>
      </c>
      <c r="BG16" s="60">
        <f>AB58</f>
        <v>613.29999999999995</v>
      </c>
      <c r="BH16" s="60">
        <f>AD58</f>
        <v>613.29999999999995</v>
      </c>
      <c r="BI16" s="60">
        <f>AE58</f>
        <v>613.29999999999995</v>
      </c>
      <c r="BJ16" s="60">
        <f>AF58</f>
        <v>613.29999999999995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17</v>
      </c>
      <c r="C17" s="46">
        <v>17</v>
      </c>
      <c r="D17" s="46">
        <v>17</v>
      </c>
      <c r="E17" s="46">
        <v>17</v>
      </c>
      <c r="F17" s="46">
        <v>17</v>
      </c>
      <c r="G17" s="46">
        <v>17</v>
      </c>
      <c r="H17" s="46">
        <v>17</v>
      </c>
      <c r="I17" s="46">
        <v>17</v>
      </c>
      <c r="J17" s="46">
        <v>17</v>
      </c>
      <c r="K17" s="46">
        <v>17</v>
      </c>
      <c r="L17" s="46">
        <v>17</v>
      </c>
      <c r="M17" s="46">
        <v>17</v>
      </c>
      <c r="N17" s="46">
        <v>17</v>
      </c>
      <c r="O17" s="46">
        <v>17</v>
      </c>
      <c r="P17" s="46">
        <v>17</v>
      </c>
      <c r="Q17" s="46">
        <v>17</v>
      </c>
      <c r="R17" s="46">
        <v>17</v>
      </c>
      <c r="S17" s="46">
        <v>23</v>
      </c>
      <c r="T17" s="46">
        <v>23</v>
      </c>
      <c r="U17" s="46">
        <v>23</v>
      </c>
      <c r="V17" s="46">
        <v>23</v>
      </c>
      <c r="W17" s="46">
        <v>23</v>
      </c>
      <c r="X17" s="46">
        <v>23</v>
      </c>
      <c r="Y17" s="46">
        <v>23</v>
      </c>
      <c r="Z17" s="46">
        <v>23</v>
      </c>
      <c r="AA17" s="46">
        <v>23</v>
      </c>
      <c r="AB17" s="46">
        <v>23</v>
      </c>
      <c r="AC17" s="46">
        <v>23</v>
      </c>
      <c r="AD17" s="46">
        <v>23</v>
      </c>
      <c r="AE17" s="46">
        <v>23</v>
      </c>
      <c r="AF17" s="46">
        <v>23</v>
      </c>
      <c r="AG17" s="50">
        <v>44</v>
      </c>
      <c r="AH17" s="48">
        <f>MAX(B17:AG17)</f>
        <v>44</v>
      </c>
      <c r="AI17" s="49">
        <f>MIN(B17:AG17)</f>
        <v>17</v>
      </c>
      <c r="AK17" s="51"/>
      <c r="AL17" s="54" t="s">
        <v>27</v>
      </c>
      <c r="AM17" s="59">
        <f t="shared" ref="AM17:AR17" si="6">B62</f>
        <v>280.39999999999998</v>
      </c>
      <c r="AN17" s="59">
        <f t="shared" si="6"/>
        <v>240.4</v>
      </c>
      <c r="AO17" s="59">
        <f t="shared" si="6"/>
        <v>210.4</v>
      </c>
      <c r="AP17" s="59">
        <f t="shared" si="6"/>
        <v>206.5</v>
      </c>
      <c r="AQ17" s="59">
        <f t="shared" si="6"/>
        <v>205.3</v>
      </c>
      <c r="AR17" s="59">
        <f t="shared" si="6"/>
        <v>205.3</v>
      </c>
      <c r="AS17" s="59">
        <f>I62</f>
        <v>255.1</v>
      </c>
      <c r="AT17" s="59">
        <f>K62</f>
        <v>54.400000000000006</v>
      </c>
      <c r="AU17" s="59">
        <f t="shared" ref="AU17:BD17" si="7">M62</f>
        <v>55.3</v>
      </c>
      <c r="AV17" s="59">
        <f t="shared" si="7"/>
        <v>55.3</v>
      </c>
      <c r="AW17" s="59">
        <f t="shared" si="7"/>
        <v>52.5</v>
      </c>
      <c r="AX17" s="59">
        <f t="shared" si="7"/>
        <v>52.5</v>
      </c>
      <c r="AY17" s="59">
        <f t="shared" si="7"/>
        <v>102.5</v>
      </c>
      <c r="AZ17" s="59">
        <f t="shared" si="7"/>
        <v>112.5</v>
      </c>
      <c r="BA17" s="59">
        <f t="shared" si="7"/>
        <v>91.3</v>
      </c>
      <c r="BB17" s="59">
        <f t="shared" si="7"/>
        <v>80.2</v>
      </c>
      <c r="BC17" s="59">
        <f t="shared" si="7"/>
        <v>119.8</v>
      </c>
      <c r="BD17" s="59">
        <f t="shared" si="7"/>
        <v>79.900000000000006</v>
      </c>
      <c r="BE17" s="60">
        <f>X62</f>
        <v>149.6</v>
      </c>
      <c r="BF17" s="60">
        <f>Z62</f>
        <v>388.70000000000005</v>
      </c>
      <c r="BG17" s="60">
        <f>AB62</f>
        <v>389.6</v>
      </c>
      <c r="BH17" s="60">
        <f>AD62</f>
        <v>349.6</v>
      </c>
      <c r="BI17" s="60">
        <f>AE62</f>
        <v>0</v>
      </c>
      <c r="BJ17" s="60">
        <f>AF62</f>
        <v>269.5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22</v>
      </c>
      <c r="C18" s="46">
        <v>22</v>
      </c>
      <c r="D18" s="46">
        <v>22</v>
      </c>
      <c r="E18" s="46">
        <v>22</v>
      </c>
      <c r="F18" s="46">
        <v>22</v>
      </c>
      <c r="G18" s="46">
        <v>22</v>
      </c>
      <c r="H18" s="46">
        <v>22</v>
      </c>
      <c r="I18" s="46">
        <v>22</v>
      </c>
      <c r="J18" s="46">
        <v>22</v>
      </c>
      <c r="K18" s="46">
        <v>22</v>
      </c>
      <c r="L18" s="46">
        <v>22</v>
      </c>
      <c r="M18" s="46">
        <v>22</v>
      </c>
      <c r="N18" s="46">
        <v>22</v>
      </c>
      <c r="O18" s="46">
        <v>22</v>
      </c>
      <c r="P18" s="46">
        <v>22</v>
      </c>
      <c r="Q18" s="46">
        <v>22</v>
      </c>
      <c r="R18" s="46">
        <v>22</v>
      </c>
      <c r="S18" s="46">
        <v>20</v>
      </c>
      <c r="T18" s="46">
        <v>20</v>
      </c>
      <c r="U18" s="46">
        <v>20</v>
      </c>
      <c r="V18" s="46">
        <v>20</v>
      </c>
      <c r="W18" s="46">
        <v>25</v>
      </c>
      <c r="X18" s="46">
        <v>25</v>
      </c>
      <c r="Y18" s="46">
        <v>25</v>
      </c>
      <c r="Z18" s="46">
        <v>25</v>
      </c>
      <c r="AA18" s="46">
        <v>26.5</v>
      </c>
      <c r="AB18" s="46">
        <v>26.5</v>
      </c>
      <c r="AC18" s="46">
        <v>26.5</v>
      </c>
      <c r="AD18" s="46">
        <v>26.5</v>
      </c>
      <c r="AE18" s="46">
        <v>26.5</v>
      </c>
      <c r="AF18" s="46">
        <v>26.5</v>
      </c>
      <c r="AG18" s="50">
        <v>42</v>
      </c>
      <c r="AH18" s="48">
        <f t="shared" ref="AH18:AH81" si="8">MAX(B18:AF18)</f>
        <v>26.5</v>
      </c>
      <c r="AI18" s="49">
        <f t="shared" ref="AI18:AI81" si="9">MIN(B18:AF18)</f>
        <v>20</v>
      </c>
      <c r="AK18" s="51"/>
      <c r="AL18" s="54" t="s">
        <v>29</v>
      </c>
      <c r="AM18" s="59">
        <f t="shared" ref="AM18:AR18" si="10">B76</f>
        <v>296.64000000000004</v>
      </c>
      <c r="AN18" s="59">
        <f t="shared" si="10"/>
        <v>269.94</v>
      </c>
      <c r="AO18" s="59">
        <f t="shared" si="10"/>
        <v>270.64</v>
      </c>
      <c r="AP18" s="59">
        <f t="shared" si="10"/>
        <v>264.14</v>
      </c>
      <c r="AQ18" s="59">
        <f t="shared" si="10"/>
        <v>249.33999999999997</v>
      </c>
      <c r="AR18" s="59">
        <f t="shared" si="10"/>
        <v>249.93999999999997</v>
      </c>
      <c r="AS18" s="59">
        <f>I76</f>
        <v>261.33999999999997</v>
      </c>
      <c r="AT18" s="59">
        <f>K76</f>
        <v>316.84000000000003</v>
      </c>
      <c r="AU18" s="59">
        <f t="shared" ref="AU18:BD18" si="11">M76</f>
        <v>271.74000000000007</v>
      </c>
      <c r="AV18" s="59">
        <f t="shared" si="11"/>
        <v>302.74</v>
      </c>
      <c r="AW18" s="59">
        <f t="shared" si="11"/>
        <v>295.04000000000008</v>
      </c>
      <c r="AX18" s="59">
        <f t="shared" si="11"/>
        <v>321.84000000000003</v>
      </c>
      <c r="AY18" s="59">
        <f t="shared" si="11"/>
        <v>321.84000000000003</v>
      </c>
      <c r="AZ18" s="59">
        <f t="shared" si="11"/>
        <v>315.84000000000003</v>
      </c>
      <c r="BA18" s="59">
        <f t="shared" si="11"/>
        <v>317.04000000000008</v>
      </c>
      <c r="BB18" s="59">
        <f t="shared" si="11"/>
        <v>358.94000000000005</v>
      </c>
      <c r="BC18" s="59">
        <f t="shared" si="11"/>
        <v>326.74000000000012</v>
      </c>
      <c r="BD18" s="59">
        <f t="shared" si="11"/>
        <v>292.6400000000001</v>
      </c>
      <c r="BE18" s="60">
        <f>X76</f>
        <v>269.64</v>
      </c>
      <c r="BF18" s="60">
        <f>Z76</f>
        <v>403.60000000000008</v>
      </c>
      <c r="BG18" s="60">
        <f>AB76</f>
        <v>396.84000000000009</v>
      </c>
      <c r="BH18" s="60">
        <f>AD76</f>
        <v>385.44000000000011</v>
      </c>
      <c r="BI18" s="60">
        <f>AE76</f>
        <v>131.03999999999996</v>
      </c>
      <c r="BJ18" s="60">
        <f>AF76</f>
        <v>344.04000000000008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31.4</v>
      </c>
      <c r="C19" s="46">
        <v>31.4</v>
      </c>
      <c r="D19" s="46">
        <v>31.4</v>
      </c>
      <c r="E19" s="46">
        <v>31.4</v>
      </c>
      <c r="F19" s="46">
        <v>31.4</v>
      </c>
      <c r="G19" s="46">
        <v>31.4</v>
      </c>
      <c r="H19" s="46">
        <v>31.4</v>
      </c>
      <c r="I19" s="46">
        <v>31.4</v>
      </c>
      <c r="J19" s="46">
        <v>31.4</v>
      </c>
      <c r="K19" s="46">
        <v>31.4</v>
      </c>
      <c r="L19" s="46">
        <v>31.4</v>
      </c>
      <c r="M19" s="46">
        <v>31.4</v>
      </c>
      <c r="N19" s="46">
        <v>31.4</v>
      </c>
      <c r="O19" s="46">
        <v>31.4</v>
      </c>
      <c r="P19" s="46">
        <v>31.4</v>
      </c>
      <c r="Q19" s="46">
        <v>31.4</v>
      </c>
      <c r="R19" s="46">
        <v>31.4</v>
      </c>
      <c r="S19" s="46">
        <v>20.100000000000001</v>
      </c>
      <c r="T19" s="46">
        <v>20.100000000000001</v>
      </c>
      <c r="U19" s="46">
        <v>20.100000000000001</v>
      </c>
      <c r="V19" s="46">
        <v>20.100000000000001</v>
      </c>
      <c r="W19" s="46">
        <v>23.2</v>
      </c>
      <c r="X19" s="46">
        <v>23.2</v>
      </c>
      <c r="Y19" s="46">
        <v>23.2</v>
      </c>
      <c r="Z19" s="46">
        <v>23.2</v>
      </c>
      <c r="AA19" s="46">
        <v>23.2</v>
      </c>
      <c r="AB19" s="46">
        <v>23.2</v>
      </c>
      <c r="AC19" s="46">
        <v>23.2</v>
      </c>
      <c r="AD19" s="46">
        <v>23.2</v>
      </c>
      <c r="AE19" s="46">
        <v>23.2</v>
      </c>
      <c r="AF19" s="46">
        <v>23.2</v>
      </c>
      <c r="AG19" s="50">
        <v>38.46</v>
      </c>
      <c r="AH19" s="48">
        <f t="shared" si="8"/>
        <v>31.4</v>
      </c>
      <c r="AI19" s="49">
        <f t="shared" si="9"/>
        <v>20.100000000000001</v>
      </c>
      <c r="AK19" s="51"/>
      <c r="AL19" s="54" t="s">
        <v>31</v>
      </c>
      <c r="AM19" s="59">
        <f t="shared" ref="AM19:AR19" si="12">B92</f>
        <v>97.2</v>
      </c>
      <c r="AN19" s="59">
        <f t="shared" si="12"/>
        <v>94.5</v>
      </c>
      <c r="AO19" s="59">
        <f t="shared" si="12"/>
        <v>96.2</v>
      </c>
      <c r="AP19" s="59">
        <f t="shared" si="12"/>
        <v>97.6</v>
      </c>
      <c r="AQ19" s="59">
        <f t="shared" si="12"/>
        <v>86.2</v>
      </c>
      <c r="AR19" s="59">
        <f t="shared" si="12"/>
        <v>82.9</v>
      </c>
      <c r="AS19" s="59">
        <f>I92</f>
        <v>81</v>
      </c>
      <c r="AT19" s="59">
        <f>K92</f>
        <v>490.9</v>
      </c>
      <c r="AU19" s="59">
        <f t="shared" ref="AU19:BD19" si="13">M92</f>
        <v>619.9</v>
      </c>
      <c r="AV19" s="59">
        <f t="shared" si="13"/>
        <v>593</v>
      </c>
      <c r="AW19" s="59">
        <f t="shared" si="13"/>
        <v>642.09999999999991</v>
      </c>
      <c r="AX19" s="59">
        <f t="shared" si="13"/>
        <v>568.29999999999995</v>
      </c>
      <c r="AY19" s="59">
        <f t="shared" si="13"/>
        <v>669</v>
      </c>
      <c r="AZ19" s="59">
        <f t="shared" si="13"/>
        <v>666</v>
      </c>
      <c r="BA19" s="59">
        <f t="shared" si="13"/>
        <v>625.30000000000007</v>
      </c>
      <c r="BB19" s="59">
        <f t="shared" si="13"/>
        <v>614.39999999999986</v>
      </c>
      <c r="BC19" s="59">
        <f t="shared" si="13"/>
        <v>549.9</v>
      </c>
      <c r="BD19" s="59">
        <f t="shared" si="13"/>
        <v>528.70000000000005</v>
      </c>
      <c r="BE19" s="60">
        <f>X92</f>
        <v>349.9</v>
      </c>
      <c r="BF19" s="60">
        <f>Z92</f>
        <v>71.400000000000006</v>
      </c>
      <c r="BG19" s="60">
        <f>AB92</f>
        <v>80</v>
      </c>
      <c r="BH19" s="60">
        <f>AD92</f>
        <v>73</v>
      </c>
      <c r="BI19" s="60">
        <f>AE92</f>
        <v>0</v>
      </c>
      <c r="BJ19" s="60">
        <f>AF92</f>
        <v>87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17</v>
      </c>
      <c r="F20" s="46">
        <v>17</v>
      </c>
      <c r="G20" s="46">
        <v>17</v>
      </c>
      <c r="H20" s="46">
        <v>17</v>
      </c>
      <c r="I20" s="46">
        <v>17</v>
      </c>
      <c r="J20" s="46">
        <v>17</v>
      </c>
      <c r="K20" s="46">
        <v>17</v>
      </c>
      <c r="L20" s="46">
        <v>17</v>
      </c>
      <c r="M20" s="46">
        <v>17</v>
      </c>
      <c r="N20" s="46">
        <v>17</v>
      </c>
      <c r="O20" s="46">
        <v>17</v>
      </c>
      <c r="P20" s="46">
        <v>17</v>
      </c>
      <c r="Q20" s="46">
        <v>17</v>
      </c>
      <c r="R20" s="46">
        <v>17</v>
      </c>
      <c r="S20" s="46">
        <v>17</v>
      </c>
      <c r="T20" s="46">
        <v>17</v>
      </c>
      <c r="U20" s="46">
        <v>17</v>
      </c>
      <c r="V20" s="46">
        <v>17</v>
      </c>
      <c r="W20" s="46">
        <v>17</v>
      </c>
      <c r="X20" s="46">
        <v>17</v>
      </c>
      <c r="Y20" s="46">
        <v>17</v>
      </c>
      <c r="Z20" s="46">
        <v>17</v>
      </c>
      <c r="AA20" s="46">
        <v>17</v>
      </c>
      <c r="AB20" s="46">
        <v>17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17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72.3</v>
      </c>
      <c r="AN20" s="59">
        <f t="shared" si="14"/>
        <v>72.3</v>
      </c>
      <c r="AO20" s="59">
        <f t="shared" si="14"/>
        <v>99.1</v>
      </c>
      <c r="AP20" s="59">
        <f t="shared" si="14"/>
        <v>99.1</v>
      </c>
      <c r="AQ20" s="59">
        <f t="shared" si="14"/>
        <v>72.3</v>
      </c>
      <c r="AR20" s="59">
        <f t="shared" si="14"/>
        <v>61.199999999999996</v>
      </c>
      <c r="AS20" s="59">
        <f>I80</f>
        <v>80.7</v>
      </c>
      <c r="AT20" s="59">
        <f>K80</f>
        <v>51.1</v>
      </c>
      <c r="AU20" s="59">
        <f t="shared" ref="AU20:BD20" si="15">M80</f>
        <v>50.1</v>
      </c>
      <c r="AV20" s="59">
        <f t="shared" si="15"/>
        <v>36.200000000000003</v>
      </c>
      <c r="AW20" s="59">
        <f t="shared" si="15"/>
        <v>36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22.599999999999998</v>
      </c>
      <c r="BG20" s="60">
        <f>AB80</f>
        <v>78.599999999999994</v>
      </c>
      <c r="BH20" s="60">
        <f>AD80</f>
        <v>99.7</v>
      </c>
      <c r="BI20" s="60">
        <f>AE80</f>
        <v>0</v>
      </c>
      <c r="BJ20" s="60">
        <f>AF80</f>
        <v>19.5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250</v>
      </c>
      <c r="AN21" s="59">
        <f t="shared" si="16"/>
        <v>250</v>
      </c>
      <c r="AO21" s="59">
        <f t="shared" si="16"/>
        <v>250</v>
      </c>
      <c r="AP21" s="59">
        <f t="shared" si="16"/>
        <v>250</v>
      </c>
      <c r="AQ21" s="59">
        <f t="shared" si="16"/>
        <v>250</v>
      </c>
      <c r="AR21" s="59">
        <f t="shared" si="16"/>
        <v>250</v>
      </c>
      <c r="AS21" s="59">
        <f>I98</f>
        <v>180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150</v>
      </c>
      <c r="BG21" s="60">
        <f>AB98</f>
        <v>180</v>
      </c>
      <c r="BH21" s="60">
        <f>AD98</f>
        <v>180</v>
      </c>
      <c r="BI21" s="60">
        <f>AE98</f>
        <v>0</v>
      </c>
      <c r="BJ21" s="60">
        <f>AF98</f>
        <v>180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12.6</v>
      </c>
      <c r="C22" s="46">
        <v>12.6</v>
      </c>
      <c r="D22" s="46">
        <v>12.6</v>
      </c>
      <c r="E22" s="46">
        <v>12.6</v>
      </c>
      <c r="F22" s="46">
        <v>12.6</v>
      </c>
      <c r="G22" s="46">
        <v>12.6</v>
      </c>
      <c r="H22" s="46">
        <v>12.6</v>
      </c>
      <c r="I22" s="46">
        <v>12.6</v>
      </c>
      <c r="J22" s="46">
        <v>12.6</v>
      </c>
      <c r="K22" s="46">
        <v>12.6</v>
      </c>
      <c r="L22" s="46">
        <v>12.6</v>
      </c>
      <c r="M22" s="46">
        <v>12.6</v>
      </c>
      <c r="N22" s="46">
        <v>12.6</v>
      </c>
      <c r="O22" s="46">
        <v>12.6</v>
      </c>
      <c r="P22" s="46">
        <v>12.6</v>
      </c>
      <c r="Q22" s="46">
        <v>12.6</v>
      </c>
      <c r="R22" s="46">
        <v>12.6</v>
      </c>
      <c r="S22" s="46">
        <v>12.6</v>
      </c>
      <c r="T22" s="46">
        <v>12.6</v>
      </c>
      <c r="U22" s="46">
        <v>12.6</v>
      </c>
      <c r="V22" s="46">
        <v>12.6</v>
      </c>
      <c r="W22" s="46">
        <v>12.6</v>
      </c>
      <c r="X22" s="46">
        <v>12.6</v>
      </c>
      <c r="Y22" s="46">
        <v>12.6</v>
      </c>
      <c r="Z22" s="46">
        <v>12.6</v>
      </c>
      <c r="AA22" s="46">
        <v>21</v>
      </c>
      <c r="AB22" s="46">
        <v>21</v>
      </c>
      <c r="AC22" s="46">
        <v>21</v>
      </c>
      <c r="AD22" s="46">
        <v>21</v>
      </c>
      <c r="AE22" s="46">
        <v>21</v>
      </c>
      <c r="AF22" s="46">
        <v>21</v>
      </c>
      <c r="AG22" s="61">
        <v>30</v>
      </c>
      <c r="AH22" s="48">
        <f t="shared" si="8"/>
        <v>21</v>
      </c>
      <c r="AI22" s="49">
        <f t="shared" si="9"/>
        <v>12.6</v>
      </c>
      <c r="AK22" s="51"/>
      <c r="AL22" s="62" t="s">
        <v>37</v>
      </c>
      <c r="AM22" s="63">
        <f t="shared" ref="AM22:BJ22" si="18">SUM(AM16:AM21)</f>
        <v>996.54</v>
      </c>
      <c r="AN22" s="63">
        <f t="shared" si="18"/>
        <v>1520.1399999999999</v>
      </c>
      <c r="AO22" s="63">
        <f t="shared" si="18"/>
        <v>1519.34</v>
      </c>
      <c r="AP22" s="63">
        <f t="shared" si="18"/>
        <v>1509.1399999999999</v>
      </c>
      <c r="AQ22" s="63">
        <f t="shared" si="18"/>
        <v>1453.4399999999998</v>
      </c>
      <c r="AR22" s="63">
        <f t="shared" si="18"/>
        <v>1439.64</v>
      </c>
      <c r="AS22" s="63">
        <f t="shared" si="18"/>
        <v>1449.94</v>
      </c>
      <c r="AT22" s="63">
        <f t="shared" si="18"/>
        <v>1504.34</v>
      </c>
      <c r="AU22" s="63">
        <f t="shared" si="18"/>
        <v>1588.8399999999997</v>
      </c>
      <c r="AV22" s="63">
        <f t="shared" si="18"/>
        <v>1579.04</v>
      </c>
      <c r="AW22" s="63">
        <f t="shared" si="18"/>
        <v>1617.44</v>
      </c>
      <c r="AX22" s="63">
        <f t="shared" si="18"/>
        <v>1534.44</v>
      </c>
      <c r="AY22" s="63">
        <f t="shared" si="18"/>
        <v>1685.1399999999999</v>
      </c>
      <c r="AZ22" s="63">
        <f t="shared" si="18"/>
        <v>1686.1399999999999</v>
      </c>
      <c r="BA22" s="63">
        <f t="shared" si="18"/>
        <v>1602.74</v>
      </c>
      <c r="BB22" s="63">
        <f t="shared" si="18"/>
        <v>1620.6399999999999</v>
      </c>
      <c r="BC22" s="63">
        <f t="shared" si="18"/>
        <v>1578.04</v>
      </c>
      <c r="BD22" s="63">
        <f t="shared" si="18"/>
        <v>1482.8400000000001</v>
      </c>
      <c r="BE22" s="63">
        <f t="shared" si="18"/>
        <v>1358.2399999999998</v>
      </c>
      <c r="BF22" s="63">
        <f t="shared" si="18"/>
        <v>1627.7</v>
      </c>
      <c r="BG22" s="63">
        <f t="shared" si="18"/>
        <v>1738.34</v>
      </c>
      <c r="BH22" s="63">
        <f t="shared" si="18"/>
        <v>1701.0400000000002</v>
      </c>
      <c r="BI22" s="63">
        <f t="shared" si="18"/>
        <v>744.33999999999992</v>
      </c>
      <c r="BJ22" s="63">
        <f t="shared" si="18"/>
        <v>1513.3400000000001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10</v>
      </c>
      <c r="C23" s="46">
        <v>10</v>
      </c>
      <c r="D23" s="46">
        <v>10</v>
      </c>
      <c r="E23" s="46">
        <v>10</v>
      </c>
      <c r="F23" s="46">
        <v>10</v>
      </c>
      <c r="G23" s="46">
        <v>10</v>
      </c>
      <c r="H23" s="46">
        <v>10</v>
      </c>
      <c r="I23" s="46">
        <v>10</v>
      </c>
      <c r="J23" s="46">
        <v>10</v>
      </c>
      <c r="K23" s="46">
        <v>10</v>
      </c>
      <c r="L23" s="46">
        <v>10</v>
      </c>
      <c r="M23" s="46">
        <v>10</v>
      </c>
      <c r="N23" s="46">
        <v>10</v>
      </c>
      <c r="O23" s="46">
        <v>10</v>
      </c>
      <c r="P23" s="46">
        <v>10</v>
      </c>
      <c r="Q23" s="46">
        <v>10</v>
      </c>
      <c r="R23" s="46">
        <v>10</v>
      </c>
      <c r="S23" s="46">
        <v>10.4</v>
      </c>
      <c r="T23" s="46">
        <v>10.4</v>
      </c>
      <c r="U23" s="46">
        <v>10.4</v>
      </c>
      <c r="V23" s="46">
        <v>10.4</v>
      </c>
      <c r="W23" s="46">
        <v>10.4</v>
      </c>
      <c r="X23" s="46">
        <v>10.4</v>
      </c>
      <c r="Y23" s="46">
        <v>10.4</v>
      </c>
      <c r="Z23" s="46">
        <v>10.4</v>
      </c>
      <c r="AA23" s="46">
        <v>10.4</v>
      </c>
      <c r="AB23" s="46">
        <v>10.4</v>
      </c>
      <c r="AC23" s="46">
        <v>10.4</v>
      </c>
      <c r="AD23" s="46">
        <v>10.4</v>
      </c>
      <c r="AE23" s="46">
        <v>10.4</v>
      </c>
      <c r="AF23" s="46">
        <v>10.4</v>
      </c>
      <c r="AG23" s="50">
        <v>24.2</v>
      </c>
      <c r="AH23" s="48">
        <f t="shared" si="8"/>
        <v>10.4</v>
      </c>
      <c r="AI23" s="49">
        <f t="shared" si="9"/>
        <v>10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10.3</v>
      </c>
      <c r="C24" s="46">
        <v>10.3</v>
      </c>
      <c r="D24" s="46">
        <v>10.3</v>
      </c>
      <c r="E24" s="46">
        <v>10.3</v>
      </c>
      <c r="F24" s="46">
        <v>10.3</v>
      </c>
      <c r="G24" s="46">
        <v>10.3</v>
      </c>
      <c r="H24" s="46">
        <v>10.3</v>
      </c>
      <c r="I24" s="46">
        <v>10.3</v>
      </c>
      <c r="J24" s="46">
        <v>10.3</v>
      </c>
      <c r="K24" s="46">
        <v>10.3</v>
      </c>
      <c r="L24" s="46">
        <v>10.3</v>
      </c>
      <c r="M24" s="46">
        <v>10.3</v>
      </c>
      <c r="N24" s="46">
        <v>10.3</v>
      </c>
      <c r="O24" s="46">
        <v>10.3</v>
      </c>
      <c r="P24" s="46">
        <v>10.3</v>
      </c>
      <c r="Q24" s="46">
        <v>10.3</v>
      </c>
      <c r="R24" s="46">
        <v>10.3</v>
      </c>
      <c r="S24" s="46">
        <v>10.3</v>
      </c>
      <c r="T24" s="46">
        <v>10.3</v>
      </c>
      <c r="U24" s="46">
        <v>10.3</v>
      </c>
      <c r="V24" s="46">
        <v>10.3</v>
      </c>
      <c r="W24" s="46">
        <v>8.1</v>
      </c>
      <c r="X24" s="46">
        <v>8.1</v>
      </c>
      <c r="Y24" s="46">
        <v>8.1</v>
      </c>
      <c r="Z24" s="46">
        <v>8.1</v>
      </c>
      <c r="AA24" s="46">
        <v>8.1</v>
      </c>
      <c r="AB24" s="46">
        <v>8.1</v>
      </c>
      <c r="AC24" s="46">
        <v>8.1</v>
      </c>
      <c r="AD24" s="46">
        <v>8.1</v>
      </c>
      <c r="AE24" s="46">
        <v>8.1</v>
      </c>
      <c r="AF24" s="46">
        <v>8.1</v>
      </c>
      <c r="AG24" s="50">
        <v>28</v>
      </c>
      <c r="AH24" s="48">
        <f t="shared" si="8"/>
        <v>10.3</v>
      </c>
      <c r="AI24" s="49">
        <f t="shared" si="9"/>
        <v>8.1</v>
      </c>
      <c r="AK24" s="51"/>
      <c r="AL24" s="62" t="s">
        <v>41</v>
      </c>
      <c r="AM24" s="63">
        <f t="shared" ref="AM24:BJ24" si="21">AM22+AM23</f>
        <v>996.54</v>
      </c>
      <c r="AN24" s="63">
        <f t="shared" si="21"/>
        <v>1520.1399999999999</v>
      </c>
      <c r="AO24" s="63">
        <f t="shared" si="21"/>
        <v>1519.34</v>
      </c>
      <c r="AP24" s="63">
        <f t="shared" si="21"/>
        <v>1509.1399999999999</v>
      </c>
      <c r="AQ24" s="63">
        <f t="shared" si="21"/>
        <v>1453.4399999999998</v>
      </c>
      <c r="AR24" s="63">
        <f t="shared" si="21"/>
        <v>1439.64</v>
      </c>
      <c r="AS24" s="63">
        <f t="shared" si="21"/>
        <v>1449.94</v>
      </c>
      <c r="AT24" s="63">
        <f t="shared" si="21"/>
        <v>1504.34</v>
      </c>
      <c r="AU24" s="63">
        <f t="shared" si="21"/>
        <v>1588.8399999999997</v>
      </c>
      <c r="AV24" s="63">
        <f t="shared" si="21"/>
        <v>1579.04</v>
      </c>
      <c r="AW24" s="63">
        <f t="shared" si="21"/>
        <v>1617.44</v>
      </c>
      <c r="AX24" s="63">
        <f t="shared" si="21"/>
        <v>1534.44</v>
      </c>
      <c r="AY24" s="63">
        <f t="shared" si="21"/>
        <v>1685.1399999999999</v>
      </c>
      <c r="AZ24" s="63">
        <f t="shared" si="21"/>
        <v>1686.1399999999999</v>
      </c>
      <c r="BA24" s="63">
        <f t="shared" si="21"/>
        <v>1602.74</v>
      </c>
      <c r="BB24" s="63">
        <f t="shared" si="21"/>
        <v>1620.6399999999999</v>
      </c>
      <c r="BC24" s="63">
        <f t="shared" si="21"/>
        <v>1578.04</v>
      </c>
      <c r="BD24" s="63">
        <f t="shared" si="21"/>
        <v>1482.8400000000001</v>
      </c>
      <c r="BE24" s="63">
        <f t="shared" si="21"/>
        <v>1358.2399999999998</v>
      </c>
      <c r="BF24" s="63">
        <f t="shared" si="21"/>
        <v>1627.7</v>
      </c>
      <c r="BG24" s="63">
        <f t="shared" si="21"/>
        <v>1738.34</v>
      </c>
      <c r="BH24" s="63">
        <f t="shared" si="21"/>
        <v>1701.0400000000002</v>
      </c>
      <c r="BI24" s="63">
        <f t="shared" si="21"/>
        <v>744.33999999999992</v>
      </c>
      <c r="BJ24" s="63">
        <f t="shared" si="21"/>
        <v>1513.3400000000001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10.6</v>
      </c>
      <c r="C25" s="46">
        <v>10.6</v>
      </c>
      <c r="D25" s="46">
        <v>10.6</v>
      </c>
      <c r="E25" s="46">
        <v>10.6</v>
      </c>
      <c r="F25" s="46">
        <v>10.6</v>
      </c>
      <c r="G25" s="46">
        <v>10.6</v>
      </c>
      <c r="H25" s="46">
        <v>10.6</v>
      </c>
      <c r="I25" s="46">
        <v>10.6</v>
      </c>
      <c r="J25" s="46">
        <v>10.6</v>
      </c>
      <c r="K25" s="46">
        <v>10.6</v>
      </c>
      <c r="L25" s="46">
        <v>10.6</v>
      </c>
      <c r="M25" s="46">
        <v>10.6</v>
      </c>
      <c r="N25" s="46">
        <v>10.6</v>
      </c>
      <c r="O25" s="46">
        <v>10.6</v>
      </c>
      <c r="P25" s="46">
        <v>10.6</v>
      </c>
      <c r="Q25" s="46">
        <v>10.6</v>
      </c>
      <c r="R25" s="46">
        <v>10.6</v>
      </c>
      <c r="S25" s="46">
        <v>10.6</v>
      </c>
      <c r="T25" s="46">
        <v>10.6</v>
      </c>
      <c r="U25" s="46">
        <v>10.6</v>
      </c>
      <c r="V25" s="46">
        <v>10.6</v>
      </c>
      <c r="W25" s="46">
        <v>10.6</v>
      </c>
      <c r="X25" s="46">
        <v>10.6</v>
      </c>
      <c r="Y25" s="46">
        <v>10.6</v>
      </c>
      <c r="Z25" s="46">
        <v>10.6</v>
      </c>
      <c r="AA25" s="46">
        <v>10.6</v>
      </c>
      <c r="AB25" s="46">
        <v>10.6</v>
      </c>
      <c r="AC25" s="46">
        <v>10.6</v>
      </c>
      <c r="AD25" s="46">
        <v>10.6</v>
      </c>
      <c r="AE25" s="46">
        <v>10.6</v>
      </c>
      <c r="AF25" s="46">
        <v>10.6</v>
      </c>
      <c r="AG25" s="61">
        <v>30</v>
      </c>
      <c r="AH25" s="48">
        <f t="shared" si="8"/>
        <v>10.6</v>
      </c>
      <c r="AI25" s="49">
        <f t="shared" si="9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13.1</v>
      </c>
      <c r="C26" s="46">
        <v>13.1</v>
      </c>
      <c r="D26" s="46">
        <v>13.1</v>
      </c>
      <c r="E26" s="46">
        <v>13.1</v>
      </c>
      <c r="F26" s="46">
        <v>13.1</v>
      </c>
      <c r="G26" s="46">
        <v>13.1</v>
      </c>
      <c r="H26" s="46">
        <v>13.1</v>
      </c>
      <c r="I26" s="46">
        <v>13.1</v>
      </c>
      <c r="J26" s="46">
        <v>13.1</v>
      </c>
      <c r="K26" s="46">
        <v>13.1</v>
      </c>
      <c r="L26" s="46">
        <v>13.1</v>
      </c>
      <c r="M26" s="46">
        <v>13.1</v>
      </c>
      <c r="N26" s="46">
        <v>13.1</v>
      </c>
      <c r="O26" s="46">
        <v>13.1</v>
      </c>
      <c r="P26" s="46">
        <v>13.1</v>
      </c>
      <c r="Q26" s="46">
        <v>13.1</v>
      </c>
      <c r="R26" s="46">
        <v>13.1</v>
      </c>
      <c r="S26" s="46">
        <v>13.2</v>
      </c>
      <c r="T26" s="46">
        <v>13.2</v>
      </c>
      <c r="U26" s="46">
        <v>13.2</v>
      </c>
      <c r="V26" s="46">
        <v>13.2</v>
      </c>
      <c r="W26" s="46">
        <v>13.2</v>
      </c>
      <c r="X26" s="46">
        <v>13.2</v>
      </c>
      <c r="Y26" s="46">
        <v>13.2</v>
      </c>
      <c r="Z26" s="46">
        <v>13.2</v>
      </c>
      <c r="AA26" s="46">
        <v>13.2</v>
      </c>
      <c r="AB26" s="46">
        <v>13.2</v>
      </c>
      <c r="AC26" s="46">
        <v>13.2</v>
      </c>
      <c r="AD26" s="46">
        <v>13.2</v>
      </c>
      <c r="AE26" s="46">
        <v>13.2</v>
      </c>
      <c r="AF26" s="46">
        <v>13.2</v>
      </c>
      <c r="AG26" s="50">
        <v>25</v>
      </c>
      <c r="AH26" s="48">
        <f t="shared" si="8"/>
        <v>13.2</v>
      </c>
      <c r="AI26" s="49">
        <f t="shared" si="9"/>
        <v>13.1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12.4</v>
      </c>
      <c r="C29" s="46">
        <v>12.4</v>
      </c>
      <c r="D29" s="46">
        <v>12.4</v>
      </c>
      <c r="E29" s="46">
        <v>12.4</v>
      </c>
      <c r="F29" s="46">
        <v>12.4</v>
      </c>
      <c r="G29" s="46">
        <v>12.4</v>
      </c>
      <c r="H29" s="46">
        <v>12.4</v>
      </c>
      <c r="I29" s="46">
        <v>12.4</v>
      </c>
      <c r="J29" s="46">
        <v>12.4</v>
      </c>
      <c r="K29" s="46">
        <v>12.4</v>
      </c>
      <c r="L29" s="46">
        <v>12.4</v>
      </c>
      <c r="M29" s="46">
        <v>12.4</v>
      </c>
      <c r="N29" s="46">
        <v>12.4</v>
      </c>
      <c r="O29" s="46">
        <v>12.4</v>
      </c>
      <c r="P29" s="46">
        <v>12.4</v>
      </c>
      <c r="Q29" s="46">
        <v>12.4</v>
      </c>
      <c r="R29" s="46">
        <v>12.4</v>
      </c>
      <c r="S29" s="46">
        <v>12.4</v>
      </c>
      <c r="T29" s="46">
        <v>12.4</v>
      </c>
      <c r="U29" s="46">
        <v>12.4</v>
      </c>
      <c r="V29" s="46">
        <v>12.4</v>
      </c>
      <c r="W29" s="46">
        <v>12.4</v>
      </c>
      <c r="X29" s="46">
        <v>12.4</v>
      </c>
      <c r="Y29" s="46">
        <v>12.4</v>
      </c>
      <c r="Z29" s="46">
        <v>12.4</v>
      </c>
      <c r="AA29" s="46">
        <v>12.4</v>
      </c>
      <c r="AB29" s="46">
        <v>12.4</v>
      </c>
      <c r="AC29" s="46">
        <v>12.4</v>
      </c>
      <c r="AD29" s="46">
        <v>12.4</v>
      </c>
      <c r="AE29" s="46">
        <v>12.4</v>
      </c>
      <c r="AF29" s="46">
        <v>12.4</v>
      </c>
      <c r="AG29" s="50">
        <v>25</v>
      </c>
      <c r="AH29" s="48">
        <f t="shared" si="8"/>
        <v>12.4</v>
      </c>
      <c r="AI29" s="49">
        <f t="shared" si="9"/>
        <v>12.4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6.5</v>
      </c>
      <c r="C30" s="46">
        <v>6.5</v>
      </c>
      <c r="D30" s="46">
        <v>6.5</v>
      </c>
      <c r="E30" s="46">
        <v>5.2</v>
      </c>
      <c r="F30" s="46">
        <v>5.2</v>
      </c>
      <c r="G30" s="46">
        <v>5.2</v>
      </c>
      <c r="H30" s="46">
        <v>5.2</v>
      </c>
      <c r="I30" s="46">
        <v>5.2</v>
      </c>
      <c r="J30" s="46">
        <v>5.2</v>
      </c>
      <c r="K30" s="46">
        <v>5.2</v>
      </c>
      <c r="L30" s="46">
        <v>5.2</v>
      </c>
      <c r="M30" s="46">
        <v>5.2</v>
      </c>
      <c r="N30" s="46">
        <v>5.2</v>
      </c>
      <c r="O30" s="46">
        <v>5.2</v>
      </c>
      <c r="P30" s="46">
        <v>5.2</v>
      </c>
      <c r="Q30" s="46">
        <v>5.2</v>
      </c>
      <c r="R30" s="46">
        <v>5.2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5.2</v>
      </c>
      <c r="AA30" s="46">
        <v>5.2</v>
      </c>
      <c r="AB30" s="46">
        <v>5.2</v>
      </c>
      <c r="AC30" s="46">
        <v>5.2</v>
      </c>
      <c r="AD30" s="46">
        <v>5.2</v>
      </c>
      <c r="AE30" s="46">
        <v>5.2</v>
      </c>
      <c r="AF30" s="46">
        <v>5.2</v>
      </c>
      <c r="AG30" s="50">
        <v>23.5</v>
      </c>
      <c r="AH30" s="48">
        <f t="shared" si="8"/>
        <v>6.5</v>
      </c>
      <c r="AI30" s="49">
        <f t="shared" si="9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10.9</v>
      </c>
      <c r="C34" s="46">
        <v>10.9</v>
      </c>
      <c r="D34" s="46">
        <v>10.9</v>
      </c>
      <c r="E34" s="46">
        <v>12.8</v>
      </c>
      <c r="F34" s="46">
        <v>12.8</v>
      </c>
      <c r="G34" s="46">
        <v>12.8</v>
      </c>
      <c r="H34" s="46">
        <v>12.8</v>
      </c>
      <c r="I34" s="46">
        <v>12.8</v>
      </c>
      <c r="J34" s="46">
        <v>12.8</v>
      </c>
      <c r="K34" s="46">
        <v>12.8</v>
      </c>
      <c r="L34" s="46">
        <v>12.8</v>
      </c>
      <c r="M34" s="46">
        <v>12.8</v>
      </c>
      <c r="N34" s="46">
        <v>12.8</v>
      </c>
      <c r="O34" s="46">
        <v>12.8</v>
      </c>
      <c r="P34" s="46">
        <v>12.8</v>
      </c>
      <c r="Q34" s="46">
        <v>12.8</v>
      </c>
      <c r="R34" s="46">
        <v>12.8</v>
      </c>
      <c r="S34" s="46">
        <v>12.8</v>
      </c>
      <c r="T34" s="46">
        <v>12.8</v>
      </c>
      <c r="U34" s="46">
        <v>12.8</v>
      </c>
      <c r="V34" s="46">
        <v>12.8</v>
      </c>
      <c r="W34" s="46">
        <v>12.8</v>
      </c>
      <c r="X34" s="46">
        <v>12.8</v>
      </c>
      <c r="Y34" s="46">
        <v>12.8</v>
      </c>
      <c r="Z34" s="46">
        <v>12.8</v>
      </c>
      <c r="AA34" s="46">
        <v>12.8</v>
      </c>
      <c r="AB34" s="46">
        <v>12.8</v>
      </c>
      <c r="AC34" s="46">
        <v>12.8</v>
      </c>
      <c r="AD34" s="46">
        <v>12.8</v>
      </c>
      <c r="AE34" s="46">
        <v>12.8</v>
      </c>
      <c r="AF34" s="46">
        <v>12.8</v>
      </c>
      <c r="AG34" s="50">
        <v>22</v>
      </c>
      <c r="AH34" s="48">
        <f t="shared" si="8"/>
        <v>12.8</v>
      </c>
      <c r="AI34" s="49">
        <f t="shared" si="9"/>
        <v>10.9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12.4</v>
      </c>
      <c r="C35" s="46">
        <v>12.4</v>
      </c>
      <c r="D35" s="46">
        <v>12.4</v>
      </c>
      <c r="E35" s="46">
        <v>13.2</v>
      </c>
      <c r="F35" s="46">
        <v>13.2</v>
      </c>
      <c r="G35" s="46">
        <v>13.2</v>
      </c>
      <c r="H35" s="46">
        <v>13.2</v>
      </c>
      <c r="I35" s="46">
        <v>13.2</v>
      </c>
      <c r="J35" s="46">
        <v>13.2</v>
      </c>
      <c r="K35" s="46">
        <v>13.2</v>
      </c>
      <c r="L35" s="46">
        <v>13.2</v>
      </c>
      <c r="M35" s="46">
        <v>13.2</v>
      </c>
      <c r="N35" s="46">
        <v>13.2</v>
      </c>
      <c r="O35" s="46">
        <v>13.2</v>
      </c>
      <c r="P35" s="46">
        <v>13.2</v>
      </c>
      <c r="Q35" s="46">
        <v>13.2</v>
      </c>
      <c r="R35" s="46">
        <v>13.2</v>
      </c>
      <c r="S35" s="46">
        <v>13.2</v>
      </c>
      <c r="T35" s="46">
        <v>13.2</v>
      </c>
      <c r="U35" s="46">
        <v>13.2</v>
      </c>
      <c r="V35" s="46">
        <v>13.2</v>
      </c>
      <c r="W35" s="46">
        <v>13.2</v>
      </c>
      <c r="X35" s="46">
        <v>13.2</v>
      </c>
      <c r="Y35" s="46">
        <v>13.2</v>
      </c>
      <c r="Z35" s="46">
        <v>13.2</v>
      </c>
      <c r="AA35" s="46">
        <v>13.2</v>
      </c>
      <c r="AB35" s="46">
        <v>13.2</v>
      </c>
      <c r="AC35" s="46">
        <v>13.2</v>
      </c>
      <c r="AD35" s="46">
        <v>13.2</v>
      </c>
      <c r="AE35" s="46">
        <v>13.2</v>
      </c>
      <c r="AF35" s="46">
        <v>13.2</v>
      </c>
      <c r="AG35" s="50">
        <v>20</v>
      </c>
      <c r="AH35" s="48">
        <f t="shared" si="8"/>
        <v>13.2</v>
      </c>
      <c r="AI35" s="49">
        <f t="shared" si="9"/>
        <v>12.4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10.6</v>
      </c>
      <c r="C37" s="46">
        <v>10.6</v>
      </c>
      <c r="D37" s="46">
        <v>10.6</v>
      </c>
      <c r="E37" s="46">
        <v>11.1</v>
      </c>
      <c r="F37" s="46">
        <v>11.1</v>
      </c>
      <c r="G37" s="46">
        <v>11.1</v>
      </c>
      <c r="H37" s="46">
        <v>11.1</v>
      </c>
      <c r="I37" s="46">
        <v>11.1</v>
      </c>
      <c r="J37" s="46">
        <v>11.1</v>
      </c>
      <c r="K37" s="46">
        <v>11.1</v>
      </c>
      <c r="L37" s="46">
        <v>11.1</v>
      </c>
      <c r="M37" s="46">
        <v>11.1</v>
      </c>
      <c r="N37" s="46">
        <v>11.1</v>
      </c>
      <c r="O37" s="46">
        <v>11.1</v>
      </c>
      <c r="P37" s="46">
        <v>11.1</v>
      </c>
      <c r="Q37" s="46">
        <v>11.1</v>
      </c>
      <c r="R37" s="46">
        <v>11.1</v>
      </c>
      <c r="S37" s="46">
        <v>11.1</v>
      </c>
      <c r="T37" s="46">
        <v>11.1</v>
      </c>
      <c r="U37" s="46">
        <v>11.1</v>
      </c>
      <c r="V37" s="46">
        <v>11.1</v>
      </c>
      <c r="W37" s="46">
        <v>11.1</v>
      </c>
      <c r="X37" s="46">
        <v>11.1</v>
      </c>
      <c r="Y37" s="46">
        <v>11.1</v>
      </c>
      <c r="Z37" s="46">
        <v>11.1</v>
      </c>
      <c r="AA37" s="46">
        <v>11.1</v>
      </c>
      <c r="AB37" s="46">
        <v>11.1</v>
      </c>
      <c r="AC37" s="46">
        <v>11.1</v>
      </c>
      <c r="AD37" s="46">
        <v>11.1</v>
      </c>
      <c r="AE37" s="46">
        <v>11.1</v>
      </c>
      <c r="AF37" s="46">
        <v>11.1</v>
      </c>
      <c r="AG37" s="50">
        <v>18</v>
      </c>
      <c r="AH37" s="48">
        <f t="shared" si="8"/>
        <v>11.1</v>
      </c>
      <c r="AI37" s="49">
        <f t="shared" si="9"/>
        <v>10.6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>
        <v>6.8</v>
      </c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6.8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2.2999999999999998</v>
      </c>
      <c r="C41" s="46">
        <v>2.2999999999999998</v>
      </c>
      <c r="D41" s="46">
        <v>2.2999999999999998</v>
      </c>
      <c r="E41" s="46">
        <v>2.2999999999999998</v>
      </c>
      <c r="F41" s="46">
        <v>2.2999999999999998</v>
      </c>
      <c r="G41" s="46">
        <v>2.2999999999999998</v>
      </c>
      <c r="H41" s="46">
        <v>2.2999999999999998</v>
      </c>
      <c r="I41" s="46">
        <v>2.2999999999999998</v>
      </c>
      <c r="J41" s="46">
        <v>2.2999999999999998</v>
      </c>
      <c r="K41" s="46">
        <v>2.2999999999999998</v>
      </c>
      <c r="L41" s="46">
        <v>2.2999999999999998</v>
      </c>
      <c r="M41" s="46">
        <v>2.2999999999999998</v>
      </c>
      <c r="N41" s="46">
        <v>2.2999999999999998</v>
      </c>
      <c r="O41" s="46">
        <v>2.2999999999999998</v>
      </c>
      <c r="P41" s="46">
        <v>2.2999999999999998</v>
      </c>
      <c r="Q41" s="46">
        <v>2.2999999999999998</v>
      </c>
      <c r="R41" s="46">
        <v>2.2999999999999998</v>
      </c>
      <c r="S41" s="46">
        <v>2.2999999999999998</v>
      </c>
      <c r="T41" s="46">
        <v>2.2999999999999998</v>
      </c>
      <c r="U41" s="46">
        <v>2.2999999999999998</v>
      </c>
      <c r="V41" s="46">
        <v>2.2999999999999998</v>
      </c>
      <c r="W41" s="46">
        <v>2.2999999999999998</v>
      </c>
      <c r="X41" s="46">
        <v>2.2999999999999998</v>
      </c>
      <c r="Y41" s="46">
        <v>2.2999999999999998</v>
      </c>
      <c r="Z41" s="46">
        <v>2.2999999999999998</v>
      </c>
      <c r="AA41" s="46">
        <v>2.2999999999999998</v>
      </c>
      <c r="AB41" s="46">
        <v>2.2999999999999998</v>
      </c>
      <c r="AC41" s="46">
        <v>2.2999999999999998</v>
      </c>
      <c r="AD41" s="46">
        <v>2.2999999999999998</v>
      </c>
      <c r="AE41" s="46">
        <v>2.2999999999999998</v>
      </c>
      <c r="AF41" s="46">
        <v>2.2999999999999998</v>
      </c>
      <c r="AG41" s="50">
        <v>14.9</v>
      </c>
      <c r="AH41" s="48">
        <f t="shared" si="8"/>
        <v>2.2999999999999998</v>
      </c>
      <c r="AI41" s="49">
        <f t="shared" si="9"/>
        <v>2.2999999999999998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3</v>
      </c>
      <c r="E44" s="46">
        <v>3</v>
      </c>
      <c r="F44" s="46">
        <v>3</v>
      </c>
      <c r="G44" s="46">
        <v>3</v>
      </c>
      <c r="H44" s="46">
        <v>3</v>
      </c>
      <c r="I44" s="46">
        <v>3</v>
      </c>
      <c r="J44" s="46">
        <v>3</v>
      </c>
      <c r="K44" s="46">
        <v>3</v>
      </c>
      <c r="L44" s="46">
        <v>3</v>
      </c>
      <c r="M44" s="46">
        <v>3</v>
      </c>
      <c r="N44" s="46">
        <v>3</v>
      </c>
      <c r="O44" s="46">
        <v>3</v>
      </c>
      <c r="P44" s="46">
        <v>3</v>
      </c>
      <c r="Q44" s="46">
        <v>3</v>
      </c>
      <c r="R44" s="46">
        <v>3</v>
      </c>
      <c r="S44" s="46">
        <v>3</v>
      </c>
      <c r="T44" s="46">
        <v>3</v>
      </c>
      <c r="U44" s="46">
        <v>3</v>
      </c>
      <c r="V44" s="46">
        <v>3</v>
      </c>
      <c r="W44" s="46">
        <v>3</v>
      </c>
      <c r="X44" s="46">
        <v>3</v>
      </c>
      <c r="Y44" s="46">
        <v>3</v>
      </c>
      <c r="Z44" s="46">
        <v>3</v>
      </c>
      <c r="AA44" s="46">
        <v>3</v>
      </c>
      <c r="AB44" s="46">
        <v>3</v>
      </c>
      <c r="AC44" s="46">
        <v>3</v>
      </c>
      <c r="AD44" s="46">
        <v>3</v>
      </c>
      <c r="AE44" s="46">
        <v>3</v>
      </c>
      <c r="AF44" s="46">
        <v>3</v>
      </c>
      <c r="AG44" s="50">
        <v>12</v>
      </c>
      <c r="AH44" s="48">
        <f t="shared" si="8"/>
        <v>3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12</v>
      </c>
      <c r="AH45" s="48">
        <f t="shared" si="8"/>
        <v>7</v>
      </c>
      <c r="AI45" s="49">
        <f t="shared" si="9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6</v>
      </c>
      <c r="AC52" s="46">
        <v>6</v>
      </c>
      <c r="AD52" s="46">
        <v>6</v>
      </c>
      <c r="AE52" s="46">
        <v>6</v>
      </c>
      <c r="AF52" s="46">
        <v>6</v>
      </c>
      <c r="AG52" s="66">
        <v>10</v>
      </c>
      <c r="AH52" s="48">
        <f t="shared" si="8"/>
        <v>6</v>
      </c>
      <c r="AI52" s="49">
        <f t="shared" si="9"/>
        <v>6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/>
      <c r="C57" s="68">
        <f>28+45.9</f>
        <v>73.900000000000006</v>
      </c>
      <c r="D57" s="68">
        <f>29+46.4</f>
        <v>75.400000000000006</v>
      </c>
      <c r="E57" s="68">
        <f>44.5+28.2</f>
        <v>72.7</v>
      </c>
      <c r="F57" s="68">
        <f>42.8+26.4</f>
        <v>69.199999999999989</v>
      </c>
      <c r="G57" s="68">
        <f>43.1+26.3</f>
        <v>69.400000000000006</v>
      </c>
      <c r="H57" s="68">
        <f>44.2+27</f>
        <v>71.2</v>
      </c>
      <c r="I57" s="68">
        <f>40.6+25.8</f>
        <v>66.400000000000006</v>
      </c>
      <c r="J57" s="68">
        <f>44.9+28.1</f>
        <v>73</v>
      </c>
      <c r="K57" s="53">
        <f>43.9+28.2</f>
        <v>72.099999999999994</v>
      </c>
      <c r="L57" s="53">
        <f>26.8+41.2</f>
        <v>68</v>
      </c>
      <c r="M57" s="53">
        <v>68</v>
      </c>
      <c r="N57" s="53">
        <v>72.900000000000006</v>
      </c>
      <c r="O57" s="53">
        <v>72.900000000000006</v>
      </c>
      <c r="P57" s="53">
        <v>72.900000000000006</v>
      </c>
      <c r="Q57" s="53">
        <v>72.900000000000006</v>
      </c>
      <c r="R57" s="53">
        <v>72.900000000000006</v>
      </c>
      <c r="S57" s="53">
        <v>65.599999999999994</v>
      </c>
      <c r="T57" s="53">
        <v>65.599999999999994</v>
      </c>
      <c r="U57" s="53">
        <v>65.599999999999994</v>
      </c>
      <c r="V57" s="53">
        <v>65.599999999999994</v>
      </c>
      <c r="W57" s="53">
        <v>75.7</v>
      </c>
      <c r="X57" s="53">
        <v>75.7</v>
      </c>
      <c r="Y57" s="53">
        <v>75.7</v>
      </c>
      <c r="Z57" s="53">
        <v>75.7</v>
      </c>
      <c r="AA57" s="53">
        <v>75.7</v>
      </c>
      <c r="AB57" s="53">
        <v>75.7</v>
      </c>
      <c r="AC57" s="53">
        <v>75.7</v>
      </c>
      <c r="AD57" s="53">
        <v>75.7</v>
      </c>
      <c r="AE57" s="53">
        <v>75.7</v>
      </c>
      <c r="AF57" s="53">
        <v>75.7</v>
      </c>
      <c r="AG57" s="66">
        <v>240</v>
      </c>
      <c r="AH57" s="48">
        <f t="shared" si="8"/>
        <v>75.7</v>
      </c>
      <c r="AI57" s="49">
        <f t="shared" si="9"/>
        <v>65.599999999999994</v>
      </c>
      <c r="AK57" s="51"/>
    </row>
    <row r="58" spans="1:88" ht="15.75" thickBot="1" x14ac:dyDescent="0.3">
      <c r="A58" s="70" t="s">
        <v>75</v>
      </c>
      <c r="B58" s="71"/>
      <c r="C58" s="71">
        <f>SUM(C11:C56)</f>
        <v>593</v>
      </c>
      <c r="D58" s="71">
        <f>SUM(D11:D56)</f>
        <v>593</v>
      </c>
      <c r="E58" s="71">
        <f>SUM(E11:E56)</f>
        <v>591.79999999999995</v>
      </c>
      <c r="F58" s="71">
        <f t="shared" ref="F58:AF58" si="22">SUM(F11:F56)</f>
        <v>590.29999999999995</v>
      </c>
      <c r="G58" s="71">
        <f t="shared" si="22"/>
        <v>590.29999999999995</v>
      </c>
      <c r="H58" s="71">
        <f t="shared" si="22"/>
        <v>590.29999999999995</v>
      </c>
      <c r="I58" s="71">
        <f t="shared" si="22"/>
        <v>591.79999999999995</v>
      </c>
      <c r="J58" s="71">
        <f t="shared" si="22"/>
        <v>591.79999999999995</v>
      </c>
      <c r="K58" s="71">
        <f t="shared" si="22"/>
        <v>591.1</v>
      </c>
      <c r="L58" s="71">
        <f t="shared" si="22"/>
        <v>588.6</v>
      </c>
      <c r="M58" s="71">
        <f t="shared" si="22"/>
        <v>591.79999999999995</v>
      </c>
      <c r="N58" s="71">
        <f t="shared" si="22"/>
        <v>591.79999999999995</v>
      </c>
      <c r="O58" s="71">
        <f t="shared" si="22"/>
        <v>591.79999999999995</v>
      </c>
      <c r="P58" s="71">
        <f t="shared" si="22"/>
        <v>591.79999999999995</v>
      </c>
      <c r="Q58" s="71">
        <f t="shared" si="22"/>
        <v>591.79999999999995</v>
      </c>
      <c r="R58" s="71">
        <f t="shared" si="22"/>
        <v>591.79999999999995</v>
      </c>
      <c r="S58" s="71">
        <f t="shared" si="22"/>
        <v>569.09999999999991</v>
      </c>
      <c r="T58" s="71">
        <f t="shared" si="22"/>
        <v>567.09999999999991</v>
      </c>
      <c r="U58" s="71">
        <f t="shared" si="22"/>
        <v>581.59999999999991</v>
      </c>
      <c r="V58" s="71">
        <f t="shared" si="22"/>
        <v>581.59999999999991</v>
      </c>
      <c r="W58" s="71">
        <f t="shared" si="22"/>
        <v>589.09999999999991</v>
      </c>
      <c r="X58" s="71">
        <f t="shared" si="22"/>
        <v>589.09999999999991</v>
      </c>
      <c r="Y58" s="71">
        <f t="shared" si="22"/>
        <v>589.09999999999991</v>
      </c>
      <c r="Z58" s="71">
        <f t="shared" si="22"/>
        <v>591.39999999999986</v>
      </c>
      <c r="AA58" s="71">
        <f t="shared" si="22"/>
        <v>613.29999999999995</v>
      </c>
      <c r="AB58" s="71">
        <f t="shared" ref="AB58:AC58" si="23">SUM(AB11:AB56)</f>
        <v>613.29999999999995</v>
      </c>
      <c r="AC58" s="71">
        <f t="shared" si="23"/>
        <v>613.29999999999995</v>
      </c>
      <c r="AD58" s="71">
        <f t="shared" si="22"/>
        <v>613.29999999999995</v>
      </c>
      <c r="AE58" s="71">
        <f t="shared" si="22"/>
        <v>613.29999999999995</v>
      </c>
      <c r="AF58" s="71">
        <f t="shared" si="22"/>
        <v>613.29999999999995</v>
      </c>
      <c r="AG58" s="72">
        <f>SUM(AG14:AG56)</f>
        <v>1042.4000000000001</v>
      </c>
      <c r="AH58" s="48">
        <f t="shared" si="8"/>
        <v>613.29999999999995</v>
      </c>
      <c r="AI58" s="49">
        <f t="shared" si="9"/>
        <v>567.09999999999991</v>
      </c>
      <c r="AK58" s="51"/>
    </row>
    <row r="59" spans="1:88" x14ac:dyDescent="0.25">
      <c r="A59" s="73" t="s">
        <v>76</v>
      </c>
      <c r="B59" s="46">
        <v>220</v>
      </c>
      <c r="C59" s="46">
        <v>180</v>
      </c>
      <c r="D59" s="46">
        <v>150</v>
      </c>
      <c r="E59" s="46">
        <v>150</v>
      </c>
      <c r="F59" s="46">
        <v>150.9</v>
      </c>
      <c r="G59" s="46">
        <v>150.9</v>
      </c>
      <c r="H59" s="46">
        <v>181</v>
      </c>
      <c r="I59" s="46">
        <v>200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74">
        <v>0</v>
      </c>
      <c r="P59" s="74">
        <v>0</v>
      </c>
      <c r="Q59" s="74">
        <v>50</v>
      </c>
      <c r="R59" s="74">
        <v>60</v>
      </c>
      <c r="S59" s="74">
        <v>40</v>
      </c>
      <c r="T59" s="74">
        <v>30</v>
      </c>
      <c r="U59" s="74">
        <v>70</v>
      </c>
      <c r="V59" s="74">
        <v>30</v>
      </c>
      <c r="W59" s="74">
        <v>30</v>
      </c>
      <c r="X59" s="46">
        <v>100</v>
      </c>
      <c r="Y59" s="46">
        <v>250</v>
      </c>
      <c r="Z59" s="46">
        <v>338</v>
      </c>
      <c r="AA59" s="46">
        <v>400</v>
      </c>
      <c r="AB59" s="46">
        <v>340</v>
      </c>
      <c r="AC59" s="46">
        <v>290</v>
      </c>
      <c r="AD59" s="46">
        <v>300</v>
      </c>
      <c r="AE59" s="46"/>
      <c r="AF59" s="46">
        <v>220</v>
      </c>
      <c r="AG59" s="61">
        <v>456</v>
      </c>
      <c r="AH59" s="48">
        <f t="shared" si="8"/>
        <v>400</v>
      </c>
      <c r="AI59" s="49">
        <f t="shared" si="9"/>
        <v>0</v>
      </c>
      <c r="AK59" s="51"/>
    </row>
    <row r="60" spans="1:88" x14ac:dyDescent="0.25">
      <c r="A60" s="75" t="s">
        <v>77</v>
      </c>
      <c r="B60" s="76">
        <v>37.9</v>
      </c>
      <c r="C60" s="76">
        <v>37.9</v>
      </c>
      <c r="D60" s="76">
        <v>37.9</v>
      </c>
      <c r="E60" s="76">
        <v>34</v>
      </c>
      <c r="F60" s="76">
        <v>31.9</v>
      </c>
      <c r="G60" s="76">
        <v>31.9</v>
      </c>
      <c r="H60" s="76">
        <v>31.9</v>
      </c>
      <c r="I60" s="76">
        <v>32.6</v>
      </c>
      <c r="J60" s="76">
        <v>31.3</v>
      </c>
      <c r="K60" s="76">
        <v>31.8</v>
      </c>
      <c r="L60" s="76">
        <v>31.8</v>
      </c>
      <c r="M60" s="76">
        <v>32.799999999999997</v>
      </c>
      <c r="N60" s="76">
        <v>32.799999999999997</v>
      </c>
      <c r="O60" s="76">
        <v>30</v>
      </c>
      <c r="P60" s="76">
        <v>30</v>
      </c>
      <c r="Q60" s="76">
        <v>30</v>
      </c>
      <c r="R60" s="76">
        <v>30</v>
      </c>
      <c r="S60" s="76">
        <v>28.8</v>
      </c>
      <c r="T60" s="76">
        <v>27.7</v>
      </c>
      <c r="U60" s="76">
        <v>27.3</v>
      </c>
      <c r="V60" s="76">
        <v>27.4</v>
      </c>
      <c r="W60" s="76">
        <v>27.1</v>
      </c>
      <c r="X60" s="76">
        <v>27.1</v>
      </c>
      <c r="Y60" s="76">
        <v>27</v>
      </c>
      <c r="Z60" s="76">
        <v>28.1</v>
      </c>
      <c r="AA60" s="76">
        <v>27.1</v>
      </c>
      <c r="AB60" s="76">
        <v>27.1</v>
      </c>
      <c r="AC60" s="76">
        <v>27.1</v>
      </c>
      <c r="AD60" s="76">
        <v>27.1</v>
      </c>
      <c r="AE60" s="76"/>
      <c r="AF60" s="76">
        <v>27</v>
      </c>
      <c r="AG60" s="66">
        <v>60</v>
      </c>
      <c r="AH60" s="48">
        <f t="shared" si="8"/>
        <v>37.9</v>
      </c>
      <c r="AI60" s="49">
        <f t="shared" si="9"/>
        <v>27</v>
      </c>
      <c r="AK60" s="51"/>
    </row>
    <row r="61" spans="1:88" ht="15.75" thickBot="1" x14ac:dyDescent="0.3">
      <c r="A61" s="77" t="s">
        <v>78</v>
      </c>
      <c r="B61" s="78">
        <v>22.5</v>
      </c>
      <c r="C61" s="78">
        <v>22.5</v>
      </c>
      <c r="D61" s="78">
        <v>22.5</v>
      </c>
      <c r="E61" s="78">
        <v>22.5</v>
      </c>
      <c r="F61" s="78">
        <v>22.5</v>
      </c>
      <c r="G61" s="78">
        <v>22.5</v>
      </c>
      <c r="H61" s="78">
        <v>22.5</v>
      </c>
      <c r="I61" s="78">
        <v>22.5</v>
      </c>
      <c r="J61" s="78">
        <v>22.5</v>
      </c>
      <c r="K61" s="78">
        <v>22.6</v>
      </c>
      <c r="L61" s="78">
        <v>22.5</v>
      </c>
      <c r="M61" s="78">
        <v>22.5</v>
      </c>
      <c r="N61" s="78">
        <v>22.5</v>
      </c>
      <c r="O61" s="78">
        <v>22.5</v>
      </c>
      <c r="P61" s="78">
        <v>22.5</v>
      </c>
      <c r="Q61" s="78">
        <v>22.5</v>
      </c>
      <c r="R61" s="78">
        <v>22.5</v>
      </c>
      <c r="S61" s="78">
        <v>22.5</v>
      </c>
      <c r="T61" s="78">
        <v>22.5</v>
      </c>
      <c r="U61" s="78">
        <v>22.5</v>
      </c>
      <c r="V61" s="78">
        <v>22.5</v>
      </c>
      <c r="W61" s="78">
        <v>22.5</v>
      </c>
      <c r="X61" s="78">
        <v>22.5</v>
      </c>
      <c r="Y61" s="78">
        <v>22.5</v>
      </c>
      <c r="Z61" s="78">
        <v>22.6</v>
      </c>
      <c r="AA61" s="78">
        <v>22.5</v>
      </c>
      <c r="AB61" s="78">
        <v>22.5</v>
      </c>
      <c r="AC61" s="78">
        <v>22.5</v>
      </c>
      <c r="AD61" s="78">
        <v>22.5</v>
      </c>
      <c r="AE61" s="78"/>
      <c r="AF61" s="78">
        <v>22.5</v>
      </c>
      <c r="AG61" s="79">
        <v>22.1</v>
      </c>
      <c r="AH61" s="48">
        <f t="shared" si="8"/>
        <v>22.6</v>
      </c>
      <c r="AI61" s="49">
        <f t="shared" si="9"/>
        <v>22.5</v>
      </c>
      <c r="AK61" s="51"/>
    </row>
    <row r="62" spans="1:88" ht="15.75" thickBot="1" x14ac:dyDescent="0.3">
      <c r="A62" s="80" t="s">
        <v>79</v>
      </c>
      <c r="B62" s="71">
        <f>SUM(B59:B61)</f>
        <v>280.39999999999998</v>
      </c>
      <c r="C62" s="71">
        <f>SUM(C59:C61)</f>
        <v>240.4</v>
      </c>
      <c r="D62" s="71">
        <f>SUM(D59:D61)</f>
        <v>210.4</v>
      </c>
      <c r="E62" s="71">
        <f>SUM(E59:E61)</f>
        <v>206.5</v>
      </c>
      <c r="F62" s="71">
        <f t="shared" ref="F62:AG62" si="24">SUM(F59:F61)</f>
        <v>205.3</v>
      </c>
      <c r="G62" s="71">
        <f t="shared" si="24"/>
        <v>205.3</v>
      </c>
      <c r="H62" s="71">
        <f t="shared" si="24"/>
        <v>235.4</v>
      </c>
      <c r="I62" s="71">
        <f t="shared" si="24"/>
        <v>255.1</v>
      </c>
      <c r="J62" s="71">
        <f t="shared" si="24"/>
        <v>53.8</v>
      </c>
      <c r="K62" s="71">
        <f t="shared" si="24"/>
        <v>54.400000000000006</v>
      </c>
      <c r="L62" s="71">
        <f t="shared" si="24"/>
        <v>54.3</v>
      </c>
      <c r="M62" s="71">
        <f t="shared" si="24"/>
        <v>55.3</v>
      </c>
      <c r="N62" s="71">
        <f t="shared" si="24"/>
        <v>55.3</v>
      </c>
      <c r="O62" s="71">
        <f t="shared" si="24"/>
        <v>52.5</v>
      </c>
      <c r="P62" s="71">
        <f t="shared" si="24"/>
        <v>52.5</v>
      </c>
      <c r="Q62" s="71">
        <f t="shared" si="24"/>
        <v>102.5</v>
      </c>
      <c r="R62" s="71">
        <f t="shared" si="24"/>
        <v>112.5</v>
      </c>
      <c r="S62" s="71">
        <f t="shared" si="24"/>
        <v>91.3</v>
      </c>
      <c r="T62" s="71">
        <f t="shared" si="24"/>
        <v>80.2</v>
      </c>
      <c r="U62" s="71">
        <f t="shared" si="24"/>
        <v>119.8</v>
      </c>
      <c r="V62" s="71">
        <f t="shared" si="24"/>
        <v>79.900000000000006</v>
      </c>
      <c r="W62" s="71">
        <f t="shared" si="24"/>
        <v>79.599999999999994</v>
      </c>
      <c r="X62" s="71">
        <f t="shared" si="24"/>
        <v>149.6</v>
      </c>
      <c r="Y62" s="71">
        <f t="shared" si="24"/>
        <v>299.5</v>
      </c>
      <c r="Z62" s="71">
        <f t="shared" si="24"/>
        <v>388.70000000000005</v>
      </c>
      <c r="AA62" s="71">
        <f t="shared" si="24"/>
        <v>449.6</v>
      </c>
      <c r="AB62" s="71">
        <f t="shared" ref="AB62:AC62" si="25">SUM(AB59:AB61)</f>
        <v>389.6</v>
      </c>
      <c r="AC62" s="71">
        <f t="shared" si="25"/>
        <v>339.6</v>
      </c>
      <c r="AD62" s="71">
        <f t="shared" ref="AD62" si="26">SUM(AD59:AD61)</f>
        <v>349.6</v>
      </c>
      <c r="AE62" s="71">
        <f t="shared" si="24"/>
        <v>0</v>
      </c>
      <c r="AF62" s="71">
        <f t="shared" si="24"/>
        <v>269.5</v>
      </c>
      <c r="AG62" s="72">
        <f t="shared" si="24"/>
        <v>538.1</v>
      </c>
      <c r="AH62" s="48">
        <f t="shared" si="8"/>
        <v>449.6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60</v>
      </c>
      <c r="C63" s="46">
        <v>60</v>
      </c>
      <c r="D63" s="46">
        <v>60</v>
      </c>
      <c r="E63" s="46">
        <v>60</v>
      </c>
      <c r="F63" s="46">
        <v>60</v>
      </c>
      <c r="G63" s="46">
        <v>59.5</v>
      </c>
      <c r="H63" s="46">
        <v>59.5</v>
      </c>
      <c r="I63" s="46">
        <v>59.4</v>
      </c>
      <c r="J63" s="46">
        <v>79.7</v>
      </c>
      <c r="K63" s="46">
        <v>79.5</v>
      </c>
      <c r="L63" s="46">
        <v>59.9</v>
      </c>
      <c r="M63" s="46">
        <v>59.9</v>
      </c>
      <c r="N63" s="46">
        <v>59.9</v>
      </c>
      <c r="O63" s="46">
        <v>60.3</v>
      </c>
      <c r="P63" s="46">
        <v>75</v>
      </c>
      <c r="Q63" s="46">
        <v>75</v>
      </c>
      <c r="R63" s="46">
        <v>69</v>
      </c>
      <c r="S63" s="46">
        <v>95.6</v>
      </c>
      <c r="T63" s="46">
        <v>141</v>
      </c>
      <c r="U63" s="46">
        <v>143.5</v>
      </c>
      <c r="V63" s="46">
        <v>110</v>
      </c>
      <c r="W63" s="46">
        <v>110.5</v>
      </c>
      <c r="X63" s="46">
        <v>90.4</v>
      </c>
      <c r="Y63" s="46">
        <v>130</v>
      </c>
      <c r="Z63" s="46">
        <v>143.80000000000001</v>
      </c>
      <c r="AA63" s="46">
        <v>143.80000000000001</v>
      </c>
      <c r="AB63" s="46">
        <v>134</v>
      </c>
      <c r="AC63" s="46">
        <v>125</v>
      </c>
      <c r="AD63" s="46">
        <v>125</v>
      </c>
      <c r="AE63" s="46"/>
      <c r="AF63" s="46">
        <v>90</v>
      </c>
      <c r="AG63" s="61">
        <v>144</v>
      </c>
      <c r="AH63" s="48">
        <f t="shared" si="8"/>
        <v>143.80000000000001</v>
      </c>
      <c r="AI63" s="49">
        <f t="shared" si="9"/>
        <v>59.4</v>
      </c>
      <c r="AK63" s="51"/>
    </row>
    <row r="64" spans="1:88" x14ac:dyDescent="0.25">
      <c r="A64" s="65" t="s">
        <v>81</v>
      </c>
      <c r="B64" s="46">
        <v>60.5</v>
      </c>
      <c r="C64" s="46">
        <v>60.5</v>
      </c>
      <c r="D64" s="46">
        <v>60.5</v>
      </c>
      <c r="E64" s="46">
        <v>54</v>
      </c>
      <c r="F64" s="76">
        <v>47.6</v>
      </c>
      <c r="G64" s="76">
        <v>48.7</v>
      </c>
      <c r="H64" s="76">
        <v>48.7</v>
      </c>
      <c r="I64" s="76">
        <v>48.1</v>
      </c>
      <c r="J64" s="76">
        <v>66.099999999999994</v>
      </c>
      <c r="K64" s="76">
        <v>59.4</v>
      </c>
      <c r="L64" s="76">
        <v>52.4</v>
      </c>
      <c r="M64" s="76">
        <v>50.5</v>
      </c>
      <c r="N64" s="76">
        <v>59</v>
      </c>
      <c r="O64" s="76">
        <v>58.2</v>
      </c>
      <c r="P64" s="76">
        <v>59</v>
      </c>
      <c r="Q64" s="76">
        <v>59</v>
      </c>
      <c r="R64" s="76">
        <v>59</v>
      </c>
      <c r="S64" s="76">
        <v>60.6</v>
      </c>
      <c r="T64" s="76">
        <v>60.4</v>
      </c>
      <c r="U64" s="76">
        <v>47.1</v>
      </c>
      <c r="V64" s="76">
        <v>46.5</v>
      </c>
      <c r="W64" s="46">
        <v>46.7</v>
      </c>
      <c r="X64" s="46">
        <v>47.2</v>
      </c>
      <c r="Y64" s="46">
        <v>46.8</v>
      </c>
      <c r="Z64" s="46">
        <v>60.3</v>
      </c>
      <c r="AA64" s="46">
        <v>60.3</v>
      </c>
      <c r="AB64" s="46">
        <v>62.5</v>
      </c>
      <c r="AC64" s="46">
        <v>61.7</v>
      </c>
      <c r="AD64" s="46">
        <v>60</v>
      </c>
      <c r="AE64" s="46"/>
      <c r="AF64" s="46">
        <v>60</v>
      </c>
      <c r="AG64" s="66">
        <v>70</v>
      </c>
      <c r="AH64" s="48">
        <f t="shared" si="8"/>
        <v>66.099999999999994</v>
      </c>
      <c r="AI64" s="49">
        <f t="shared" si="9"/>
        <v>46.5</v>
      </c>
      <c r="AK64" s="51"/>
    </row>
    <row r="65" spans="1:75" x14ac:dyDescent="0.25">
      <c r="A65" s="65" t="s">
        <v>82</v>
      </c>
      <c r="B65" s="46">
        <v>66.7</v>
      </c>
      <c r="C65" s="46">
        <v>40</v>
      </c>
      <c r="D65" s="46">
        <v>40.700000000000003</v>
      </c>
      <c r="E65" s="46">
        <v>40.700000000000003</v>
      </c>
      <c r="F65" s="76">
        <v>32</v>
      </c>
      <c r="G65" s="76">
        <v>32</v>
      </c>
      <c r="H65" s="76">
        <v>32.299999999999997</v>
      </c>
      <c r="I65" s="76">
        <v>44</v>
      </c>
      <c r="J65" s="76">
        <v>45.9</v>
      </c>
      <c r="K65" s="76">
        <v>64.7</v>
      </c>
      <c r="L65" s="76">
        <v>51.1</v>
      </c>
      <c r="M65" s="76">
        <v>51.5</v>
      </c>
      <c r="N65" s="76">
        <v>68</v>
      </c>
      <c r="O65" s="76">
        <v>54.8</v>
      </c>
      <c r="P65" s="76">
        <v>61</v>
      </c>
      <c r="Q65" s="76">
        <v>61</v>
      </c>
      <c r="R65" s="76">
        <v>61</v>
      </c>
      <c r="S65" s="76">
        <v>31.8</v>
      </c>
      <c r="T65" s="76">
        <v>31.6</v>
      </c>
      <c r="U65" s="76">
        <v>16</v>
      </c>
      <c r="V65" s="76">
        <v>16</v>
      </c>
      <c r="W65" s="46">
        <v>16.2</v>
      </c>
      <c r="X65" s="46">
        <v>16.100000000000001</v>
      </c>
      <c r="Y65" s="46">
        <v>58.2</v>
      </c>
      <c r="Z65" s="46">
        <v>69.3</v>
      </c>
      <c r="AA65" s="46">
        <v>69.3</v>
      </c>
      <c r="AB65" s="46">
        <v>69.3</v>
      </c>
      <c r="AC65" s="46">
        <v>70</v>
      </c>
      <c r="AD65" s="46">
        <v>69.400000000000006</v>
      </c>
      <c r="AE65" s="46"/>
      <c r="AF65" s="46">
        <v>63</v>
      </c>
      <c r="AG65" s="66">
        <v>69</v>
      </c>
      <c r="AH65" s="48">
        <f t="shared" si="8"/>
        <v>70</v>
      </c>
      <c r="AI65" s="49">
        <f t="shared" si="9"/>
        <v>16</v>
      </c>
      <c r="AK65" s="51"/>
    </row>
    <row r="66" spans="1:75" x14ac:dyDescent="0.25">
      <c r="A66" s="65" t="s">
        <v>83</v>
      </c>
      <c r="B66" s="46">
        <v>60.9</v>
      </c>
      <c r="C66" s="46">
        <v>60.9</v>
      </c>
      <c r="D66" s="46">
        <v>60.9</v>
      </c>
      <c r="E66" s="46">
        <v>60.9</v>
      </c>
      <c r="F66" s="76">
        <v>60.9</v>
      </c>
      <c r="G66" s="76">
        <v>60.9</v>
      </c>
      <c r="H66" s="76">
        <v>60.9</v>
      </c>
      <c r="I66" s="76">
        <v>60.9</v>
      </c>
      <c r="J66" s="76">
        <v>60.9</v>
      </c>
      <c r="K66" s="68">
        <v>60.9</v>
      </c>
      <c r="L66" s="68">
        <v>60.9</v>
      </c>
      <c r="M66" s="76">
        <v>60.9</v>
      </c>
      <c r="N66" s="76">
        <v>60.9</v>
      </c>
      <c r="O66" s="76">
        <v>60.9</v>
      </c>
      <c r="P66" s="76">
        <v>60.9</v>
      </c>
      <c r="Q66" s="76">
        <v>60.9</v>
      </c>
      <c r="R66" s="76">
        <v>60.9</v>
      </c>
      <c r="S66" s="76">
        <v>60.9</v>
      </c>
      <c r="T66" s="76">
        <v>60.9</v>
      </c>
      <c r="U66" s="76">
        <v>60.9</v>
      </c>
      <c r="V66" s="76">
        <v>60.9</v>
      </c>
      <c r="W66" s="46">
        <v>60.7</v>
      </c>
      <c r="X66" s="46">
        <v>60.9</v>
      </c>
      <c r="Y66" s="46">
        <v>60.9</v>
      </c>
      <c r="Z66" s="46">
        <v>60.9</v>
      </c>
      <c r="AA66" s="46">
        <v>60.9</v>
      </c>
      <c r="AB66" s="46">
        <v>60.9</v>
      </c>
      <c r="AC66" s="46">
        <v>60.9</v>
      </c>
      <c r="AD66" s="46">
        <v>60.9</v>
      </c>
      <c r="AE66" s="46">
        <v>60.9</v>
      </c>
      <c r="AF66" s="46">
        <v>60.9</v>
      </c>
      <c r="AG66" s="66">
        <v>60</v>
      </c>
      <c r="AH66" s="48">
        <f t="shared" si="8"/>
        <v>60.9</v>
      </c>
      <c r="AI66" s="49">
        <f t="shared" si="9"/>
        <v>60.7</v>
      </c>
      <c r="AK66" s="51"/>
    </row>
    <row r="67" spans="1:75" x14ac:dyDescent="0.25">
      <c r="A67" s="65" t="s">
        <v>84</v>
      </c>
      <c r="B67" s="46">
        <v>14.2</v>
      </c>
      <c r="C67" s="46">
        <v>14.2</v>
      </c>
      <c r="D67" s="46">
        <v>14.2</v>
      </c>
      <c r="E67" s="46">
        <v>14.2</v>
      </c>
      <c r="F67" s="76">
        <v>14.5</v>
      </c>
      <c r="G67" s="76">
        <v>14.5</v>
      </c>
      <c r="H67" s="76">
        <v>14.6</v>
      </c>
      <c r="I67" s="76">
        <v>14.6</v>
      </c>
      <c r="J67" s="76">
        <v>10</v>
      </c>
      <c r="K67" s="76">
        <v>14.7</v>
      </c>
      <c r="L67" s="68">
        <v>14.7</v>
      </c>
      <c r="M67" s="76">
        <v>14.7</v>
      </c>
      <c r="N67" s="76">
        <v>14.7</v>
      </c>
      <c r="O67" s="76">
        <v>9.9</v>
      </c>
      <c r="P67" s="76">
        <v>15</v>
      </c>
      <c r="Q67" s="76">
        <v>15</v>
      </c>
      <c r="R67" s="76">
        <v>15</v>
      </c>
      <c r="S67" s="76">
        <v>14.8</v>
      </c>
      <c r="T67" s="76">
        <v>10.3</v>
      </c>
      <c r="U67" s="76">
        <v>10.6</v>
      </c>
      <c r="V67" s="76">
        <v>10.6</v>
      </c>
      <c r="W67" s="46">
        <v>10.5</v>
      </c>
      <c r="X67" s="46">
        <v>10.199999999999999</v>
      </c>
      <c r="Y67" s="46">
        <v>15</v>
      </c>
      <c r="Z67" s="46">
        <v>23.2</v>
      </c>
      <c r="AA67" s="46">
        <v>23.2</v>
      </c>
      <c r="AB67" s="46">
        <v>23.2</v>
      </c>
      <c r="AC67" s="46">
        <v>23.2</v>
      </c>
      <c r="AD67" s="46">
        <v>23.2</v>
      </c>
      <c r="AE67" s="46">
        <v>23.2</v>
      </c>
      <c r="AF67" s="46">
        <v>23.2</v>
      </c>
      <c r="AG67" s="66">
        <v>30</v>
      </c>
      <c r="AH67" s="48">
        <f t="shared" si="8"/>
        <v>23.2</v>
      </c>
      <c r="AI67" s="49">
        <f t="shared" si="9"/>
        <v>9.9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46">
        <v>0</v>
      </c>
      <c r="I68" s="46">
        <v>0</v>
      </c>
      <c r="J68" s="46">
        <v>0</v>
      </c>
      <c r="K68" s="46">
        <v>3.3</v>
      </c>
      <c r="L68" s="76">
        <v>7.1</v>
      </c>
      <c r="M68" s="76">
        <v>9.4</v>
      </c>
      <c r="N68" s="76">
        <v>9.4</v>
      </c>
      <c r="O68" s="76">
        <v>15.5</v>
      </c>
      <c r="P68" s="76">
        <v>15.5</v>
      </c>
      <c r="Q68" s="76">
        <v>15.5</v>
      </c>
      <c r="R68" s="76">
        <v>15.5</v>
      </c>
      <c r="S68" s="76">
        <v>14.6</v>
      </c>
      <c r="T68" s="76">
        <v>11.8</v>
      </c>
      <c r="U68" s="76">
        <v>7.8</v>
      </c>
      <c r="V68" s="76">
        <v>7.8</v>
      </c>
      <c r="W68" s="46">
        <v>2.2000000000000002</v>
      </c>
      <c r="X68" s="46">
        <v>0.7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15.5</v>
      </c>
      <c r="AI68" s="49">
        <f t="shared" si="9"/>
        <v>0</v>
      </c>
      <c r="AK68" s="51"/>
      <c r="AY68" s="1" t="s">
        <v>86</v>
      </c>
      <c r="AZ68" s="82">
        <f>ROUND(C81,0)</f>
        <v>48</v>
      </c>
      <c r="BA68" s="81">
        <f t="shared" ref="BA68:BD72" si="27">D81</f>
        <v>50.2</v>
      </c>
      <c r="BB68" s="81">
        <f t="shared" si="27"/>
        <v>48</v>
      </c>
      <c r="BC68" s="81">
        <f t="shared" si="27"/>
        <v>39.700000000000003</v>
      </c>
      <c r="BD68" s="81">
        <f t="shared" si="27"/>
        <v>39.1</v>
      </c>
      <c r="BE68" s="82">
        <f>I81</f>
        <v>31</v>
      </c>
      <c r="BF68" s="82">
        <f>K81</f>
        <v>63.9</v>
      </c>
      <c r="BG68" s="82">
        <f t="shared" ref="BG68:BP72" si="28">M81</f>
        <v>61.2</v>
      </c>
      <c r="BH68" s="82">
        <f t="shared" si="28"/>
        <v>58</v>
      </c>
      <c r="BI68" s="82">
        <f t="shared" si="28"/>
        <v>65.900000000000006</v>
      </c>
      <c r="BJ68" s="82">
        <f t="shared" si="28"/>
        <v>62.5</v>
      </c>
      <c r="BK68" s="82">
        <f t="shared" si="28"/>
        <v>58</v>
      </c>
      <c r="BL68" s="82">
        <f t="shared" si="28"/>
        <v>58</v>
      </c>
      <c r="BM68" s="82">
        <f t="shared" si="28"/>
        <v>74.400000000000006</v>
      </c>
      <c r="BN68" s="82">
        <f t="shared" si="28"/>
        <v>60.7</v>
      </c>
      <c r="BO68" s="82">
        <f t="shared" si="28"/>
        <v>50.2</v>
      </c>
      <c r="BP68" s="82">
        <f t="shared" si="28"/>
        <v>57.5</v>
      </c>
      <c r="BQ68" s="82">
        <f>X81</f>
        <v>51.2</v>
      </c>
      <c r="BR68" s="82">
        <f>Z81</f>
        <v>9.9</v>
      </c>
      <c r="BS68" s="81">
        <f>AB81</f>
        <v>27</v>
      </c>
      <c r="BT68" s="81">
        <f t="shared" ref="BT68:BV72" si="29">AD81</f>
        <v>30</v>
      </c>
      <c r="BU68" s="81">
        <f t="shared" si="29"/>
        <v>0</v>
      </c>
      <c r="BV68" s="81">
        <f t="shared" si="29"/>
        <v>40</v>
      </c>
      <c r="BW68" s="81">
        <f>B81</f>
        <v>50.2</v>
      </c>
    </row>
    <row r="69" spans="1:75" x14ac:dyDescent="0.25">
      <c r="A69" s="65" t="s">
        <v>87</v>
      </c>
      <c r="B69" s="76">
        <v>7.1</v>
      </c>
      <c r="C69" s="76">
        <v>7.1</v>
      </c>
      <c r="D69" s="76">
        <v>7.1</v>
      </c>
      <c r="E69" s="76">
        <v>7.1</v>
      </c>
      <c r="F69" s="76">
        <v>7.1</v>
      </c>
      <c r="G69" s="76">
        <v>7.1</v>
      </c>
      <c r="H69" s="76">
        <v>7.1</v>
      </c>
      <c r="I69" s="76">
        <v>7.1</v>
      </c>
      <c r="J69" s="76">
        <v>7.1</v>
      </c>
      <c r="K69" s="76">
        <v>7.1</v>
      </c>
      <c r="L69" s="76">
        <v>7.1</v>
      </c>
      <c r="M69" s="76">
        <v>0</v>
      </c>
      <c r="N69" s="76">
        <v>6</v>
      </c>
      <c r="O69" s="76">
        <v>10.4</v>
      </c>
      <c r="P69" s="76">
        <v>10.4</v>
      </c>
      <c r="Q69" s="76">
        <v>10.4</v>
      </c>
      <c r="R69" s="76">
        <v>10.4</v>
      </c>
      <c r="S69" s="76">
        <v>11.2</v>
      </c>
      <c r="T69" s="76">
        <v>11.6</v>
      </c>
      <c r="U69" s="76">
        <v>11.6</v>
      </c>
      <c r="V69" s="76">
        <v>11.6</v>
      </c>
      <c r="W69" s="76">
        <v>11.6</v>
      </c>
      <c r="X69" s="76">
        <v>11.6</v>
      </c>
      <c r="Y69" s="76">
        <v>11.6</v>
      </c>
      <c r="Z69" s="76">
        <v>11.6</v>
      </c>
      <c r="AA69" s="76">
        <v>11.6</v>
      </c>
      <c r="AB69" s="76">
        <v>11.6</v>
      </c>
      <c r="AC69" s="76">
        <v>11.6</v>
      </c>
      <c r="AD69" s="76">
        <v>11.6</v>
      </c>
      <c r="AE69" s="76">
        <v>11.6</v>
      </c>
      <c r="AF69" s="76">
        <v>11.6</v>
      </c>
      <c r="AG69" s="66">
        <v>24</v>
      </c>
      <c r="AH69" s="48">
        <f t="shared" si="8"/>
        <v>11.6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27"/>
        <v>0</v>
      </c>
      <c r="BB69" s="81">
        <f t="shared" si="27"/>
        <v>0</v>
      </c>
      <c r="BC69" s="81">
        <f t="shared" si="27"/>
        <v>0</v>
      </c>
      <c r="BD69" s="81">
        <f t="shared" si="27"/>
        <v>0</v>
      </c>
      <c r="BE69" s="82">
        <f>I82</f>
        <v>0</v>
      </c>
      <c r="BF69" s="82">
        <f>K82</f>
        <v>0</v>
      </c>
      <c r="BG69" s="82">
        <f t="shared" si="28"/>
        <v>75.099999999999994</v>
      </c>
      <c r="BH69" s="82">
        <f t="shared" si="28"/>
        <v>69</v>
      </c>
      <c r="BI69" s="82">
        <f t="shared" si="28"/>
        <v>78.2</v>
      </c>
      <c r="BJ69" s="82">
        <f t="shared" si="28"/>
        <v>90</v>
      </c>
      <c r="BK69" s="82">
        <f t="shared" si="28"/>
        <v>97</v>
      </c>
      <c r="BL69" s="82">
        <f t="shared" si="28"/>
        <v>90</v>
      </c>
      <c r="BM69" s="82">
        <f t="shared" si="28"/>
        <v>68.900000000000006</v>
      </c>
      <c r="BN69" s="82">
        <f t="shared" si="28"/>
        <v>64.7</v>
      </c>
      <c r="BO69" s="82">
        <f t="shared" si="28"/>
        <v>59.4</v>
      </c>
      <c r="BP69" s="82">
        <f t="shared" si="28"/>
        <v>55.1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9"/>
        <v>0</v>
      </c>
      <c r="BU69" s="81">
        <f t="shared" si="29"/>
        <v>0</v>
      </c>
      <c r="BV69" s="81">
        <f t="shared" si="29"/>
        <v>0</v>
      </c>
      <c r="BW69" s="81">
        <f>B82</f>
        <v>0</v>
      </c>
    </row>
    <row r="70" spans="1:75" x14ac:dyDescent="0.25">
      <c r="A70" s="65" t="s">
        <v>89</v>
      </c>
      <c r="B70" s="76">
        <v>1</v>
      </c>
      <c r="C70" s="76">
        <v>1</v>
      </c>
      <c r="D70" s="76">
        <v>1</v>
      </c>
      <c r="E70" s="76">
        <v>1</v>
      </c>
      <c r="F70" s="76">
        <v>1</v>
      </c>
      <c r="G70" s="76">
        <v>1</v>
      </c>
      <c r="H70" s="76">
        <v>1</v>
      </c>
      <c r="I70" s="76">
        <v>1</v>
      </c>
      <c r="J70" s="76">
        <v>1</v>
      </c>
      <c r="K70" s="76">
        <v>1</v>
      </c>
      <c r="L70" s="76">
        <v>1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1.6</v>
      </c>
      <c r="T70" s="76">
        <v>1.6</v>
      </c>
      <c r="U70" s="76">
        <v>1.6</v>
      </c>
      <c r="V70" s="76">
        <v>1.6</v>
      </c>
      <c r="W70" s="76">
        <v>1.6</v>
      </c>
      <c r="X70" s="76">
        <v>1.6</v>
      </c>
      <c r="Y70" s="76">
        <v>1.6</v>
      </c>
      <c r="Z70" s="76">
        <v>1.6</v>
      </c>
      <c r="AA70" s="76">
        <v>1.6</v>
      </c>
      <c r="AB70" s="76">
        <v>1.6</v>
      </c>
      <c r="AC70" s="76">
        <v>1.6</v>
      </c>
      <c r="AD70" s="76">
        <v>1.6</v>
      </c>
      <c r="AE70" s="76">
        <v>1.6</v>
      </c>
      <c r="AF70" s="76">
        <v>1.6</v>
      </c>
      <c r="AG70" s="66">
        <v>15</v>
      </c>
      <c r="AH70" s="48">
        <f t="shared" si="8"/>
        <v>1.6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27"/>
        <v>0</v>
      </c>
      <c r="BB70" s="81">
        <f t="shared" si="27"/>
        <v>5</v>
      </c>
      <c r="BC70" s="81">
        <f t="shared" si="27"/>
        <v>0</v>
      </c>
      <c r="BD70" s="81">
        <f t="shared" si="27"/>
        <v>0</v>
      </c>
      <c r="BE70" s="82">
        <f>I83</f>
        <v>0</v>
      </c>
      <c r="BF70" s="82">
        <f>K83</f>
        <v>215</v>
      </c>
      <c r="BG70" s="82">
        <f t="shared" si="28"/>
        <v>265.60000000000002</v>
      </c>
      <c r="BH70" s="82">
        <f t="shared" si="28"/>
        <v>237</v>
      </c>
      <c r="BI70" s="82">
        <f t="shared" si="28"/>
        <v>267.7</v>
      </c>
      <c r="BJ70" s="82">
        <f t="shared" si="28"/>
        <v>301</v>
      </c>
      <c r="BK70" s="82">
        <f t="shared" si="28"/>
        <v>324</v>
      </c>
      <c r="BL70" s="82">
        <f t="shared" si="28"/>
        <v>324</v>
      </c>
      <c r="BM70" s="82">
        <f t="shared" si="28"/>
        <v>288</v>
      </c>
      <c r="BN70" s="82">
        <f t="shared" si="28"/>
        <v>289.39999999999998</v>
      </c>
      <c r="BO70" s="82">
        <f t="shared" si="28"/>
        <v>275.89999999999998</v>
      </c>
      <c r="BP70" s="82">
        <f t="shared" si="28"/>
        <v>262.60000000000002</v>
      </c>
      <c r="BQ70" s="82">
        <f>X83</f>
        <v>145</v>
      </c>
      <c r="BR70" s="82">
        <f>Z83</f>
        <v>16.5</v>
      </c>
      <c r="BS70" s="81">
        <f>AB83</f>
        <v>10</v>
      </c>
      <c r="BT70" s="81">
        <f t="shared" si="29"/>
        <v>0</v>
      </c>
      <c r="BU70" s="81">
        <f t="shared" si="29"/>
        <v>0</v>
      </c>
      <c r="BV70" s="81">
        <f t="shared" si="29"/>
        <v>0</v>
      </c>
      <c r="BW70" s="81">
        <f>B83</f>
        <v>0</v>
      </c>
    </row>
    <row r="71" spans="1:75" s="83" customFormat="1" x14ac:dyDescent="0.25">
      <c r="A71" s="65" t="s">
        <v>91</v>
      </c>
      <c r="B71" s="76">
        <v>5</v>
      </c>
      <c r="C71" s="76">
        <v>5</v>
      </c>
      <c r="D71" s="76">
        <v>5</v>
      </c>
      <c r="E71" s="76">
        <v>5</v>
      </c>
      <c r="F71" s="76">
        <v>5</v>
      </c>
      <c r="G71" s="76">
        <v>5</v>
      </c>
      <c r="H71" s="76">
        <v>5</v>
      </c>
      <c r="I71" s="76">
        <v>5</v>
      </c>
      <c r="J71" s="76">
        <v>5</v>
      </c>
      <c r="K71" s="76">
        <v>5</v>
      </c>
      <c r="L71" s="76">
        <v>5</v>
      </c>
      <c r="M71" s="76">
        <v>4.7</v>
      </c>
      <c r="N71" s="76">
        <v>4.7</v>
      </c>
      <c r="O71" s="76">
        <v>4.8</v>
      </c>
      <c r="P71" s="76">
        <v>4.8</v>
      </c>
      <c r="Q71" s="76">
        <v>4.8</v>
      </c>
      <c r="R71" s="76">
        <v>4.8</v>
      </c>
      <c r="S71" s="76">
        <v>7.6</v>
      </c>
      <c r="T71" s="76">
        <v>8.5</v>
      </c>
      <c r="U71" s="76">
        <v>8.5</v>
      </c>
      <c r="V71" s="76">
        <v>8.5</v>
      </c>
      <c r="W71" s="76">
        <v>8.5</v>
      </c>
      <c r="X71" s="76">
        <v>8.6</v>
      </c>
      <c r="Y71" s="76">
        <v>8.6</v>
      </c>
      <c r="Z71" s="76">
        <v>8.6</v>
      </c>
      <c r="AA71" s="76">
        <v>8.6</v>
      </c>
      <c r="AB71" s="76">
        <v>8.6</v>
      </c>
      <c r="AC71" s="76">
        <v>8.6</v>
      </c>
      <c r="AD71" s="76">
        <v>8.6</v>
      </c>
      <c r="AE71" s="76">
        <v>8.6</v>
      </c>
      <c r="AF71" s="76">
        <v>8.6</v>
      </c>
      <c r="AG71" s="66">
        <v>14.1</v>
      </c>
      <c r="AH71" s="48">
        <f t="shared" si="8"/>
        <v>8.6</v>
      </c>
      <c r="AI71" s="49">
        <f t="shared" si="9"/>
        <v>4.7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7"/>
        <v>0</v>
      </c>
      <c r="BB71" s="81">
        <f t="shared" si="27"/>
        <v>0</v>
      </c>
      <c r="BC71" s="81">
        <f t="shared" si="27"/>
        <v>0</v>
      </c>
      <c r="BD71" s="81">
        <f t="shared" si="27"/>
        <v>0</v>
      </c>
      <c r="BE71" s="82">
        <f>I84</f>
        <v>0</v>
      </c>
      <c r="BF71" s="82">
        <f>K84</f>
        <v>47</v>
      </c>
      <c r="BG71" s="82">
        <f t="shared" si="28"/>
        <v>48.4</v>
      </c>
      <c r="BH71" s="82">
        <f t="shared" si="28"/>
        <v>42</v>
      </c>
      <c r="BI71" s="82">
        <f t="shared" si="28"/>
        <v>42.5</v>
      </c>
      <c r="BJ71" s="82">
        <f t="shared" si="28"/>
        <v>25</v>
      </c>
      <c r="BK71" s="82">
        <f t="shared" si="28"/>
        <v>23</v>
      </c>
      <c r="BL71" s="82">
        <f t="shared" si="28"/>
        <v>24</v>
      </c>
      <c r="BM71" s="82">
        <f t="shared" si="28"/>
        <v>18.899999999999999</v>
      </c>
      <c r="BN71" s="82">
        <f t="shared" si="28"/>
        <v>22.4</v>
      </c>
      <c r="BO71" s="82">
        <f t="shared" si="28"/>
        <v>23</v>
      </c>
      <c r="BP71" s="82">
        <f t="shared" si="28"/>
        <v>24.6</v>
      </c>
      <c r="BQ71" s="82">
        <f>X84</f>
        <v>11.6</v>
      </c>
      <c r="BR71" s="82">
        <f>Z84</f>
        <v>0</v>
      </c>
      <c r="BS71" s="81">
        <f>AB84</f>
        <v>0</v>
      </c>
      <c r="BT71" s="81">
        <f t="shared" si="29"/>
        <v>0</v>
      </c>
      <c r="BU71" s="81">
        <f t="shared" si="29"/>
        <v>0</v>
      </c>
      <c r="BV71" s="81">
        <f t="shared" si="29"/>
        <v>0</v>
      </c>
      <c r="BW71" s="81">
        <f>B84</f>
        <v>0</v>
      </c>
    </row>
    <row r="72" spans="1:75" x14ac:dyDescent="0.25">
      <c r="A72" s="84" t="s">
        <v>93</v>
      </c>
      <c r="B72" s="76">
        <v>10.199999999999999</v>
      </c>
      <c r="C72" s="76">
        <v>10.199999999999999</v>
      </c>
      <c r="D72" s="76">
        <v>10.199999999999999</v>
      </c>
      <c r="E72" s="76">
        <v>10.199999999999999</v>
      </c>
      <c r="F72" s="76">
        <v>10.199999999999999</v>
      </c>
      <c r="G72" s="76">
        <v>10.199999999999999</v>
      </c>
      <c r="H72" s="76">
        <v>10.199999999999999</v>
      </c>
      <c r="I72" s="76">
        <v>10.199999999999999</v>
      </c>
      <c r="J72" s="76">
        <v>10.199999999999999</v>
      </c>
      <c r="K72" s="76">
        <v>10.199999999999999</v>
      </c>
      <c r="L72" s="76">
        <v>10.199999999999999</v>
      </c>
      <c r="M72" s="76">
        <v>9</v>
      </c>
      <c r="N72" s="76">
        <v>9</v>
      </c>
      <c r="O72" s="76">
        <v>9.1</v>
      </c>
      <c r="P72" s="76">
        <v>9.1</v>
      </c>
      <c r="Q72" s="76">
        <v>9.1</v>
      </c>
      <c r="R72" s="76">
        <v>9.1</v>
      </c>
      <c r="S72" s="76">
        <v>7.2</v>
      </c>
      <c r="T72" s="76">
        <v>9.9</v>
      </c>
      <c r="U72" s="76">
        <v>8</v>
      </c>
      <c r="V72" s="76">
        <v>8</v>
      </c>
      <c r="W72" s="76">
        <v>8</v>
      </c>
      <c r="X72" s="76">
        <v>11.3</v>
      </c>
      <c r="Y72" s="76">
        <v>11.3</v>
      </c>
      <c r="Z72" s="76">
        <v>11.3</v>
      </c>
      <c r="AA72" s="76">
        <v>14.1</v>
      </c>
      <c r="AB72" s="76">
        <v>14.1</v>
      </c>
      <c r="AC72" s="76">
        <v>14.1</v>
      </c>
      <c r="AD72" s="76">
        <v>14.1</v>
      </c>
      <c r="AE72" s="76">
        <v>14.1</v>
      </c>
      <c r="AF72" s="76">
        <v>14.1</v>
      </c>
      <c r="AG72" s="66">
        <v>14</v>
      </c>
      <c r="AH72" s="48">
        <f t="shared" si="8"/>
        <v>14.1</v>
      </c>
      <c r="AI72" s="49">
        <f t="shared" si="9"/>
        <v>7.2</v>
      </c>
      <c r="AK72" s="51"/>
      <c r="AY72" s="1" t="s">
        <v>94</v>
      </c>
      <c r="AZ72" s="82">
        <f>ROUND(C85,0)</f>
        <v>0</v>
      </c>
      <c r="BA72" s="81">
        <f t="shared" si="27"/>
        <v>0</v>
      </c>
      <c r="BB72" s="81">
        <f t="shared" si="27"/>
        <v>0</v>
      </c>
      <c r="BC72" s="81">
        <f t="shared" si="27"/>
        <v>0</v>
      </c>
      <c r="BD72" s="81">
        <f t="shared" si="27"/>
        <v>0</v>
      </c>
      <c r="BE72" s="82">
        <f>I85</f>
        <v>0</v>
      </c>
      <c r="BF72" s="82">
        <f>K85</f>
        <v>112.3</v>
      </c>
      <c r="BG72" s="82">
        <f t="shared" si="28"/>
        <v>118.5</v>
      </c>
      <c r="BH72" s="82">
        <f t="shared" si="28"/>
        <v>139</v>
      </c>
      <c r="BI72" s="82">
        <f t="shared" si="28"/>
        <v>140</v>
      </c>
      <c r="BJ72" s="82">
        <f t="shared" si="28"/>
        <v>42</v>
      </c>
      <c r="BK72" s="82">
        <f t="shared" si="28"/>
        <v>123</v>
      </c>
      <c r="BL72" s="82">
        <f t="shared" si="28"/>
        <v>126</v>
      </c>
      <c r="BM72" s="82">
        <f t="shared" si="28"/>
        <v>141</v>
      </c>
      <c r="BN72" s="82">
        <f t="shared" si="28"/>
        <v>132.19999999999999</v>
      </c>
      <c r="BO72" s="82">
        <f t="shared" si="28"/>
        <v>141.4</v>
      </c>
      <c r="BP72" s="82">
        <f t="shared" si="28"/>
        <v>128.9</v>
      </c>
      <c r="BQ72" s="82">
        <f>X85</f>
        <v>99.3</v>
      </c>
      <c r="BR72" s="82">
        <f>Z85</f>
        <v>0</v>
      </c>
      <c r="BS72" s="81">
        <f>AB85</f>
        <v>0</v>
      </c>
      <c r="BT72" s="81">
        <f t="shared" si="29"/>
        <v>0</v>
      </c>
      <c r="BU72" s="81">
        <f t="shared" si="29"/>
        <v>0</v>
      </c>
      <c r="BV72" s="81">
        <f t="shared" si="29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4.5</v>
      </c>
      <c r="E73" s="76">
        <v>4.5</v>
      </c>
      <c r="F73" s="76">
        <v>4.5</v>
      </c>
      <c r="G73" s="76">
        <v>4.5</v>
      </c>
      <c r="H73" s="76">
        <v>4.5</v>
      </c>
      <c r="I73" s="76">
        <v>4.5</v>
      </c>
      <c r="J73" s="76">
        <v>4.5</v>
      </c>
      <c r="K73" s="76">
        <v>4.5</v>
      </c>
      <c r="L73" s="76">
        <v>4.5</v>
      </c>
      <c r="M73" s="76">
        <v>4.5999999999999996</v>
      </c>
      <c r="N73" s="76">
        <v>4.5999999999999996</v>
      </c>
      <c r="O73" s="76">
        <v>4.5999999999999996</v>
      </c>
      <c r="P73" s="76">
        <v>4.5999999999999996</v>
      </c>
      <c r="Q73" s="76">
        <v>4.5999999999999996</v>
      </c>
      <c r="R73" s="76">
        <v>4.5999999999999996</v>
      </c>
      <c r="S73" s="76">
        <v>4.5999999999999996</v>
      </c>
      <c r="T73" s="76">
        <v>4.8</v>
      </c>
      <c r="U73" s="76">
        <v>4.5999999999999996</v>
      </c>
      <c r="V73" s="76">
        <v>4.5999999999999996</v>
      </c>
      <c r="W73" s="76">
        <v>4.5999999999999996</v>
      </c>
      <c r="X73" s="76">
        <v>4.5</v>
      </c>
      <c r="Y73" s="76">
        <v>4.5</v>
      </c>
      <c r="Z73" s="76">
        <v>4.5</v>
      </c>
      <c r="AA73" s="76">
        <v>4.5</v>
      </c>
      <c r="AB73" s="76">
        <v>4.5</v>
      </c>
      <c r="AC73" s="76">
        <v>4.5</v>
      </c>
      <c r="AD73" s="76">
        <v>4.5</v>
      </c>
      <c r="AE73" s="76">
        <v>4.5</v>
      </c>
      <c r="AF73" s="76">
        <v>4.5</v>
      </c>
      <c r="AG73" s="66">
        <v>10.050000000000001</v>
      </c>
      <c r="AH73" s="48">
        <f t="shared" si="8"/>
        <v>4.8</v>
      </c>
      <c r="AI73" s="49">
        <f t="shared" si="9"/>
        <v>4.5</v>
      </c>
      <c r="AK73" s="51"/>
      <c r="AY73" s="1" t="s">
        <v>96</v>
      </c>
      <c r="AZ73" s="82">
        <f>ROUND(C91,0)</f>
        <v>47</v>
      </c>
      <c r="BA73" s="82">
        <f>D91</f>
        <v>46</v>
      </c>
      <c r="BB73" s="82">
        <f>E91</f>
        <v>44.6</v>
      </c>
      <c r="BC73" s="82">
        <f>F91</f>
        <v>46.5</v>
      </c>
      <c r="BD73" s="82">
        <f>G91</f>
        <v>43.8</v>
      </c>
      <c r="BE73" s="82">
        <f>I91</f>
        <v>50</v>
      </c>
      <c r="BF73" s="82">
        <f>K91</f>
        <v>52.7</v>
      </c>
      <c r="BG73" s="82">
        <f t="shared" ref="BG73:BP73" si="30">M91</f>
        <v>51.1</v>
      </c>
      <c r="BH73" s="82">
        <f t="shared" si="30"/>
        <v>48</v>
      </c>
      <c r="BI73" s="82">
        <f t="shared" si="30"/>
        <v>47.8</v>
      </c>
      <c r="BJ73" s="82">
        <f t="shared" si="30"/>
        <v>47.8</v>
      </c>
      <c r="BK73" s="82">
        <f t="shared" si="30"/>
        <v>44</v>
      </c>
      <c r="BL73" s="82">
        <f t="shared" si="30"/>
        <v>44</v>
      </c>
      <c r="BM73" s="82">
        <f t="shared" si="30"/>
        <v>34.1</v>
      </c>
      <c r="BN73" s="82">
        <f t="shared" si="30"/>
        <v>45</v>
      </c>
      <c r="BO73" s="82">
        <f t="shared" si="30"/>
        <v>0</v>
      </c>
      <c r="BP73" s="82">
        <f t="shared" si="30"/>
        <v>0</v>
      </c>
      <c r="BQ73" s="82">
        <f>X91</f>
        <v>42.8</v>
      </c>
      <c r="BR73" s="82">
        <f>Z91</f>
        <v>45</v>
      </c>
      <c r="BS73" s="82">
        <f>AB91</f>
        <v>43</v>
      </c>
      <c r="BT73" s="82">
        <f>AD91</f>
        <v>43</v>
      </c>
      <c r="BU73" s="82">
        <f>AE91</f>
        <v>0</v>
      </c>
      <c r="BV73" s="82">
        <f>AF91</f>
        <v>47</v>
      </c>
      <c r="BW73" s="82">
        <f>B91</f>
        <v>47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1">VALUE(AZ68)</f>
        <v>48</v>
      </c>
      <c r="BA75" s="82">
        <f t="shared" si="31"/>
        <v>50.2</v>
      </c>
      <c r="BB75" s="82">
        <f t="shared" si="31"/>
        <v>48</v>
      </c>
      <c r="BC75" s="82">
        <f t="shared" si="31"/>
        <v>39.700000000000003</v>
      </c>
      <c r="BD75" s="82">
        <f t="shared" si="31"/>
        <v>39.1</v>
      </c>
      <c r="BE75" s="82">
        <f t="shared" si="31"/>
        <v>31</v>
      </c>
      <c r="BF75" s="82">
        <f t="shared" si="31"/>
        <v>63.9</v>
      </c>
      <c r="BG75" s="82">
        <f t="shared" si="31"/>
        <v>61.2</v>
      </c>
      <c r="BH75" s="82">
        <f t="shared" si="31"/>
        <v>58</v>
      </c>
      <c r="BI75" s="82">
        <f t="shared" si="31"/>
        <v>65.900000000000006</v>
      </c>
      <c r="BJ75" s="82">
        <f t="shared" si="31"/>
        <v>62.5</v>
      </c>
      <c r="BK75" s="82">
        <f t="shared" si="31"/>
        <v>58</v>
      </c>
      <c r="BL75" s="82">
        <f t="shared" si="31"/>
        <v>58</v>
      </c>
      <c r="BM75" s="82">
        <f t="shared" si="31"/>
        <v>74.400000000000006</v>
      </c>
      <c r="BN75" s="82">
        <f t="shared" si="31"/>
        <v>60.7</v>
      </c>
      <c r="BO75" s="82">
        <f t="shared" si="31"/>
        <v>50.2</v>
      </c>
      <c r="BP75" s="82">
        <f t="shared" si="31"/>
        <v>57.5</v>
      </c>
      <c r="BQ75" s="82">
        <f t="shared" si="31"/>
        <v>51.2</v>
      </c>
      <c r="BR75" s="82">
        <f t="shared" si="31"/>
        <v>9.9</v>
      </c>
      <c r="BS75" s="82">
        <f t="shared" si="31"/>
        <v>27</v>
      </c>
      <c r="BT75" s="82">
        <f t="shared" si="31"/>
        <v>30</v>
      </c>
      <c r="BU75" s="82">
        <f t="shared" si="31"/>
        <v>0</v>
      </c>
      <c r="BV75" s="82">
        <f t="shared" si="31"/>
        <v>40</v>
      </c>
      <c r="BW75" s="82">
        <f t="shared" si="31"/>
        <v>50.2</v>
      </c>
    </row>
    <row r="76" spans="1:75" ht="15.75" thickBot="1" x14ac:dyDescent="0.3">
      <c r="A76" s="87" t="s">
        <v>99</v>
      </c>
      <c r="B76" s="71">
        <f>SUM(B63:B75)</f>
        <v>296.64000000000004</v>
      </c>
      <c r="C76" s="71">
        <f>SUM(C63:C75)</f>
        <v>269.94</v>
      </c>
      <c r="D76" s="71">
        <f>SUM(D63:D75)</f>
        <v>270.64</v>
      </c>
      <c r="E76" s="71">
        <f t="shared" ref="E76:AG76" si="32">SUM(E63:E75)</f>
        <v>264.14</v>
      </c>
      <c r="F76" s="71">
        <f t="shared" si="32"/>
        <v>249.33999999999997</v>
      </c>
      <c r="G76" s="71">
        <f t="shared" si="32"/>
        <v>249.93999999999997</v>
      </c>
      <c r="H76" s="71">
        <f t="shared" si="32"/>
        <v>250.33999999999997</v>
      </c>
      <c r="I76" s="71">
        <f t="shared" si="32"/>
        <v>261.33999999999997</v>
      </c>
      <c r="J76" s="71">
        <f t="shared" si="32"/>
        <v>296.94000000000005</v>
      </c>
      <c r="K76" s="71">
        <f t="shared" si="32"/>
        <v>316.84000000000003</v>
      </c>
      <c r="L76" s="71">
        <f t="shared" si="32"/>
        <v>280.44</v>
      </c>
      <c r="M76" s="71">
        <f t="shared" si="32"/>
        <v>271.74000000000007</v>
      </c>
      <c r="N76" s="71">
        <f t="shared" si="32"/>
        <v>302.74</v>
      </c>
      <c r="O76" s="71">
        <f t="shared" si="32"/>
        <v>295.04000000000008</v>
      </c>
      <c r="P76" s="71">
        <f t="shared" si="32"/>
        <v>321.84000000000003</v>
      </c>
      <c r="Q76" s="71">
        <f t="shared" si="32"/>
        <v>321.84000000000003</v>
      </c>
      <c r="R76" s="71">
        <f t="shared" si="32"/>
        <v>315.84000000000003</v>
      </c>
      <c r="S76" s="71">
        <f t="shared" si="32"/>
        <v>317.04000000000008</v>
      </c>
      <c r="T76" s="71">
        <f t="shared" si="32"/>
        <v>358.94000000000005</v>
      </c>
      <c r="U76" s="71">
        <f t="shared" si="32"/>
        <v>326.74000000000012</v>
      </c>
      <c r="V76" s="71">
        <f t="shared" si="32"/>
        <v>292.6400000000001</v>
      </c>
      <c r="W76" s="71">
        <f t="shared" si="32"/>
        <v>287.64000000000004</v>
      </c>
      <c r="X76" s="71">
        <f t="shared" si="32"/>
        <v>269.64</v>
      </c>
      <c r="Y76" s="71">
        <f t="shared" si="32"/>
        <v>355.00000000000006</v>
      </c>
      <c r="Z76" s="71">
        <f t="shared" si="32"/>
        <v>403.60000000000008</v>
      </c>
      <c r="AA76" s="71">
        <f t="shared" si="32"/>
        <v>404.44000000000011</v>
      </c>
      <c r="AB76" s="71">
        <f t="shared" ref="AB76:AC76" si="33">SUM(AB63:AB75)</f>
        <v>396.84000000000009</v>
      </c>
      <c r="AC76" s="71">
        <f t="shared" si="33"/>
        <v>387.74000000000007</v>
      </c>
      <c r="AD76" s="71">
        <f t="shared" ref="AD76" si="34">SUM(AD63:AD75)</f>
        <v>385.44000000000011</v>
      </c>
      <c r="AE76" s="71">
        <f t="shared" si="32"/>
        <v>131.03999999999996</v>
      </c>
      <c r="AF76" s="71">
        <f t="shared" si="32"/>
        <v>344.04000000000008</v>
      </c>
      <c r="AG76" s="72">
        <f t="shared" si="32"/>
        <v>489.91</v>
      </c>
      <c r="AH76" s="48">
        <f t="shared" si="8"/>
        <v>404.44000000000011</v>
      </c>
      <c r="AI76" s="49">
        <f t="shared" si="9"/>
        <v>131.03999999999996</v>
      </c>
      <c r="AK76" s="51"/>
      <c r="AZ76" s="82">
        <f t="shared" si="31"/>
        <v>0</v>
      </c>
      <c r="BA76" s="82">
        <f t="shared" si="31"/>
        <v>0</v>
      </c>
      <c r="BB76" s="82">
        <f t="shared" si="31"/>
        <v>0</v>
      </c>
      <c r="BC76" s="82">
        <f t="shared" si="31"/>
        <v>0</v>
      </c>
      <c r="BD76" s="82">
        <f t="shared" si="31"/>
        <v>0</v>
      </c>
      <c r="BE76" s="82">
        <f t="shared" si="31"/>
        <v>0</v>
      </c>
      <c r="BF76" s="82">
        <f t="shared" si="31"/>
        <v>0</v>
      </c>
      <c r="BG76" s="82">
        <f t="shared" si="31"/>
        <v>75.099999999999994</v>
      </c>
      <c r="BH76" s="82">
        <f t="shared" si="31"/>
        <v>69</v>
      </c>
      <c r="BI76" s="82">
        <f t="shared" si="31"/>
        <v>78.2</v>
      </c>
      <c r="BJ76" s="82">
        <f t="shared" si="31"/>
        <v>90</v>
      </c>
      <c r="BK76" s="82">
        <f t="shared" si="31"/>
        <v>97</v>
      </c>
      <c r="BL76" s="82">
        <f t="shared" si="31"/>
        <v>90</v>
      </c>
      <c r="BM76" s="82">
        <f t="shared" si="31"/>
        <v>68.900000000000006</v>
      </c>
      <c r="BN76" s="82">
        <f t="shared" si="31"/>
        <v>64.7</v>
      </c>
      <c r="BO76" s="82">
        <f t="shared" si="31"/>
        <v>59.4</v>
      </c>
      <c r="BP76" s="82">
        <f t="shared" si="31"/>
        <v>55.1</v>
      </c>
      <c r="BQ76" s="82">
        <f t="shared" si="31"/>
        <v>0</v>
      </c>
      <c r="BR76" s="82">
        <f t="shared" si="31"/>
        <v>0</v>
      </c>
      <c r="BS76" s="82">
        <f t="shared" si="31"/>
        <v>0</v>
      </c>
      <c r="BT76" s="82">
        <f t="shared" si="31"/>
        <v>0</v>
      </c>
      <c r="BU76" s="82">
        <f t="shared" si="31"/>
        <v>0</v>
      </c>
      <c r="BV76" s="82">
        <f t="shared" si="31"/>
        <v>0</v>
      </c>
      <c r="BW76" s="82">
        <f t="shared" si="31"/>
        <v>0</v>
      </c>
    </row>
    <row r="77" spans="1:75" x14ac:dyDescent="0.25">
      <c r="A77" s="45" t="s">
        <v>100</v>
      </c>
      <c r="B77" s="46">
        <v>49.1</v>
      </c>
      <c r="C77" s="46">
        <v>49.1</v>
      </c>
      <c r="D77" s="46">
        <v>60</v>
      </c>
      <c r="E77" s="46">
        <v>60</v>
      </c>
      <c r="F77" s="46">
        <v>45</v>
      </c>
      <c r="G77" s="46">
        <v>34</v>
      </c>
      <c r="H77" s="46">
        <v>33</v>
      </c>
      <c r="I77" s="46">
        <v>50</v>
      </c>
      <c r="J77" s="46">
        <v>30</v>
      </c>
      <c r="K77" s="46">
        <v>30.1</v>
      </c>
      <c r="L77" s="46">
        <v>20</v>
      </c>
      <c r="M77" s="46">
        <v>29.8</v>
      </c>
      <c r="N77" s="46">
        <v>17</v>
      </c>
      <c r="O77" s="46">
        <v>28.9</v>
      </c>
      <c r="P77" s="46">
        <v>0</v>
      </c>
      <c r="Q77" s="46">
        <v>0</v>
      </c>
      <c r="R77" s="46"/>
      <c r="S77" s="46"/>
      <c r="T77" s="46"/>
      <c r="U77" s="46"/>
      <c r="V77" s="46"/>
      <c r="W77" s="46"/>
      <c r="X77" s="46"/>
      <c r="Y77" s="46"/>
      <c r="Z77" s="46">
        <v>14.5</v>
      </c>
      <c r="AA77" s="46">
        <v>48.2</v>
      </c>
      <c r="AB77" s="46">
        <v>50</v>
      </c>
      <c r="AC77" s="46">
        <v>59.6</v>
      </c>
      <c r="AD77" s="46">
        <v>59.6</v>
      </c>
      <c r="AE77" s="46"/>
      <c r="AF77" s="46">
        <v>14</v>
      </c>
      <c r="AG77" s="61">
        <v>60</v>
      </c>
      <c r="AH77" s="48">
        <f t="shared" si="8"/>
        <v>60</v>
      </c>
      <c r="AI77" s="49">
        <f t="shared" si="9"/>
        <v>0</v>
      </c>
      <c r="AK77" s="51"/>
      <c r="AZ77" s="82">
        <f t="shared" si="31"/>
        <v>0</v>
      </c>
      <c r="BA77" s="82">
        <f t="shared" si="31"/>
        <v>0</v>
      </c>
      <c r="BB77" s="82">
        <f t="shared" si="31"/>
        <v>5</v>
      </c>
      <c r="BC77" s="82">
        <f t="shared" si="31"/>
        <v>0</v>
      </c>
      <c r="BD77" s="82">
        <f t="shared" si="31"/>
        <v>0</v>
      </c>
      <c r="BE77" s="82">
        <f t="shared" si="31"/>
        <v>0</v>
      </c>
      <c r="BF77" s="82">
        <f t="shared" si="31"/>
        <v>215</v>
      </c>
      <c r="BG77" s="82">
        <f t="shared" si="31"/>
        <v>265.60000000000002</v>
      </c>
      <c r="BH77" s="82">
        <f t="shared" si="31"/>
        <v>237</v>
      </c>
      <c r="BI77" s="82">
        <f t="shared" si="31"/>
        <v>267.7</v>
      </c>
      <c r="BJ77" s="82">
        <f t="shared" si="31"/>
        <v>301</v>
      </c>
      <c r="BK77" s="82">
        <f t="shared" si="31"/>
        <v>324</v>
      </c>
      <c r="BL77" s="82">
        <f t="shared" si="31"/>
        <v>324</v>
      </c>
      <c r="BM77" s="82">
        <f t="shared" si="31"/>
        <v>288</v>
      </c>
      <c r="BN77" s="82">
        <f t="shared" si="31"/>
        <v>289.39999999999998</v>
      </c>
      <c r="BO77" s="82">
        <f t="shared" si="31"/>
        <v>275.89999999999998</v>
      </c>
      <c r="BP77" s="82">
        <f t="shared" si="31"/>
        <v>262.60000000000002</v>
      </c>
      <c r="BQ77" s="82">
        <f t="shared" si="31"/>
        <v>145</v>
      </c>
      <c r="BR77" s="82">
        <f t="shared" si="31"/>
        <v>16.5</v>
      </c>
      <c r="BS77" s="82">
        <f t="shared" si="31"/>
        <v>10</v>
      </c>
      <c r="BT77" s="82">
        <f t="shared" si="31"/>
        <v>0</v>
      </c>
      <c r="BU77" s="82">
        <f t="shared" si="31"/>
        <v>0</v>
      </c>
      <c r="BV77" s="82">
        <f t="shared" si="31"/>
        <v>0</v>
      </c>
      <c r="BW77" s="82">
        <f t="shared" si="31"/>
        <v>0</v>
      </c>
    </row>
    <row r="78" spans="1:75" x14ac:dyDescent="0.25">
      <c r="A78" s="65" t="s">
        <v>101</v>
      </c>
      <c r="B78" s="76">
        <v>17</v>
      </c>
      <c r="C78" s="76">
        <v>17</v>
      </c>
      <c r="D78" s="76">
        <v>29.1</v>
      </c>
      <c r="E78" s="76">
        <v>29.1</v>
      </c>
      <c r="F78" s="76">
        <v>20</v>
      </c>
      <c r="G78" s="76">
        <v>19.899999999999999</v>
      </c>
      <c r="H78" s="76">
        <v>13.5</v>
      </c>
      <c r="I78" s="76">
        <v>22.5</v>
      </c>
      <c r="J78" s="76">
        <v>14.5</v>
      </c>
      <c r="K78" s="76">
        <v>15.4</v>
      </c>
      <c r="L78" s="76">
        <v>10</v>
      </c>
      <c r="M78" s="76">
        <v>14.9</v>
      </c>
      <c r="N78" s="76">
        <v>14</v>
      </c>
      <c r="O78" s="76">
        <v>5.2</v>
      </c>
      <c r="P78" s="76">
        <v>0</v>
      </c>
      <c r="Q78" s="76">
        <v>0</v>
      </c>
      <c r="R78" s="76"/>
      <c r="S78" s="76"/>
      <c r="T78" s="76"/>
      <c r="U78" s="76"/>
      <c r="V78" s="76"/>
      <c r="W78" s="76"/>
      <c r="X78" s="76"/>
      <c r="Y78" s="76"/>
      <c r="Z78" s="76">
        <v>5.9</v>
      </c>
      <c r="AA78" s="76">
        <v>15.5</v>
      </c>
      <c r="AB78" s="76">
        <v>21</v>
      </c>
      <c r="AC78" s="76">
        <v>29.4</v>
      </c>
      <c r="AD78" s="76">
        <v>29.4</v>
      </c>
      <c r="AE78" s="76"/>
      <c r="AF78" s="76">
        <v>4</v>
      </c>
      <c r="AG78" s="66">
        <v>32</v>
      </c>
      <c r="AH78" s="48">
        <f t="shared" si="8"/>
        <v>29.4</v>
      </c>
      <c r="AI78" s="49">
        <f t="shared" si="9"/>
        <v>0</v>
      </c>
      <c r="AK78" s="51"/>
      <c r="AZ78" s="82">
        <f t="shared" si="31"/>
        <v>0</v>
      </c>
      <c r="BA78" s="82">
        <f t="shared" si="31"/>
        <v>0</v>
      </c>
      <c r="BB78" s="82">
        <f t="shared" si="31"/>
        <v>0</v>
      </c>
      <c r="BC78" s="82">
        <f t="shared" si="31"/>
        <v>0</v>
      </c>
      <c r="BD78" s="82">
        <f t="shared" si="31"/>
        <v>0</v>
      </c>
      <c r="BE78" s="82">
        <f t="shared" si="31"/>
        <v>0</v>
      </c>
      <c r="BF78" s="82">
        <f t="shared" si="31"/>
        <v>47</v>
      </c>
      <c r="BG78" s="82">
        <f t="shared" si="31"/>
        <v>48.4</v>
      </c>
      <c r="BH78" s="82">
        <f t="shared" si="31"/>
        <v>42</v>
      </c>
      <c r="BI78" s="82">
        <f t="shared" si="31"/>
        <v>42.5</v>
      </c>
      <c r="BJ78" s="82">
        <f t="shared" si="31"/>
        <v>25</v>
      </c>
      <c r="BK78" s="82">
        <f t="shared" si="31"/>
        <v>23</v>
      </c>
      <c r="BL78" s="82">
        <f t="shared" si="31"/>
        <v>24</v>
      </c>
      <c r="BM78" s="82">
        <f t="shared" si="31"/>
        <v>18.899999999999999</v>
      </c>
      <c r="BN78" s="82">
        <f t="shared" si="31"/>
        <v>22.4</v>
      </c>
      <c r="BO78" s="82">
        <f t="shared" si="31"/>
        <v>23</v>
      </c>
      <c r="BP78" s="82">
        <f t="shared" si="31"/>
        <v>24.6</v>
      </c>
      <c r="BQ78" s="82">
        <f t="shared" si="31"/>
        <v>11.6</v>
      </c>
      <c r="BR78" s="82">
        <f t="shared" si="31"/>
        <v>0</v>
      </c>
      <c r="BS78" s="82">
        <f t="shared" si="31"/>
        <v>0</v>
      </c>
      <c r="BT78" s="82">
        <f t="shared" si="31"/>
        <v>0</v>
      </c>
      <c r="BU78" s="82">
        <f t="shared" si="31"/>
        <v>0</v>
      </c>
      <c r="BV78" s="82">
        <f t="shared" si="31"/>
        <v>0</v>
      </c>
      <c r="BW78" s="82">
        <f t="shared" si="31"/>
        <v>0</v>
      </c>
    </row>
    <row r="79" spans="1:75" ht="15.75" thickBot="1" x14ac:dyDescent="0.3">
      <c r="A79" s="84" t="s">
        <v>102</v>
      </c>
      <c r="B79" s="78">
        <v>6.2</v>
      </c>
      <c r="C79" s="78">
        <v>6.2</v>
      </c>
      <c r="D79" s="78">
        <v>10</v>
      </c>
      <c r="E79" s="78">
        <v>10</v>
      </c>
      <c r="F79" s="78">
        <v>7.3</v>
      </c>
      <c r="G79" s="78">
        <v>7.3</v>
      </c>
      <c r="H79" s="78">
        <v>4.9000000000000004</v>
      </c>
      <c r="I79" s="78">
        <v>8.1999999999999993</v>
      </c>
      <c r="J79" s="78">
        <v>5.3</v>
      </c>
      <c r="K79" s="78">
        <v>5.6</v>
      </c>
      <c r="L79" s="78">
        <v>3.6</v>
      </c>
      <c r="M79" s="78">
        <v>5.4</v>
      </c>
      <c r="N79" s="78">
        <v>5.2</v>
      </c>
      <c r="O79" s="78">
        <v>1.9</v>
      </c>
      <c r="P79" s="78">
        <v>0</v>
      </c>
      <c r="Q79" s="78">
        <v>0</v>
      </c>
      <c r="R79" s="78"/>
      <c r="S79" s="78"/>
      <c r="T79" s="78"/>
      <c r="U79" s="78"/>
      <c r="V79" s="78"/>
      <c r="W79" s="78"/>
      <c r="X79" s="78"/>
      <c r="Y79" s="78"/>
      <c r="Z79" s="78">
        <v>2.2000000000000002</v>
      </c>
      <c r="AA79" s="78">
        <v>5.6</v>
      </c>
      <c r="AB79" s="78">
        <v>7.6</v>
      </c>
      <c r="AC79" s="78">
        <v>10.7</v>
      </c>
      <c r="AD79" s="78">
        <v>10.7</v>
      </c>
      <c r="AE79" s="78"/>
      <c r="AF79" s="78">
        <v>1.5</v>
      </c>
      <c r="AG79" s="79">
        <v>14</v>
      </c>
      <c r="AH79" s="48">
        <f t="shared" si="8"/>
        <v>10.7</v>
      </c>
      <c r="AI79" s="49">
        <f t="shared" si="9"/>
        <v>0</v>
      </c>
      <c r="AK79" s="51"/>
      <c r="AZ79" s="82">
        <f t="shared" si="31"/>
        <v>0</v>
      </c>
      <c r="BA79" s="82">
        <f t="shared" si="31"/>
        <v>0</v>
      </c>
      <c r="BB79" s="82">
        <f t="shared" si="31"/>
        <v>0</v>
      </c>
      <c r="BC79" s="82">
        <f t="shared" si="31"/>
        <v>0</v>
      </c>
      <c r="BD79" s="82">
        <f t="shared" si="31"/>
        <v>0</v>
      </c>
      <c r="BE79" s="82">
        <f t="shared" si="31"/>
        <v>0</v>
      </c>
      <c r="BF79" s="82">
        <f t="shared" si="31"/>
        <v>112.3</v>
      </c>
      <c r="BG79" s="82">
        <f t="shared" si="31"/>
        <v>118.5</v>
      </c>
      <c r="BH79" s="82">
        <f t="shared" si="31"/>
        <v>139</v>
      </c>
      <c r="BI79" s="82">
        <f t="shared" si="31"/>
        <v>140</v>
      </c>
      <c r="BJ79" s="82">
        <f t="shared" si="31"/>
        <v>42</v>
      </c>
      <c r="BK79" s="82">
        <f t="shared" si="31"/>
        <v>123</v>
      </c>
      <c r="BL79" s="82">
        <f t="shared" si="31"/>
        <v>126</v>
      </c>
      <c r="BM79" s="82">
        <f t="shared" si="31"/>
        <v>141</v>
      </c>
      <c r="BN79" s="82">
        <f t="shared" si="31"/>
        <v>132.19999999999999</v>
      </c>
      <c r="BO79" s="82">
        <f t="shared" si="31"/>
        <v>141.4</v>
      </c>
      <c r="BP79" s="82">
        <f t="shared" si="31"/>
        <v>128.9</v>
      </c>
      <c r="BQ79" s="82">
        <f t="shared" si="31"/>
        <v>99.3</v>
      </c>
      <c r="BR79" s="82">
        <f t="shared" si="31"/>
        <v>0</v>
      </c>
      <c r="BS79" s="82">
        <f t="shared" si="31"/>
        <v>0</v>
      </c>
      <c r="BT79" s="82">
        <f t="shared" si="31"/>
        <v>0</v>
      </c>
      <c r="BU79" s="82">
        <f t="shared" si="31"/>
        <v>0</v>
      </c>
      <c r="BV79" s="82">
        <f t="shared" si="31"/>
        <v>0</v>
      </c>
      <c r="BW79" s="82">
        <f t="shared" si="31"/>
        <v>0</v>
      </c>
    </row>
    <row r="80" spans="1:75" ht="15.75" thickBot="1" x14ac:dyDescent="0.3">
      <c r="A80" s="87" t="s">
        <v>103</v>
      </c>
      <c r="B80" s="71">
        <f>B77+B78+B79</f>
        <v>72.3</v>
      </c>
      <c r="C80" s="71">
        <f>C77+C78+C79</f>
        <v>72.3</v>
      </c>
      <c r="D80" s="71">
        <f>D77+D78+D79</f>
        <v>99.1</v>
      </c>
      <c r="E80" s="71">
        <f t="shared" ref="E80:AF80" si="35">E77+E78+E79</f>
        <v>99.1</v>
      </c>
      <c r="F80" s="71">
        <f t="shared" si="35"/>
        <v>72.3</v>
      </c>
      <c r="G80" s="71">
        <f t="shared" si="35"/>
        <v>61.199999999999996</v>
      </c>
      <c r="H80" s="71">
        <f t="shared" si="35"/>
        <v>51.4</v>
      </c>
      <c r="I80" s="71">
        <f t="shared" si="35"/>
        <v>80.7</v>
      </c>
      <c r="J80" s="71">
        <f t="shared" si="35"/>
        <v>49.8</v>
      </c>
      <c r="K80" s="71">
        <f t="shared" si="35"/>
        <v>51.1</v>
      </c>
      <c r="L80" s="71">
        <f t="shared" si="35"/>
        <v>33.6</v>
      </c>
      <c r="M80" s="71">
        <f t="shared" si="35"/>
        <v>50.1</v>
      </c>
      <c r="N80" s="71">
        <f t="shared" si="35"/>
        <v>36.200000000000003</v>
      </c>
      <c r="O80" s="71">
        <f t="shared" si="35"/>
        <v>36</v>
      </c>
      <c r="P80" s="71">
        <f t="shared" si="35"/>
        <v>0</v>
      </c>
      <c r="Q80" s="71">
        <f t="shared" si="35"/>
        <v>0</v>
      </c>
      <c r="R80" s="71">
        <f t="shared" si="35"/>
        <v>0</v>
      </c>
      <c r="S80" s="71">
        <f t="shared" si="35"/>
        <v>0</v>
      </c>
      <c r="T80" s="71">
        <f t="shared" si="35"/>
        <v>0</v>
      </c>
      <c r="U80" s="71">
        <f t="shared" si="35"/>
        <v>0</v>
      </c>
      <c r="V80" s="71">
        <f t="shared" si="35"/>
        <v>0</v>
      </c>
      <c r="W80" s="71">
        <f t="shared" si="35"/>
        <v>0</v>
      </c>
      <c r="X80" s="71">
        <f t="shared" si="35"/>
        <v>0</v>
      </c>
      <c r="Y80" s="71">
        <f t="shared" si="35"/>
        <v>0</v>
      </c>
      <c r="Z80" s="71">
        <f t="shared" si="35"/>
        <v>22.599999999999998</v>
      </c>
      <c r="AA80" s="71">
        <f t="shared" si="35"/>
        <v>69.3</v>
      </c>
      <c r="AB80" s="71">
        <f t="shared" ref="AB80:AC80" si="36">AB77+AB78+AB79</f>
        <v>78.599999999999994</v>
      </c>
      <c r="AC80" s="71">
        <f t="shared" si="36"/>
        <v>99.7</v>
      </c>
      <c r="AD80" s="71">
        <f t="shared" ref="AD80" si="37">AD77+AD78+AD79</f>
        <v>99.7</v>
      </c>
      <c r="AE80" s="71">
        <f t="shared" si="35"/>
        <v>0</v>
      </c>
      <c r="AF80" s="71">
        <f t="shared" si="35"/>
        <v>19.5</v>
      </c>
      <c r="AG80" s="72">
        <f>SUM(AG77:AG79)</f>
        <v>106</v>
      </c>
      <c r="AH80" s="48">
        <f t="shared" si="8"/>
        <v>99.7</v>
      </c>
      <c r="AI80" s="49">
        <f t="shared" si="9"/>
        <v>0</v>
      </c>
      <c r="AK80" s="51"/>
      <c r="AZ80" s="82">
        <f t="shared" si="31"/>
        <v>47</v>
      </c>
      <c r="BA80" s="82">
        <f t="shared" si="31"/>
        <v>46</v>
      </c>
      <c r="BB80" s="82">
        <f t="shared" si="31"/>
        <v>44.6</v>
      </c>
      <c r="BC80" s="82">
        <f t="shared" si="31"/>
        <v>46.5</v>
      </c>
      <c r="BD80" s="82">
        <f t="shared" si="31"/>
        <v>43.8</v>
      </c>
      <c r="BE80" s="82">
        <f t="shared" si="31"/>
        <v>50</v>
      </c>
      <c r="BF80" s="82">
        <f t="shared" si="31"/>
        <v>52.7</v>
      </c>
      <c r="BG80" s="82">
        <f t="shared" si="31"/>
        <v>51.1</v>
      </c>
      <c r="BH80" s="82">
        <f t="shared" si="31"/>
        <v>48</v>
      </c>
      <c r="BI80" s="82">
        <f t="shared" si="31"/>
        <v>47.8</v>
      </c>
      <c r="BJ80" s="82">
        <f t="shared" si="31"/>
        <v>47.8</v>
      </c>
      <c r="BK80" s="82">
        <f t="shared" si="31"/>
        <v>44</v>
      </c>
      <c r="BL80" s="82">
        <f t="shared" si="31"/>
        <v>44</v>
      </c>
      <c r="BM80" s="82">
        <f t="shared" si="31"/>
        <v>34.1</v>
      </c>
      <c r="BN80" s="82">
        <f t="shared" si="31"/>
        <v>45</v>
      </c>
      <c r="BO80" s="82">
        <f t="shared" si="31"/>
        <v>0</v>
      </c>
      <c r="BP80" s="82">
        <f t="shared" si="31"/>
        <v>0</v>
      </c>
      <c r="BQ80" s="82">
        <f t="shared" si="31"/>
        <v>42.8</v>
      </c>
      <c r="BR80" s="82">
        <f t="shared" si="31"/>
        <v>45</v>
      </c>
      <c r="BS80" s="82">
        <f t="shared" si="31"/>
        <v>43</v>
      </c>
      <c r="BT80" s="82">
        <f t="shared" si="31"/>
        <v>43</v>
      </c>
      <c r="BU80" s="82">
        <f t="shared" si="31"/>
        <v>0</v>
      </c>
      <c r="BV80" s="82">
        <f t="shared" si="31"/>
        <v>47</v>
      </c>
      <c r="BW80" s="82">
        <f t="shared" si="31"/>
        <v>47</v>
      </c>
    </row>
    <row r="81" spans="1:64" x14ac:dyDescent="0.25">
      <c r="A81" s="45" t="s">
        <v>104</v>
      </c>
      <c r="B81" s="46">
        <v>50.2</v>
      </c>
      <c r="C81" s="46">
        <v>48</v>
      </c>
      <c r="D81" s="46">
        <v>50.2</v>
      </c>
      <c r="E81" s="46">
        <v>48</v>
      </c>
      <c r="F81" s="46">
        <v>39.700000000000003</v>
      </c>
      <c r="G81" s="46">
        <v>39.1</v>
      </c>
      <c r="H81" s="46">
        <v>35</v>
      </c>
      <c r="I81" s="46">
        <v>31</v>
      </c>
      <c r="J81" s="46">
        <v>61</v>
      </c>
      <c r="K81" s="46">
        <v>63.9</v>
      </c>
      <c r="L81" s="46">
        <v>60.7</v>
      </c>
      <c r="M81" s="46">
        <v>61.2</v>
      </c>
      <c r="N81" s="46">
        <v>58</v>
      </c>
      <c r="O81" s="46">
        <v>65.900000000000006</v>
      </c>
      <c r="P81" s="46">
        <v>62.5</v>
      </c>
      <c r="Q81" s="46">
        <v>58</v>
      </c>
      <c r="R81" s="46">
        <v>58</v>
      </c>
      <c r="S81" s="46">
        <v>74.400000000000006</v>
      </c>
      <c r="T81" s="46">
        <v>60.7</v>
      </c>
      <c r="U81" s="46">
        <v>50.2</v>
      </c>
      <c r="V81" s="46">
        <v>57.5</v>
      </c>
      <c r="W81" s="46">
        <v>60.2</v>
      </c>
      <c r="X81" s="46">
        <v>51.2</v>
      </c>
      <c r="Y81" s="46">
        <v>15.2</v>
      </c>
      <c r="Z81" s="46">
        <v>9.9</v>
      </c>
      <c r="AA81" s="46">
        <v>20.7</v>
      </c>
      <c r="AB81" s="46">
        <v>27</v>
      </c>
      <c r="AC81" s="46">
        <v>29</v>
      </c>
      <c r="AD81" s="46">
        <v>30</v>
      </c>
      <c r="AE81" s="46"/>
      <c r="AF81" s="46">
        <v>40</v>
      </c>
      <c r="AG81" s="61"/>
      <c r="AH81" s="48">
        <f t="shared" si="8"/>
        <v>74.400000000000006</v>
      </c>
      <c r="AI81" s="49">
        <f t="shared" si="9"/>
        <v>9.9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>
        <v>75.099999999999994</v>
      </c>
      <c r="N82" s="76">
        <v>69</v>
      </c>
      <c r="O82" s="76">
        <v>78.2</v>
      </c>
      <c r="P82" s="76">
        <v>90</v>
      </c>
      <c r="Q82" s="76">
        <v>97</v>
      </c>
      <c r="R82" s="76">
        <v>90</v>
      </c>
      <c r="S82" s="76">
        <v>68.900000000000006</v>
      </c>
      <c r="T82" s="76">
        <v>64.7</v>
      </c>
      <c r="U82" s="76">
        <v>59.4</v>
      </c>
      <c r="V82" s="76">
        <v>55.1</v>
      </c>
      <c r="W82" s="76">
        <v>53.2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/>
      <c r="AF82" s="76">
        <v>0</v>
      </c>
      <c r="AG82" s="66"/>
      <c r="AH82" s="48">
        <f t="shared" ref="AH82:AH125" si="38">MAX(B82:AF82)</f>
        <v>97</v>
      </c>
      <c r="AI82" s="49">
        <f t="shared" ref="AI82:AI125" si="39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0</v>
      </c>
      <c r="D83" s="76">
        <v>0</v>
      </c>
      <c r="E83" s="76">
        <v>5</v>
      </c>
      <c r="F83" s="76">
        <v>0</v>
      </c>
      <c r="G83" s="76">
        <v>0</v>
      </c>
      <c r="H83" s="76">
        <v>0</v>
      </c>
      <c r="I83" s="76">
        <v>0</v>
      </c>
      <c r="J83" s="76">
        <v>193</v>
      </c>
      <c r="K83" s="76">
        <v>215</v>
      </c>
      <c r="L83" s="76">
        <v>234.5</v>
      </c>
      <c r="M83" s="76">
        <v>265.60000000000002</v>
      </c>
      <c r="N83" s="76">
        <v>237</v>
      </c>
      <c r="O83" s="76">
        <v>267.7</v>
      </c>
      <c r="P83" s="76">
        <v>301</v>
      </c>
      <c r="Q83" s="76">
        <v>324</v>
      </c>
      <c r="R83" s="76">
        <v>324</v>
      </c>
      <c r="S83" s="76">
        <v>288</v>
      </c>
      <c r="T83" s="76">
        <v>289.39999999999998</v>
      </c>
      <c r="U83" s="76">
        <v>275.89999999999998</v>
      </c>
      <c r="V83" s="76">
        <v>262.60000000000002</v>
      </c>
      <c r="W83" s="76">
        <v>243</v>
      </c>
      <c r="X83" s="76">
        <v>145</v>
      </c>
      <c r="Y83" s="76">
        <v>73.099999999999994</v>
      </c>
      <c r="Z83" s="76">
        <v>16.5</v>
      </c>
      <c r="AA83" s="76">
        <v>13</v>
      </c>
      <c r="AB83" s="76">
        <v>10</v>
      </c>
      <c r="AC83" s="76">
        <v>0</v>
      </c>
      <c r="AD83" s="76">
        <v>0</v>
      </c>
      <c r="AE83" s="76"/>
      <c r="AF83" s="76">
        <v>0</v>
      </c>
      <c r="AG83" s="88"/>
      <c r="AH83" s="48">
        <f t="shared" si="38"/>
        <v>324</v>
      </c>
      <c r="AI83" s="49">
        <f t="shared" si="39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89">
        <v>0</v>
      </c>
      <c r="C84" s="89">
        <v>0</v>
      </c>
      <c r="D84" s="89">
        <v>0</v>
      </c>
      <c r="E84" s="89"/>
      <c r="F84" s="89"/>
      <c r="G84" s="89"/>
      <c r="H84" s="89"/>
      <c r="I84" s="89"/>
      <c r="J84" s="89">
        <v>47.2</v>
      </c>
      <c r="K84" s="89">
        <v>47</v>
      </c>
      <c r="L84" s="89">
        <v>47.4</v>
      </c>
      <c r="M84" s="89">
        <v>48.4</v>
      </c>
      <c r="N84" s="89">
        <v>42</v>
      </c>
      <c r="O84" s="89">
        <v>42.5</v>
      </c>
      <c r="P84" s="89">
        <v>25</v>
      </c>
      <c r="Q84" s="89">
        <v>23</v>
      </c>
      <c r="R84" s="89">
        <v>24</v>
      </c>
      <c r="S84" s="89">
        <v>18.899999999999999</v>
      </c>
      <c r="T84" s="89">
        <v>22.4</v>
      </c>
      <c r="U84" s="89">
        <v>23</v>
      </c>
      <c r="V84" s="89">
        <v>24.6</v>
      </c>
      <c r="W84" s="89">
        <v>26.1</v>
      </c>
      <c r="X84" s="89">
        <v>11.6</v>
      </c>
      <c r="Y84" s="89">
        <v>12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/>
      <c r="AF84" s="89">
        <v>0</v>
      </c>
      <c r="AG84" s="88"/>
      <c r="AH84" s="48">
        <f t="shared" si="38"/>
        <v>48.4</v>
      </c>
      <c r="AI84" s="49">
        <f t="shared" si="39"/>
        <v>0</v>
      </c>
      <c r="AK84" s="51"/>
      <c r="AY84" s="82"/>
      <c r="BF84" s="81"/>
      <c r="BG84" s="82">
        <f t="array" ref="BG84:BL107">TRANSPOSE(AZ68:BW73)</f>
        <v>48</v>
      </c>
      <c r="BH84" s="82">
        <v>0</v>
      </c>
      <c r="BI84" s="82">
        <v>0</v>
      </c>
      <c r="BJ84" s="82">
        <v>0</v>
      </c>
      <c r="BK84" s="82">
        <v>0</v>
      </c>
      <c r="BL84" s="82">
        <v>47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/>
      <c r="F85" s="46"/>
      <c r="G85" s="46"/>
      <c r="H85" s="46"/>
      <c r="I85" s="46"/>
      <c r="J85" s="46">
        <v>108</v>
      </c>
      <c r="K85" s="46">
        <v>112.3</v>
      </c>
      <c r="L85" s="46">
        <v>114.2</v>
      </c>
      <c r="M85" s="46">
        <v>118.5</v>
      </c>
      <c r="N85" s="46">
        <v>139</v>
      </c>
      <c r="O85" s="46">
        <v>140</v>
      </c>
      <c r="P85" s="46">
        <v>42</v>
      </c>
      <c r="Q85" s="46">
        <v>123</v>
      </c>
      <c r="R85" s="46">
        <v>126</v>
      </c>
      <c r="S85" s="46">
        <v>141</v>
      </c>
      <c r="T85" s="46">
        <v>132.19999999999999</v>
      </c>
      <c r="U85" s="46">
        <v>141.4</v>
      </c>
      <c r="V85" s="46">
        <v>128.9</v>
      </c>
      <c r="W85" s="46">
        <v>126.3</v>
      </c>
      <c r="X85" s="46">
        <v>99.3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/>
      <c r="AF85" s="46">
        <v>0</v>
      </c>
      <c r="AG85" s="88"/>
      <c r="AH85" s="48">
        <f t="shared" si="38"/>
        <v>141.4</v>
      </c>
      <c r="AI85" s="49">
        <f t="shared" si="39"/>
        <v>0</v>
      </c>
      <c r="AK85" s="51"/>
      <c r="AY85" s="82"/>
      <c r="BF85" s="81"/>
      <c r="BG85" s="82">
        <v>50.2</v>
      </c>
      <c r="BH85" s="82">
        <v>0</v>
      </c>
      <c r="BI85" s="82">
        <v>0</v>
      </c>
      <c r="BJ85" s="82">
        <v>0</v>
      </c>
      <c r="BK85" s="82">
        <v>0</v>
      </c>
      <c r="BL85" s="82">
        <v>46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8"/>
        <v>0</v>
      </c>
      <c r="AI86" s="49">
        <f t="shared" si="39"/>
        <v>0</v>
      </c>
      <c r="AK86" s="51"/>
      <c r="AY86" s="82"/>
      <c r="BF86" s="81"/>
      <c r="BG86" s="82">
        <v>48</v>
      </c>
      <c r="BH86" s="82">
        <v>0</v>
      </c>
      <c r="BI86" s="82">
        <v>5</v>
      </c>
      <c r="BJ86" s="82">
        <v>0</v>
      </c>
      <c r="BK86" s="82">
        <v>0</v>
      </c>
      <c r="BL86" s="82">
        <v>44.6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8"/>
        <v>0</v>
      </c>
      <c r="AI87" s="49">
        <f t="shared" si="39"/>
        <v>0</v>
      </c>
      <c r="AK87" s="51"/>
      <c r="AL87" s="91" t="s">
        <v>111</v>
      </c>
      <c r="AM87" s="91"/>
      <c r="AY87" s="82"/>
      <c r="BF87" s="82"/>
      <c r="BG87" s="82">
        <v>39.700000000000003</v>
      </c>
      <c r="BH87" s="82">
        <v>0</v>
      </c>
      <c r="BI87" s="82">
        <v>0</v>
      </c>
      <c r="BJ87" s="82">
        <v>0</v>
      </c>
      <c r="BK87" s="82">
        <v>0</v>
      </c>
      <c r="BL87" s="82">
        <v>46.5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8"/>
        <v>0</v>
      </c>
      <c r="AI88" s="49">
        <f t="shared" si="39"/>
        <v>0</v>
      </c>
      <c r="AK88" s="92"/>
      <c r="AL88" s="93"/>
      <c r="AM88" s="93"/>
      <c r="AN88" s="94"/>
      <c r="AY88" s="82"/>
      <c r="BF88" s="82"/>
      <c r="BG88" s="82">
        <v>39.1</v>
      </c>
      <c r="BH88" s="82">
        <v>0</v>
      </c>
      <c r="BI88" s="82">
        <v>0</v>
      </c>
      <c r="BJ88" s="82">
        <v>0</v>
      </c>
      <c r="BK88" s="82">
        <v>0</v>
      </c>
      <c r="BL88" s="82">
        <v>43.8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8"/>
        <v>0</v>
      </c>
      <c r="AI89" s="49">
        <f t="shared" si="39"/>
        <v>0</v>
      </c>
      <c r="AK89" s="95" t="s">
        <v>114</v>
      </c>
      <c r="AL89" s="76"/>
      <c r="AM89" s="89"/>
      <c r="AN89" s="96"/>
      <c r="AY89" s="82"/>
      <c r="BF89" s="82"/>
      <c r="BG89" s="82">
        <v>31</v>
      </c>
      <c r="BH89" s="82">
        <v>0</v>
      </c>
      <c r="BI89" s="82">
        <v>0</v>
      </c>
      <c r="BJ89" s="82">
        <v>0</v>
      </c>
      <c r="BK89" s="82">
        <v>0</v>
      </c>
      <c r="BL89" s="82">
        <v>50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8"/>
        <v>0</v>
      </c>
      <c r="AI90" s="49">
        <f t="shared" si="39"/>
        <v>0</v>
      </c>
      <c r="AK90" s="95" t="s">
        <v>116</v>
      </c>
      <c r="AL90" s="89"/>
      <c r="AM90" s="89"/>
      <c r="AN90" s="96"/>
      <c r="AY90" s="82"/>
      <c r="BF90" s="82"/>
      <c r="BG90" s="82">
        <v>63.9</v>
      </c>
      <c r="BH90" s="82">
        <v>0</v>
      </c>
      <c r="BI90" s="82">
        <v>215</v>
      </c>
      <c r="BJ90" s="82">
        <v>47</v>
      </c>
      <c r="BK90" s="82">
        <v>112.3</v>
      </c>
      <c r="BL90" s="82">
        <v>52.7</v>
      </c>
    </row>
    <row r="91" spans="1:64" ht="15.75" thickBot="1" x14ac:dyDescent="0.3">
      <c r="A91" s="97" t="s">
        <v>117</v>
      </c>
      <c r="B91" s="90">
        <v>47</v>
      </c>
      <c r="C91" s="90">
        <v>46.5</v>
      </c>
      <c r="D91" s="90">
        <v>46</v>
      </c>
      <c r="E91" s="90">
        <v>44.6</v>
      </c>
      <c r="F91" s="90">
        <v>46.5</v>
      </c>
      <c r="G91" s="90">
        <v>43.8</v>
      </c>
      <c r="H91" s="90">
        <v>44.4</v>
      </c>
      <c r="I91" s="90">
        <v>50</v>
      </c>
      <c r="J91" s="90">
        <v>50</v>
      </c>
      <c r="K91" s="90">
        <v>52.7</v>
      </c>
      <c r="L91" s="90">
        <v>48.8</v>
      </c>
      <c r="M91" s="90">
        <v>51.1</v>
      </c>
      <c r="N91" s="90">
        <v>48</v>
      </c>
      <c r="O91" s="90">
        <v>47.8</v>
      </c>
      <c r="P91" s="90">
        <v>47.8</v>
      </c>
      <c r="Q91" s="90">
        <v>44</v>
      </c>
      <c r="R91" s="90">
        <v>44</v>
      </c>
      <c r="S91" s="90">
        <v>34.1</v>
      </c>
      <c r="T91" s="90">
        <v>45</v>
      </c>
      <c r="U91" s="90">
        <v>0</v>
      </c>
      <c r="V91" s="90">
        <v>0</v>
      </c>
      <c r="W91" s="90">
        <v>42.1</v>
      </c>
      <c r="X91" s="90">
        <v>42.8</v>
      </c>
      <c r="Y91" s="90">
        <v>44</v>
      </c>
      <c r="Z91" s="90">
        <v>45</v>
      </c>
      <c r="AA91" s="90">
        <v>44.8</v>
      </c>
      <c r="AB91" s="90">
        <v>43</v>
      </c>
      <c r="AC91" s="90">
        <v>43</v>
      </c>
      <c r="AD91" s="90">
        <v>43</v>
      </c>
      <c r="AE91" s="90"/>
      <c r="AF91" s="90">
        <v>47</v>
      </c>
      <c r="AG91" s="98"/>
      <c r="AH91" s="48">
        <f t="shared" si="38"/>
        <v>52.7</v>
      </c>
      <c r="AI91" s="49">
        <f t="shared" si="39"/>
        <v>0</v>
      </c>
      <c r="AK91" s="99"/>
      <c r="AL91" s="46"/>
      <c r="AM91" s="46"/>
      <c r="AN91" s="100"/>
      <c r="AY91" s="82"/>
      <c r="BF91" s="82"/>
      <c r="BG91" s="82">
        <v>61.2</v>
      </c>
      <c r="BH91" s="82">
        <v>75.099999999999994</v>
      </c>
      <c r="BI91" s="82">
        <v>265.60000000000002</v>
      </c>
      <c r="BJ91" s="82">
        <v>48.4</v>
      </c>
      <c r="BK91" s="82">
        <v>118.5</v>
      </c>
      <c r="BL91" s="82">
        <v>51.1</v>
      </c>
    </row>
    <row r="92" spans="1:64" ht="15.75" thickBot="1" x14ac:dyDescent="0.3">
      <c r="A92" s="87" t="s">
        <v>118</v>
      </c>
      <c r="B92" s="71">
        <f>SUMIF(B81:B91,"&gt;0")</f>
        <v>97.2</v>
      </c>
      <c r="C92" s="71">
        <f t="shared" ref="C92:AF92" si="40">SUMIF(C81:C91,"&gt;0")</f>
        <v>94.5</v>
      </c>
      <c r="D92" s="71">
        <f t="shared" si="40"/>
        <v>96.2</v>
      </c>
      <c r="E92" s="71">
        <f t="shared" si="40"/>
        <v>97.6</v>
      </c>
      <c r="F92" s="71">
        <f t="shared" si="40"/>
        <v>86.2</v>
      </c>
      <c r="G92" s="71">
        <f t="shared" si="40"/>
        <v>82.9</v>
      </c>
      <c r="H92" s="71">
        <f t="shared" si="40"/>
        <v>79.400000000000006</v>
      </c>
      <c r="I92" s="71">
        <f t="shared" si="40"/>
        <v>81</v>
      </c>
      <c r="J92" s="71">
        <f t="shared" si="40"/>
        <v>459.2</v>
      </c>
      <c r="K92" s="71">
        <f t="shared" si="40"/>
        <v>490.9</v>
      </c>
      <c r="L92" s="71">
        <f t="shared" si="40"/>
        <v>505.59999999999997</v>
      </c>
      <c r="M92" s="71">
        <f t="shared" si="40"/>
        <v>619.9</v>
      </c>
      <c r="N92" s="71">
        <f t="shared" si="40"/>
        <v>593</v>
      </c>
      <c r="O92" s="71">
        <f t="shared" si="40"/>
        <v>642.09999999999991</v>
      </c>
      <c r="P92" s="71">
        <f t="shared" si="40"/>
        <v>568.29999999999995</v>
      </c>
      <c r="Q92" s="71">
        <f t="shared" si="40"/>
        <v>669</v>
      </c>
      <c r="R92" s="71">
        <f t="shared" si="40"/>
        <v>666</v>
      </c>
      <c r="S92" s="71">
        <f t="shared" si="40"/>
        <v>625.30000000000007</v>
      </c>
      <c r="T92" s="71">
        <f t="shared" si="40"/>
        <v>614.39999999999986</v>
      </c>
      <c r="U92" s="71">
        <f t="shared" si="40"/>
        <v>549.9</v>
      </c>
      <c r="V92" s="71">
        <f t="shared" si="40"/>
        <v>528.70000000000005</v>
      </c>
      <c r="W92" s="71">
        <f t="shared" si="40"/>
        <v>550.9</v>
      </c>
      <c r="X92" s="71">
        <f t="shared" si="40"/>
        <v>349.9</v>
      </c>
      <c r="Y92" s="71">
        <f t="shared" si="40"/>
        <v>144.30000000000001</v>
      </c>
      <c r="Z92" s="71">
        <f t="shared" si="40"/>
        <v>71.400000000000006</v>
      </c>
      <c r="AA92" s="71">
        <f t="shared" si="40"/>
        <v>78.5</v>
      </c>
      <c r="AB92" s="71">
        <f t="shared" si="40"/>
        <v>80</v>
      </c>
      <c r="AC92" s="71">
        <f t="shared" ref="AC92:AD92" si="41">SUMIF(AC81:AC91,"&gt;0")</f>
        <v>72</v>
      </c>
      <c r="AD92" s="71">
        <f t="shared" si="41"/>
        <v>73</v>
      </c>
      <c r="AE92" s="71">
        <f t="shared" si="40"/>
        <v>0</v>
      </c>
      <c r="AF92" s="71">
        <f t="shared" si="40"/>
        <v>87</v>
      </c>
      <c r="AG92" s="101">
        <f>SUM(AG81:AG91)</f>
        <v>0</v>
      </c>
      <c r="AH92" s="48">
        <f t="shared" si="38"/>
        <v>669</v>
      </c>
      <c r="AI92" s="49">
        <f t="shared" si="39"/>
        <v>0</v>
      </c>
      <c r="AK92" s="99"/>
      <c r="AL92" s="90"/>
      <c r="AM92" s="102"/>
      <c r="AN92" s="202"/>
      <c r="AY92" s="82"/>
      <c r="BF92" s="82"/>
      <c r="BG92" s="82">
        <v>58</v>
      </c>
      <c r="BH92" s="82">
        <v>69</v>
      </c>
      <c r="BI92" s="82">
        <v>237</v>
      </c>
      <c r="BJ92" s="82">
        <v>42</v>
      </c>
      <c r="BK92" s="82">
        <v>139</v>
      </c>
      <c r="BL92" s="82">
        <v>48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8"/>
        <v>0</v>
      </c>
      <c r="AI93" s="49">
        <f t="shared" si="39"/>
        <v>0</v>
      </c>
      <c r="AK93" s="99"/>
      <c r="AL93" s="90"/>
      <c r="AM93" s="90"/>
      <c r="AN93" s="203"/>
      <c r="BF93" s="82"/>
      <c r="BG93" s="82">
        <v>65.900000000000006</v>
      </c>
      <c r="BH93" s="82">
        <v>78.2</v>
      </c>
      <c r="BI93" s="82">
        <v>267.7</v>
      </c>
      <c r="BJ93" s="82">
        <v>42.5</v>
      </c>
      <c r="BK93" s="82">
        <v>140</v>
      </c>
      <c r="BL93" s="82">
        <v>47.8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8"/>
        <v>0</v>
      </c>
      <c r="AI94" s="49">
        <f t="shared" si="39"/>
        <v>0</v>
      </c>
      <c r="AK94" s="104"/>
      <c r="AL94" s="105"/>
      <c r="AM94" s="105"/>
      <c r="AN94" s="106"/>
      <c r="BF94" s="82"/>
      <c r="BG94" s="82">
        <v>62.5</v>
      </c>
      <c r="BH94" s="82">
        <v>90</v>
      </c>
      <c r="BI94" s="82">
        <v>301</v>
      </c>
      <c r="BJ94" s="82">
        <v>25</v>
      </c>
      <c r="BK94" s="82">
        <v>42</v>
      </c>
      <c r="BL94" s="82">
        <v>47.8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8"/>
        <v>0</v>
      </c>
      <c r="AI95" s="49">
        <f t="shared" si="39"/>
        <v>0</v>
      </c>
      <c r="BF95" s="82"/>
      <c r="BG95" s="82">
        <v>58</v>
      </c>
      <c r="BH95" s="82">
        <v>97</v>
      </c>
      <c r="BI95" s="82">
        <v>324</v>
      </c>
      <c r="BJ95" s="82">
        <v>23</v>
      </c>
      <c r="BK95" s="82">
        <v>123</v>
      </c>
      <c r="BL95" s="82">
        <v>44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8"/>
        <v>0</v>
      </c>
      <c r="AI96" s="49">
        <f t="shared" si="39"/>
        <v>0</v>
      </c>
      <c r="BF96" s="82"/>
      <c r="BG96" s="82">
        <v>58</v>
      </c>
      <c r="BH96" s="82">
        <v>90</v>
      </c>
      <c r="BI96" s="82">
        <v>324</v>
      </c>
      <c r="BJ96" s="82">
        <v>24</v>
      </c>
      <c r="BK96" s="82">
        <v>126</v>
      </c>
      <c r="BL96" s="82">
        <v>44</v>
      </c>
    </row>
    <row r="97" spans="1:64" ht="15.75" thickBot="1" x14ac:dyDescent="0.3">
      <c r="A97" s="87" t="s">
        <v>123</v>
      </c>
      <c r="B97" s="108">
        <f>B58+B62+B80+B76+B92+B96</f>
        <v>746.54000000000008</v>
      </c>
      <c r="C97" s="108">
        <f t="shared" ref="C97:AG97" si="42">C58+C62+C80+C76+C92+C96</f>
        <v>1270.1399999999999</v>
      </c>
      <c r="D97" s="108">
        <f t="shared" si="42"/>
        <v>1269.3399999999999</v>
      </c>
      <c r="E97" s="108">
        <f t="shared" si="42"/>
        <v>1259.1399999999999</v>
      </c>
      <c r="F97" s="108">
        <f t="shared" si="42"/>
        <v>1203.4399999999998</v>
      </c>
      <c r="G97" s="108">
        <f t="shared" si="42"/>
        <v>1189.6400000000001</v>
      </c>
      <c r="H97" s="108">
        <f t="shared" si="42"/>
        <v>1206.8399999999999</v>
      </c>
      <c r="I97" s="108">
        <f t="shared" si="42"/>
        <v>1269.94</v>
      </c>
      <c r="J97" s="108">
        <f t="shared" si="42"/>
        <v>1451.54</v>
      </c>
      <c r="K97" s="108">
        <f t="shared" si="42"/>
        <v>1504.3400000000001</v>
      </c>
      <c r="L97" s="108">
        <f t="shared" si="42"/>
        <v>1462.54</v>
      </c>
      <c r="M97" s="108">
        <f t="shared" si="42"/>
        <v>1588.8400000000001</v>
      </c>
      <c r="N97" s="108">
        <f t="shared" si="42"/>
        <v>1579.04</v>
      </c>
      <c r="O97" s="108">
        <f t="shared" si="42"/>
        <v>1617.44</v>
      </c>
      <c r="P97" s="108">
        <f t="shared" si="42"/>
        <v>1534.44</v>
      </c>
      <c r="Q97" s="108">
        <f t="shared" si="42"/>
        <v>1685.1399999999999</v>
      </c>
      <c r="R97" s="108">
        <f t="shared" si="42"/>
        <v>1686.1399999999999</v>
      </c>
      <c r="S97" s="108">
        <f t="shared" si="42"/>
        <v>1602.74</v>
      </c>
      <c r="T97" s="108">
        <f t="shared" si="42"/>
        <v>1620.6399999999999</v>
      </c>
      <c r="U97" s="108">
        <f t="shared" si="42"/>
        <v>1578.04</v>
      </c>
      <c r="V97" s="108">
        <f t="shared" si="42"/>
        <v>1482.8400000000001</v>
      </c>
      <c r="W97" s="108">
        <f t="shared" si="42"/>
        <v>1507.2399999999998</v>
      </c>
      <c r="X97" s="108">
        <f t="shared" si="42"/>
        <v>1358.2399999999998</v>
      </c>
      <c r="Y97" s="108">
        <f t="shared" si="42"/>
        <v>1387.8999999999999</v>
      </c>
      <c r="Z97" s="108">
        <f t="shared" si="42"/>
        <v>1477.7</v>
      </c>
      <c r="AA97" s="108">
        <f t="shared" si="42"/>
        <v>1615.14</v>
      </c>
      <c r="AB97" s="108">
        <f t="shared" si="42"/>
        <v>1558.3400000000001</v>
      </c>
      <c r="AC97" s="108">
        <f t="shared" ref="AC97:AD97" si="43">AC58+AC62+AC80+AC76+AC92+AC96</f>
        <v>1512.34</v>
      </c>
      <c r="AD97" s="108">
        <f t="shared" si="43"/>
        <v>1521.04</v>
      </c>
      <c r="AE97" s="108">
        <f t="shared" si="42"/>
        <v>744.33999999999992</v>
      </c>
      <c r="AF97" s="108">
        <f t="shared" si="42"/>
        <v>1333.3400000000001</v>
      </c>
      <c r="AG97" s="72">
        <f t="shared" si="42"/>
        <v>2231.81</v>
      </c>
      <c r="AH97" s="48">
        <f t="shared" si="38"/>
        <v>1686.1399999999999</v>
      </c>
      <c r="AI97" s="49">
        <f t="shared" si="39"/>
        <v>744.33999999999992</v>
      </c>
      <c r="BF97" s="82"/>
      <c r="BG97" s="82">
        <v>74.400000000000006</v>
      </c>
      <c r="BH97" s="82">
        <v>68.900000000000006</v>
      </c>
      <c r="BI97" s="82">
        <v>288</v>
      </c>
      <c r="BJ97" s="82">
        <v>18.899999999999999</v>
      </c>
      <c r="BK97" s="82">
        <v>141</v>
      </c>
      <c r="BL97" s="82">
        <v>34.1</v>
      </c>
    </row>
    <row r="98" spans="1:64" ht="15.75" thickBot="1" x14ac:dyDescent="0.3">
      <c r="A98" s="109" t="s">
        <v>124</v>
      </c>
      <c r="B98" s="110">
        <v>250</v>
      </c>
      <c r="C98" s="110">
        <v>250</v>
      </c>
      <c r="D98" s="110">
        <v>250</v>
      </c>
      <c r="E98" s="110">
        <v>250</v>
      </c>
      <c r="F98" s="110">
        <v>250</v>
      </c>
      <c r="G98" s="110">
        <v>250</v>
      </c>
      <c r="H98" s="110">
        <v>250</v>
      </c>
      <c r="I98" s="110">
        <v>180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>
        <v>150</v>
      </c>
      <c r="AA98" s="110">
        <v>180</v>
      </c>
      <c r="AB98" s="110">
        <v>180</v>
      </c>
      <c r="AC98" s="110">
        <v>181</v>
      </c>
      <c r="AD98" s="110">
        <v>180</v>
      </c>
      <c r="AE98" s="110"/>
      <c r="AF98" s="110">
        <v>180</v>
      </c>
      <c r="AG98" s="101"/>
      <c r="AH98" s="48">
        <f t="shared" si="38"/>
        <v>250</v>
      </c>
      <c r="AI98" s="49">
        <f t="shared" si="39"/>
        <v>150</v>
      </c>
      <c r="BF98" s="82"/>
      <c r="BG98" s="82">
        <v>60.7</v>
      </c>
      <c r="BH98" s="82">
        <v>64.7</v>
      </c>
      <c r="BI98" s="82">
        <v>289.39999999999998</v>
      </c>
      <c r="BJ98" s="82">
        <v>22.4</v>
      </c>
      <c r="BK98" s="82">
        <v>132.19999999999999</v>
      </c>
      <c r="BL98" s="82">
        <v>45</v>
      </c>
    </row>
    <row r="99" spans="1:64" ht="15.75" thickBot="1" x14ac:dyDescent="0.3">
      <c r="A99" s="87" t="s">
        <v>125</v>
      </c>
      <c r="B99" s="108">
        <f>B97+B98</f>
        <v>996.54000000000008</v>
      </c>
      <c r="C99" s="108">
        <f t="shared" ref="C99:AF99" si="44">C97+C98</f>
        <v>1520.1399999999999</v>
      </c>
      <c r="D99" s="108">
        <f t="shared" si="44"/>
        <v>1519.34</v>
      </c>
      <c r="E99" s="108">
        <f t="shared" si="44"/>
        <v>1509.1399999999999</v>
      </c>
      <c r="F99" s="108">
        <f t="shared" si="44"/>
        <v>1453.4399999999998</v>
      </c>
      <c r="G99" s="108">
        <f t="shared" si="44"/>
        <v>1439.64</v>
      </c>
      <c r="H99" s="108">
        <f t="shared" si="44"/>
        <v>1456.84</v>
      </c>
      <c r="I99" s="108">
        <f t="shared" si="44"/>
        <v>1449.94</v>
      </c>
      <c r="J99" s="108">
        <f t="shared" si="44"/>
        <v>1451.54</v>
      </c>
      <c r="K99" s="108">
        <f t="shared" si="44"/>
        <v>1504.3400000000001</v>
      </c>
      <c r="L99" s="108">
        <f t="shared" si="44"/>
        <v>1462.54</v>
      </c>
      <c r="M99" s="108">
        <f t="shared" si="44"/>
        <v>1588.8400000000001</v>
      </c>
      <c r="N99" s="108">
        <f t="shared" si="44"/>
        <v>1579.04</v>
      </c>
      <c r="O99" s="108">
        <f t="shared" si="44"/>
        <v>1617.44</v>
      </c>
      <c r="P99" s="108">
        <f t="shared" si="44"/>
        <v>1534.44</v>
      </c>
      <c r="Q99" s="108">
        <f t="shared" si="44"/>
        <v>1685.1399999999999</v>
      </c>
      <c r="R99" s="108">
        <f t="shared" si="44"/>
        <v>1686.1399999999999</v>
      </c>
      <c r="S99" s="108">
        <f t="shared" si="44"/>
        <v>1602.74</v>
      </c>
      <c r="T99" s="108">
        <f t="shared" si="44"/>
        <v>1620.6399999999999</v>
      </c>
      <c r="U99" s="108">
        <f t="shared" si="44"/>
        <v>1578.04</v>
      </c>
      <c r="V99" s="108">
        <f t="shared" si="44"/>
        <v>1482.8400000000001</v>
      </c>
      <c r="W99" s="108">
        <f t="shared" si="44"/>
        <v>1507.2399999999998</v>
      </c>
      <c r="X99" s="108">
        <f t="shared" si="44"/>
        <v>1358.2399999999998</v>
      </c>
      <c r="Y99" s="108">
        <f t="shared" si="44"/>
        <v>1387.8999999999999</v>
      </c>
      <c r="Z99" s="108">
        <f t="shared" si="44"/>
        <v>1627.7</v>
      </c>
      <c r="AA99" s="108">
        <f t="shared" si="44"/>
        <v>1795.14</v>
      </c>
      <c r="AB99" s="108">
        <f t="shared" si="44"/>
        <v>1738.3400000000001</v>
      </c>
      <c r="AC99" s="108">
        <f t="shared" ref="AC99:AD99" si="45">AC97+AC98</f>
        <v>1693.34</v>
      </c>
      <c r="AD99" s="108">
        <f t="shared" si="45"/>
        <v>1701.04</v>
      </c>
      <c r="AE99" s="108">
        <f t="shared" si="44"/>
        <v>744.33999999999992</v>
      </c>
      <c r="AF99" s="108">
        <f t="shared" si="44"/>
        <v>1513.3400000000001</v>
      </c>
      <c r="AG99" s="101">
        <f>AG96+AG92+AG80+AG76+AG58+AG98</f>
        <v>1693.71</v>
      </c>
      <c r="AH99" s="48">
        <f t="shared" si="38"/>
        <v>1795.14</v>
      </c>
      <c r="AI99" s="49">
        <f t="shared" si="39"/>
        <v>744.33999999999992</v>
      </c>
      <c r="BF99" s="82"/>
      <c r="BG99" s="82">
        <v>50.2</v>
      </c>
      <c r="BH99" s="82">
        <v>59.4</v>
      </c>
      <c r="BI99" s="82">
        <v>275.89999999999998</v>
      </c>
      <c r="BJ99" s="82">
        <v>23</v>
      </c>
      <c r="BK99" s="82">
        <v>141.4</v>
      </c>
      <c r="BL99" s="82">
        <v>0</v>
      </c>
    </row>
    <row r="100" spans="1:64" ht="15.75" thickBot="1" x14ac:dyDescent="0.3">
      <c r="A100" s="87" t="s">
        <v>126</v>
      </c>
      <c r="B100" s="108">
        <f>B99-(B107)</f>
        <v>996.54000000000008</v>
      </c>
      <c r="C100" s="108">
        <f t="shared" ref="C100:AF100" si="46">C99-(C107)</f>
        <v>1520.1399999999999</v>
      </c>
      <c r="D100" s="108">
        <f t="shared" si="46"/>
        <v>1519.34</v>
      </c>
      <c r="E100" s="108">
        <f t="shared" si="46"/>
        <v>1509.1399999999999</v>
      </c>
      <c r="F100" s="108">
        <f t="shared" si="46"/>
        <v>1453.4399999999998</v>
      </c>
      <c r="G100" s="108">
        <f t="shared" si="46"/>
        <v>1439.64</v>
      </c>
      <c r="H100" s="108">
        <f t="shared" si="46"/>
        <v>1456.84</v>
      </c>
      <c r="I100" s="108">
        <f t="shared" si="46"/>
        <v>1449.94</v>
      </c>
      <c r="J100" s="108">
        <f t="shared" si="46"/>
        <v>1451.54</v>
      </c>
      <c r="K100" s="108">
        <f t="shared" si="46"/>
        <v>1504.3400000000001</v>
      </c>
      <c r="L100" s="108">
        <f t="shared" si="46"/>
        <v>1462.54</v>
      </c>
      <c r="M100" s="108">
        <f t="shared" si="46"/>
        <v>1588.8400000000001</v>
      </c>
      <c r="N100" s="108">
        <f t="shared" si="46"/>
        <v>1579.04</v>
      </c>
      <c r="O100" s="108">
        <f t="shared" si="46"/>
        <v>1617.44</v>
      </c>
      <c r="P100" s="108">
        <f t="shared" si="46"/>
        <v>1534.44</v>
      </c>
      <c r="Q100" s="108">
        <f t="shared" si="46"/>
        <v>1685.1399999999999</v>
      </c>
      <c r="R100" s="108">
        <f t="shared" si="46"/>
        <v>1686.1399999999999</v>
      </c>
      <c r="S100" s="108">
        <f t="shared" si="46"/>
        <v>1602.74</v>
      </c>
      <c r="T100" s="108">
        <f t="shared" si="46"/>
        <v>1620.6399999999999</v>
      </c>
      <c r="U100" s="108">
        <f t="shared" si="46"/>
        <v>1578.04</v>
      </c>
      <c r="V100" s="108">
        <f t="shared" si="46"/>
        <v>1482.8400000000001</v>
      </c>
      <c r="W100" s="108">
        <f t="shared" si="46"/>
        <v>1507.2399999999998</v>
      </c>
      <c r="X100" s="108">
        <f t="shared" si="46"/>
        <v>1358.2399999999998</v>
      </c>
      <c r="Y100" s="108">
        <f t="shared" si="46"/>
        <v>1387.8999999999999</v>
      </c>
      <c r="Z100" s="108">
        <f t="shared" si="46"/>
        <v>1627.7</v>
      </c>
      <c r="AA100" s="108">
        <f t="shared" si="46"/>
        <v>1795.14</v>
      </c>
      <c r="AB100" s="108">
        <f t="shared" si="46"/>
        <v>1738.3400000000001</v>
      </c>
      <c r="AC100" s="108">
        <f t="shared" ref="AC100:AD100" si="47">AC99-(AC107)</f>
        <v>1692.34</v>
      </c>
      <c r="AD100" s="108">
        <f t="shared" si="47"/>
        <v>1701.04</v>
      </c>
      <c r="AE100" s="108">
        <f t="shared" si="46"/>
        <v>744.33999999999992</v>
      </c>
      <c r="AF100" s="108">
        <f t="shared" si="46"/>
        <v>1513.3400000000001</v>
      </c>
      <c r="AG100" s="101"/>
      <c r="AH100" s="48">
        <f t="shared" si="38"/>
        <v>1795.14</v>
      </c>
      <c r="AI100" s="49">
        <f t="shared" si="39"/>
        <v>744.33999999999992</v>
      </c>
      <c r="BF100" s="82"/>
      <c r="BG100" s="82">
        <v>57.5</v>
      </c>
      <c r="BH100" s="82">
        <v>55.1</v>
      </c>
      <c r="BI100" s="82">
        <v>262.60000000000002</v>
      </c>
      <c r="BJ100" s="82">
        <v>24.6</v>
      </c>
      <c r="BK100" s="82">
        <v>128.9</v>
      </c>
      <c r="BL100" s="82">
        <v>0</v>
      </c>
    </row>
    <row r="101" spans="1:64" x14ac:dyDescent="0.25">
      <c r="A101" s="45" t="s">
        <v>107</v>
      </c>
      <c r="B101" s="89">
        <f>IF(B84&lt;0,B84*-1,0)</f>
        <v>0</v>
      </c>
      <c r="C101" s="89">
        <f t="shared" ref="C101:AF101" si="48">IF(C84&lt;0,C84*-1,0)</f>
        <v>0</v>
      </c>
      <c r="D101" s="89">
        <f t="shared" si="48"/>
        <v>0</v>
      </c>
      <c r="E101" s="89">
        <f t="shared" si="48"/>
        <v>0</v>
      </c>
      <c r="F101" s="89">
        <f t="shared" si="48"/>
        <v>0</v>
      </c>
      <c r="G101" s="89">
        <f t="shared" si="48"/>
        <v>0</v>
      </c>
      <c r="H101" s="89">
        <f t="shared" si="48"/>
        <v>0</v>
      </c>
      <c r="I101" s="89">
        <f t="shared" si="48"/>
        <v>0</v>
      </c>
      <c r="J101" s="89">
        <f t="shared" si="48"/>
        <v>0</v>
      </c>
      <c r="K101" s="89">
        <f t="shared" si="48"/>
        <v>0</v>
      </c>
      <c r="L101" s="89">
        <f t="shared" si="48"/>
        <v>0</v>
      </c>
      <c r="M101" s="89">
        <f t="shared" si="48"/>
        <v>0</v>
      </c>
      <c r="N101" s="89">
        <f t="shared" si="48"/>
        <v>0</v>
      </c>
      <c r="O101" s="89">
        <f t="shared" si="48"/>
        <v>0</v>
      </c>
      <c r="P101" s="89">
        <f t="shared" si="48"/>
        <v>0</v>
      </c>
      <c r="Q101" s="89">
        <f t="shared" si="48"/>
        <v>0</v>
      </c>
      <c r="R101" s="89">
        <f t="shared" si="48"/>
        <v>0</v>
      </c>
      <c r="S101" s="89">
        <f t="shared" si="48"/>
        <v>0</v>
      </c>
      <c r="T101" s="89">
        <f t="shared" si="48"/>
        <v>0</v>
      </c>
      <c r="U101" s="89">
        <f t="shared" si="48"/>
        <v>0</v>
      </c>
      <c r="V101" s="89">
        <f t="shared" si="48"/>
        <v>0</v>
      </c>
      <c r="W101" s="89">
        <f t="shared" si="48"/>
        <v>0</v>
      </c>
      <c r="X101" s="89">
        <f t="shared" si="48"/>
        <v>0</v>
      </c>
      <c r="Y101" s="89">
        <f t="shared" si="48"/>
        <v>0</v>
      </c>
      <c r="Z101" s="89">
        <f t="shared" si="48"/>
        <v>0</v>
      </c>
      <c r="AA101" s="89">
        <f t="shared" si="48"/>
        <v>0</v>
      </c>
      <c r="AB101" s="89">
        <f t="shared" si="48"/>
        <v>0</v>
      </c>
      <c r="AC101" s="89">
        <f t="shared" ref="AC101:AD101" si="49">IF(AC84&lt;0,AC84*-1,0)</f>
        <v>0</v>
      </c>
      <c r="AD101" s="89">
        <f t="shared" si="49"/>
        <v>0</v>
      </c>
      <c r="AE101" s="89">
        <f t="shared" si="48"/>
        <v>0</v>
      </c>
      <c r="AF101" s="89">
        <f t="shared" si="48"/>
        <v>0</v>
      </c>
      <c r="AG101" s="61"/>
      <c r="AH101" s="48">
        <f t="shared" si="38"/>
        <v>0</v>
      </c>
      <c r="AI101" s="49">
        <f t="shared" si="39"/>
        <v>0</v>
      </c>
      <c r="BF101" s="81"/>
      <c r="BG101" s="82">
        <v>51.2</v>
      </c>
      <c r="BH101" s="82">
        <v>0</v>
      </c>
      <c r="BI101" s="82">
        <v>145</v>
      </c>
      <c r="BJ101" s="82">
        <v>11.6</v>
      </c>
      <c r="BK101" s="82">
        <v>99.3</v>
      </c>
      <c r="BL101" s="82">
        <v>42.8</v>
      </c>
    </row>
    <row r="102" spans="1:64" x14ac:dyDescent="0.25">
      <c r="A102" s="65" t="s">
        <v>105</v>
      </c>
      <c r="B102" s="89">
        <f>IF(B82&lt;0,B82*-1,0)</f>
        <v>0</v>
      </c>
      <c r="C102" s="89">
        <f t="shared" ref="C102:AF102" si="50">IF(C82&lt;0,C82*-1,0)</f>
        <v>0</v>
      </c>
      <c r="D102" s="89">
        <f t="shared" si="50"/>
        <v>0</v>
      </c>
      <c r="E102" s="89">
        <f t="shared" si="50"/>
        <v>0</v>
      </c>
      <c r="F102" s="89">
        <f t="shared" si="50"/>
        <v>0</v>
      </c>
      <c r="G102" s="89">
        <f t="shared" si="50"/>
        <v>0</v>
      </c>
      <c r="H102" s="89">
        <f t="shared" si="50"/>
        <v>0</v>
      </c>
      <c r="I102" s="89">
        <f t="shared" si="50"/>
        <v>0</v>
      </c>
      <c r="J102" s="89">
        <f t="shared" si="50"/>
        <v>0</v>
      </c>
      <c r="K102" s="89">
        <f t="shared" si="50"/>
        <v>0</v>
      </c>
      <c r="L102" s="89">
        <f t="shared" si="50"/>
        <v>0</v>
      </c>
      <c r="M102" s="89">
        <f t="shared" si="50"/>
        <v>0</v>
      </c>
      <c r="N102" s="89">
        <f t="shared" si="50"/>
        <v>0</v>
      </c>
      <c r="O102" s="89">
        <f t="shared" si="50"/>
        <v>0</v>
      </c>
      <c r="P102" s="89">
        <f t="shared" si="50"/>
        <v>0</v>
      </c>
      <c r="Q102" s="89">
        <f t="shared" si="50"/>
        <v>0</v>
      </c>
      <c r="R102" s="89">
        <f t="shared" si="50"/>
        <v>0</v>
      </c>
      <c r="S102" s="89">
        <f t="shared" si="50"/>
        <v>0</v>
      </c>
      <c r="T102" s="89">
        <f t="shared" si="50"/>
        <v>0</v>
      </c>
      <c r="U102" s="89">
        <f t="shared" si="50"/>
        <v>0</v>
      </c>
      <c r="V102" s="89">
        <f t="shared" si="50"/>
        <v>0</v>
      </c>
      <c r="W102" s="89">
        <f t="shared" si="50"/>
        <v>0</v>
      </c>
      <c r="X102" s="89">
        <f t="shared" si="50"/>
        <v>0</v>
      </c>
      <c r="Y102" s="89">
        <f t="shared" si="50"/>
        <v>0</v>
      </c>
      <c r="Z102" s="89">
        <f t="shared" si="50"/>
        <v>0</v>
      </c>
      <c r="AA102" s="89">
        <f t="shared" si="50"/>
        <v>0</v>
      </c>
      <c r="AB102" s="89">
        <f t="shared" si="50"/>
        <v>0</v>
      </c>
      <c r="AC102" s="89">
        <f t="shared" ref="AC102:AD102" si="51">IF(AC82&lt;0,AC82*-1,0)</f>
        <v>0</v>
      </c>
      <c r="AD102" s="89">
        <f t="shared" si="51"/>
        <v>0</v>
      </c>
      <c r="AE102" s="89">
        <f t="shared" si="50"/>
        <v>0</v>
      </c>
      <c r="AF102" s="89">
        <f t="shared" si="50"/>
        <v>0</v>
      </c>
      <c r="AG102" s="66"/>
      <c r="AH102" s="48">
        <f t="shared" si="38"/>
        <v>0</v>
      </c>
      <c r="AI102" s="49">
        <f t="shared" si="39"/>
        <v>0</v>
      </c>
      <c r="BF102" s="81"/>
      <c r="BG102" s="82">
        <v>9.9</v>
      </c>
      <c r="BH102" s="82">
        <v>0</v>
      </c>
      <c r="BI102" s="82">
        <v>16.5</v>
      </c>
      <c r="BJ102" s="82">
        <v>0</v>
      </c>
      <c r="BK102" s="82">
        <v>0</v>
      </c>
      <c r="BL102" s="82">
        <v>45</v>
      </c>
    </row>
    <row r="103" spans="1:64" x14ac:dyDescent="0.25">
      <c r="A103" s="97" t="s">
        <v>127</v>
      </c>
      <c r="B103" s="89">
        <f>IF(B85&lt;0,B85*-1,0)</f>
        <v>0</v>
      </c>
      <c r="C103" s="89">
        <f t="shared" ref="C103:AF103" si="52">IF(C85&lt;0,C85*-1,0)</f>
        <v>0</v>
      </c>
      <c r="D103" s="89">
        <f t="shared" si="52"/>
        <v>0</v>
      </c>
      <c r="E103" s="89">
        <f t="shared" si="52"/>
        <v>0</v>
      </c>
      <c r="F103" s="89">
        <f t="shared" si="52"/>
        <v>0</v>
      </c>
      <c r="G103" s="89">
        <f t="shared" si="52"/>
        <v>0</v>
      </c>
      <c r="H103" s="89">
        <f t="shared" si="52"/>
        <v>0</v>
      </c>
      <c r="I103" s="89">
        <f t="shared" si="52"/>
        <v>0</v>
      </c>
      <c r="J103" s="89">
        <f t="shared" si="52"/>
        <v>0</v>
      </c>
      <c r="K103" s="89">
        <f t="shared" si="52"/>
        <v>0</v>
      </c>
      <c r="L103" s="89">
        <f t="shared" si="52"/>
        <v>0</v>
      </c>
      <c r="M103" s="89">
        <f t="shared" si="52"/>
        <v>0</v>
      </c>
      <c r="N103" s="89">
        <f t="shared" si="52"/>
        <v>0</v>
      </c>
      <c r="O103" s="89">
        <f t="shared" si="52"/>
        <v>0</v>
      </c>
      <c r="P103" s="89">
        <f t="shared" si="52"/>
        <v>0</v>
      </c>
      <c r="Q103" s="89">
        <f t="shared" si="52"/>
        <v>0</v>
      </c>
      <c r="R103" s="89">
        <f t="shared" si="52"/>
        <v>0</v>
      </c>
      <c r="S103" s="89">
        <f t="shared" si="52"/>
        <v>0</v>
      </c>
      <c r="T103" s="89">
        <f t="shared" si="52"/>
        <v>0</v>
      </c>
      <c r="U103" s="89">
        <f t="shared" si="52"/>
        <v>0</v>
      </c>
      <c r="V103" s="89">
        <f t="shared" si="52"/>
        <v>0</v>
      </c>
      <c r="W103" s="89">
        <f t="shared" si="52"/>
        <v>0</v>
      </c>
      <c r="X103" s="89">
        <f t="shared" si="52"/>
        <v>0</v>
      </c>
      <c r="Y103" s="89">
        <f t="shared" si="52"/>
        <v>0</v>
      </c>
      <c r="Z103" s="89">
        <f t="shared" si="52"/>
        <v>0</v>
      </c>
      <c r="AA103" s="89">
        <f t="shared" si="52"/>
        <v>0</v>
      </c>
      <c r="AB103" s="89">
        <f t="shared" si="52"/>
        <v>0</v>
      </c>
      <c r="AC103" s="89">
        <f t="shared" ref="AC103:AD103" si="53">IF(AC85&lt;0,AC85*-1,0)</f>
        <v>0</v>
      </c>
      <c r="AD103" s="89">
        <f t="shared" si="53"/>
        <v>0</v>
      </c>
      <c r="AE103" s="89">
        <f t="shared" si="52"/>
        <v>0</v>
      </c>
      <c r="AF103" s="89">
        <f t="shared" si="52"/>
        <v>0</v>
      </c>
      <c r="AG103" s="111"/>
      <c r="AH103" s="48">
        <f t="shared" si="38"/>
        <v>0</v>
      </c>
      <c r="AI103" s="49">
        <f t="shared" si="39"/>
        <v>0</v>
      </c>
      <c r="BF103" s="81"/>
      <c r="BG103" s="82">
        <v>27</v>
      </c>
      <c r="BH103" s="82">
        <v>0</v>
      </c>
      <c r="BI103" s="82">
        <v>10</v>
      </c>
      <c r="BJ103" s="82">
        <v>0</v>
      </c>
      <c r="BK103" s="82">
        <v>0</v>
      </c>
      <c r="BL103" s="82">
        <v>43</v>
      </c>
    </row>
    <row r="104" spans="1:64" x14ac:dyDescent="0.25">
      <c r="A104" s="97" t="s">
        <v>128</v>
      </c>
      <c r="B104" s="89">
        <f>IF(B83&lt;0,B83*-1,0)</f>
        <v>0</v>
      </c>
      <c r="C104" s="89">
        <f t="shared" ref="C104:AF104" si="54">IF(C83&lt;0,C83*-1,0)</f>
        <v>0</v>
      </c>
      <c r="D104" s="89">
        <f t="shared" si="54"/>
        <v>0</v>
      </c>
      <c r="E104" s="89">
        <f t="shared" si="54"/>
        <v>0</v>
      </c>
      <c r="F104" s="89">
        <f t="shared" si="54"/>
        <v>0</v>
      </c>
      <c r="G104" s="89">
        <f t="shared" si="54"/>
        <v>0</v>
      </c>
      <c r="H104" s="89">
        <f t="shared" si="54"/>
        <v>0</v>
      </c>
      <c r="I104" s="89">
        <f t="shared" si="54"/>
        <v>0</v>
      </c>
      <c r="J104" s="89">
        <f t="shared" si="54"/>
        <v>0</v>
      </c>
      <c r="K104" s="89">
        <f t="shared" si="54"/>
        <v>0</v>
      </c>
      <c r="L104" s="89">
        <f t="shared" si="54"/>
        <v>0</v>
      </c>
      <c r="M104" s="89">
        <f t="shared" si="54"/>
        <v>0</v>
      </c>
      <c r="N104" s="89">
        <f t="shared" si="54"/>
        <v>0</v>
      </c>
      <c r="O104" s="89">
        <f t="shared" si="54"/>
        <v>0</v>
      </c>
      <c r="P104" s="89">
        <f t="shared" si="54"/>
        <v>0</v>
      </c>
      <c r="Q104" s="89">
        <f t="shared" si="54"/>
        <v>0</v>
      </c>
      <c r="R104" s="89">
        <f t="shared" si="54"/>
        <v>0</v>
      </c>
      <c r="S104" s="89">
        <f t="shared" si="54"/>
        <v>0</v>
      </c>
      <c r="T104" s="89">
        <f t="shared" si="54"/>
        <v>0</v>
      </c>
      <c r="U104" s="89">
        <f t="shared" si="54"/>
        <v>0</v>
      </c>
      <c r="V104" s="89">
        <f t="shared" si="54"/>
        <v>0</v>
      </c>
      <c r="W104" s="89">
        <f t="shared" si="54"/>
        <v>0</v>
      </c>
      <c r="X104" s="89">
        <f t="shared" si="54"/>
        <v>0</v>
      </c>
      <c r="Y104" s="89">
        <f t="shared" si="54"/>
        <v>0</v>
      </c>
      <c r="Z104" s="89">
        <f t="shared" si="54"/>
        <v>0</v>
      </c>
      <c r="AA104" s="89">
        <f t="shared" si="54"/>
        <v>0</v>
      </c>
      <c r="AB104" s="89">
        <f t="shared" si="54"/>
        <v>0</v>
      </c>
      <c r="AC104" s="89">
        <f t="shared" ref="AC104:AD104" si="55">IF(AC83&lt;0,AC83*-1,0)</f>
        <v>0</v>
      </c>
      <c r="AD104" s="89">
        <f t="shared" si="55"/>
        <v>0</v>
      </c>
      <c r="AE104" s="89">
        <f t="shared" si="54"/>
        <v>0</v>
      </c>
      <c r="AF104" s="89">
        <f t="shared" si="54"/>
        <v>0</v>
      </c>
      <c r="AG104" s="111"/>
      <c r="AH104" s="48">
        <f t="shared" si="38"/>
        <v>0</v>
      </c>
      <c r="AI104" s="49">
        <f t="shared" si="39"/>
        <v>0</v>
      </c>
      <c r="BF104" s="81"/>
      <c r="BG104" s="82">
        <v>30</v>
      </c>
      <c r="BH104" s="82">
        <v>0</v>
      </c>
      <c r="BI104" s="82">
        <v>0</v>
      </c>
      <c r="BJ104" s="82">
        <v>0</v>
      </c>
      <c r="BK104" s="82">
        <v>0</v>
      </c>
      <c r="BL104" s="82">
        <v>43</v>
      </c>
    </row>
    <row r="105" spans="1:64" x14ac:dyDescent="0.25">
      <c r="A105" s="97" t="s">
        <v>104</v>
      </c>
      <c r="B105" s="89">
        <f>IF(B81&lt;0,B81*-1,0)</f>
        <v>0</v>
      </c>
      <c r="C105" s="89">
        <f t="shared" ref="C105:AF105" si="56">IF(C81&lt;0,C81*-1,0)</f>
        <v>0</v>
      </c>
      <c r="D105" s="89">
        <f t="shared" si="56"/>
        <v>0</v>
      </c>
      <c r="E105" s="89">
        <f t="shared" si="56"/>
        <v>0</v>
      </c>
      <c r="F105" s="89">
        <f t="shared" si="56"/>
        <v>0</v>
      </c>
      <c r="G105" s="89">
        <f t="shared" si="56"/>
        <v>0</v>
      </c>
      <c r="H105" s="89">
        <f t="shared" si="56"/>
        <v>0</v>
      </c>
      <c r="I105" s="89">
        <f t="shared" si="56"/>
        <v>0</v>
      </c>
      <c r="J105" s="89">
        <f t="shared" si="56"/>
        <v>0</v>
      </c>
      <c r="K105" s="89">
        <f t="shared" si="56"/>
        <v>0</v>
      </c>
      <c r="L105" s="89">
        <f t="shared" si="56"/>
        <v>0</v>
      </c>
      <c r="M105" s="89">
        <f t="shared" si="56"/>
        <v>0</v>
      </c>
      <c r="N105" s="89">
        <f t="shared" si="56"/>
        <v>0</v>
      </c>
      <c r="O105" s="89">
        <f t="shared" si="56"/>
        <v>0</v>
      </c>
      <c r="P105" s="89">
        <f t="shared" si="56"/>
        <v>0</v>
      </c>
      <c r="Q105" s="89">
        <f t="shared" si="56"/>
        <v>0</v>
      </c>
      <c r="R105" s="89">
        <f t="shared" si="56"/>
        <v>0</v>
      </c>
      <c r="S105" s="89">
        <f t="shared" si="56"/>
        <v>0</v>
      </c>
      <c r="T105" s="89">
        <f t="shared" si="56"/>
        <v>0</v>
      </c>
      <c r="U105" s="89">
        <f t="shared" si="56"/>
        <v>0</v>
      </c>
      <c r="V105" s="89">
        <f t="shared" si="56"/>
        <v>0</v>
      </c>
      <c r="W105" s="89">
        <f t="shared" si="56"/>
        <v>0</v>
      </c>
      <c r="X105" s="89">
        <f t="shared" si="56"/>
        <v>0</v>
      </c>
      <c r="Y105" s="89">
        <f t="shared" si="56"/>
        <v>0</v>
      </c>
      <c r="Z105" s="89">
        <f t="shared" si="56"/>
        <v>0</v>
      </c>
      <c r="AA105" s="89">
        <f t="shared" si="56"/>
        <v>0</v>
      </c>
      <c r="AB105" s="89">
        <f t="shared" si="56"/>
        <v>0</v>
      </c>
      <c r="AC105" s="89">
        <f t="shared" ref="AC105:AD105" si="57">IF(AC81&lt;0,AC81*-1,0)</f>
        <v>0</v>
      </c>
      <c r="AD105" s="89">
        <f t="shared" si="57"/>
        <v>0</v>
      </c>
      <c r="AE105" s="89">
        <f t="shared" si="56"/>
        <v>0</v>
      </c>
      <c r="AF105" s="89">
        <f t="shared" si="56"/>
        <v>0</v>
      </c>
      <c r="AG105" s="111"/>
      <c r="AH105" s="48">
        <f t="shared" si="38"/>
        <v>0</v>
      </c>
      <c r="AI105" s="49">
        <f t="shared" si="39"/>
        <v>0</v>
      </c>
      <c r="BF105" s="8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1</v>
      </c>
      <c r="AD106" s="107">
        <v>0</v>
      </c>
      <c r="AE106" s="107">
        <v>0</v>
      </c>
      <c r="AF106" s="107">
        <v>0</v>
      </c>
      <c r="AG106" s="98"/>
      <c r="AH106" s="48">
        <f t="shared" si="38"/>
        <v>1</v>
      </c>
      <c r="AI106" s="49">
        <f t="shared" si="39"/>
        <v>0</v>
      </c>
      <c r="BG106" s="82">
        <v>40</v>
      </c>
      <c r="BH106" s="82">
        <v>0</v>
      </c>
      <c r="BI106" s="82">
        <v>0</v>
      </c>
      <c r="BJ106" s="82">
        <v>0</v>
      </c>
      <c r="BK106" s="82">
        <v>0</v>
      </c>
      <c r="BL106" s="82">
        <v>47</v>
      </c>
    </row>
    <row r="107" spans="1:64" ht="15.75" thickBot="1" x14ac:dyDescent="0.3">
      <c r="A107" s="112" t="s">
        <v>130</v>
      </c>
      <c r="B107" s="71">
        <f>SUM(B101:B106)</f>
        <v>0</v>
      </c>
      <c r="C107" s="71">
        <f t="shared" ref="C107:AF107" si="58">SUM(C101:C106)</f>
        <v>0</v>
      </c>
      <c r="D107" s="71">
        <f t="shared" si="58"/>
        <v>0</v>
      </c>
      <c r="E107" s="71">
        <f t="shared" si="58"/>
        <v>0</v>
      </c>
      <c r="F107" s="71">
        <f t="shared" si="58"/>
        <v>0</v>
      </c>
      <c r="G107" s="71">
        <f t="shared" si="58"/>
        <v>0</v>
      </c>
      <c r="H107" s="71">
        <f t="shared" si="58"/>
        <v>0</v>
      </c>
      <c r="I107" s="71">
        <f t="shared" si="58"/>
        <v>0</v>
      </c>
      <c r="J107" s="71">
        <f t="shared" si="58"/>
        <v>0</v>
      </c>
      <c r="K107" s="71">
        <f t="shared" si="58"/>
        <v>0</v>
      </c>
      <c r="L107" s="71">
        <f t="shared" si="58"/>
        <v>0</v>
      </c>
      <c r="M107" s="71">
        <f t="shared" si="58"/>
        <v>0</v>
      </c>
      <c r="N107" s="71">
        <f t="shared" si="58"/>
        <v>0</v>
      </c>
      <c r="O107" s="71">
        <f t="shared" si="58"/>
        <v>0</v>
      </c>
      <c r="P107" s="71">
        <f t="shared" si="58"/>
        <v>0</v>
      </c>
      <c r="Q107" s="71">
        <f t="shared" si="58"/>
        <v>0</v>
      </c>
      <c r="R107" s="71">
        <f t="shared" si="58"/>
        <v>0</v>
      </c>
      <c r="S107" s="71">
        <f t="shared" si="58"/>
        <v>0</v>
      </c>
      <c r="T107" s="71">
        <f t="shared" si="58"/>
        <v>0</v>
      </c>
      <c r="U107" s="71">
        <f t="shared" si="58"/>
        <v>0</v>
      </c>
      <c r="V107" s="71">
        <f t="shared" si="58"/>
        <v>0</v>
      </c>
      <c r="W107" s="71">
        <f t="shared" si="58"/>
        <v>0</v>
      </c>
      <c r="X107" s="71">
        <f t="shared" si="58"/>
        <v>0</v>
      </c>
      <c r="Y107" s="71">
        <f t="shared" si="58"/>
        <v>0</v>
      </c>
      <c r="Z107" s="71">
        <f t="shared" si="58"/>
        <v>0</v>
      </c>
      <c r="AA107" s="71">
        <f t="shared" si="58"/>
        <v>0</v>
      </c>
      <c r="AB107" s="71">
        <f t="shared" si="58"/>
        <v>0</v>
      </c>
      <c r="AC107" s="71">
        <f t="shared" ref="AC107:AD107" si="59">SUM(AC101:AC106)</f>
        <v>1</v>
      </c>
      <c r="AD107" s="71">
        <f t="shared" si="59"/>
        <v>0</v>
      </c>
      <c r="AE107" s="71">
        <f t="shared" si="58"/>
        <v>0</v>
      </c>
      <c r="AF107" s="71">
        <f t="shared" si="58"/>
        <v>0</v>
      </c>
      <c r="AG107" s="101"/>
      <c r="AH107" s="48">
        <f t="shared" si="38"/>
        <v>1</v>
      </c>
      <c r="AI107" s="49">
        <f t="shared" si="39"/>
        <v>0</v>
      </c>
      <c r="AK107" s="51"/>
      <c r="BG107" s="82">
        <v>50.2</v>
      </c>
      <c r="BH107" s="82">
        <v>0</v>
      </c>
      <c r="BI107" s="82">
        <v>0</v>
      </c>
      <c r="BJ107" s="82">
        <v>0</v>
      </c>
      <c r="BK107" s="82">
        <v>0</v>
      </c>
      <c r="BL107" s="82">
        <v>47</v>
      </c>
    </row>
    <row r="108" spans="1:64" ht="15.75" thickBot="1" x14ac:dyDescent="0.3">
      <c r="A108" s="87" t="s">
        <v>131</v>
      </c>
      <c r="B108" s="71">
        <f>B92-B107</f>
        <v>97.2</v>
      </c>
      <c r="C108" s="71">
        <f t="shared" ref="C108:AF108" si="60">C92-C107</f>
        <v>94.5</v>
      </c>
      <c r="D108" s="71">
        <f t="shared" si="60"/>
        <v>96.2</v>
      </c>
      <c r="E108" s="71">
        <f t="shared" si="60"/>
        <v>97.6</v>
      </c>
      <c r="F108" s="71">
        <f t="shared" si="60"/>
        <v>86.2</v>
      </c>
      <c r="G108" s="71">
        <f t="shared" si="60"/>
        <v>82.9</v>
      </c>
      <c r="H108" s="71">
        <f t="shared" si="60"/>
        <v>79.400000000000006</v>
      </c>
      <c r="I108" s="71">
        <f t="shared" si="60"/>
        <v>81</v>
      </c>
      <c r="J108" s="71">
        <f t="shared" si="60"/>
        <v>459.2</v>
      </c>
      <c r="K108" s="71">
        <f t="shared" si="60"/>
        <v>490.9</v>
      </c>
      <c r="L108" s="71">
        <f t="shared" si="60"/>
        <v>505.59999999999997</v>
      </c>
      <c r="M108" s="71">
        <f t="shared" si="60"/>
        <v>619.9</v>
      </c>
      <c r="N108" s="71">
        <f t="shared" si="60"/>
        <v>593</v>
      </c>
      <c r="O108" s="71">
        <f t="shared" si="60"/>
        <v>642.09999999999991</v>
      </c>
      <c r="P108" s="71">
        <f t="shared" si="60"/>
        <v>568.29999999999995</v>
      </c>
      <c r="Q108" s="71">
        <f t="shared" si="60"/>
        <v>669</v>
      </c>
      <c r="R108" s="71">
        <f t="shared" si="60"/>
        <v>666</v>
      </c>
      <c r="S108" s="71">
        <f t="shared" si="60"/>
        <v>625.30000000000007</v>
      </c>
      <c r="T108" s="71">
        <f t="shared" si="60"/>
        <v>614.39999999999986</v>
      </c>
      <c r="U108" s="71">
        <f t="shared" si="60"/>
        <v>549.9</v>
      </c>
      <c r="V108" s="71">
        <f t="shared" si="60"/>
        <v>528.70000000000005</v>
      </c>
      <c r="W108" s="71">
        <f t="shared" si="60"/>
        <v>550.9</v>
      </c>
      <c r="X108" s="71">
        <f t="shared" si="60"/>
        <v>349.9</v>
      </c>
      <c r="Y108" s="71">
        <f t="shared" si="60"/>
        <v>144.30000000000001</v>
      </c>
      <c r="Z108" s="71">
        <f t="shared" si="60"/>
        <v>71.400000000000006</v>
      </c>
      <c r="AA108" s="71">
        <f t="shared" si="60"/>
        <v>78.5</v>
      </c>
      <c r="AB108" s="71">
        <f t="shared" si="60"/>
        <v>80</v>
      </c>
      <c r="AC108" s="71">
        <f t="shared" ref="AC108:AD108" si="61">AC92-AC107</f>
        <v>71</v>
      </c>
      <c r="AD108" s="71">
        <f t="shared" si="61"/>
        <v>73</v>
      </c>
      <c r="AE108" s="71">
        <f t="shared" si="60"/>
        <v>0</v>
      </c>
      <c r="AF108" s="71">
        <f t="shared" si="60"/>
        <v>87</v>
      </c>
      <c r="AG108" s="101"/>
      <c r="AH108" s="48">
        <f t="shared" si="38"/>
        <v>669</v>
      </c>
      <c r="AI108" s="49">
        <f t="shared" si="39"/>
        <v>0</v>
      </c>
    </row>
    <row r="109" spans="1:64" x14ac:dyDescent="0.25">
      <c r="A109" s="113" t="s">
        <v>132</v>
      </c>
      <c r="B109" s="114">
        <v>49.96</v>
      </c>
      <c r="C109" s="114">
        <v>49.99</v>
      </c>
      <c r="D109" s="114">
        <v>49.99</v>
      </c>
      <c r="E109" s="114">
        <v>50.05</v>
      </c>
      <c r="F109" s="114">
        <v>50.048999999999999</v>
      </c>
      <c r="G109" s="114">
        <v>49.9</v>
      </c>
      <c r="H109" s="114">
        <v>49.942999999999998</v>
      </c>
      <c r="I109" s="114">
        <v>49.993000000000002</v>
      </c>
      <c r="J109" s="114">
        <v>49.997999999999998</v>
      </c>
      <c r="K109" s="114">
        <v>50.064</v>
      </c>
      <c r="L109" s="114">
        <v>49.878999999999998</v>
      </c>
      <c r="M109" s="114">
        <v>50.052999999999997</v>
      </c>
      <c r="N109" s="114">
        <v>50.000999999999998</v>
      </c>
      <c r="O109" s="114">
        <v>50.084000000000003</v>
      </c>
      <c r="P109" s="114">
        <v>50.084000000000003</v>
      </c>
      <c r="Q109" s="114">
        <v>49.99</v>
      </c>
      <c r="R109" s="114">
        <v>50</v>
      </c>
      <c r="S109" s="114">
        <v>49.877000000000002</v>
      </c>
      <c r="T109" s="114">
        <v>49.951000000000001</v>
      </c>
      <c r="U109" s="114">
        <v>50.045000000000002</v>
      </c>
      <c r="V109" s="114">
        <v>50.036999999999999</v>
      </c>
      <c r="W109" s="114">
        <v>50.036999999999999</v>
      </c>
      <c r="X109" s="114">
        <v>50.045000000000002</v>
      </c>
      <c r="Y109" s="114">
        <v>50.037999999999997</v>
      </c>
      <c r="Z109" s="114">
        <v>49.988999999999997</v>
      </c>
      <c r="AA109" s="114">
        <v>49.92</v>
      </c>
      <c r="AB109" s="114">
        <v>49.85</v>
      </c>
      <c r="AC109" s="114">
        <v>49.94</v>
      </c>
      <c r="AD109" s="114">
        <v>49.97</v>
      </c>
      <c r="AE109" s="114"/>
      <c r="AF109" s="114">
        <v>50.04</v>
      </c>
      <c r="AG109" s="115"/>
      <c r="AH109" s="48">
        <f t="shared" si="38"/>
        <v>50.084000000000003</v>
      </c>
      <c r="AI109" s="49">
        <f t="shared" si="39"/>
        <v>49.85</v>
      </c>
    </row>
    <row r="110" spans="1:64" x14ac:dyDescent="0.25">
      <c r="A110" s="116" t="s">
        <v>133</v>
      </c>
      <c r="B110" s="76">
        <v>126.5</v>
      </c>
      <c r="C110" s="76">
        <v>127.9</v>
      </c>
      <c r="D110" s="76">
        <v>127.9</v>
      </c>
      <c r="E110" s="76">
        <v>128.80000000000001</v>
      </c>
      <c r="F110" s="76">
        <v>129.69999999999999</v>
      </c>
      <c r="G110" s="76">
        <v>128</v>
      </c>
      <c r="H110" s="76">
        <v>127.4</v>
      </c>
      <c r="I110" s="76">
        <v>129.80000000000001</v>
      </c>
      <c r="J110" s="76">
        <v>127.3</v>
      </c>
      <c r="K110" s="76">
        <v>126.7</v>
      </c>
      <c r="L110" s="76">
        <v>127.1</v>
      </c>
      <c r="M110" s="76">
        <v>126</v>
      </c>
      <c r="N110" s="76">
        <v>125.9</v>
      </c>
      <c r="O110" s="76">
        <v>125.9</v>
      </c>
      <c r="P110" s="76">
        <v>125.9</v>
      </c>
      <c r="Q110" s="76">
        <v>122</v>
      </c>
      <c r="R110" s="76">
        <v>121.5</v>
      </c>
      <c r="S110" s="76">
        <v>122.9</v>
      </c>
      <c r="T110" s="76">
        <v>125.7</v>
      </c>
      <c r="U110" s="76">
        <v>124.8</v>
      </c>
      <c r="V110" s="76">
        <v>127.6</v>
      </c>
      <c r="W110" s="76">
        <v>127.3</v>
      </c>
      <c r="X110" s="76">
        <v>128.30000000000001</v>
      </c>
      <c r="Y110" s="76">
        <v>126.2</v>
      </c>
      <c r="Z110" s="76">
        <v>124.7</v>
      </c>
      <c r="AA110" s="76">
        <v>123.9</v>
      </c>
      <c r="AB110" s="76">
        <v>124.5</v>
      </c>
      <c r="AC110" s="76">
        <v>125.5</v>
      </c>
      <c r="AD110" s="76">
        <v>125.5</v>
      </c>
      <c r="AE110" s="76"/>
      <c r="AF110" s="76">
        <v>124.6</v>
      </c>
      <c r="AG110" s="117"/>
      <c r="AH110" s="48">
        <f t="shared" si="38"/>
        <v>129.80000000000001</v>
      </c>
      <c r="AI110" s="49">
        <f t="shared" si="39"/>
        <v>121.5</v>
      </c>
    </row>
    <row r="111" spans="1:64" x14ac:dyDescent="0.25">
      <c r="A111" s="116" t="s">
        <v>134</v>
      </c>
      <c r="B111" s="76">
        <v>130.80000000000001</v>
      </c>
      <c r="C111" s="76">
        <v>131.9</v>
      </c>
      <c r="D111" s="76">
        <v>131.9</v>
      </c>
      <c r="E111" s="76">
        <v>132.69999999999999</v>
      </c>
      <c r="F111" s="76">
        <v>132.80000000000001</v>
      </c>
      <c r="G111" s="76">
        <v>131.69999999999999</v>
      </c>
      <c r="H111" s="76">
        <v>130.9</v>
      </c>
      <c r="I111" s="76">
        <v>131.9</v>
      </c>
      <c r="J111" s="76">
        <v>129.69999999999999</v>
      </c>
      <c r="K111" s="76">
        <v>129.30000000000001</v>
      </c>
      <c r="L111" s="76">
        <v>129.30000000000001</v>
      </c>
      <c r="M111" s="76">
        <v>128.69999999999999</v>
      </c>
      <c r="N111" s="76">
        <v>128.5</v>
      </c>
      <c r="O111" s="76">
        <v>128.5</v>
      </c>
      <c r="P111" s="76">
        <v>128.5</v>
      </c>
      <c r="Q111" s="76">
        <v>125.3</v>
      </c>
      <c r="R111" s="76">
        <v>125.5</v>
      </c>
      <c r="S111" s="76">
        <v>127.5</v>
      </c>
      <c r="T111" s="76">
        <v>129.1</v>
      </c>
      <c r="U111" s="76">
        <v>128.5</v>
      </c>
      <c r="V111" s="76">
        <v>130.80000000000001</v>
      </c>
      <c r="W111" s="76">
        <v>130.19999999999999</v>
      </c>
      <c r="X111" s="76">
        <v>130.69999999999999</v>
      </c>
      <c r="Y111" s="76">
        <v>129.6</v>
      </c>
      <c r="Z111" s="76">
        <v>127.9</v>
      </c>
      <c r="AA111" s="76">
        <v>127.1</v>
      </c>
      <c r="AB111" s="76">
        <v>128</v>
      </c>
      <c r="AC111" s="76">
        <v>129.30000000000001</v>
      </c>
      <c r="AD111" s="76">
        <v>129.30000000000001</v>
      </c>
      <c r="AE111" s="76"/>
      <c r="AF111" s="76">
        <v>128</v>
      </c>
      <c r="AG111" s="117"/>
      <c r="AH111" s="48">
        <f t="shared" si="38"/>
        <v>132.80000000000001</v>
      </c>
      <c r="AI111" s="49">
        <f t="shared" si="39"/>
        <v>125.3</v>
      </c>
    </row>
    <row r="112" spans="1:64" x14ac:dyDescent="0.25">
      <c r="A112" s="116" t="s">
        <v>135</v>
      </c>
      <c r="B112" s="76">
        <v>129.4</v>
      </c>
      <c r="C112" s="76">
        <v>132.30000000000001</v>
      </c>
      <c r="D112" s="76">
        <v>132.30000000000001</v>
      </c>
      <c r="E112" s="76">
        <v>132.6</v>
      </c>
      <c r="F112" s="76">
        <v>132.69999999999999</v>
      </c>
      <c r="G112" s="76">
        <v>132.19999999999999</v>
      </c>
      <c r="H112" s="76">
        <v>130.69999999999999</v>
      </c>
      <c r="I112" s="76">
        <v>128.4</v>
      </c>
      <c r="J112" s="76">
        <v>127.1</v>
      </c>
      <c r="K112" s="76">
        <v>127.9</v>
      </c>
      <c r="L112" s="76">
        <v>128.1</v>
      </c>
      <c r="M112" s="76">
        <v>127.6</v>
      </c>
      <c r="N112" s="76">
        <v>127.5</v>
      </c>
      <c r="O112" s="76">
        <v>127.5</v>
      </c>
      <c r="P112" s="76">
        <v>127.5</v>
      </c>
      <c r="Q112" s="76">
        <v>125.2</v>
      </c>
      <c r="R112" s="76">
        <v>123.6</v>
      </c>
      <c r="S112" s="76">
        <v>126.2</v>
      </c>
      <c r="T112" s="76">
        <v>127</v>
      </c>
      <c r="U112" s="76">
        <v>128.69999999999999</v>
      </c>
      <c r="V112" s="76">
        <v>131.19999999999999</v>
      </c>
      <c r="W112" s="76">
        <v>130.5</v>
      </c>
      <c r="X112" s="76">
        <v>129.69999999999999</v>
      </c>
      <c r="Y112" s="76">
        <v>127.9</v>
      </c>
      <c r="Z112" s="76">
        <v>126.8</v>
      </c>
      <c r="AA112" s="76">
        <v>124.7</v>
      </c>
      <c r="AB112" s="76">
        <v>126</v>
      </c>
      <c r="AC112" s="76">
        <v>126.6</v>
      </c>
      <c r="AD112" s="76">
        <v>126.6</v>
      </c>
      <c r="AE112" s="76"/>
      <c r="AF112" s="76">
        <v>130</v>
      </c>
      <c r="AG112" s="117"/>
      <c r="AH112" s="48">
        <f t="shared" si="38"/>
        <v>132.69999999999999</v>
      </c>
      <c r="AI112" s="49">
        <f t="shared" si="39"/>
        <v>123.6</v>
      </c>
    </row>
    <row r="113" spans="1:35" x14ac:dyDescent="0.25">
      <c r="A113" s="118" t="s">
        <v>136</v>
      </c>
      <c r="B113" s="76">
        <v>129.69999999999999</v>
      </c>
      <c r="C113" s="76">
        <v>133.30000000000001</v>
      </c>
      <c r="D113" s="76">
        <v>133.30000000000001</v>
      </c>
      <c r="E113" s="76">
        <v>132.69999999999999</v>
      </c>
      <c r="F113" s="76">
        <v>132.9</v>
      </c>
      <c r="G113" s="76">
        <v>132.1</v>
      </c>
      <c r="H113" s="76">
        <v>130.69999999999999</v>
      </c>
      <c r="I113" s="76">
        <v>129.1</v>
      </c>
      <c r="J113" s="76">
        <v>128</v>
      </c>
      <c r="K113" s="76">
        <v>128.1</v>
      </c>
      <c r="L113" s="76">
        <v>130.6</v>
      </c>
      <c r="M113" s="76">
        <v>129</v>
      </c>
      <c r="N113" s="76">
        <v>131.80000000000001</v>
      </c>
      <c r="O113" s="76">
        <v>131.80000000000001</v>
      </c>
      <c r="P113" s="76">
        <v>131.80000000000001</v>
      </c>
      <c r="Q113" s="76">
        <v>131.30000000000001</v>
      </c>
      <c r="R113" s="76">
        <v>130.1</v>
      </c>
      <c r="S113" s="76">
        <v>127.4</v>
      </c>
      <c r="T113" s="76">
        <v>127.1</v>
      </c>
      <c r="U113" s="76">
        <v>128.4</v>
      </c>
      <c r="V113" s="76">
        <v>130.80000000000001</v>
      </c>
      <c r="W113" s="76">
        <v>130.69999999999999</v>
      </c>
      <c r="X113" s="76">
        <v>127.8</v>
      </c>
      <c r="Y113" s="76">
        <v>127.1</v>
      </c>
      <c r="Z113" s="76">
        <v>126.6</v>
      </c>
      <c r="AA113" s="76">
        <v>124.9</v>
      </c>
      <c r="AB113" s="76">
        <v>127</v>
      </c>
      <c r="AC113" s="76">
        <v>128</v>
      </c>
      <c r="AD113" s="76">
        <v>128</v>
      </c>
      <c r="AE113" s="76"/>
      <c r="AF113" s="76">
        <v>131</v>
      </c>
      <c r="AG113" s="117"/>
      <c r="AH113" s="48">
        <f t="shared" si="38"/>
        <v>133.30000000000001</v>
      </c>
      <c r="AI113" s="49">
        <f t="shared" si="39"/>
        <v>124.9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38"/>
        <v>0</v>
      </c>
      <c r="AI114" s="49">
        <f t="shared" si="39"/>
        <v>0</v>
      </c>
    </row>
    <row r="115" spans="1:35" x14ac:dyDescent="0.25">
      <c r="A115" s="116" t="s">
        <v>138</v>
      </c>
      <c r="B115" s="76">
        <v>131.80000000000001</v>
      </c>
      <c r="C115" s="76">
        <v>134.4</v>
      </c>
      <c r="D115" s="76">
        <v>134.4</v>
      </c>
      <c r="E115" s="76">
        <v>134.6</v>
      </c>
      <c r="F115" s="76">
        <v>135</v>
      </c>
      <c r="G115" s="76">
        <v>131.6</v>
      </c>
      <c r="H115" s="76">
        <v>128.5</v>
      </c>
      <c r="I115" s="76">
        <v>137</v>
      </c>
      <c r="J115" s="76">
        <v>122.4</v>
      </c>
      <c r="K115" s="76">
        <v>126.2</v>
      </c>
      <c r="L115" s="76">
        <v>121.3</v>
      </c>
      <c r="M115" s="76">
        <v>124.7</v>
      </c>
      <c r="N115" s="76">
        <v>128.4</v>
      </c>
      <c r="O115" s="76">
        <v>128.4</v>
      </c>
      <c r="P115" s="76">
        <v>128.4</v>
      </c>
      <c r="Q115" s="76">
        <v>128.6</v>
      </c>
      <c r="R115" s="76">
        <v>127</v>
      </c>
      <c r="S115" s="76">
        <v>121.3</v>
      </c>
      <c r="T115" s="76">
        <v>119.4</v>
      </c>
      <c r="U115" s="76">
        <v>121.8</v>
      </c>
      <c r="V115" s="76">
        <v>122</v>
      </c>
      <c r="W115" s="76">
        <v>130</v>
      </c>
      <c r="X115" s="76">
        <v>122.5</v>
      </c>
      <c r="Y115" s="76">
        <v>120.6</v>
      </c>
      <c r="Z115" s="76">
        <v>122.8</v>
      </c>
      <c r="AA115" s="76">
        <v>120.6</v>
      </c>
      <c r="AB115" s="76">
        <v>119.3</v>
      </c>
      <c r="AC115" s="76">
        <v>131</v>
      </c>
      <c r="AD115" s="76">
        <v>131</v>
      </c>
      <c r="AE115" s="76"/>
      <c r="AF115" s="76">
        <v>133</v>
      </c>
      <c r="AG115" s="117"/>
      <c r="AH115" s="48">
        <f t="shared" si="38"/>
        <v>137</v>
      </c>
      <c r="AI115" s="49">
        <f t="shared" si="39"/>
        <v>119.3</v>
      </c>
    </row>
    <row r="116" spans="1:35" ht="15.75" thickBot="1" x14ac:dyDescent="0.3">
      <c r="A116" s="116" t="s">
        <v>139</v>
      </c>
      <c r="B116" s="105">
        <v>65.2</v>
      </c>
      <c r="C116" s="105">
        <v>66.3</v>
      </c>
      <c r="D116" s="105">
        <v>66.3</v>
      </c>
      <c r="E116" s="105">
        <v>66.599999999999994</v>
      </c>
      <c r="F116" s="105">
        <v>66.900000000000006</v>
      </c>
      <c r="G116" s="105">
        <v>66.400000000000006</v>
      </c>
      <c r="H116" s="105">
        <v>66</v>
      </c>
      <c r="I116" s="105">
        <v>66.400000000000006</v>
      </c>
      <c r="J116" s="105">
        <v>65.5</v>
      </c>
      <c r="K116" s="105">
        <v>65.099999999999994</v>
      </c>
      <c r="L116" s="105">
        <v>65</v>
      </c>
      <c r="M116" s="105">
        <v>64.8</v>
      </c>
      <c r="N116" s="105">
        <v>64.5</v>
      </c>
      <c r="O116" s="105">
        <v>64.5</v>
      </c>
      <c r="P116" s="105">
        <v>64.5</v>
      </c>
      <c r="Q116" s="105">
        <v>63.4</v>
      </c>
      <c r="R116" s="105">
        <v>63.1</v>
      </c>
      <c r="S116" s="105">
        <v>64.2</v>
      </c>
      <c r="T116" s="105">
        <v>64.900000000000006</v>
      </c>
      <c r="U116" s="105">
        <v>64.7</v>
      </c>
      <c r="V116" s="105">
        <v>66</v>
      </c>
      <c r="W116" s="105">
        <v>65.5</v>
      </c>
      <c r="X116" s="105">
        <v>65.599999999999994</v>
      </c>
      <c r="Y116" s="105">
        <v>65</v>
      </c>
      <c r="Z116" s="105">
        <v>64.3</v>
      </c>
      <c r="AA116" s="105">
        <v>63.7</v>
      </c>
      <c r="AB116" s="105">
        <v>64.400000000000006</v>
      </c>
      <c r="AC116" s="105">
        <v>64.900000000000006</v>
      </c>
      <c r="AD116" s="105">
        <v>64.900000000000006</v>
      </c>
      <c r="AE116" s="105"/>
      <c r="AF116" s="105">
        <v>64.8</v>
      </c>
      <c r="AG116" s="121"/>
      <c r="AH116" s="48">
        <f t="shared" si="38"/>
        <v>66.900000000000006</v>
      </c>
      <c r="AI116" s="49">
        <f t="shared" si="39"/>
        <v>63.1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8"/>
        <v>0</v>
      </c>
      <c r="AI117" s="49">
        <f t="shared" si="39"/>
        <v>0</v>
      </c>
    </row>
    <row r="118" spans="1:35" ht="15.75" thickBot="1" x14ac:dyDescent="0.3">
      <c r="A118" s="123" t="s">
        <v>141</v>
      </c>
      <c r="B118" s="124">
        <f>SUM(B22,B28,B31:B32,B66,B68:B69,B71,B73,B119:B123,B155,B161,B167,B176,B178,B190,B197,B200:B201,B208,B210,B212,B216:B218,B220:B222,B227,B233:B234,B236:B238,B246,B251)</f>
        <v>122.93999999999998</v>
      </c>
      <c r="C118" s="124">
        <f t="shared" ref="C118:O118" si="62">SUM(C22,C28,C31:C32,C66,C68:C69,C71,C73,C119:C123,C155,C161,C167,C176,C178,C190,C197,C200:C201,C208,C210,C212,C216:C218,C220:C222,C227,C233:C234,C236:C238,C246,C251)</f>
        <v>81.039999999999992</v>
      </c>
      <c r="D118" s="124">
        <f t="shared" si="62"/>
        <v>105.24</v>
      </c>
      <c r="E118" s="124">
        <f t="shared" si="62"/>
        <v>99.84</v>
      </c>
      <c r="F118" s="124">
        <f t="shared" si="62"/>
        <v>106.64</v>
      </c>
      <c r="G118" s="124">
        <f t="shared" si="62"/>
        <v>118.24000000000001</v>
      </c>
      <c r="H118" s="124">
        <f t="shared" si="62"/>
        <v>135.74</v>
      </c>
      <c r="I118" s="124">
        <f t="shared" si="62"/>
        <v>166.23999999999998</v>
      </c>
      <c r="J118" s="124">
        <f t="shared" si="62"/>
        <v>195.23999999999998</v>
      </c>
      <c r="K118" s="124">
        <f t="shared" si="62"/>
        <v>203.54</v>
      </c>
      <c r="L118" s="124">
        <f t="shared" si="62"/>
        <v>222.24</v>
      </c>
      <c r="M118" s="124">
        <f t="shared" si="62"/>
        <v>225.83999999999997</v>
      </c>
      <c r="N118" s="124">
        <f t="shared" si="62"/>
        <v>255.14000000000001</v>
      </c>
      <c r="O118" s="124">
        <f t="shared" si="62"/>
        <v>243.34</v>
      </c>
      <c r="P118" s="124">
        <v>42</v>
      </c>
      <c r="Q118" s="124">
        <f t="shared" ref="Q118:X118" si="63">SUM(Q22,Q28,Q31:Q32,Q66,Q68:Q69,Q71,Q73,Q119:Q123,Q155,Q161,Q167,Q176,Q178,Q190,Q197,Q200:Q201,Q208,Q210,Q212,Q216:Q218,Q220:Q222,Q227,Q233:Q234,Q236:Q238,Q246,Q251)</f>
        <v>271.23999999999995</v>
      </c>
      <c r="R118" s="124">
        <f t="shared" si="63"/>
        <v>271.94</v>
      </c>
      <c r="S118" s="124">
        <f t="shared" si="63"/>
        <v>221.64</v>
      </c>
      <c r="T118" s="124">
        <f t="shared" si="63"/>
        <v>222.64</v>
      </c>
      <c r="U118" s="124">
        <f t="shared" si="63"/>
        <v>231.83999999999997</v>
      </c>
      <c r="V118" s="124">
        <f t="shared" si="63"/>
        <v>240.54</v>
      </c>
      <c r="W118" s="124">
        <f t="shared" si="63"/>
        <v>231.54</v>
      </c>
      <c r="X118" s="124">
        <f t="shared" si="63"/>
        <v>229.94</v>
      </c>
      <c r="Y118" s="124">
        <f>SUM(Y20,Y26,Y37:Y38,Y66,Y68:Y69,Y71,Y73,Y119:Y123,Y148,Y154,Y160,Y169,Y171,Y183,Y190,Y193:Y194,Y201,Y203,Y205,Y209:Y211,Y213:Y215,Y220,Y226:Y227,Y229:Y231,Y239,Y244)</f>
        <v>269.79999999999995</v>
      </c>
      <c r="Z118" s="124">
        <f>SUM(Z20,Z26,Z37:Z38,Z66,Z68:Z69,Z71,Z73,Z119:Z123,Z148,Z154,Z160,Z169,Z171,Z183,Z190,Z193:Z194,Z201,Z203,Z205,Z209:Z211,Z213:Z215,Z220,Z226:Z227,Z229:Z231,Z239,Z244)</f>
        <v>314.59999999999997</v>
      </c>
      <c r="AA118" s="124">
        <f t="shared" ref="AA118:AF118" si="64">SUM(AA22,AA28,AA31:AA32,AA66,AA68:AA69,AA71,AA73,AA119:AA123,AA155,AA161,AA167,AA176,AA178,AA190,AA197,AA200:AA201,AA208,AA210,AA212,AA216:AA218,AA220:AA222,AA227,AA233:AA234,AA236:AA238,AA246,AA251)</f>
        <v>309.74</v>
      </c>
      <c r="AB118" s="124">
        <f t="shared" si="64"/>
        <v>274.54000000000002</v>
      </c>
      <c r="AC118" s="124">
        <f t="shared" ref="AC118:AD118" si="65">SUM(AC22,AC28,AC31:AC32,AC66,AC68:AC69,AC71,AC73,AC119:AC123,AC155,AC161,AC167,AC176,AC178,AC190,AC197,AC200:AC201,AC208,AC210,AC212,AC216:AC218,AC220:AC222,AC227,AC233:AC234,AC236:AC238,AC246,AC251)</f>
        <v>237.54</v>
      </c>
      <c r="AD118" s="124">
        <f t="shared" si="65"/>
        <v>222.54</v>
      </c>
      <c r="AE118" s="124">
        <f t="shared" si="64"/>
        <v>123.53999999999999</v>
      </c>
      <c r="AF118" s="124">
        <f t="shared" si="64"/>
        <v>412.54</v>
      </c>
      <c r="AG118" s="125"/>
      <c r="AH118" s="48">
        <f t="shared" si="38"/>
        <v>412.54</v>
      </c>
      <c r="AI118" s="49">
        <f t="shared" si="39"/>
        <v>42</v>
      </c>
    </row>
    <row r="119" spans="1:35" x14ac:dyDescent="0.25">
      <c r="A119" s="126" t="s">
        <v>142</v>
      </c>
      <c r="B119" s="127">
        <v>34.1</v>
      </c>
      <c r="C119" s="127">
        <v>30</v>
      </c>
      <c r="D119" s="127">
        <v>26.9</v>
      </c>
      <c r="E119" s="127">
        <v>26.4</v>
      </c>
      <c r="F119" s="127">
        <v>30.7</v>
      </c>
      <c r="G119" s="127">
        <v>37.700000000000003</v>
      </c>
      <c r="H119" s="127">
        <v>38.9</v>
      </c>
      <c r="I119" s="127">
        <v>42.1</v>
      </c>
      <c r="J119" s="127">
        <v>58.3</v>
      </c>
      <c r="K119" s="127">
        <v>57.8</v>
      </c>
      <c r="L119" s="127">
        <v>36.5</v>
      </c>
      <c r="M119" s="127">
        <v>37.200000000000003</v>
      </c>
      <c r="N119" s="127">
        <v>45.3</v>
      </c>
      <c r="O119" s="127">
        <v>37.4</v>
      </c>
      <c r="P119" s="127">
        <v>37.4</v>
      </c>
      <c r="Q119" s="127">
        <v>28.6</v>
      </c>
      <c r="R119" s="127">
        <v>28.2</v>
      </c>
      <c r="S119" s="127">
        <v>17.3</v>
      </c>
      <c r="T119" s="127">
        <v>21.9</v>
      </c>
      <c r="U119" s="127">
        <v>14.4</v>
      </c>
      <c r="V119" s="127">
        <v>16.5</v>
      </c>
      <c r="W119" s="127">
        <v>24.5</v>
      </c>
      <c r="X119" s="127">
        <v>32.1</v>
      </c>
      <c r="Y119" s="127">
        <v>45.6</v>
      </c>
      <c r="Z119" s="127">
        <v>52.7</v>
      </c>
      <c r="AA119" s="127">
        <v>48.6</v>
      </c>
      <c r="AB119" s="127">
        <v>46</v>
      </c>
      <c r="AC119" s="127">
        <v>45</v>
      </c>
      <c r="AD119" s="127">
        <v>58</v>
      </c>
      <c r="AE119" s="127"/>
      <c r="AF119" s="127">
        <v>66</v>
      </c>
      <c r="AG119" s="128">
        <v>75</v>
      </c>
      <c r="AH119" s="48">
        <f t="shared" si="38"/>
        <v>66</v>
      </c>
      <c r="AI119" s="49">
        <f t="shared" si="39"/>
        <v>14.4</v>
      </c>
    </row>
    <row r="120" spans="1:35" x14ac:dyDescent="0.25">
      <c r="A120" s="129" t="s">
        <v>143</v>
      </c>
      <c r="B120" s="130">
        <v>56.9</v>
      </c>
      <c r="C120" s="130">
        <v>41</v>
      </c>
      <c r="D120" s="130">
        <v>45.7</v>
      </c>
      <c r="E120" s="130">
        <v>46.1</v>
      </c>
      <c r="F120" s="130">
        <v>51.2</v>
      </c>
      <c r="G120" s="130">
        <v>59</v>
      </c>
      <c r="H120" s="130">
        <v>59.9</v>
      </c>
      <c r="I120" s="130">
        <v>62.3</v>
      </c>
      <c r="J120" s="130">
        <v>79.599999999999994</v>
      </c>
      <c r="K120" s="130">
        <v>79.599999999999994</v>
      </c>
      <c r="L120" s="130">
        <v>52.8</v>
      </c>
      <c r="M120" s="130">
        <v>49.3</v>
      </c>
      <c r="N120" s="130">
        <v>60.4</v>
      </c>
      <c r="O120" s="130">
        <v>49.3</v>
      </c>
      <c r="P120" s="130">
        <v>49.3</v>
      </c>
      <c r="Q120" s="130">
        <v>39.799999999999997</v>
      </c>
      <c r="R120" s="130">
        <v>37</v>
      </c>
      <c r="S120" s="130">
        <v>22.6</v>
      </c>
      <c r="T120" s="130">
        <v>30.9</v>
      </c>
      <c r="U120" s="130">
        <v>20.2</v>
      </c>
      <c r="V120" s="130">
        <v>24.7</v>
      </c>
      <c r="W120" s="130">
        <v>33.4</v>
      </c>
      <c r="X120" s="130">
        <v>43.1</v>
      </c>
      <c r="Y120" s="130">
        <v>58.1</v>
      </c>
      <c r="Z120" s="130">
        <v>66.7</v>
      </c>
      <c r="AA120" s="130">
        <v>61.8</v>
      </c>
      <c r="AB120" s="130">
        <v>62</v>
      </c>
      <c r="AC120" s="130">
        <v>61</v>
      </c>
      <c r="AD120" s="130">
        <v>40</v>
      </c>
      <c r="AE120" s="130"/>
      <c r="AF120" s="130">
        <v>92</v>
      </c>
      <c r="AG120" s="128">
        <v>240</v>
      </c>
      <c r="AH120" s="48">
        <f t="shared" si="38"/>
        <v>92</v>
      </c>
      <c r="AI120" s="49">
        <f t="shared" si="39"/>
        <v>20.2</v>
      </c>
    </row>
    <row r="121" spans="1:35" x14ac:dyDescent="0.25">
      <c r="A121" s="129" t="s">
        <v>144</v>
      </c>
      <c r="B121" s="130">
        <f>-65.2-74.7</f>
        <v>-139.9</v>
      </c>
      <c r="C121" s="130">
        <v>-120</v>
      </c>
      <c r="D121" s="130">
        <f>-44.3-56</f>
        <v>-100.3</v>
      </c>
      <c r="E121" s="130">
        <f>-45-56</f>
        <v>-101</v>
      </c>
      <c r="F121" s="130">
        <f>-45.5-54.6</f>
        <v>-100.1</v>
      </c>
      <c r="G121" s="130">
        <f>-50-57</f>
        <v>-107</v>
      </c>
      <c r="H121" s="130">
        <f>-44.8-52.2</f>
        <v>-97</v>
      </c>
      <c r="I121" s="130">
        <f>-40-49.3</f>
        <v>-89.3</v>
      </c>
      <c r="J121" s="130">
        <f>-45.5-53.8</f>
        <v>-99.3</v>
      </c>
      <c r="K121" s="130">
        <f>-46-55</f>
        <v>-101</v>
      </c>
      <c r="L121" s="130">
        <f>-23.1-27.6</f>
        <v>-50.7</v>
      </c>
      <c r="M121" s="130">
        <v>-54</v>
      </c>
      <c r="N121" s="130">
        <v>-47</v>
      </c>
      <c r="O121" s="130">
        <v>-47.2</v>
      </c>
      <c r="P121" s="130">
        <v>-47.2</v>
      </c>
      <c r="Q121" s="130">
        <v>-18</v>
      </c>
      <c r="R121" s="130">
        <v>-14</v>
      </c>
      <c r="S121" s="130">
        <v>-30.6</v>
      </c>
      <c r="T121" s="130">
        <v>-30</v>
      </c>
      <c r="U121" s="130">
        <v>-20.6</v>
      </c>
      <c r="V121" s="130">
        <v>-12</v>
      </c>
      <c r="W121" s="130">
        <v>-18.100000000000001</v>
      </c>
      <c r="X121" s="130">
        <v>-20</v>
      </c>
      <c r="Y121" s="130">
        <v>-38.5</v>
      </c>
      <c r="Z121" s="130">
        <v>-40</v>
      </c>
      <c r="AA121" s="130">
        <v>-49</v>
      </c>
      <c r="AB121" s="130">
        <v>-83</v>
      </c>
      <c r="AC121" s="130">
        <v>-106</v>
      </c>
      <c r="AD121" s="130">
        <v>-103</v>
      </c>
      <c r="AE121" s="130"/>
      <c r="AF121" s="130">
        <v>143</v>
      </c>
      <c r="AG121" s="128">
        <v>240</v>
      </c>
      <c r="AH121" s="48">
        <f t="shared" si="38"/>
        <v>143</v>
      </c>
      <c r="AI121" s="49">
        <f t="shared" si="39"/>
        <v>-139.9</v>
      </c>
    </row>
    <row r="122" spans="1:35" ht="15.75" thickBot="1" x14ac:dyDescent="0.3">
      <c r="A122" s="129" t="s">
        <v>145</v>
      </c>
      <c r="B122" s="130">
        <v>57</v>
      </c>
      <c r="C122" s="130">
        <v>20</v>
      </c>
      <c r="D122" s="130">
        <v>24.7</v>
      </c>
      <c r="E122" s="130">
        <v>22.4</v>
      </c>
      <c r="F122" s="130">
        <v>15.8</v>
      </c>
      <c r="G122" s="130">
        <v>8.6999999999999993</v>
      </c>
      <c r="H122" s="130">
        <v>5</v>
      </c>
      <c r="I122" s="130">
        <v>7.5</v>
      </c>
      <c r="J122" s="130">
        <v>5.5</v>
      </c>
      <c r="K122" s="130">
        <v>4.9000000000000004</v>
      </c>
      <c r="L122" s="130">
        <v>10.1</v>
      </c>
      <c r="M122" s="130">
        <v>14.9</v>
      </c>
      <c r="N122" s="130">
        <v>8.3000000000000007</v>
      </c>
      <c r="O122" s="130">
        <v>16</v>
      </c>
      <c r="P122" s="130">
        <v>16</v>
      </c>
      <c r="Q122" s="130">
        <v>3.1</v>
      </c>
      <c r="R122" s="130">
        <v>-7</v>
      </c>
      <c r="S122" s="130">
        <v>-7.5</v>
      </c>
      <c r="T122" s="130">
        <v>9.6999999999999993</v>
      </c>
      <c r="U122" s="130">
        <v>4</v>
      </c>
      <c r="V122" s="130">
        <v>9.5</v>
      </c>
      <c r="W122" s="130">
        <v>9.1</v>
      </c>
      <c r="X122" s="130">
        <v>14.9</v>
      </c>
      <c r="Y122" s="130">
        <v>13.4</v>
      </c>
      <c r="Z122" s="130">
        <v>23.8</v>
      </c>
      <c r="AA122" s="130">
        <v>45.1</v>
      </c>
      <c r="AB122" s="130">
        <v>35</v>
      </c>
      <c r="AC122" s="130">
        <v>37</v>
      </c>
      <c r="AD122" s="130">
        <v>36</v>
      </c>
      <c r="AE122" s="130"/>
      <c r="AF122" s="130">
        <v>-2</v>
      </c>
      <c r="AG122" s="128">
        <v>60</v>
      </c>
      <c r="AH122" s="48">
        <f t="shared" si="38"/>
        <v>57</v>
      </c>
      <c r="AI122" s="49">
        <f t="shared" si="39"/>
        <v>-7.5</v>
      </c>
    </row>
    <row r="123" spans="1:35" x14ac:dyDescent="0.25">
      <c r="A123" s="126" t="s">
        <v>146</v>
      </c>
      <c r="B123" s="131">
        <v>7.8</v>
      </c>
      <c r="C123" s="131">
        <v>3</v>
      </c>
      <c r="D123" s="131">
        <v>1.2</v>
      </c>
      <c r="E123" s="131">
        <v>-1.1000000000000001</v>
      </c>
      <c r="F123" s="131">
        <v>2</v>
      </c>
      <c r="G123" s="131">
        <v>12.8</v>
      </c>
      <c r="H123" s="131">
        <v>21.9</v>
      </c>
      <c r="I123" s="131">
        <v>36.6</v>
      </c>
      <c r="J123" s="131">
        <v>44.1</v>
      </c>
      <c r="K123" s="131">
        <v>51.9</v>
      </c>
      <c r="L123" s="131">
        <v>59.4</v>
      </c>
      <c r="M123" s="131">
        <v>69.3</v>
      </c>
      <c r="N123" s="131">
        <v>73</v>
      </c>
      <c r="O123" s="131">
        <v>62.1</v>
      </c>
      <c r="P123" s="131">
        <v>62.1</v>
      </c>
      <c r="Q123" s="131">
        <v>92</v>
      </c>
      <c r="R123" s="131">
        <v>102</v>
      </c>
      <c r="S123" s="131">
        <v>91.4</v>
      </c>
      <c r="T123" s="131">
        <v>63</v>
      </c>
      <c r="U123" s="131">
        <v>90.9</v>
      </c>
      <c r="V123" s="131">
        <v>78.900000000000006</v>
      </c>
      <c r="W123" s="131">
        <v>65.5</v>
      </c>
      <c r="X123" s="131">
        <v>44</v>
      </c>
      <c r="Y123" s="131">
        <v>57.5</v>
      </c>
      <c r="Z123" s="131">
        <v>77.7</v>
      </c>
      <c r="AA123" s="131">
        <v>79.7</v>
      </c>
      <c r="AB123" s="131">
        <v>91</v>
      </c>
      <c r="AC123" s="131">
        <v>77</v>
      </c>
      <c r="AD123" s="131">
        <v>68</v>
      </c>
      <c r="AE123" s="131"/>
      <c r="AF123" s="131">
        <v>-10</v>
      </c>
      <c r="AG123" s="132">
        <v>120</v>
      </c>
      <c r="AH123" s="48">
        <f t="shared" si="38"/>
        <v>102</v>
      </c>
      <c r="AI123" s="49">
        <f t="shared" si="39"/>
        <v>-10</v>
      </c>
    </row>
    <row r="124" spans="1:35" x14ac:dyDescent="0.25">
      <c r="A124" s="129" t="s">
        <v>147</v>
      </c>
      <c r="B124" s="131">
        <v>40.200000000000003</v>
      </c>
      <c r="C124" s="131">
        <v>37.5</v>
      </c>
      <c r="D124" s="131">
        <v>35.6</v>
      </c>
      <c r="E124" s="131">
        <v>34.299999999999997</v>
      </c>
      <c r="F124" s="131">
        <v>36.1</v>
      </c>
      <c r="G124" s="131">
        <v>40.6</v>
      </c>
      <c r="H124" s="131">
        <v>45.3</v>
      </c>
      <c r="I124" s="131">
        <v>52.3</v>
      </c>
      <c r="J124" s="131">
        <v>56.1</v>
      </c>
      <c r="K124" s="131">
        <v>60</v>
      </c>
      <c r="L124" s="131">
        <v>63.4</v>
      </c>
      <c r="M124" s="131">
        <v>67.8</v>
      </c>
      <c r="N124" s="131">
        <v>68</v>
      </c>
      <c r="O124" s="131">
        <v>64.8</v>
      </c>
      <c r="P124" s="131">
        <v>64.8</v>
      </c>
      <c r="Q124" s="131">
        <v>79</v>
      </c>
      <c r="R124" s="131">
        <v>82</v>
      </c>
      <c r="S124" s="131">
        <v>71.7</v>
      </c>
      <c r="T124" s="131">
        <v>63.1</v>
      </c>
      <c r="U124" s="131">
        <v>75.599999999999994</v>
      </c>
      <c r="V124" s="131">
        <v>70.5</v>
      </c>
      <c r="W124" s="131">
        <v>64.7</v>
      </c>
      <c r="X124" s="131">
        <v>55.2</v>
      </c>
      <c r="Y124" s="131">
        <v>61.7</v>
      </c>
      <c r="Z124" s="131">
        <v>73</v>
      </c>
      <c r="AA124" s="131">
        <v>77.3</v>
      </c>
      <c r="AB124" s="131">
        <v>83</v>
      </c>
      <c r="AC124" s="131">
        <v>76</v>
      </c>
      <c r="AD124" s="131">
        <v>74</v>
      </c>
      <c r="AE124" s="131"/>
      <c r="AF124" s="131">
        <v>37</v>
      </c>
      <c r="AG124" s="132"/>
      <c r="AH124" s="48">
        <f t="shared" si="38"/>
        <v>83</v>
      </c>
      <c r="AI124" s="49">
        <f t="shared" si="39"/>
        <v>34.299999999999997</v>
      </c>
    </row>
    <row r="125" spans="1:35" x14ac:dyDescent="0.25">
      <c r="A125" s="129" t="s">
        <v>148</v>
      </c>
      <c r="B125" s="131">
        <v>-7.6</v>
      </c>
      <c r="C125" s="131">
        <v>-4.5</v>
      </c>
      <c r="D125" s="131">
        <v>-2.4</v>
      </c>
      <c r="E125" s="131">
        <v>-2.4</v>
      </c>
      <c r="F125" s="131">
        <v>-5.2</v>
      </c>
      <c r="G125" s="131">
        <v>-8.4</v>
      </c>
      <c r="H125" s="131">
        <v>-11</v>
      </c>
      <c r="I125" s="131">
        <v>-13.8</v>
      </c>
      <c r="J125" s="131">
        <v>-18.7</v>
      </c>
      <c r="K125" s="131">
        <v>-18</v>
      </c>
      <c r="L125" s="131">
        <v>-18.899999999999999</v>
      </c>
      <c r="M125" s="131">
        <v>-21</v>
      </c>
      <c r="N125" s="131">
        <v>-22</v>
      </c>
      <c r="O125" s="131">
        <v>-19.2</v>
      </c>
      <c r="P125" s="131">
        <v>-19.2</v>
      </c>
      <c r="Q125" s="131">
        <v>36</v>
      </c>
      <c r="R125" s="131">
        <v>40</v>
      </c>
      <c r="S125" s="131">
        <v>19.600000000000001</v>
      </c>
      <c r="T125" s="131">
        <v>0.1</v>
      </c>
      <c r="U125" s="131">
        <v>13.6</v>
      </c>
      <c r="V125" s="131">
        <v>-2.1</v>
      </c>
      <c r="W125" s="131">
        <v>-13.1</v>
      </c>
      <c r="X125" s="131">
        <v>-35.1</v>
      </c>
      <c r="Y125" s="131">
        <v>-34.200000000000003</v>
      </c>
      <c r="Z125" s="131">
        <v>-44.9</v>
      </c>
      <c r="AA125" s="131">
        <v>-42.8</v>
      </c>
      <c r="AB125" s="131">
        <v>-18</v>
      </c>
      <c r="AC125" s="131">
        <v>-15</v>
      </c>
      <c r="AD125" s="131">
        <v>-15</v>
      </c>
      <c r="AE125" s="131"/>
      <c r="AF125" s="131">
        <v>-13</v>
      </c>
      <c r="AG125" s="132"/>
      <c r="AH125" s="48">
        <f t="shared" si="38"/>
        <v>40</v>
      </c>
      <c r="AI125" s="49">
        <f t="shared" si="39"/>
        <v>-44.9</v>
      </c>
    </row>
    <row r="126" spans="1:35" ht="15.75" thickBot="1" x14ac:dyDescent="0.3">
      <c r="A126" s="129" t="s">
        <v>149</v>
      </c>
      <c r="B126" s="131">
        <v>26.1</v>
      </c>
      <c r="C126" s="131">
        <v>25</v>
      </c>
      <c r="D126" s="131">
        <v>19.3</v>
      </c>
      <c r="E126" s="131">
        <v>11.5</v>
      </c>
      <c r="F126" s="131">
        <v>15.7</v>
      </c>
      <c r="G126" s="131">
        <v>25.6</v>
      </c>
      <c r="H126" s="131">
        <v>34</v>
      </c>
      <c r="I126" s="131">
        <v>-4.5</v>
      </c>
      <c r="J126" s="131">
        <v>2.6</v>
      </c>
      <c r="K126" s="131">
        <v>8.3000000000000007</v>
      </c>
      <c r="L126" s="131">
        <v>43.2</v>
      </c>
      <c r="M126" s="131">
        <v>42.7</v>
      </c>
      <c r="N126" s="131">
        <v>41</v>
      </c>
      <c r="O126" s="131">
        <v>54.4</v>
      </c>
      <c r="P126" s="131">
        <v>54.4</v>
      </c>
      <c r="Q126" s="131">
        <v>78</v>
      </c>
      <c r="R126" s="131">
        <v>89</v>
      </c>
      <c r="S126" s="131">
        <v>74.3</v>
      </c>
      <c r="T126" s="131">
        <v>55</v>
      </c>
      <c r="U126" s="131">
        <v>73.900000000000006</v>
      </c>
      <c r="V126" s="131">
        <v>60.8</v>
      </c>
      <c r="W126" s="131">
        <v>53</v>
      </c>
      <c r="X126" s="131">
        <v>31.2</v>
      </c>
      <c r="Y126" s="131">
        <v>42.9</v>
      </c>
      <c r="Z126" s="131">
        <v>52.2</v>
      </c>
      <c r="AA126" s="131">
        <v>51.7</v>
      </c>
      <c r="AB126" s="131">
        <v>35</v>
      </c>
      <c r="AC126" s="131">
        <v>29</v>
      </c>
      <c r="AD126" s="131">
        <v>29</v>
      </c>
      <c r="AE126" s="131"/>
      <c r="AF126" s="131">
        <v>41</v>
      </c>
      <c r="AG126" s="128"/>
      <c r="AH126" s="48">
        <f>MAX(B126:AF126)</f>
        <v>89</v>
      </c>
      <c r="AI126" s="49">
        <f>MIN(B126:AF126)</f>
        <v>-4.5</v>
      </c>
    </row>
    <row r="127" spans="1:35" x14ac:dyDescent="0.25">
      <c r="A127" s="126" t="s">
        <v>150</v>
      </c>
      <c r="B127" s="131">
        <v>-146.5</v>
      </c>
      <c r="C127" s="131">
        <v>-118</v>
      </c>
      <c r="D127" s="131">
        <v>-113.9</v>
      </c>
      <c r="E127" s="131">
        <v>-115.4</v>
      </c>
      <c r="F127" s="131">
        <v>-112.8</v>
      </c>
      <c r="G127" s="131">
        <v>-106</v>
      </c>
      <c r="H127" s="131">
        <v>-117.9</v>
      </c>
      <c r="I127" s="131">
        <v>-90.9</v>
      </c>
      <c r="J127" s="131">
        <v>-16.399999999999999</v>
      </c>
      <c r="K127" s="131">
        <v>-12.1</v>
      </c>
      <c r="L127" s="131">
        <v>-8.1999999999999993</v>
      </c>
      <c r="M127" s="131">
        <v>-3.8</v>
      </c>
      <c r="N127" s="131">
        <v>1</v>
      </c>
      <c r="O127" s="131">
        <v>-5.6</v>
      </c>
      <c r="P127" s="131">
        <v>-5.6</v>
      </c>
      <c r="Q127" s="131">
        <v>-12</v>
      </c>
      <c r="R127" s="131">
        <v>-11</v>
      </c>
      <c r="S127" s="131">
        <v>-28</v>
      </c>
      <c r="T127" s="131">
        <v>-24.4</v>
      </c>
      <c r="U127" s="131">
        <v>-23.3</v>
      </c>
      <c r="V127" s="131">
        <v>-11</v>
      </c>
      <c r="W127" s="131">
        <v>-15.4</v>
      </c>
      <c r="X127" s="131">
        <v>-60.3</v>
      </c>
      <c r="Y127" s="131">
        <v>-103</v>
      </c>
      <c r="Z127" s="131">
        <v>-159.9</v>
      </c>
      <c r="AA127" s="131">
        <v>-186.5</v>
      </c>
      <c r="AB127" s="131">
        <v>-151</v>
      </c>
      <c r="AC127" s="131">
        <v>-141</v>
      </c>
      <c r="AD127" s="131">
        <v>-145</v>
      </c>
      <c r="AE127" s="131"/>
      <c r="AF127" s="131">
        <v>-150</v>
      </c>
      <c r="AG127" s="128"/>
      <c r="AH127" s="48">
        <f>MAX(B127:AF127)</f>
        <v>1</v>
      </c>
      <c r="AI127" s="49">
        <f>MIN(B127:AF127)</f>
        <v>-186.5</v>
      </c>
    </row>
    <row r="128" spans="1:35" x14ac:dyDescent="0.25">
      <c r="A128" s="129" t="s">
        <v>151</v>
      </c>
      <c r="B128" s="119">
        <v>-12.3</v>
      </c>
      <c r="C128" s="119">
        <v>-10.199999999999999</v>
      </c>
      <c r="D128" s="119">
        <v>-9.9</v>
      </c>
      <c r="E128" s="119">
        <v>-9.1</v>
      </c>
      <c r="F128" s="119">
        <v>-8.4</v>
      </c>
      <c r="G128" s="119">
        <v>-3.1</v>
      </c>
      <c r="H128" s="119">
        <v>-1.5</v>
      </c>
      <c r="I128" s="119">
        <v>-8</v>
      </c>
      <c r="J128" s="119">
        <v>-4.3</v>
      </c>
      <c r="K128" s="119">
        <v>-6.5</v>
      </c>
      <c r="L128" s="119">
        <v>-12.7</v>
      </c>
      <c r="M128" s="119">
        <v>-19.5</v>
      </c>
      <c r="N128" s="119">
        <v>-7</v>
      </c>
      <c r="O128" s="119">
        <v>-2.8</v>
      </c>
      <c r="P128" s="119">
        <v>-2.8</v>
      </c>
      <c r="Q128" s="119">
        <v>-19</v>
      </c>
      <c r="R128" s="119">
        <v>-14</v>
      </c>
      <c r="S128" s="119">
        <v>-7.6</v>
      </c>
      <c r="T128" s="119">
        <v>0</v>
      </c>
      <c r="U128" s="119">
        <v>-3.8</v>
      </c>
      <c r="V128" s="119">
        <v>-1.6</v>
      </c>
      <c r="W128" s="119">
        <v>-8.4</v>
      </c>
      <c r="X128" s="119">
        <v>-12.5</v>
      </c>
      <c r="Y128" s="119">
        <v>-26</v>
      </c>
      <c r="Z128" s="119">
        <v>-19.899999999999999</v>
      </c>
      <c r="AA128" s="119">
        <v>-24.3</v>
      </c>
      <c r="AB128" s="119">
        <v>-1.6</v>
      </c>
      <c r="AC128" s="119">
        <v>-10</v>
      </c>
      <c r="AD128" s="119">
        <v>-11.5</v>
      </c>
      <c r="AE128" s="119"/>
      <c r="AF128" s="119">
        <v>3</v>
      </c>
      <c r="AG128" s="128"/>
      <c r="AH128" s="48">
        <f>MAX(B128:AF128)</f>
        <v>3</v>
      </c>
      <c r="AI128" s="49">
        <f>MIN(B128:AF128)</f>
        <v>-26</v>
      </c>
    </row>
    <row r="129" spans="1:37" x14ac:dyDescent="0.25">
      <c r="A129" s="129" t="s">
        <v>152</v>
      </c>
      <c r="B129" s="119">
        <v>81</v>
      </c>
      <c r="C129" s="119">
        <v>78</v>
      </c>
      <c r="D129" s="119">
        <v>71</v>
      </c>
      <c r="E129" s="119">
        <v>65.3</v>
      </c>
      <c r="F129" s="119">
        <v>61.2</v>
      </c>
      <c r="G129" s="119">
        <v>48.4</v>
      </c>
      <c r="H129" s="119">
        <v>47</v>
      </c>
      <c r="I129" s="119">
        <v>70</v>
      </c>
      <c r="J129" s="119">
        <v>82.4</v>
      </c>
      <c r="K129" s="119">
        <v>95.3</v>
      </c>
      <c r="L129" s="119">
        <v>59.5</v>
      </c>
      <c r="M129" s="119">
        <v>65.8</v>
      </c>
      <c r="N129" s="119">
        <v>47</v>
      </c>
      <c r="O129" s="119">
        <v>59.5</v>
      </c>
      <c r="P129" s="119">
        <v>59.5</v>
      </c>
      <c r="Q129" s="119">
        <v>60</v>
      </c>
      <c r="R129" s="119">
        <v>57</v>
      </c>
      <c r="S129" s="119">
        <v>66.3</v>
      </c>
      <c r="T129" s="119">
        <v>71.7</v>
      </c>
      <c r="U129" s="119">
        <v>58.1</v>
      </c>
      <c r="V129" s="119">
        <v>55.8</v>
      </c>
      <c r="W129" s="119">
        <v>49.3</v>
      </c>
      <c r="X129" s="119">
        <v>60.7</v>
      </c>
      <c r="Y129" s="119">
        <v>71.5</v>
      </c>
      <c r="Z129" s="119">
        <v>75.7</v>
      </c>
      <c r="AA129" s="119">
        <v>96.7</v>
      </c>
      <c r="AB129" s="119">
        <v>79</v>
      </c>
      <c r="AC129" s="119">
        <v>84</v>
      </c>
      <c r="AD129" s="119">
        <v>76</v>
      </c>
      <c r="AE129" s="119"/>
      <c r="AF129" s="119">
        <v>63</v>
      </c>
      <c r="AG129" s="128"/>
      <c r="AH129" s="48">
        <f>MAX(B129:AF129)</f>
        <v>96.7</v>
      </c>
      <c r="AI129" s="49">
        <f>MIN(B129:AF129)</f>
        <v>47</v>
      </c>
    </row>
    <row r="130" spans="1:37" ht="15.75" thickBot="1" x14ac:dyDescent="0.3">
      <c r="A130" s="129" t="s">
        <v>153</v>
      </c>
      <c r="B130" s="119">
        <v>96.1</v>
      </c>
      <c r="C130" s="119">
        <v>92</v>
      </c>
      <c r="D130" s="119">
        <v>82.9</v>
      </c>
      <c r="E130" s="119">
        <v>76.5</v>
      </c>
      <c r="F130" s="119">
        <v>71.099999999999994</v>
      </c>
      <c r="G130" s="119">
        <v>59.4</v>
      </c>
      <c r="H130" s="119">
        <v>57.5</v>
      </c>
      <c r="I130" s="119">
        <v>69.400000000000006</v>
      </c>
      <c r="J130" s="119">
        <v>84</v>
      </c>
      <c r="K130" s="119">
        <v>91.9</v>
      </c>
      <c r="L130" s="119">
        <v>62.1</v>
      </c>
      <c r="M130" s="119">
        <v>70.5</v>
      </c>
      <c r="N130" s="119">
        <v>51</v>
      </c>
      <c r="O130" s="119">
        <v>62.5</v>
      </c>
      <c r="P130" s="119">
        <v>62.5</v>
      </c>
      <c r="Q130" s="119">
        <v>61</v>
      </c>
      <c r="R130" s="119">
        <v>56</v>
      </c>
      <c r="S130" s="119">
        <v>63.6</v>
      </c>
      <c r="T130" s="119">
        <v>65.8</v>
      </c>
      <c r="U130" s="119">
        <v>61.4</v>
      </c>
      <c r="V130" s="119">
        <v>56.1</v>
      </c>
      <c r="W130" s="119">
        <v>51.2</v>
      </c>
      <c r="X130" s="119">
        <v>68</v>
      </c>
      <c r="Y130" s="119">
        <v>76.5</v>
      </c>
      <c r="Z130" s="119">
        <v>85.6</v>
      </c>
      <c r="AA130" s="119">
        <v>101.1</v>
      </c>
      <c r="AB130" s="119">
        <v>89</v>
      </c>
      <c r="AC130" s="119">
        <v>95</v>
      </c>
      <c r="AD130" s="119">
        <v>93</v>
      </c>
      <c r="AE130" s="119"/>
      <c r="AF130" s="119">
        <v>78</v>
      </c>
      <c r="AG130" s="128"/>
      <c r="AH130" s="48">
        <f>MAX(B130:AF130)</f>
        <v>101.1</v>
      </c>
      <c r="AI130" s="49">
        <f>MIN(B130:AF130)</f>
        <v>51</v>
      </c>
    </row>
    <row r="131" spans="1:37" x14ac:dyDescent="0.25">
      <c r="A131" s="133" t="s">
        <v>154</v>
      </c>
      <c r="B131" s="135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8">
        <v>1982.95</v>
      </c>
      <c r="C132" s="137">
        <v>1982.85</v>
      </c>
      <c r="D132" s="137">
        <v>1982.75</v>
      </c>
      <c r="E132" s="137">
        <v>1982.75</v>
      </c>
      <c r="F132" s="137">
        <v>1982.86</v>
      </c>
      <c r="G132" s="137">
        <v>1982.9</v>
      </c>
      <c r="H132" s="137"/>
      <c r="I132" s="137">
        <v>1982.9</v>
      </c>
      <c r="J132" s="137"/>
      <c r="K132" s="137">
        <v>1983.29</v>
      </c>
      <c r="L132" s="137"/>
      <c r="M132" s="137">
        <v>1983.84</v>
      </c>
      <c r="N132" s="137">
        <v>1984.36</v>
      </c>
      <c r="O132" s="137">
        <v>1984.8</v>
      </c>
      <c r="P132" s="137">
        <v>1985.15</v>
      </c>
      <c r="Q132" s="137">
        <v>1985.45</v>
      </c>
      <c r="R132" s="137">
        <v>1985.72</v>
      </c>
      <c r="S132" s="137">
        <v>1985.92</v>
      </c>
      <c r="T132" s="137">
        <v>1986.04</v>
      </c>
      <c r="U132" s="137">
        <v>1986.3</v>
      </c>
      <c r="V132" s="137">
        <v>1986.6</v>
      </c>
      <c r="W132" s="137"/>
      <c r="X132" s="137">
        <v>1986.75</v>
      </c>
      <c r="Y132" s="137"/>
      <c r="Z132" s="137">
        <v>1986.68</v>
      </c>
      <c r="AA132" s="137"/>
      <c r="AB132" s="137">
        <v>1986.2</v>
      </c>
      <c r="AC132" s="137"/>
      <c r="AD132" s="137">
        <v>1985.83</v>
      </c>
      <c r="AE132" s="137"/>
      <c r="AF132" s="138">
        <v>1985.52</v>
      </c>
      <c r="AG132" s="139"/>
      <c r="AH132" s="48"/>
      <c r="AI132" s="49"/>
    </row>
    <row r="133" spans="1:37" x14ac:dyDescent="0.25">
      <c r="A133" s="136" t="s">
        <v>156</v>
      </c>
      <c r="B133" s="141">
        <v>520.11</v>
      </c>
      <c r="C133" s="140">
        <v>520.26</v>
      </c>
      <c r="D133" s="140">
        <v>520.42999999999995</v>
      </c>
      <c r="E133" s="140">
        <v>520.64</v>
      </c>
      <c r="F133" s="140">
        <v>520.95000000000005</v>
      </c>
      <c r="G133" s="140">
        <v>521.08000000000004</v>
      </c>
      <c r="H133" s="140"/>
      <c r="I133" s="140">
        <v>521.33000000000004</v>
      </c>
      <c r="J133" s="140"/>
      <c r="K133" s="140">
        <v>621.52</v>
      </c>
      <c r="L133" s="140"/>
      <c r="M133" s="140">
        <v>521.74</v>
      </c>
      <c r="N133" s="140">
        <v>522.02</v>
      </c>
      <c r="O133" s="140">
        <v>522.32000000000005</v>
      </c>
      <c r="P133" s="140">
        <v>522.62</v>
      </c>
      <c r="Q133" s="140">
        <v>522.9</v>
      </c>
      <c r="R133" s="140">
        <v>523.14</v>
      </c>
      <c r="S133" s="140">
        <v>523.38</v>
      </c>
      <c r="T133" s="140">
        <v>523.48</v>
      </c>
      <c r="U133" s="140">
        <v>523.39</v>
      </c>
      <c r="V133" s="140">
        <v>523.26</v>
      </c>
      <c r="W133" s="140"/>
      <c r="X133" s="140">
        <v>523.33000000000004</v>
      </c>
      <c r="Y133" s="140"/>
      <c r="Z133" s="140">
        <v>523.32000000000005</v>
      </c>
      <c r="AA133" s="140"/>
      <c r="AB133" s="140">
        <v>523.09</v>
      </c>
      <c r="AC133" s="140"/>
      <c r="AD133" s="140">
        <v>522.9</v>
      </c>
      <c r="AE133" s="140"/>
      <c r="AF133" s="141"/>
      <c r="AG133" s="139"/>
      <c r="AH133" s="48"/>
      <c r="AI133" s="49"/>
    </row>
    <row r="134" spans="1:37" x14ac:dyDescent="0.25">
      <c r="A134" s="136" t="s">
        <v>157</v>
      </c>
      <c r="B134" s="141">
        <v>622.45000000000005</v>
      </c>
      <c r="C134" s="140">
        <v>622.35</v>
      </c>
      <c r="D134" s="140">
        <v>622.66999999999996</v>
      </c>
      <c r="E134" s="140">
        <v>622.89</v>
      </c>
      <c r="F134" s="140">
        <v>623.35</v>
      </c>
      <c r="G134" s="140">
        <v>623.77</v>
      </c>
      <c r="H134" s="140"/>
      <c r="I134" s="140">
        <v>623.99</v>
      </c>
      <c r="J134" s="140"/>
      <c r="K134" s="140">
        <v>624.04</v>
      </c>
      <c r="L134" s="140"/>
      <c r="M134" s="140">
        <v>624.29</v>
      </c>
      <c r="N134" s="140">
        <v>624.35</v>
      </c>
      <c r="O134" s="140">
        <v>624.46</v>
      </c>
      <c r="P134" s="140">
        <v>624.52</v>
      </c>
      <c r="Q134" s="140">
        <v>624.55999999999995</v>
      </c>
      <c r="R134" s="140">
        <v>624.51</v>
      </c>
      <c r="S134" s="140">
        <v>624.47</v>
      </c>
      <c r="T134" s="140">
        <v>624.41999999999996</v>
      </c>
      <c r="U134" s="140">
        <v>624.34</v>
      </c>
      <c r="V134" s="140">
        <v>624.45000000000005</v>
      </c>
      <c r="W134" s="140"/>
      <c r="X134" s="140">
        <v>624.52</v>
      </c>
      <c r="Y134" s="140"/>
      <c r="Z134" s="140">
        <v>624.52</v>
      </c>
      <c r="AA134" s="140"/>
      <c r="AB134" s="140">
        <v>624.4</v>
      </c>
      <c r="AC134" s="140">
        <v>624.37</v>
      </c>
      <c r="AD134" s="140">
        <v>624.34</v>
      </c>
      <c r="AE134" s="140"/>
      <c r="AF134" s="141">
        <v>624.69000000000005</v>
      </c>
      <c r="AG134" s="139"/>
      <c r="AH134" s="48"/>
      <c r="AI134" s="49"/>
    </row>
    <row r="135" spans="1:37" x14ac:dyDescent="0.25">
      <c r="A135" s="136" t="s">
        <v>158</v>
      </c>
      <c r="B135" s="141">
        <v>334.95</v>
      </c>
      <c r="C135" s="140">
        <v>334.95</v>
      </c>
      <c r="D135" s="140">
        <v>335.18</v>
      </c>
      <c r="E135" s="140">
        <v>335.35</v>
      </c>
      <c r="F135" s="140">
        <v>335.57</v>
      </c>
      <c r="G135" s="140">
        <v>335.9</v>
      </c>
      <c r="H135" s="140"/>
      <c r="I135" s="140">
        <v>336.14</v>
      </c>
      <c r="J135" s="140"/>
      <c r="K135" s="140">
        <v>336.27</v>
      </c>
      <c r="L135" s="140"/>
      <c r="M135" s="140">
        <v>336.27</v>
      </c>
      <c r="N135" s="140">
        <v>336.15</v>
      </c>
      <c r="O135" s="140">
        <v>335.97</v>
      </c>
      <c r="P135" s="140">
        <v>335.92</v>
      </c>
      <c r="Q135" s="140">
        <v>335.89</v>
      </c>
      <c r="R135" s="140">
        <v>335.85</v>
      </c>
      <c r="S135" s="140">
        <v>335.86</v>
      </c>
      <c r="T135" s="140">
        <v>336.11</v>
      </c>
      <c r="U135" s="140">
        <v>336.47</v>
      </c>
      <c r="V135" s="140">
        <v>336.86</v>
      </c>
      <c r="W135" s="140"/>
      <c r="X135" s="140">
        <v>337.25</v>
      </c>
      <c r="Y135" s="140"/>
      <c r="Z135" s="140">
        <v>337.41</v>
      </c>
      <c r="AA135" s="140"/>
      <c r="AB135" s="140">
        <v>337.32</v>
      </c>
      <c r="AC135" s="140"/>
      <c r="AD135" s="140">
        <v>337.16</v>
      </c>
      <c r="AE135" s="140"/>
      <c r="AF135" s="141">
        <v>336.98</v>
      </c>
      <c r="AG135" s="139"/>
      <c r="AH135" s="48"/>
      <c r="AI135" s="49"/>
    </row>
    <row r="136" spans="1:37" x14ac:dyDescent="0.25">
      <c r="A136" s="136" t="s">
        <v>159</v>
      </c>
      <c r="B136" s="141">
        <v>882.8</v>
      </c>
      <c r="C136" s="140">
        <v>883.1</v>
      </c>
      <c r="D136" s="140">
        <v>883.6</v>
      </c>
      <c r="E136" s="140">
        <v>884.2</v>
      </c>
      <c r="F136" s="140">
        <v>884.5</v>
      </c>
      <c r="G136" s="140">
        <v>884.9</v>
      </c>
      <c r="H136" s="140"/>
      <c r="I136" s="140">
        <v>885</v>
      </c>
      <c r="J136" s="140"/>
      <c r="K136" s="140">
        <v>885.4</v>
      </c>
      <c r="L136" s="140"/>
      <c r="M136" s="140">
        <v>885.5</v>
      </c>
      <c r="N136" s="140">
        <v>885.8</v>
      </c>
      <c r="O136" s="140">
        <v>886.1</v>
      </c>
      <c r="P136" s="140">
        <v>886.2</v>
      </c>
      <c r="Q136" s="140">
        <v>886.3</v>
      </c>
      <c r="R136" s="140"/>
      <c r="S136" s="140">
        <v>886.3</v>
      </c>
      <c r="T136" s="140">
        <v>886.5</v>
      </c>
      <c r="U136" s="140">
        <v>886.7</v>
      </c>
      <c r="V136" s="140">
        <v>886.9</v>
      </c>
      <c r="W136" s="140"/>
      <c r="X136" s="140">
        <v>887.1</v>
      </c>
      <c r="Y136" s="140"/>
      <c r="Z136" s="140">
        <v>887.1</v>
      </c>
      <c r="AA136" s="140"/>
      <c r="AB136" s="140">
        <v>886.2</v>
      </c>
      <c r="AC136" s="140"/>
      <c r="AD136" s="140">
        <v>885.9</v>
      </c>
      <c r="AE136" s="140">
        <v>885.3</v>
      </c>
      <c r="AF136" s="141">
        <v>884.8</v>
      </c>
      <c r="AG136" s="139"/>
      <c r="AH136" s="48"/>
      <c r="AI136" s="49"/>
    </row>
    <row r="137" spans="1:37" ht="15.75" thickBot="1" x14ac:dyDescent="0.3">
      <c r="A137" s="136" t="s">
        <v>160</v>
      </c>
      <c r="B137" s="143">
        <v>1492.66</v>
      </c>
      <c r="C137" s="142"/>
      <c r="D137" s="142"/>
      <c r="E137" s="142"/>
      <c r="F137" s="142"/>
      <c r="G137" s="142"/>
      <c r="H137" s="142"/>
      <c r="I137" s="142"/>
      <c r="J137" s="142"/>
      <c r="K137" s="142">
        <v>1492.38</v>
      </c>
      <c r="L137" s="142"/>
      <c r="M137" s="142">
        <v>1492.35</v>
      </c>
      <c r="N137" s="142"/>
      <c r="O137" s="142"/>
      <c r="P137" s="142"/>
      <c r="Q137" s="142"/>
      <c r="R137" s="142"/>
      <c r="S137" s="142">
        <v>1492.34</v>
      </c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>
        <v>1492.28</v>
      </c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66">SUM(B139:B243)</f>
        <v>0</v>
      </c>
      <c r="C244" s="161">
        <f t="shared" si="66"/>
        <v>0</v>
      </c>
      <c r="D244" s="161">
        <f t="shared" si="66"/>
        <v>0</v>
      </c>
      <c r="E244" s="161">
        <f t="shared" si="66"/>
        <v>0</v>
      </c>
      <c r="F244" s="161">
        <f t="shared" si="66"/>
        <v>0</v>
      </c>
      <c r="G244" s="161">
        <f t="shared" si="66"/>
        <v>0</v>
      </c>
      <c r="H244" s="161">
        <f t="shared" si="66"/>
        <v>0</v>
      </c>
      <c r="I244" s="161">
        <f t="shared" si="66"/>
        <v>0</v>
      </c>
      <c r="J244" s="161">
        <f t="shared" si="66"/>
        <v>0</v>
      </c>
      <c r="K244" s="161">
        <f t="shared" si="66"/>
        <v>0</v>
      </c>
      <c r="L244" s="161">
        <f t="shared" si="66"/>
        <v>0</v>
      </c>
      <c r="M244" s="161">
        <f t="shared" si="66"/>
        <v>0</v>
      </c>
      <c r="N244" s="161">
        <f t="shared" si="66"/>
        <v>0</v>
      </c>
      <c r="O244" s="161">
        <f t="shared" si="66"/>
        <v>0</v>
      </c>
      <c r="P244" s="161">
        <f t="shared" si="66"/>
        <v>0</v>
      </c>
      <c r="Q244" s="161">
        <f t="shared" si="66"/>
        <v>0</v>
      </c>
      <c r="R244" s="161">
        <f t="shared" si="66"/>
        <v>0</v>
      </c>
      <c r="S244" s="161">
        <f t="shared" si="66"/>
        <v>0</v>
      </c>
      <c r="T244" s="161">
        <f t="shared" si="66"/>
        <v>0</v>
      </c>
      <c r="U244" s="161">
        <f t="shared" si="66"/>
        <v>0</v>
      </c>
      <c r="V244" s="161">
        <f t="shared" si="66"/>
        <v>0</v>
      </c>
      <c r="W244" s="161">
        <f t="shared" si="66"/>
        <v>0</v>
      </c>
      <c r="X244" s="161">
        <f t="shared" si="66"/>
        <v>0</v>
      </c>
      <c r="Y244" s="161">
        <f t="shared" si="66"/>
        <v>0</v>
      </c>
      <c r="Z244" s="161">
        <f t="shared" si="66"/>
        <v>0</v>
      </c>
      <c r="AA244" s="161">
        <f t="shared" si="66"/>
        <v>0</v>
      </c>
      <c r="AB244" s="161">
        <f t="shared" si="66"/>
        <v>0</v>
      </c>
      <c r="AC244" s="161">
        <f t="shared" si="66"/>
        <v>0</v>
      </c>
      <c r="AD244" s="161">
        <f t="shared" si="66"/>
        <v>0</v>
      </c>
      <c r="AE244" s="161">
        <f t="shared" si="66"/>
        <v>0</v>
      </c>
      <c r="AF244" s="162">
        <f t="shared" si="66"/>
        <v>0</v>
      </c>
      <c r="AG244" s="163">
        <f t="shared" si="66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67">AF246</f>
        <v>0.3</v>
      </c>
      <c r="C246" s="166">
        <v>0.3</v>
      </c>
      <c r="D246" s="166">
        <f t="shared" ref="D246:S251" si="68">C246</f>
        <v>0.3</v>
      </c>
      <c r="E246" s="166">
        <f t="shared" si="68"/>
        <v>0.3</v>
      </c>
      <c r="F246" s="166">
        <f t="shared" si="68"/>
        <v>0.3</v>
      </c>
      <c r="G246" s="166">
        <f t="shared" si="68"/>
        <v>0.3</v>
      </c>
      <c r="H246" s="166">
        <f t="shared" si="68"/>
        <v>0.3</v>
      </c>
      <c r="I246" s="166">
        <f t="shared" si="68"/>
        <v>0.3</v>
      </c>
      <c r="J246" s="166">
        <f t="shared" si="68"/>
        <v>0.3</v>
      </c>
      <c r="K246" s="166">
        <f t="shared" si="68"/>
        <v>0.3</v>
      </c>
      <c r="L246" s="166">
        <f t="shared" si="68"/>
        <v>0.3</v>
      </c>
      <c r="M246" s="166">
        <f t="shared" si="68"/>
        <v>0.3</v>
      </c>
      <c r="N246" s="166">
        <f t="shared" si="68"/>
        <v>0.3</v>
      </c>
      <c r="O246" s="166">
        <f t="shared" si="68"/>
        <v>0.3</v>
      </c>
      <c r="P246" s="166">
        <f t="shared" si="68"/>
        <v>0.3</v>
      </c>
      <c r="Q246" s="166">
        <f t="shared" si="68"/>
        <v>0.3</v>
      </c>
      <c r="R246" s="166">
        <f t="shared" si="68"/>
        <v>0.3</v>
      </c>
      <c r="S246" s="166">
        <f t="shared" si="68"/>
        <v>0.3</v>
      </c>
      <c r="T246" s="166">
        <f t="shared" ref="T246:AF251" si="69">S246</f>
        <v>0.3</v>
      </c>
      <c r="U246" s="166">
        <f t="shared" si="69"/>
        <v>0.3</v>
      </c>
      <c r="V246" s="166">
        <f t="shared" si="69"/>
        <v>0.3</v>
      </c>
      <c r="W246" s="166">
        <f t="shared" si="69"/>
        <v>0.3</v>
      </c>
      <c r="X246" s="166">
        <f t="shared" si="69"/>
        <v>0.3</v>
      </c>
      <c r="Y246" s="166">
        <f t="shared" si="69"/>
        <v>0.3</v>
      </c>
      <c r="Z246" s="166">
        <f t="shared" si="69"/>
        <v>0.3</v>
      </c>
      <c r="AA246" s="166">
        <f t="shared" si="69"/>
        <v>0.3</v>
      </c>
      <c r="AB246" s="166">
        <f t="shared" si="69"/>
        <v>0.3</v>
      </c>
      <c r="AC246" s="166">
        <f t="shared" si="69"/>
        <v>0.3</v>
      </c>
      <c r="AD246" s="166">
        <f t="shared" si="69"/>
        <v>0.3</v>
      </c>
      <c r="AE246" s="166">
        <f t="shared" si="69"/>
        <v>0.3</v>
      </c>
      <c r="AF246" s="166">
        <f t="shared" si="69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67"/>
        <v>0.4</v>
      </c>
      <c r="C247" s="152">
        <v>0.4</v>
      </c>
      <c r="D247" s="152">
        <f t="shared" si="68"/>
        <v>0.4</v>
      </c>
      <c r="E247" s="152">
        <f t="shared" si="68"/>
        <v>0.4</v>
      </c>
      <c r="F247" s="152">
        <f t="shared" si="68"/>
        <v>0.4</v>
      </c>
      <c r="G247" s="152">
        <f t="shared" si="68"/>
        <v>0.4</v>
      </c>
      <c r="H247" s="152">
        <f t="shared" si="68"/>
        <v>0.4</v>
      </c>
      <c r="I247" s="152">
        <f t="shared" si="68"/>
        <v>0.4</v>
      </c>
      <c r="J247" s="152">
        <f t="shared" si="68"/>
        <v>0.4</v>
      </c>
      <c r="K247" s="152">
        <f t="shared" si="68"/>
        <v>0.4</v>
      </c>
      <c r="L247" s="152">
        <f t="shared" si="68"/>
        <v>0.4</v>
      </c>
      <c r="M247" s="152">
        <f t="shared" si="68"/>
        <v>0.4</v>
      </c>
      <c r="N247" s="152">
        <f t="shared" si="68"/>
        <v>0.4</v>
      </c>
      <c r="O247" s="152">
        <f t="shared" si="68"/>
        <v>0.4</v>
      </c>
      <c r="P247" s="152">
        <f t="shared" si="68"/>
        <v>0.4</v>
      </c>
      <c r="Q247" s="152">
        <f t="shared" si="68"/>
        <v>0.4</v>
      </c>
      <c r="R247" s="152">
        <f t="shared" si="68"/>
        <v>0.4</v>
      </c>
      <c r="S247" s="152">
        <f t="shared" si="68"/>
        <v>0.4</v>
      </c>
      <c r="T247" s="152">
        <f t="shared" si="69"/>
        <v>0.4</v>
      </c>
      <c r="U247" s="152">
        <f t="shared" si="69"/>
        <v>0.4</v>
      </c>
      <c r="V247" s="152">
        <f t="shared" si="69"/>
        <v>0.4</v>
      </c>
      <c r="W247" s="152">
        <f t="shared" si="69"/>
        <v>0.4</v>
      </c>
      <c r="X247" s="152">
        <f t="shared" si="69"/>
        <v>0.4</v>
      </c>
      <c r="Y247" s="152">
        <f t="shared" si="69"/>
        <v>0.4</v>
      </c>
      <c r="Z247" s="152">
        <f t="shared" si="69"/>
        <v>0.4</v>
      </c>
      <c r="AA247" s="152">
        <f t="shared" si="69"/>
        <v>0.4</v>
      </c>
      <c r="AB247" s="152">
        <f t="shared" si="69"/>
        <v>0.4</v>
      </c>
      <c r="AC247" s="152">
        <f t="shared" si="69"/>
        <v>0.4</v>
      </c>
      <c r="AD247" s="152">
        <f t="shared" si="69"/>
        <v>0.4</v>
      </c>
      <c r="AE247" s="152">
        <f t="shared" si="69"/>
        <v>0.4</v>
      </c>
      <c r="AF247" s="152">
        <f t="shared" si="69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67"/>
        <v>1.5</v>
      </c>
      <c r="C248" s="152">
        <v>1.5</v>
      </c>
      <c r="D248" s="152">
        <f t="shared" si="68"/>
        <v>1.5</v>
      </c>
      <c r="E248" s="152">
        <f t="shared" si="68"/>
        <v>1.5</v>
      </c>
      <c r="F248" s="152">
        <f t="shared" si="68"/>
        <v>1.5</v>
      </c>
      <c r="G248" s="152">
        <f t="shared" si="68"/>
        <v>1.5</v>
      </c>
      <c r="H248" s="152">
        <f t="shared" si="68"/>
        <v>1.5</v>
      </c>
      <c r="I248" s="152">
        <f t="shared" si="68"/>
        <v>1.5</v>
      </c>
      <c r="J248" s="152">
        <f t="shared" si="68"/>
        <v>1.5</v>
      </c>
      <c r="K248" s="152">
        <f t="shared" si="68"/>
        <v>1.5</v>
      </c>
      <c r="L248" s="152">
        <f t="shared" si="68"/>
        <v>1.5</v>
      </c>
      <c r="M248" s="152">
        <f t="shared" si="68"/>
        <v>1.5</v>
      </c>
      <c r="N248" s="152">
        <f t="shared" si="68"/>
        <v>1.5</v>
      </c>
      <c r="O248" s="152">
        <f t="shared" si="68"/>
        <v>1.5</v>
      </c>
      <c r="P248" s="152">
        <f t="shared" si="68"/>
        <v>1.5</v>
      </c>
      <c r="Q248" s="152">
        <f t="shared" si="68"/>
        <v>1.5</v>
      </c>
      <c r="R248" s="152">
        <f t="shared" si="68"/>
        <v>1.5</v>
      </c>
      <c r="S248" s="152">
        <f t="shared" si="68"/>
        <v>1.5</v>
      </c>
      <c r="T248" s="152">
        <f t="shared" si="69"/>
        <v>1.5</v>
      </c>
      <c r="U248" s="152">
        <f t="shared" si="69"/>
        <v>1.5</v>
      </c>
      <c r="V248" s="152">
        <f t="shared" si="69"/>
        <v>1.5</v>
      </c>
      <c r="W248" s="152">
        <f t="shared" si="69"/>
        <v>1.5</v>
      </c>
      <c r="X248" s="152">
        <f t="shared" si="69"/>
        <v>1.5</v>
      </c>
      <c r="Y248" s="152">
        <f t="shared" si="69"/>
        <v>1.5</v>
      </c>
      <c r="Z248" s="152">
        <f t="shared" si="69"/>
        <v>1.5</v>
      </c>
      <c r="AA248" s="152">
        <f t="shared" si="69"/>
        <v>1.5</v>
      </c>
      <c r="AB248" s="152">
        <f t="shared" si="69"/>
        <v>1.5</v>
      </c>
      <c r="AC248" s="152">
        <f t="shared" si="69"/>
        <v>1.5</v>
      </c>
      <c r="AD248" s="152">
        <f t="shared" si="69"/>
        <v>1.5</v>
      </c>
      <c r="AE248" s="152">
        <f t="shared" si="69"/>
        <v>1.5</v>
      </c>
      <c r="AF248" s="152">
        <f t="shared" si="69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67"/>
        <v>0.3</v>
      </c>
      <c r="C249" s="152">
        <v>0.3</v>
      </c>
      <c r="D249" s="152">
        <f t="shared" si="68"/>
        <v>0.3</v>
      </c>
      <c r="E249" s="152">
        <f t="shared" si="68"/>
        <v>0.3</v>
      </c>
      <c r="F249" s="152">
        <f t="shared" si="68"/>
        <v>0.3</v>
      </c>
      <c r="G249" s="152">
        <f t="shared" si="68"/>
        <v>0.3</v>
      </c>
      <c r="H249" s="152">
        <f t="shared" si="68"/>
        <v>0.3</v>
      </c>
      <c r="I249" s="152">
        <f t="shared" si="68"/>
        <v>0.3</v>
      </c>
      <c r="J249" s="152">
        <f t="shared" si="68"/>
        <v>0.3</v>
      </c>
      <c r="K249" s="152">
        <f t="shared" si="68"/>
        <v>0.3</v>
      </c>
      <c r="L249" s="152">
        <f t="shared" si="68"/>
        <v>0.3</v>
      </c>
      <c r="M249" s="152">
        <f t="shared" si="68"/>
        <v>0.3</v>
      </c>
      <c r="N249" s="152">
        <f t="shared" si="68"/>
        <v>0.3</v>
      </c>
      <c r="O249" s="152">
        <f t="shared" si="68"/>
        <v>0.3</v>
      </c>
      <c r="P249" s="152">
        <f t="shared" si="68"/>
        <v>0.3</v>
      </c>
      <c r="Q249" s="152">
        <f t="shared" si="68"/>
        <v>0.3</v>
      </c>
      <c r="R249" s="152">
        <f t="shared" si="68"/>
        <v>0.3</v>
      </c>
      <c r="S249" s="152">
        <f t="shared" si="68"/>
        <v>0.3</v>
      </c>
      <c r="T249" s="152">
        <f t="shared" si="69"/>
        <v>0.3</v>
      </c>
      <c r="U249" s="152">
        <f t="shared" si="69"/>
        <v>0.3</v>
      </c>
      <c r="V249" s="152">
        <f t="shared" si="69"/>
        <v>0.3</v>
      </c>
      <c r="W249" s="152">
        <f t="shared" si="69"/>
        <v>0.3</v>
      </c>
      <c r="X249" s="152">
        <f t="shared" si="69"/>
        <v>0.3</v>
      </c>
      <c r="Y249" s="152">
        <f t="shared" si="69"/>
        <v>0.3</v>
      </c>
      <c r="Z249" s="152">
        <f t="shared" si="69"/>
        <v>0.3</v>
      </c>
      <c r="AA249" s="152">
        <f t="shared" si="69"/>
        <v>0.3</v>
      </c>
      <c r="AB249" s="152">
        <f t="shared" si="69"/>
        <v>0.3</v>
      </c>
      <c r="AC249" s="152">
        <f t="shared" si="69"/>
        <v>0.3</v>
      </c>
      <c r="AD249" s="152">
        <f t="shared" si="69"/>
        <v>0.3</v>
      </c>
      <c r="AE249" s="152">
        <f t="shared" si="69"/>
        <v>0.3</v>
      </c>
      <c r="AF249" s="152">
        <f t="shared" si="69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67"/>
        <v>0.4</v>
      </c>
      <c r="C250" s="152">
        <v>0.4</v>
      </c>
      <c r="D250" s="152">
        <f t="shared" si="68"/>
        <v>0.4</v>
      </c>
      <c r="E250" s="152">
        <f t="shared" si="68"/>
        <v>0.4</v>
      </c>
      <c r="F250" s="152">
        <f t="shared" si="68"/>
        <v>0.4</v>
      </c>
      <c r="G250" s="152">
        <f t="shared" si="68"/>
        <v>0.4</v>
      </c>
      <c r="H250" s="152">
        <f t="shared" si="68"/>
        <v>0.4</v>
      </c>
      <c r="I250" s="152">
        <f t="shared" si="68"/>
        <v>0.4</v>
      </c>
      <c r="J250" s="152">
        <f t="shared" si="68"/>
        <v>0.4</v>
      </c>
      <c r="K250" s="152">
        <f t="shared" si="68"/>
        <v>0.4</v>
      </c>
      <c r="L250" s="152">
        <f t="shared" si="68"/>
        <v>0.4</v>
      </c>
      <c r="M250" s="152">
        <f t="shared" si="68"/>
        <v>0.4</v>
      </c>
      <c r="N250" s="152">
        <f t="shared" si="68"/>
        <v>0.4</v>
      </c>
      <c r="O250" s="152">
        <f t="shared" si="68"/>
        <v>0.4</v>
      </c>
      <c r="P250" s="152">
        <f t="shared" si="68"/>
        <v>0.4</v>
      </c>
      <c r="Q250" s="152">
        <f t="shared" si="68"/>
        <v>0.4</v>
      </c>
      <c r="R250" s="152">
        <f t="shared" si="68"/>
        <v>0.4</v>
      </c>
      <c r="S250" s="152">
        <f t="shared" si="68"/>
        <v>0.4</v>
      </c>
      <c r="T250" s="152">
        <f t="shared" si="69"/>
        <v>0.4</v>
      </c>
      <c r="U250" s="152">
        <f t="shared" si="69"/>
        <v>0.4</v>
      </c>
      <c r="V250" s="152">
        <f t="shared" si="69"/>
        <v>0.4</v>
      </c>
      <c r="W250" s="152">
        <f t="shared" si="69"/>
        <v>0.4</v>
      </c>
      <c r="X250" s="152">
        <f t="shared" si="69"/>
        <v>0.4</v>
      </c>
      <c r="Y250" s="152">
        <f t="shared" si="69"/>
        <v>0.4</v>
      </c>
      <c r="Z250" s="152">
        <f t="shared" si="69"/>
        <v>0.4</v>
      </c>
      <c r="AA250" s="152">
        <f t="shared" si="69"/>
        <v>0.4</v>
      </c>
      <c r="AB250" s="152">
        <f t="shared" si="69"/>
        <v>0.4</v>
      </c>
      <c r="AC250" s="152">
        <f t="shared" si="69"/>
        <v>0.4</v>
      </c>
      <c r="AD250" s="152">
        <f t="shared" si="69"/>
        <v>0.4</v>
      </c>
      <c r="AE250" s="152">
        <f t="shared" si="69"/>
        <v>0.4</v>
      </c>
      <c r="AF250" s="152">
        <f t="shared" si="69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67"/>
        <v>0.64</v>
      </c>
      <c r="C251" s="157">
        <v>0.64</v>
      </c>
      <c r="D251" s="157">
        <f t="shared" si="68"/>
        <v>0.64</v>
      </c>
      <c r="E251" s="157">
        <f t="shared" si="68"/>
        <v>0.64</v>
      </c>
      <c r="F251" s="157">
        <f t="shared" si="68"/>
        <v>0.64</v>
      </c>
      <c r="G251" s="157">
        <f t="shared" si="68"/>
        <v>0.64</v>
      </c>
      <c r="H251" s="157">
        <f t="shared" si="68"/>
        <v>0.64</v>
      </c>
      <c r="I251" s="157">
        <f t="shared" si="68"/>
        <v>0.64</v>
      </c>
      <c r="J251" s="157">
        <f t="shared" si="68"/>
        <v>0.64</v>
      </c>
      <c r="K251" s="157">
        <f t="shared" si="68"/>
        <v>0.64</v>
      </c>
      <c r="L251" s="157">
        <f t="shared" si="68"/>
        <v>0.64</v>
      </c>
      <c r="M251" s="157">
        <f t="shared" si="68"/>
        <v>0.64</v>
      </c>
      <c r="N251" s="157">
        <f t="shared" si="68"/>
        <v>0.64</v>
      </c>
      <c r="O251" s="157">
        <f t="shared" si="68"/>
        <v>0.64</v>
      </c>
      <c r="P251" s="157">
        <f t="shared" si="68"/>
        <v>0.64</v>
      </c>
      <c r="Q251" s="157">
        <f t="shared" si="68"/>
        <v>0.64</v>
      </c>
      <c r="R251" s="157">
        <f t="shared" si="68"/>
        <v>0.64</v>
      </c>
      <c r="S251" s="157">
        <f t="shared" si="68"/>
        <v>0.64</v>
      </c>
      <c r="T251" s="157">
        <f t="shared" si="69"/>
        <v>0.64</v>
      </c>
      <c r="U251" s="157">
        <f t="shared" si="69"/>
        <v>0.64</v>
      </c>
      <c r="V251" s="157">
        <f t="shared" si="69"/>
        <v>0.64</v>
      </c>
      <c r="W251" s="157">
        <f t="shared" si="69"/>
        <v>0.64</v>
      </c>
      <c r="X251" s="157">
        <f t="shared" si="69"/>
        <v>0.64</v>
      </c>
      <c r="Y251" s="157">
        <f t="shared" si="69"/>
        <v>0.64</v>
      </c>
      <c r="Z251" s="157">
        <f t="shared" si="69"/>
        <v>0.64</v>
      </c>
      <c r="AA251" s="157">
        <f t="shared" si="69"/>
        <v>0.64</v>
      </c>
      <c r="AB251" s="157">
        <f t="shared" si="69"/>
        <v>0.64</v>
      </c>
      <c r="AC251" s="157">
        <f t="shared" si="69"/>
        <v>0.64</v>
      </c>
      <c r="AD251" s="157">
        <f t="shared" si="69"/>
        <v>0.64</v>
      </c>
      <c r="AE251" s="157">
        <f t="shared" si="69"/>
        <v>0.64</v>
      </c>
      <c r="AF251" s="157">
        <f t="shared" si="69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70">SUM(B246:B251)</f>
        <v>3.54</v>
      </c>
      <c r="C252" s="161">
        <f t="shared" si="70"/>
        <v>3.54</v>
      </c>
      <c r="D252" s="161">
        <f t="shared" si="70"/>
        <v>3.54</v>
      </c>
      <c r="E252" s="161">
        <f t="shared" si="70"/>
        <v>3.54</v>
      </c>
      <c r="F252" s="161">
        <f t="shared" si="70"/>
        <v>3.54</v>
      </c>
      <c r="G252" s="161">
        <f t="shared" si="70"/>
        <v>3.54</v>
      </c>
      <c r="H252" s="161">
        <f t="shared" si="70"/>
        <v>3.54</v>
      </c>
      <c r="I252" s="161">
        <f t="shared" si="70"/>
        <v>3.54</v>
      </c>
      <c r="J252" s="161">
        <f t="shared" si="70"/>
        <v>3.54</v>
      </c>
      <c r="K252" s="161">
        <f t="shared" si="70"/>
        <v>3.54</v>
      </c>
      <c r="L252" s="161">
        <f t="shared" si="70"/>
        <v>3.54</v>
      </c>
      <c r="M252" s="161">
        <f t="shared" si="70"/>
        <v>3.54</v>
      </c>
      <c r="N252" s="161">
        <f t="shared" si="70"/>
        <v>3.54</v>
      </c>
      <c r="O252" s="161">
        <f t="shared" si="70"/>
        <v>3.54</v>
      </c>
      <c r="P252" s="161">
        <f t="shared" si="70"/>
        <v>3.54</v>
      </c>
      <c r="Q252" s="161">
        <f t="shared" si="70"/>
        <v>3.54</v>
      </c>
      <c r="R252" s="161">
        <f t="shared" si="70"/>
        <v>3.54</v>
      </c>
      <c r="S252" s="161">
        <f t="shared" si="70"/>
        <v>3.54</v>
      </c>
      <c r="T252" s="161">
        <f t="shared" si="70"/>
        <v>3.54</v>
      </c>
      <c r="U252" s="161">
        <f t="shared" si="70"/>
        <v>3.54</v>
      </c>
      <c r="V252" s="161">
        <f t="shared" si="70"/>
        <v>3.54</v>
      </c>
      <c r="W252" s="161">
        <f t="shared" si="70"/>
        <v>3.54</v>
      </c>
      <c r="X252" s="161">
        <f t="shared" si="70"/>
        <v>3.54</v>
      </c>
      <c r="Y252" s="161">
        <f t="shared" si="70"/>
        <v>3.54</v>
      </c>
      <c r="Z252" s="161">
        <f t="shared" si="70"/>
        <v>3.54</v>
      </c>
      <c r="AA252" s="161">
        <f t="shared" si="70"/>
        <v>3.54</v>
      </c>
      <c r="AB252" s="161">
        <f t="shared" si="70"/>
        <v>3.54</v>
      </c>
      <c r="AC252" s="161">
        <f t="shared" si="70"/>
        <v>3.54</v>
      </c>
      <c r="AD252" s="161">
        <f t="shared" si="70"/>
        <v>3.54</v>
      </c>
      <c r="AE252" s="161">
        <f t="shared" si="70"/>
        <v>3.54</v>
      </c>
      <c r="AF252" s="161">
        <f t="shared" si="70"/>
        <v>3.54</v>
      </c>
      <c r="AG252" s="171">
        <f t="shared" si="7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1588.8400000000001</v>
      </c>
      <c r="C256" s="174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2080/10/12)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168" priority="119">
      <formula>$AH11=0</formula>
    </cfRule>
  </conditionalFormatting>
  <conditionalFormatting sqref="A132:A253">
    <cfRule type="expression" dxfId="3167" priority="120">
      <formula>$AH132=0</formula>
    </cfRule>
  </conditionalFormatting>
  <conditionalFormatting sqref="B8">
    <cfRule type="expression" dxfId="3166" priority="174">
      <formula>AND(C$9&gt;=14/24,C$9&lt;20/24)</formula>
    </cfRule>
    <cfRule type="expression" dxfId="3165" priority="175">
      <formula>AND(C$9&gt;=8/24,C$9&lt;14/24)</formula>
    </cfRule>
    <cfRule type="expression" dxfId="3164" priority="176">
      <formula>C$9&lt;8/24</formula>
    </cfRule>
    <cfRule type="expression" dxfId="3163" priority="177">
      <formula>C$9&gt;=20/24</formula>
    </cfRule>
  </conditionalFormatting>
  <conditionalFormatting sqref="B11:E11">
    <cfRule type="expression" dxfId="3162" priority="10">
      <formula>B11&gt;$AG11</formula>
    </cfRule>
    <cfRule type="expression" dxfId="3161" priority="11">
      <formula>B$9&gt;=20/24</formula>
    </cfRule>
    <cfRule type="expression" dxfId="3160" priority="12">
      <formula>AND(B$9&gt;=14/24,B$9&lt;20/24)</formula>
    </cfRule>
    <cfRule type="expression" dxfId="3159" priority="13">
      <formula>AND(B$9&gt;=8/24,B$9&lt;14/24)</formula>
    </cfRule>
    <cfRule type="expression" dxfId="3158" priority="14">
      <formula>B$9&lt;8/24</formula>
    </cfRule>
  </conditionalFormatting>
  <conditionalFormatting sqref="B12:J52 K13:R52 S29:AF52 B59:E74 F68:G74 H69:L74 E77:AF79 C77:D91 B77:B99 C92:AF99 B101:AF117 B119:AF137">
    <cfRule type="expression" dxfId="3157" priority="5">
      <formula>B$9&gt;=20/24</formula>
    </cfRule>
    <cfRule type="expression" dxfId="3156" priority="6">
      <formula>AND(B$9&gt;=14/24,B$9&lt;20/24)</formula>
    </cfRule>
    <cfRule type="expression" dxfId="3155" priority="7">
      <formula>AND(B$9&gt;=8/24,B$9&lt;14/24)</formula>
    </cfRule>
  </conditionalFormatting>
  <conditionalFormatting sqref="B12:J55 K13:R55 S29:AF55 B59:E74 F68:G74 H69:L74 E77:AF79 C77:D91 B77:B99 C92:AF99 B101:AF117 B119:AF137">
    <cfRule type="expression" dxfId="3154" priority="8">
      <formula>B$9&lt;8/24</formula>
    </cfRule>
  </conditionalFormatting>
  <conditionalFormatting sqref="B68:K68">
    <cfRule type="expression" dxfId="3153" priority="27">
      <formula>B$9&gt;=20/24</formula>
    </cfRule>
    <cfRule type="expression" dxfId="3152" priority="28">
      <formula>AND(B$9&gt;=14/24,B$9&lt;20/24)</formula>
    </cfRule>
    <cfRule type="expression" dxfId="3151" priority="29">
      <formula>AND(B$9&gt;=8/24,B$9&lt;14/24)</formula>
    </cfRule>
    <cfRule type="expression" dxfId="3150" priority="30">
      <formula>B$9&lt;8/24</formula>
    </cfRule>
  </conditionalFormatting>
  <conditionalFormatting sqref="B9:AF10 W11:AF28 S13:V28 M69:AF74 E80:AF91 B244:AF244 B246:B252">
    <cfRule type="expression" dxfId="3149" priority="72">
      <formula>AND(B$9&gt;=14/24,B$9&lt;20/24)</formula>
    </cfRule>
    <cfRule type="expression" dxfId="3148" priority="73">
      <formula>AND(B$9&gt;=8/24,B$9&lt;14/24)</formula>
    </cfRule>
    <cfRule type="expression" dxfId="3147" priority="74">
      <formula>B$9&lt;8/24</formula>
    </cfRule>
  </conditionalFormatting>
  <conditionalFormatting sqref="B53:AF55">
    <cfRule type="expression" dxfId="3146" priority="1">
      <formula>B$9&gt;=20/24</formula>
    </cfRule>
    <cfRule type="expression" dxfId="3145" priority="2">
      <formula>AND(B$9&gt;=14/24,B$9&lt;20/24)</formula>
    </cfRule>
    <cfRule type="expression" dxfId="3144" priority="3">
      <formula>AND(B$9&gt;=8/24,B$9&lt;14/24)</formula>
    </cfRule>
  </conditionalFormatting>
  <conditionalFormatting sqref="D246:AF252">
    <cfRule type="expression" dxfId="3143" priority="159">
      <formula>D$9&gt;=20/24</formula>
    </cfRule>
    <cfRule type="expression" dxfId="3142" priority="160">
      <formula>AND(D$9&gt;=14/24,D$9&lt;20/24)</formula>
    </cfRule>
    <cfRule type="expression" dxfId="3141" priority="161">
      <formula>AND(D$9&gt;=8/24,D$9&lt;14/24)</formula>
    </cfRule>
    <cfRule type="expression" dxfId="3140" priority="162">
      <formula>D$9&lt;8/24</formula>
    </cfRule>
  </conditionalFormatting>
  <conditionalFormatting sqref="E11:M11 N11:V12 K12:M12">
    <cfRule type="expression" dxfId="3139" priority="88">
      <formula>E11&gt;$AG11</formula>
    </cfRule>
    <cfRule type="expression" dxfId="3138" priority="89">
      <formula>E$9&gt;=20/24</formula>
    </cfRule>
    <cfRule type="expression" dxfId="3137" priority="90">
      <formula>AND(E$9&gt;=14/24,E$9&lt;20/24)</formula>
    </cfRule>
    <cfRule type="expression" dxfId="3136" priority="91">
      <formula>AND(E$9&gt;=8/24,E$9&lt;14/24)</formula>
    </cfRule>
    <cfRule type="expression" dxfId="3135" priority="92">
      <formula>E$9&lt;8/24</formula>
    </cfRule>
  </conditionalFormatting>
  <conditionalFormatting sqref="F56 B56:E57">
    <cfRule type="expression" dxfId="3134" priority="15">
      <formula>B$9&gt;=20/24</formula>
    </cfRule>
    <cfRule type="expression" dxfId="3133" priority="16">
      <formula>AND(B$9&gt;=14/24,B$9&lt;20/24)</formula>
    </cfRule>
    <cfRule type="expression" dxfId="3132" priority="17">
      <formula>AND(B$9&gt;=8/24,B$9&lt;14/24)</formula>
    </cfRule>
    <cfRule type="expression" dxfId="3131" priority="26">
      <formula>B$9&lt;8/24</formula>
    </cfRule>
  </conditionalFormatting>
  <conditionalFormatting sqref="F63:I67 J64:J67 K67">
    <cfRule type="expression" dxfId="3130" priority="84">
      <formula>F$9&gt;=20/24</formula>
    </cfRule>
    <cfRule type="expression" dxfId="3129" priority="85">
      <formula>AND(F$9&gt;=14/24,F$9&lt;20/24)</formula>
    </cfRule>
    <cfRule type="expression" dxfId="3128" priority="86">
      <formula>AND(F$9&gt;=8/24,F$9&lt;14/24)</formula>
    </cfRule>
    <cfRule type="expression" dxfId="3127" priority="87">
      <formula>F$9&lt;8/24</formula>
    </cfRule>
  </conditionalFormatting>
  <conditionalFormatting sqref="F63:L65">
    <cfRule type="expression" dxfId="3126" priority="111">
      <formula>F$9&gt;=20/24</formula>
    </cfRule>
    <cfRule type="expression" dxfId="3125" priority="112">
      <formula>AND(F$9&gt;=14/24,F$9&lt;20/24)</formula>
    </cfRule>
    <cfRule type="expression" dxfId="3124" priority="113">
      <formula>AND(F$9&gt;=8/24,F$9&lt;14/24)</formula>
    </cfRule>
    <cfRule type="expression" dxfId="3123" priority="114">
      <formula>F$9&lt;8/24</formula>
    </cfRule>
  </conditionalFormatting>
  <conditionalFormatting sqref="F59:AF62">
    <cfRule type="expression" dxfId="3122" priority="97">
      <formula>F$9&gt;=20/24</formula>
    </cfRule>
    <cfRule type="expression" dxfId="3121" priority="98">
      <formula>AND(F$9&gt;=14/24,F$9&lt;20/24)</formula>
    </cfRule>
    <cfRule type="expression" dxfId="3120" priority="99">
      <formula>AND(F$9&gt;=8/24,F$9&lt;14/24)</formula>
    </cfRule>
    <cfRule type="expression" dxfId="3119" priority="100">
      <formula>F$9&lt;8/24</formula>
    </cfRule>
  </conditionalFormatting>
  <conditionalFormatting sqref="G12:J55 F12:F56 E12:E74 B12:D80 K13:R55 S29:AF55 F58:AA74 E77:AF79">
    <cfRule type="expression" dxfId="3118" priority="4">
      <formula>B12&gt;$AG12</formula>
    </cfRule>
  </conditionalFormatting>
  <conditionalFormatting sqref="G56:L56 M56:AF57 F57:L57">
    <cfRule type="expression" dxfId="3117" priority="76">
      <formula>F$9&gt;=20/24</formula>
    </cfRule>
    <cfRule type="expression" dxfId="3116" priority="77">
      <formula>AND(F$9&gt;=14/24,F$9&lt;20/24)</formula>
    </cfRule>
    <cfRule type="expression" dxfId="3115" priority="78">
      <formula>AND(F$9&gt;=8/24,F$9&lt;14/24)</formula>
    </cfRule>
    <cfRule type="expression" dxfId="3114" priority="83">
      <formula>F$9&lt;8/24</formula>
    </cfRule>
  </conditionalFormatting>
  <conditionalFormatting sqref="L68:V68">
    <cfRule type="expression" dxfId="3113" priority="107">
      <formula>L$9&gt;=20/24</formula>
    </cfRule>
    <cfRule type="expression" dxfId="3112" priority="108">
      <formula>AND(L$9&gt;=14/24,L$9&lt;20/24)</formula>
    </cfRule>
    <cfRule type="expression" dxfId="3111" priority="109">
      <formula>AND(L$9&gt;=8/24,L$9&lt;14/24)</formula>
    </cfRule>
    <cfRule type="expression" dxfId="3110" priority="110">
      <formula>L$9&lt;8/24</formula>
    </cfRule>
  </conditionalFormatting>
  <conditionalFormatting sqref="M8 S8 AB8">
    <cfRule type="expression" dxfId="3109" priority="166">
      <formula>AND(N$9&gt;=14/24,N$9&lt;20/24)</formula>
    </cfRule>
    <cfRule type="expression" dxfId="3108" priority="167">
      <formula>AND(N$9&gt;=8/24,N$9&lt;14/24)</formula>
    </cfRule>
    <cfRule type="expression" dxfId="3107" priority="168">
      <formula>N$9&lt;8/24</formula>
    </cfRule>
  </conditionalFormatting>
  <conditionalFormatting sqref="M63:V67">
    <cfRule type="expression" dxfId="3106" priority="115">
      <formula>M$9&gt;=20/24</formula>
    </cfRule>
    <cfRule type="expression" dxfId="3105" priority="116">
      <formula>AND(M$9&gt;=14/24,M$9&lt;20/24)</formula>
    </cfRule>
    <cfRule type="expression" dxfId="3104" priority="117">
      <formula>AND(M$9&gt;=8/24,M$9&lt;14/24)</formula>
    </cfRule>
    <cfRule type="expression" dxfId="3103" priority="118">
      <formula>M$9&lt;8/24</formula>
    </cfRule>
  </conditionalFormatting>
  <conditionalFormatting sqref="O3:P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102" priority="165">
      <formula>N$9&gt;=20/24</formula>
    </cfRule>
  </conditionalFormatting>
  <conditionalFormatting sqref="S8">
    <cfRule type="expression" dxfId="3101" priority="152">
      <formula>U$9&gt;=20/24</formula>
    </cfRule>
    <cfRule type="expression" dxfId="3100" priority="153">
      <formula>AND(U$9&gt;=14/24,U$9&lt;20/24)</formula>
    </cfRule>
    <cfRule type="expression" dxfId="3099" priority="154">
      <formula>AND(U$9&gt;=8/24,U$9&lt;14/24)</formula>
    </cfRule>
    <cfRule type="expression" dxfId="3098" priority="155">
      <formula>U$9&lt;8/24</formula>
    </cfRule>
  </conditionalFormatting>
  <conditionalFormatting sqref="T63:AF68">
    <cfRule type="expression" dxfId="3097" priority="101">
      <formula>T$9&gt;=20/24</formula>
    </cfRule>
    <cfRule type="expression" dxfId="3096" priority="102">
      <formula>AND(T$9&gt;=14/24,T$9&lt;20/24)</formula>
    </cfRule>
    <cfRule type="expression" dxfId="3095" priority="103">
      <formula>AND(T$9&gt;=8/24,T$9&lt;14/24)</formula>
    </cfRule>
    <cfRule type="expression" dxfId="3094" priority="104">
      <formula>T$9&lt;8/24</formula>
    </cfRule>
  </conditionalFormatting>
  <conditionalFormatting sqref="V3 AB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W11:AF28 S13:V28 G56:L56 M56:AA57 AD56:AF59 AB56:AC76 F57:L57 AE60:AF61 AD60:AD76 AE62:AG62 AE63:AF74 E75:AA76 AE75:AG76 E80:AG80">
    <cfRule type="expression" dxfId="3093" priority="70">
      <formula>E11&gt;$AG11</formula>
    </cfRule>
  </conditionalFormatting>
  <conditionalFormatting sqref="W11:AF28 S13:V28 M69:AF74 E80:AF91 B9:AF10 B244:AF244 B246:B252">
    <cfRule type="expression" dxfId="3092" priority="71">
      <formula>B$9&gt;=20/24</formula>
    </cfRule>
  </conditionalFormatting>
  <conditionalFormatting sqref="AB8">
    <cfRule type="expression" dxfId="3091" priority="148">
      <formula>AD$9&gt;=20/24</formula>
    </cfRule>
    <cfRule type="expression" dxfId="3090" priority="149">
      <formula>AND(AD$9&gt;=14/24,AD$9&lt;20/24)</formula>
    </cfRule>
    <cfRule type="expression" dxfId="3089" priority="150">
      <formula>AND(AD$9&gt;=8/24,AD$9&lt;14/24)</formula>
    </cfRule>
    <cfRule type="expression" dxfId="3088" priority="151">
      <formula>AD$9&lt;8/24</formula>
    </cfRule>
  </conditionalFormatting>
  <conditionalFormatting sqref="AG58">
    <cfRule type="expression" dxfId="3087" priority="143">
      <formula>AG58&gt;$AG58</formula>
    </cfRule>
  </conditionalFormatting>
  <conditionalFormatting sqref="AG62">
    <cfRule type="expression" dxfId="3086" priority="126">
      <formula>AG$9&gt;=20/24</formula>
    </cfRule>
    <cfRule type="expression" dxfId="3085" priority="127">
      <formula>AND(AG$9&gt;=14/24,AG$9&lt;20/24)</formula>
    </cfRule>
    <cfRule type="expression" dxfId="3084" priority="128">
      <formula>AND(AG$9&gt;=8/24,AG$9&lt;14/24)</formula>
    </cfRule>
    <cfRule type="expression" dxfId="3083" priority="129">
      <formula>AG$9&lt;8/24</formula>
    </cfRule>
  </conditionalFormatting>
  <conditionalFormatting sqref="AG80">
    <cfRule type="expression" dxfId="3082" priority="122">
      <formula>AG$9&gt;=20/24</formula>
    </cfRule>
    <cfRule type="expression" dxfId="3081" priority="123">
      <formula>AND(AG$9&gt;=14/24,AG$9&lt;20/24)</formula>
    </cfRule>
    <cfRule type="expression" dxfId="3080" priority="124">
      <formula>AND(AG$9&gt;=8/24,AG$9&lt;14/24)</formula>
    </cfRule>
    <cfRule type="expression" dxfId="3079" priority="125">
      <formula>AG$9&lt;8/24</formula>
    </cfRule>
  </conditionalFormatting>
  <conditionalFormatting sqref="AG97">
    <cfRule type="expression" dxfId="3078" priority="144">
      <formula>AG$9&gt;=20/24</formula>
    </cfRule>
    <cfRule type="expression" dxfId="3077" priority="145">
      <formula>AND(AG$9&gt;=14/24,AG$9&lt;20/24)</formula>
    </cfRule>
    <cfRule type="expression" dxfId="3076" priority="146">
      <formula>AND(AG$9&gt;=8/24,AG$9&lt;14/24)</formula>
    </cfRule>
    <cfRule type="expression" dxfId="3075" priority="147">
      <formula>AG$9&lt;8/24</formula>
    </cfRule>
  </conditionalFormatting>
  <conditionalFormatting sqref="AL4:AL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074" priority="169">
      <formula>AJ$9&gt;=20/24</formula>
    </cfRule>
    <cfRule type="expression" dxfId="3073" priority="170">
      <formula>AND(AJ$9&gt;=14/24,AJ$9&lt;20/24)</formula>
    </cfRule>
    <cfRule type="expression" dxfId="3072" priority="171">
      <formula>AND(AJ$9&gt;=8/24,AJ$9&lt;14/24)</formula>
    </cfRule>
    <cfRule type="expression" dxfId="3071" priority="172">
      <formula>AJ$9&lt;8/24</formula>
    </cfRule>
  </conditionalFormatting>
  <conditionalFormatting sqref="AL88:AN88 AL94:AN94">
    <cfRule type="expression" dxfId="3070" priority="136">
      <formula>AL$9&gt;=20/24</formula>
    </cfRule>
    <cfRule type="expression" dxfId="3069" priority="137">
      <formula>AND(AL$9&gt;=14/24,AL$9&lt;20/24)</formula>
    </cfRule>
    <cfRule type="expression" dxfId="3068" priority="138">
      <formula>AND(AL$9&gt;=8/24,AL$9&lt;14/24)</formula>
    </cfRule>
    <cfRule type="expression" dxfId="3067" priority="139">
      <formula>AL$9&lt;8/24</formula>
    </cfRule>
  </conditionalFormatting>
  <conditionalFormatting sqref="AM15:AM21 AN16:AR21">
    <cfRule type="expression" dxfId="3066" priority="43">
      <formula>AX$9&gt;=20/24</formula>
    </cfRule>
    <cfRule type="expression" dxfId="3065" priority="44">
      <formula>AND(AX$9&gt;=14/24,AX$9&lt;20/24)</formula>
    </cfRule>
    <cfRule type="expression" dxfId="3064" priority="45">
      <formula>AND(AX$9&gt;=8/24,AX$9&lt;14/24)</formula>
    </cfRule>
    <cfRule type="expression" dxfId="3063" priority="46">
      <formula>AX$9&lt;8/24</formula>
    </cfRule>
  </conditionalFormatting>
  <conditionalFormatting sqref="AN89:AN92">
    <cfRule type="expression" dxfId="3062" priority="132">
      <formula>AN$9&gt;=20/24</formula>
    </cfRule>
    <cfRule type="expression" dxfId="3061" priority="133">
      <formula>AND(AN$9&gt;=14/24,AN$9&lt;20/24)</formula>
    </cfRule>
    <cfRule type="expression" dxfId="3060" priority="134">
      <formula>AND(AN$9&gt;=8/24,AN$9&lt;14/24)</formula>
    </cfRule>
    <cfRule type="expression" dxfId="3059" priority="135">
      <formula>AN$9&lt;8/24</formula>
    </cfRule>
  </conditionalFormatting>
  <conditionalFormatting sqref="AN15:AR15">
    <cfRule type="expression" dxfId="3058" priority="31">
      <formula>U$9&gt;=20/24</formula>
    </cfRule>
    <cfRule type="expression" dxfId="3057" priority="32">
      <formula>AND(U$9&gt;=14/24,U$9&lt;20/24)</formula>
    </cfRule>
    <cfRule type="expression" dxfId="3056" priority="33">
      <formula>AND(U$9&gt;=8/24,U$9&lt;14/24)</formula>
    </cfRule>
    <cfRule type="expression" dxfId="3055" priority="34">
      <formula>U$9&lt;8/24</formula>
    </cfRule>
  </conditionalFormatting>
  <conditionalFormatting sqref="AS15">
    <cfRule type="expression" dxfId="3054" priority="39">
      <formula>AA$9&gt;=20/24</formula>
    </cfRule>
    <cfRule type="expression" dxfId="3053" priority="40">
      <formula>AND(AA$9&gt;=14/24,AA$9&lt;20/24)</formula>
    </cfRule>
    <cfRule type="expression" dxfId="3052" priority="41">
      <formula>AND(AA$9&gt;=8/24,AA$9&lt;14/24)</formula>
    </cfRule>
    <cfRule type="expression" dxfId="3051" priority="42">
      <formula>AA$9&lt;8/24</formula>
    </cfRule>
  </conditionalFormatting>
  <conditionalFormatting sqref="AS16:AS21">
    <cfRule type="expression" dxfId="3050" priority="47">
      <formula>BE$9&gt;=20/24</formula>
    </cfRule>
    <cfRule type="expression" dxfId="3049" priority="48">
      <formula>AND(BE$9&gt;=14/24,BE$9&lt;20/24)</formula>
    </cfRule>
    <cfRule type="expression" dxfId="3048" priority="49">
      <formula>AND(BE$9&gt;=8/24,BE$9&lt;14/24)</formula>
    </cfRule>
    <cfRule type="expression" dxfId="3047" priority="50">
      <formula>BE$9&lt;8/24</formula>
    </cfRule>
  </conditionalFormatting>
  <conditionalFormatting sqref="AT15 AX15:BJ15">
    <cfRule type="expression" dxfId="3046" priority="51">
      <formula>AC$9&gt;=20/24</formula>
    </cfRule>
    <cfRule type="expression" dxfId="3045" priority="52">
      <formula>AND(AC$9&gt;=14/24,AC$9&lt;20/24)</formula>
    </cfRule>
    <cfRule type="expression" dxfId="3044" priority="53">
      <formula>AND(AC$9&gt;=8/24,AC$9&lt;14/24)</formula>
    </cfRule>
    <cfRule type="expression" dxfId="3043" priority="54">
      <formula>AC$9&lt;8/24</formula>
    </cfRule>
  </conditionalFormatting>
  <conditionalFormatting sqref="AT16:AT21">
    <cfRule type="expression" dxfId="3042" priority="55">
      <formula>BG$9&gt;=20/24</formula>
    </cfRule>
    <cfRule type="expression" dxfId="3041" priority="56">
      <formula>AND(BG$9&gt;=14/24,BG$9&lt;20/24)</formula>
    </cfRule>
    <cfRule type="expression" dxfId="3040" priority="57">
      <formula>AND(BG$9&gt;=8/24,BG$9&lt;14/24)</formula>
    </cfRule>
    <cfRule type="expression" dxfId="3039" priority="58">
      <formula>BG$9&lt;8/24</formula>
    </cfRule>
  </conditionalFormatting>
  <conditionalFormatting sqref="AU15:AV15">
    <cfRule type="expression" dxfId="3038" priority="59">
      <formula>AE$9&gt;=20/24</formula>
    </cfRule>
    <cfRule type="expression" dxfId="3037" priority="60">
      <formula>AND(AE$9&gt;=14/24,AE$9&lt;20/24)</formula>
    </cfRule>
    <cfRule type="expression" dxfId="3036" priority="61">
      <formula>AND(AE$9&gt;=8/24,AE$9&lt;14/24)</formula>
    </cfRule>
    <cfRule type="expression" dxfId="3035" priority="62">
      <formula>AE$9&lt;8/24</formula>
    </cfRule>
  </conditionalFormatting>
  <conditionalFormatting sqref="AU16:BJ21">
    <cfRule type="expression" dxfId="3034" priority="63">
      <formula>BI$9&gt;=20/24</formula>
    </cfRule>
    <cfRule type="expression" dxfId="3033" priority="64">
      <formula>AND(BI$9&gt;=14/24,BI$9&lt;20/24)</formula>
    </cfRule>
    <cfRule type="expression" dxfId="3032" priority="65">
      <formula>AND(BI$9&gt;=8/24,BI$9&lt;14/24)</formula>
    </cfRule>
    <cfRule type="expression" dxfId="3031" priority="66">
      <formula>BI$9&lt;8/24</formula>
    </cfRule>
  </conditionalFormatting>
  <conditionalFormatting sqref="AW15">
    <cfRule type="expression" dxfId="3030" priority="35">
      <formula>B$9&gt;=20/24</formula>
    </cfRule>
    <cfRule type="expression" dxfId="3029" priority="36">
      <formula>AND(B$9&gt;=14/24,B$9&lt;20/24)</formula>
    </cfRule>
    <cfRule type="expression" dxfId="3028" priority="37">
      <formula>AND(B$9&gt;=8/24,B$9&lt;14/24)</formula>
    </cfRule>
    <cfRule type="expression" dxfId="3027" priority="3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719E-18B7-4888-9A53-3C23F409F903}">
  <sheetPr codeName="Sheet13"/>
  <dimension ref="A1:CJ294"/>
  <sheetViews>
    <sheetView zoomScale="106" workbookViewId="0">
      <pane xSplit="1" ySplit="10" topLeftCell="B7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H11" sqref="AH11:AI13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28" width="6.85546875" style="1" customWidth="1"/>
    <col min="29" max="29" width="9.85546875" style="1" customWidth="1"/>
    <col min="30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2080/10/13</v>
      </c>
      <c r="C4" s="187"/>
      <c r="D4" s="187"/>
      <c r="E4" s="188" t="str">
        <f ca="1">"2080/"&amp;"10/"&amp;INT(MID(CELL("filename",G6),FIND("]",CELL("filename",G6))+1,200))</f>
        <v>2080/10/13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65</v>
      </c>
      <c r="C5" s="30">
        <f t="shared" si="0"/>
        <v>67</v>
      </c>
      <c r="D5" s="30">
        <f t="shared" si="0"/>
        <v>64.2</v>
      </c>
      <c r="E5" s="30">
        <f t="shared" si="0"/>
        <v>64.8</v>
      </c>
      <c r="F5" s="30">
        <f t="shared" si="0"/>
        <v>55.5</v>
      </c>
      <c r="G5" s="30">
        <f t="shared" si="0"/>
        <v>55.4</v>
      </c>
      <c r="H5" s="30">
        <f t="shared" si="0"/>
        <v>61</v>
      </c>
      <c r="I5" s="30">
        <f t="shared" si="0"/>
        <v>141.19999999999999</v>
      </c>
      <c r="J5" s="30">
        <f t="shared" si="0"/>
        <v>150</v>
      </c>
      <c r="K5" s="30">
        <f t="shared" si="0"/>
        <v>183.4</v>
      </c>
      <c r="L5" s="30">
        <f t="shared" si="0"/>
        <v>289</v>
      </c>
      <c r="M5" s="30">
        <f t="shared" si="0"/>
        <v>335</v>
      </c>
      <c r="N5" s="30">
        <f t="shared" si="0"/>
        <v>334</v>
      </c>
      <c r="O5" s="30">
        <f t="shared" si="0"/>
        <v>481</v>
      </c>
      <c r="P5" s="30">
        <f t="shared" si="0"/>
        <v>488</v>
      </c>
      <c r="Q5" s="30">
        <f t="shared" si="0"/>
        <v>466</v>
      </c>
      <c r="R5" s="30">
        <f t="shared" si="0"/>
        <v>374</v>
      </c>
      <c r="S5" s="30">
        <f t="shared" si="0"/>
        <v>279.39999999999998</v>
      </c>
      <c r="T5" s="30">
        <f t="shared" si="0"/>
        <v>413.6</v>
      </c>
      <c r="U5" s="30">
        <f t="shared" si="0"/>
        <v>399.8</v>
      </c>
      <c r="V5" s="30">
        <f t="shared" si="0"/>
        <v>370.29999999999995</v>
      </c>
      <c r="W5" s="30">
        <f t="shared" si="0"/>
        <v>411.2</v>
      </c>
      <c r="X5" s="30">
        <f t="shared" si="0"/>
        <v>34.799999999999997</v>
      </c>
      <c r="Y5" s="30">
        <f t="shared" si="0"/>
        <v>34.799999999999997</v>
      </c>
      <c r="Z5" s="30">
        <f t="shared" si="0"/>
        <v>326.7</v>
      </c>
      <c r="AA5" s="30">
        <f t="shared" si="0"/>
        <v>76.099999999999994</v>
      </c>
      <c r="AB5" s="30">
        <f t="shared" si="0"/>
        <v>91.4</v>
      </c>
      <c r="AC5" s="30">
        <f t="shared" si="0"/>
        <v>78.8</v>
      </c>
      <c r="AD5" s="30">
        <f t="shared" si="0"/>
        <v>80.3</v>
      </c>
      <c r="AE5" s="30">
        <f t="shared" si="0"/>
        <v>108.1</v>
      </c>
      <c r="AF5" s="30">
        <f>B92</f>
        <v>59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1897MW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Load=1347</v>
      </c>
      <c r="B7" s="35">
        <f t="shared" ref="B7:AF7" si="1">B100</f>
        <v>1497.64</v>
      </c>
      <c r="C7" s="35">
        <f t="shared" si="1"/>
        <v>1461.64</v>
      </c>
      <c r="D7" s="35">
        <f t="shared" si="1"/>
        <v>1587.24</v>
      </c>
      <c r="E7" s="35">
        <f t="shared" si="1"/>
        <v>1476.14</v>
      </c>
      <c r="F7" s="35">
        <f t="shared" si="1"/>
        <v>1550.6399999999999</v>
      </c>
      <c r="G7" s="35">
        <f t="shared" si="1"/>
        <v>1426.2399999999998</v>
      </c>
      <c r="H7" s="35">
        <f t="shared" si="1"/>
        <v>1411.1399999999999</v>
      </c>
      <c r="I7" s="35">
        <f t="shared" si="1"/>
        <v>1391.7399999999998</v>
      </c>
      <c r="J7" s="35">
        <f t="shared" si="1"/>
        <v>1517.54</v>
      </c>
      <c r="K7" s="35">
        <f t="shared" si="1"/>
        <v>1626.4399999999998</v>
      </c>
      <c r="L7" s="35">
        <f t="shared" si="1"/>
        <v>1743.24</v>
      </c>
      <c r="M7" s="35">
        <f t="shared" si="1"/>
        <v>1692.54</v>
      </c>
      <c r="N7" s="35">
        <f t="shared" si="1"/>
        <v>1570.74</v>
      </c>
      <c r="O7" s="35">
        <f t="shared" si="1"/>
        <v>1878.24</v>
      </c>
      <c r="P7" s="35">
        <f t="shared" si="1"/>
        <v>2111.2399999999998</v>
      </c>
      <c r="Q7" s="35">
        <f t="shared" si="1"/>
        <v>1916.24</v>
      </c>
      <c r="R7" s="35">
        <f t="shared" si="1"/>
        <v>1894.24</v>
      </c>
      <c r="S7" s="35">
        <f t="shared" si="1"/>
        <v>1731.74</v>
      </c>
      <c r="T7" s="35">
        <f t="shared" si="1"/>
        <v>1836.3400000000001</v>
      </c>
      <c r="U7" s="35">
        <f t="shared" si="1"/>
        <v>2000.44</v>
      </c>
      <c r="V7" s="35">
        <f t="shared" si="1"/>
        <v>1910.0399999999997</v>
      </c>
      <c r="W7" s="35">
        <f t="shared" si="1"/>
        <v>1874.04</v>
      </c>
      <c r="X7" s="35">
        <f t="shared" si="1"/>
        <v>1797.84</v>
      </c>
      <c r="Y7" s="35">
        <f t="shared" si="1"/>
        <v>1346.74</v>
      </c>
      <c r="Z7" s="35">
        <f t="shared" si="1"/>
        <v>1412.0399999999997</v>
      </c>
      <c r="AA7" s="35">
        <f t="shared" si="1"/>
        <v>2041.6399999999999</v>
      </c>
      <c r="AB7" s="35">
        <f t="shared" si="1"/>
        <v>1964.1399999999999</v>
      </c>
      <c r="AC7" s="35">
        <f t="shared" si="1"/>
        <v>2035.1399999999996</v>
      </c>
      <c r="AD7" s="35">
        <f t="shared" si="1"/>
        <v>2032.3399999999997</v>
      </c>
      <c r="AE7" s="35">
        <f t="shared" si="1"/>
        <v>1882.1399999999996</v>
      </c>
      <c r="AF7" s="35">
        <f t="shared" si="1"/>
        <v>1782.04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2111.24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2111.24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20.100000000000001</v>
      </c>
      <c r="C11" s="46">
        <v>20.100000000000001</v>
      </c>
      <c r="D11" s="46">
        <v>26.4</v>
      </c>
      <c r="E11" s="46">
        <v>26.4</v>
      </c>
      <c r="F11" s="46">
        <v>36.299999999999997</v>
      </c>
      <c r="G11" s="46">
        <v>36.299999999999997</v>
      </c>
      <c r="H11" s="46">
        <v>36.299999999999997</v>
      </c>
      <c r="I11" s="46">
        <v>36.299999999999997</v>
      </c>
      <c r="J11" s="46">
        <v>55</v>
      </c>
      <c r="K11" s="46">
        <v>55</v>
      </c>
      <c r="L11" s="46">
        <v>55</v>
      </c>
      <c r="M11" s="46">
        <v>55</v>
      </c>
      <c r="N11" s="46">
        <v>55</v>
      </c>
      <c r="O11" s="46">
        <v>55</v>
      </c>
      <c r="P11" s="46">
        <v>55</v>
      </c>
      <c r="Q11" s="46">
        <v>55</v>
      </c>
      <c r="R11" s="46">
        <v>55</v>
      </c>
      <c r="S11" s="46">
        <v>55</v>
      </c>
      <c r="T11" s="46">
        <v>55</v>
      </c>
      <c r="U11" s="46">
        <v>55</v>
      </c>
      <c r="V11" s="46">
        <v>55</v>
      </c>
      <c r="W11" s="46">
        <v>55</v>
      </c>
      <c r="X11" s="46">
        <v>55</v>
      </c>
      <c r="Y11" s="46">
        <v>55</v>
      </c>
      <c r="Z11" s="46">
        <v>55</v>
      </c>
      <c r="AA11" s="46">
        <v>55</v>
      </c>
      <c r="AB11" s="46">
        <v>55</v>
      </c>
      <c r="AC11" s="46">
        <v>55</v>
      </c>
      <c r="AD11" s="46">
        <v>55</v>
      </c>
      <c r="AE11" s="46">
        <v>26.8</v>
      </c>
      <c r="AF11" s="46">
        <v>26.8</v>
      </c>
      <c r="AG11" s="47">
        <v>86</v>
      </c>
      <c r="AH11" s="48">
        <f t="shared" ref="AH11:AH16" si="2">MAX(B11:AF11)</f>
        <v>55</v>
      </c>
      <c r="AI11" s="49">
        <f t="shared" ref="AI11:AI16" si="3">MIN(B11:AF11)</f>
        <v>20.100000000000001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14.2</v>
      </c>
      <c r="C12" s="46">
        <v>14.2</v>
      </c>
      <c r="D12" s="46">
        <v>14</v>
      </c>
      <c r="E12" s="46">
        <v>40</v>
      </c>
      <c r="F12" s="46">
        <v>52</v>
      </c>
      <c r="G12" s="46">
        <v>52</v>
      </c>
      <c r="H12" s="46">
        <v>52</v>
      </c>
      <c r="I12" s="46">
        <v>52</v>
      </c>
      <c r="J12" s="46">
        <v>52</v>
      </c>
      <c r="K12" s="46">
        <v>52</v>
      </c>
      <c r="L12" s="46">
        <v>52</v>
      </c>
      <c r="M12" s="46">
        <v>52</v>
      </c>
      <c r="N12" s="46">
        <v>52</v>
      </c>
      <c r="O12" s="46">
        <v>52</v>
      </c>
      <c r="P12" s="46">
        <v>52</v>
      </c>
      <c r="Q12" s="46">
        <v>52</v>
      </c>
      <c r="R12" s="46">
        <v>52</v>
      </c>
      <c r="S12" s="46">
        <v>52</v>
      </c>
      <c r="T12" s="46">
        <v>52</v>
      </c>
      <c r="U12" s="46">
        <v>52</v>
      </c>
      <c r="V12" s="46">
        <v>52</v>
      </c>
      <c r="W12" s="46">
        <v>52</v>
      </c>
      <c r="X12" s="46">
        <v>52</v>
      </c>
      <c r="Y12" s="46">
        <v>52</v>
      </c>
      <c r="Z12" s="46">
        <v>52</v>
      </c>
      <c r="AA12" s="46">
        <v>52</v>
      </c>
      <c r="AB12" s="46">
        <v>52</v>
      </c>
      <c r="AC12" s="46">
        <v>52</v>
      </c>
      <c r="AD12" s="46">
        <v>52</v>
      </c>
      <c r="AE12" s="46">
        <v>40</v>
      </c>
      <c r="AF12" s="46">
        <v>40</v>
      </c>
      <c r="AG12" s="50">
        <v>54</v>
      </c>
      <c r="AH12" s="48">
        <f t="shared" si="2"/>
        <v>52</v>
      </c>
      <c r="AI12" s="49">
        <f t="shared" si="3"/>
        <v>14</v>
      </c>
      <c r="AK12" s="51"/>
      <c r="AL12" s="52" t="str">
        <f ca="1">MID(CELL("filename",C7),FIND("]",CELL("filename",C7))+1,600)</f>
        <v>13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29</v>
      </c>
      <c r="C13" s="46">
        <v>29</v>
      </c>
      <c r="D13" s="46">
        <v>29</v>
      </c>
      <c r="E13" s="46">
        <v>29</v>
      </c>
      <c r="F13" s="46">
        <v>29</v>
      </c>
      <c r="G13" s="46">
        <v>29</v>
      </c>
      <c r="H13" s="46">
        <v>29</v>
      </c>
      <c r="I13" s="46">
        <v>29</v>
      </c>
      <c r="J13" s="46">
        <v>29</v>
      </c>
      <c r="K13" s="46">
        <v>29</v>
      </c>
      <c r="L13" s="46">
        <v>29</v>
      </c>
      <c r="M13" s="46">
        <v>29</v>
      </c>
      <c r="N13" s="46">
        <v>29</v>
      </c>
      <c r="O13" s="46">
        <v>29</v>
      </c>
      <c r="P13" s="46">
        <v>29</v>
      </c>
      <c r="Q13" s="46">
        <v>29</v>
      </c>
      <c r="R13" s="46">
        <v>29</v>
      </c>
      <c r="S13" s="46">
        <v>29</v>
      </c>
      <c r="T13" s="46">
        <v>29</v>
      </c>
      <c r="U13" s="46">
        <v>29</v>
      </c>
      <c r="V13" s="46">
        <v>29</v>
      </c>
      <c r="W13" s="46">
        <v>29</v>
      </c>
      <c r="X13" s="46">
        <v>29</v>
      </c>
      <c r="Y13" s="46">
        <v>29</v>
      </c>
      <c r="Z13" s="46">
        <v>29</v>
      </c>
      <c r="AA13" s="46">
        <v>29</v>
      </c>
      <c r="AB13" s="46">
        <v>29</v>
      </c>
      <c r="AC13" s="46">
        <v>29</v>
      </c>
      <c r="AD13" s="46">
        <v>29</v>
      </c>
      <c r="AE13" s="46">
        <v>29</v>
      </c>
      <c r="AF13" s="46">
        <v>29</v>
      </c>
      <c r="AG13" s="50">
        <v>54</v>
      </c>
      <c r="AH13" s="48">
        <f t="shared" si="2"/>
        <v>29</v>
      </c>
      <c r="AI13" s="49">
        <f t="shared" si="3"/>
        <v>29</v>
      </c>
      <c r="AK13" s="51"/>
      <c r="AL13" s="52" t="str">
        <f ca="1">"Daily Load Curve(Excluding of Export) of Nepal ("&amp;A4&amp;" "&amp;B4&amp;")"</f>
        <v>Daily Load Curve(Excluding of Export) of Nepal (Nepali Date: 2080/10/13)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50.4</v>
      </c>
      <c r="C15" s="46">
        <v>50.4</v>
      </c>
      <c r="D15" s="46">
        <v>50.4</v>
      </c>
      <c r="E15" s="46">
        <v>50.4</v>
      </c>
      <c r="F15" s="46">
        <v>50.4</v>
      </c>
      <c r="G15" s="46">
        <v>50.4</v>
      </c>
      <c r="H15" s="46">
        <v>50.4</v>
      </c>
      <c r="I15" s="46">
        <v>50.4</v>
      </c>
      <c r="J15" s="46">
        <v>50.4</v>
      </c>
      <c r="K15" s="46">
        <v>50.4</v>
      </c>
      <c r="L15" s="46">
        <v>50.4</v>
      </c>
      <c r="M15" s="46">
        <v>50.4</v>
      </c>
      <c r="N15" s="46">
        <v>50.4</v>
      </c>
      <c r="O15" s="46">
        <v>50.4</v>
      </c>
      <c r="P15" s="46">
        <v>50.4</v>
      </c>
      <c r="Q15" s="46">
        <v>50.4</v>
      </c>
      <c r="R15" s="46">
        <v>50.4</v>
      </c>
      <c r="S15" s="46">
        <v>50.4</v>
      </c>
      <c r="T15" s="46">
        <v>50.4</v>
      </c>
      <c r="U15" s="46">
        <v>50.4</v>
      </c>
      <c r="V15" s="46">
        <v>50.4</v>
      </c>
      <c r="W15" s="46">
        <v>50.4</v>
      </c>
      <c r="X15" s="46">
        <v>50.4</v>
      </c>
      <c r="Y15" s="46">
        <v>50.4</v>
      </c>
      <c r="Z15" s="46">
        <v>50.4</v>
      </c>
      <c r="AA15" s="53">
        <v>50.4</v>
      </c>
      <c r="AB15" s="53">
        <v>50.4</v>
      </c>
      <c r="AC15" s="53">
        <v>50.4</v>
      </c>
      <c r="AD15" s="53">
        <v>50.4</v>
      </c>
      <c r="AE15" s="53">
        <v>50.4</v>
      </c>
      <c r="AF15" s="53">
        <v>50.4</v>
      </c>
      <c r="AG15" s="50">
        <v>50</v>
      </c>
      <c r="AH15" s="48">
        <f t="shared" si="2"/>
        <v>50.4</v>
      </c>
      <c r="AI15" s="49">
        <f t="shared" si="3"/>
        <v>50.4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23</v>
      </c>
      <c r="C16" s="46">
        <v>23</v>
      </c>
      <c r="D16" s="46">
        <v>23</v>
      </c>
      <c r="E16" s="46">
        <v>23</v>
      </c>
      <c r="F16" s="46">
        <v>23</v>
      </c>
      <c r="G16" s="46">
        <v>23</v>
      </c>
      <c r="H16" s="46">
        <v>23</v>
      </c>
      <c r="I16" s="46">
        <v>23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23</v>
      </c>
      <c r="S16" s="46">
        <v>23</v>
      </c>
      <c r="T16" s="46">
        <v>23</v>
      </c>
      <c r="U16" s="46">
        <v>23</v>
      </c>
      <c r="V16" s="46">
        <v>23</v>
      </c>
      <c r="W16" s="46">
        <v>23</v>
      </c>
      <c r="X16" s="46">
        <v>23</v>
      </c>
      <c r="Y16" s="46">
        <v>23</v>
      </c>
      <c r="Z16" s="46">
        <v>23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23</v>
      </c>
      <c r="AK16" s="51"/>
      <c r="AL16" s="54" t="s">
        <v>7</v>
      </c>
      <c r="AM16" s="59">
        <f t="shared" ref="AM16:AR16" si="4">B58</f>
        <v>713.3</v>
      </c>
      <c r="AN16" s="59">
        <f t="shared" si="4"/>
        <v>713.3</v>
      </c>
      <c r="AO16" s="59">
        <f t="shared" si="4"/>
        <v>741.2</v>
      </c>
      <c r="AP16" s="59">
        <f t="shared" si="4"/>
        <v>767.2</v>
      </c>
      <c r="AQ16" s="59">
        <f t="shared" si="4"/>
        <v>789.09999999999991</v>
      </c>
      <c r="AR16" s="59">
        <f t="shared" si="4"/>
        <v>789.09999999999991</v>
      </c>
      <c r="AS16" s="59">
        <f>I58</f>
        <v>789.09999999999991</v>
      </c>
      <c r="AT16" s="59">
        <f>K58</f>
        <v>807.8</v>
      </c>
      <c r="AU16" s="59">
        <f t="shared" ref="AU16:BD16" si="5">M58</f>
        <v>807.8</v>
      </c>
      <c r="AV16" s="59">
        <f t="shared" si="5"/>
        <v>807.8</v>
      </c>
      <c r="AW16" s="59">
        <f t="shared" si="5"/>
        <v>807.8</v>
      </c>
      <c r="AX16" s="59">
        <f t="shared" si="5"/>
        <v>807.8</v>
      </c>
      <c r="AY16" s="59">
        <f t="shared" si="5"/>
        <v>807.8</v>
      </c>
      <c r="AZ16" s="59">
        <f t="shared" si="5"/>
        <v>807.8</v>
      </c>
      <c r="BA16" s="59">
        <f t="shared" si="5"/>
        <v>807.8</v>
      </c>
      <c r="BB16" s="59">
        <f t="shared" si="5"/>
        <v>807.8</v>
      </c>
      <c r="BC16" s="59">
        <f t="shared" si="5"/>
        <v>807.8</v>
      </c>
      <c r="BD16" s="59">
        <f t="shared" si="5"/>
        <v>807.8</v>
      </c>
      <c r="BE16" s="60">
        <f>X58</f>
        <v>807.8</v>
      </c>
      <c r="BF16" s="60">
        <f>Z58</f>
        <v>807.8</v>
      </c>
      <c r="BG16" s="60">
        <f>AB58</f>
        <v>801.8</v>
      </c>
      <c r="BH16" s="60">
        <f>AD58</f>
        <v>801.8</v>
      </c>
      <c r="BI16" s="60">
        <f>AE58</f>
        <v>761.59999999999991</v>
      </c>
      <c r="BJ16" s="60">
        <f>AF58</f>
        <v>761.59999999999991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23</v>
      </c>
      <c r="C17" s="46">
        <v>23</v>
      </c>
      <c r="D17" s="46">
        <v>23</v>
      </c>
      <c r="E17" s="46">
        <v>23</v>
      </c>
      <c r="F17" s="46">
        <v>23</v>
      </c>
      <c r="G17" s="46">
        <v>23</v>
      </c>
      <c r="H17" s="46">
        <v>23</v>
      </c>
      <c r="I17" s="46">
        <v>23</v>
      </c>
      <c r="J17" s="46">
        <v>23</v>
      </c>
      <c r="K17" s="46">
        <v>23</v>
      </c>
      <c r="L17" s="46">
        <v>23</v>
      </c>
      <c r="M17" s="46">
        <v>23</v>
      </c>
      <c r="N17" s="46">
        <v>23</v>
      </c>
      <c r="O17" s="46">
        <v>23</v>
      </c>
      <c r="P17" s="46">
        <v>23</v>
      </c>
      <c r="Q17" s="46">
        <v>23</v>
      </c>
      <c r="R17" s="46">
        <v>23</v>
      </c>
      <c r="S17" s="46">
        <v>23</v>
      </c>
      <c r="T17" s="46">
        <v>23</v>
      </c>
      <c r="U17" s="46">
        <v>23</v>
      </c>
      <c r="V17" s="46">
        <v>23</v>
      </c>
      <c r="W17" s="46">
        <v>23</v>
      </c>
      <c r="X17" s="46">
        <v>23</v>
      </c>
      <c r="Y17" s="46">
        <v>23</v>
      </c>
      <c r="Z17" s="46">
        <v>23</v>
      </c>
      <c r="AA17" s="46">
        <v>23</v>
      </c>
      <c r="AB17" s="46">
        <v>23</v>
      </c>
      <c r="AC17" s="46">
        <v>23</v>
      </c>
      <c r="AD17" s="46">
        <v>23</v>
      </c>
      <c r="AE17" s="46">
        <v>23</v>
      </c>
      <c r="AF17" s="46">
        <v>23</v>
      </c>
      <c r="AG17" s="50">
        <v>44</v>
      </c>
      <c r="AH17" s="48">
        <f>MAX(B17:AG17)</f>
        <v>44</v>
      </c>
      <c r="AI17" s="49">
        <f>MIN(B17:AG17)</f>
        <v>23</v>
      </c>
      <c r="AK17" s="51"/>
      <c r="AL17" s="54" t="s">
        <v>27</v>
      </c>
      <c r="AM17" s="59">
        <f t="shared" ref="AM17:AR17" si="6">B62</f>
        <v>229.5</v>
      </c>
      <c r="AN17" s="59">
        <f t="shared" si="6"/>
        <v>201.5</v>
      </c>
      <c r="AO17" s="59">
        <f t="shared" si="6"/>
        <v>290.5</v>
      </c>
      <c r="AP17" s="59">
        <f t="shared" si="6"/>
        <v>247.5</v>
      </c>
      <c r="AQ17" s="59">
        <f t="shared" si="6"/>
        <v>389.5</v>
      </c>
      <c r="AR17" s="59">
        <f t="shared" si="6"/>
        <v>389.5</v>
      </c>
      <c r="AS17" s="59">
        <f>I62</f>
        <v>504.5</v>
      </c>
      <c r="AT17" s="59">
        <f>K62</f>
        <v>540.5</v>
      </c>
      <c r="AU17" s="59">
        <f t="shared" ref="AU17:BD17" si="7">M62</f>
        <v>336.6</v>
      </c>
      <c r="AV17" s="59">
        <f t="shared" si="7"/>
        <v>336.2</v>
      </c>
      <c r="AW17" s="59">
        <f t="shared" si="7"/>
        <v>424.2</v>
      </c>
      <c r="AX17" s="59">
        <f t="shared" si="7"/>
        <v>424.2</v>
      </c>
      <c r="AY17" s="59">
        <f t="shared" si="7"/>
        <v>235.2</v>
      </c>
      <c r="AZ17" s="59">
        <f t="shared" si="7"/>
        <v>235.2</v>
      </c>
      <c r="BA17" s="59">
        <f t="shared" si="7"/>
        <v>235.2</v>
      </c>
      <c r="BB17" s="59">
        <f t="shared" si="7"/>
        <v>427.2</v>
      </c>
      <c r="BC17" s="59">
        <f t="shared" si="7"/>
        <v>376.7</v>
      </c>
      <c r="BD17" s="59">
        <f t="shared" si="7"/>
        <v>312.39999999999998</v>
      </c>
      <c r="BE17" s="60">
        <f>X62</f>
        <v>175.8</v>
      </c>
      <c r="BF17" s="60">
        <f>Z62</f>
        <v>183.8</v>
      </c>
      <c r="BG17" s="60">
        <f>AB62</f>
        <v>363.49999999999994</v>
      </c>
      <c r="BH17" s="60">
        <f>AD62</f>
        <v>403.59999999999997</v>
      </c>
      <c r="BI17" s="60">
        <f>AE62</f>
        <v>359</v>
      </c>
      <c r="BJ17" s="60">
        <f>AF62</f>
        <v>310.7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26.5</v>
      </c>
      <c r="C18" s="46">
        <v>26.5</v>
      </c>
      <c r="D18" s="46">
        <v>22</v>
      </c>
      <c r="E18" s="46">
        <v>22</v>
      </c>
      <c r="F18" s="46">
        <v>22</v>
      </c>
      <c r="G18" s="46">
        <v>22</v>
      </c>
      <c r="H18" s="46">
        <v>22</v>
      </c>
      <c r="I18" s="46">
        <v>22</v>
      </c>
      <c r="J18" s="46">
        <v>22</v>
      </c>
      <c r="K18" s="46">
        <v>22</v>
      </c>
      <c r="L18" s="46">
        <v>22</v>
      </c>
      <c r="M18" s="46">
        <v>22</v>
      </c>
      <c r="N18" s="46">
        <v>22</v>
      </c>
      <c r="O18" s="46">
        <v>22</v>
      </c>
      <c r="P18" s="46">
        <v>22</v>
      </c>
      <c r="Q18" s="46">
        <v>22</v>
      </c>
      <c r="R18" s="46">
        <v>22</v>
      </c>
      <c r="S18" s="46">
        <v>22</v>
      </c>
      <c r="T18" s="46">
        <v>22</v>
      </c>
      <c r="U18" s="46">
        <v>22</v>
      </c>
      <c r="V18" s="46">
        <v>22</v>
      </c>
      <c r="W18" s="46">
        <v>22</v>
      </c>
      <c r="X18" s="46">
        <v>22</v>
      </c>
      <c r="Y18" s="46">
        <v>22</v>
      </c>
      <c r="Z18" s="46">
        <v>22</v>
      </c>
      <c r="AA18" s="46">
        <v>22</v>
      </c>
      <c r="AB18" s="46">
        <v>22</v>
      </c>
      <c r="AC18" s="46">
        <v>22</v>
      </c>
      <c r="AD18" s="46">
        <v>22</v>
      </c>
      <c r="AE18" s="46">
        <v>22</v>
      </c>
      <c r="AF18" s="46">
        <v>22</v>
      </c>
      <c r="AG18" s="50">
        <v>42</v>
      </c>
      <c r="AH18" s="48">
        <f t="shared" ref="AH18:AH81" si="8">MAX(B18:AF18)</f>
        <v>26.5</v>
      </c>
      <c r="AI18" s="49">
        <f t="shared" ref="AI18:AI81" si="9">MIN(B18:AF18)</f>
        <v>22</v>
      </c>
      <c r="AK18" s="51"/>
      <c r="AL18" s="54" t="s">
        <v>29</v>
      </c>
      <c r="AM18" s="59">
        <f t="shared" ref="AM18:AR18" si="10">B76</f>
        <v>345.84000000000009</v>
      </c>
      <c r="AN18" s="59">
        <f t="shared" si="10"/>
        <v>331.84000000000009</v>
      </c>
      <c r="AO18" s="59">
        <f t="shared" si="10"/>
        <v>338.53999999999996</v>
      </c>
      <c r="AP18" s="59">
        <f t="shared" si="10"/>
        <v>344.23999999999995</v>
      </c>
      <c r="AQ18" s="59">
        <f t="shared" si="10"/>
        <v>337.24</v>
      </c>
      <c r="AR18" s="59">
        <f t="shared" si="10"/>
        <v>336.13999999999993</v>
      </c>
      <c r="AS18" s="59">
        <f>I76</f>
        <v>382.13999999999993</v>
      </c>
      <c r="AT18" s="59">
        <f>K76</f>
        <v>388.13999999999993</v>
      </c>
      <c r="AU18" s="59">
        <f t="shared" ref="AU18:BD18" si="11">M76</f>
        <v>417.14</v>
      </c>
      <c r="AV18" s="59">
        <f t="shared" si="11"/>
        <v>279.73999999999995</v>
      </c>
      <c r="AW18" s="59">
        <f t="shared" si="11"/>
        <v>298.24</v>
      </c>
      <c r="AX18" s="59">
        <f t="shared" si="11"/>
        <v>298.24</v>
      </c>
      <c r="AY18" s="59">
        <f t="shared" si="11"/>
        <v>285.23999999999995</v>
      </c>
      <c r="AZ18" s="59">
        <f t="shared" si="11"/>
        <v>285.23999999999995</v>
      </c>
      <c r="BA18" s="59">
        <f t="shared" si="11"/>
        <v>283.23999999999995</v>
      </c>
      <c r="BB18" s="59">
        <f t="shared" si="11"/>
        <v>282.03999999999996</v>
      </c>
      <c r="BC18" s="59">
        <f t="shared" si="11"/>
        <v>281.83999999999997</v>
      </c>
      <c r="BD18" s="59">
        <f t="shared" si="11"/>
        <v>263.54000000000002</v>
      </c>
      <c r="BE18" s="60">
        <f>X76</f>
        <v>267.33999999999997</v>
      </c>
      <c r="BF18" s="60">
        <f>Z76</f>
        <v>304.64</v>
      </c>
      <c r="BG18" s="60">
        <f>AB76</f>
        <v>341.73999999999995</v>
      </c>
      <c r="BH18" s="60">
        <f>AD76</f>
        <v>387.63999999999993</v>
      </c>
      <c r="BI18" s="60">
        <f>AE76</f>
        <v>394.93999999999994</v>
      </c>
      <c r="BJ18" s="60">
        <f>AF76</f>
        <v>411.94000000000005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23.2</v>
      </c>
      <c r="C19" s="46">
        <v>23.2</v>
      </c>
      <c r="D19" s="46">
        <v>27.5</v>
      </c>
      <c r="E19" s="46">
        <v>27.5</v>
      </c>
      <c r="F19" s="46">
        <v>27.5</v>
      </c>
      <c r="G19" s="46">
        <v>27.5</v>
      </c>
      <c r="H19" s="46">
        <v>27.5</v>
      </c>
      <c r="I19" s="46">
        <v>27.5</v>
      </c>
      <c r="J19" s="46">
        <v>27.5</v>
      </c>
      <c r="K19" s="46">
        <v>27.5</v>
      </c>
      <c r="L19" s="46">
        <v>27.5</v>
      </c>
      <c r="M19" s="46">
        <v>27.5</v>
      </c>
      <c r="N19" s="46">
        <v>27.5</v>
      </c>
      <c r="O19" s="46">
        <v>27.5</v>
      </c>
      <c r="P19" s="46">
        <v>27.5</v>
      </c>
      <c r="Q19" s="46">
        <v>27.5</v>
      </c>
      <c r="R19" s="46">
        <v>27.5</v>
      </c>
      <c r="S19" s="46">
        <v>27.5</v>
      </c>
      <c r="T19" s="46">
        <v>27.5</v>
      </c>
      <c r="U19" s="46">
        <v>27.5</v>
      </c>
      <c r="V19" s="46">
        <v>27.5</v>
      </c>
      <c r="W19" s="46">
        <v>27.5</v>
      </c>
      <c r="X19" s="46">
        <v>27.5</v>
      </c>
      <c r="Y19" s="46">
        <v>27.5</v>
      </c>
      <c r="Z19" s="46">
        <v>27.5</v>
      </c>
      <c r="AA19" s="46">
        <v>27.5</v>
      </c>
      <c r="AB19" s="46">
        <v>27.5</v>
      </c>
      <c r="AC19" s="46">
        <v>27.5</v>
      </c>
      <c r="AD19" s="46">
        <v>27.5</v>
      </c>
      <c r="AE19" s="46">
        <v>27.5</v>
      </c>
      <c r="AF19" s="46">
        <v>27.5</v>
      </c>
      <c r="AG19" s="50">
        <v>38.46</v>
      </c>
      <c r="AH19" s="48">
        <f t="shared" si="8"/>
        <v>27.5</v>
      </c>
      <c r="AI19" s="49">
        <f t="shared" si="9"/>
        <v>23.2</v>
      </c>
      <c r="AK19" s="51"/>
      <c r="AL19" s="54" t="s">
        <v>31</v>
      </c>
      <c r="AM19" s="59">
        <f t="shared" ref="AM19:AR19" si="12">B92</f>
        <v>59</v>
      </c>
      <c r="AN19" s="59">
        <f t="shared" si="12"/>
        <v>65</v>
      </c>
      <c r="AO19" s="59">
        <f t="shared" si="12"/>
        <v>67</v>
      </c>
      <c r="AP19" s="59">
        <f t="shared" si="12"/>
        <v>64.2</v>
      </c>
      <c r="AQ19" s="59">
        <f t="shared" si="12"/>
        <v>64.8</v>
      </c>
      <c r="AR19" s="59">
        <f t="shared" si="12"/>
        <v>55.5</v>
      </c>
      <c r="AS19" s="59">
        <f>I92</f>
        <v>61</v>
      </c>
      <c r="AT19" s="59">
        <f>K92</f>
        <v>150</v>
      </c>
      <c r="AU19" s="59">
        <f t="shared" ref="AU19:BD19" si="13">M92</f>
        <v>289</v>
      </c>
      <c r="AV19" s="59">
        <f t="shared" si="13"/>
        <v>335</v>
      </c>
      <c r="AW19" s="59">
        <f t="shared" si="13"/>
        <v>334</v>
      </c>
      <c r="AX19" s="59">
        <f t="shared" si="13"/>
        <v>481</v>
      </c>
      <c r="AY19" s="59">
        <f t="shared" si="13"/>
        <v>488</v>
      </c>
      <c r="AZ19" s="59">
        <f t="shared" si="13"/>
        <v>466</v>
      </c>
      <c r="BA19" s="59">
        <f t="shared" si="13"/>
        <v>374</v>
      </c>
      <c r="BB19" s="59">
        <f t="shared" si="13"/>
        <v>279.39999999999998</v>
      </c>
      <c r="BC19" s="59">
        <f t="shared" si="13"/>
        <v>413.6</v>
      </c>
      <c r="BD19" s="59">
        <f t="shared" si="13"/>
        <v>399.8</v>
      </c>
      <c r="BE19" s="60">
        <f>X92</f>
        <v>411.2</v>
      </c>
      <c r="BF19" s="60">
        <f>Z92</f>
        <v>34.799999999999997</v>
      </c>
      <c r="BG19" s="60">
        <f>AB92</f>
        <v>76.099999999999994</v>
      </c>
      <c r="BH19" s="60">
        <f>AD92</f>
        <v>78.8</v>
      </c>
      <c r="BI19" s="60">
        <f>AE92</f>
        <v>80.3</v>
      </c>
      <c r="BJ19" s="60">
        <f>AF92</f>
        <v>108.1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17</v>
      </c>
      <c r="F20" s="46">
        <v>17</v>
      </c>
      <c r="G20" s="46">
        <v>17</v>
      </c>
      <c r="H20" s="46">
        <v>17</v>
      </c>
      <c r="I20" s="46">
        <v>17</v>
      </c>
      <c r="J20" s="46">
        <v>17</v>
      </c>
      <c r="K20" s="46">
        <v>17</v>
      </c>
      <c r="L20" s="46">
        <v>17</v>
      </c>
      <c r="M20" s="46">
        <v>17</v>
      </c>
      <c r="N20" s="46">
        <v>17</v>
      </c>
      <c r="O20" s="46">
        <v>17</v>
      </c>
      <c r="P20" s="46">
        <v>17</v>
      </c>
      <c r="Q20" s="46">
        <v>17</v>
      </c>
      <c r="R20" s="46">
        <v>17</v>
      </c>
      <c r="S20" s="46">
        <v>17</v>
      </c>
      <c r="T20" s="46">
        <v>17</v>
      </c>
      <c r="U20" s="46">
        <v>17</v>
      </c>
      <c r="V20" s="46">
        <v>17</v>
      </c>
      <c r="W20" s="46">
        <v>17</v>
      </c>
      <c r="X20" s="46">
        <v>17</v>
      </c>
      <c r="Y20" s="46">
        <v>17</v>
      </c>
      <c r="Z20" s="46">
        <v>17</v>
      </c>
      <c r="AA20" s="46">
        <v>17</v>
      </c>
      <c r="AB20" s="46">
        <v>17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17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20.5</v>
      </c>
      <c r="BB20" s="59">
        <f t="shared" si="15"/>
        <v>20.5</v>
      </c>
      <c r="BC20" s="59">
        <f t="shared" si="15"/>
        <v>20.5</v>
      </c>
      <c r="BD20" s="59">
        <f t="shared" si="15"/>
        <v>26.5</v>
      </c>
      <c r="BE20" s="60">
        <f>X80</f>
        <v>35.699999999999996</v>
      </c>
      <c r="BF20" s="60">
        <f>Z80</f>
        <v>81</v>
      </c>
      <c r="BG20" s="60">
        <f>AB80</f>
        <v>101</v>
      </c>
      <c r="BH20" s="60">
        <f>AD80</f>
        <v>100.5</v>
      </c>
      <c r="BI20" s="60">
        <f>AE80</f>
        <v>36.299999999999997</v>
      </c>
      <c r="BJ20" s="60">
        <f>AF80</f>
        <v>39.700000000000003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150</v>
      </c>
      <c r="AN21" s="59">
        <f t="shared" si="16"/>
        <v>150</v>
      </c>
      <c r="AO21" s="59">
        <f t="shared" si="16"/>
        <v>150</v>
      </c>
      <c r="AP21" s="59">
        <f t="shared" si="16"/>
        <v>150</v>
      </c>
      <c r="AQ21" s="59">
        <f t="shared" si="16"/>
        <v>150</v>
      </c>
      <c r="AR21" s="59">
        <f t="shared" si="16"/>
        <v>140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100</v>
      </c>
      <c r="AX21" s="59">
        <f t="shared" si="17"/>
        <v>100</v>
      </c>
      <c r="AY21" s="59">
        <f t="shared" si="17"/>
        <v>100</v>
      </c>
      <c r="AZ21" s="59">
        <f t="shared" si="17"/>
        <v>100</v>
      </c>
      <c r="BA21" s="59">
        <f t="shared" si="17"/>
        <v>100</v>
      </c>
      <c r="BB21" s="59">
        <f t="shared" si="17"/>
        <v>100</v>
      </c>
      <c r="BC21" s="59">
        <f t="shared" si="17"/>
        <v>100</v>
      </c>
      <c r="BD21" s="59">
        <f t="shared" si="17"/>
        <v>100</v>
      </c>
      <c r="BE21" s="60">
        <f>X98</f>
        <v>100</v>
      </c>
      <c r="BF21" s="60">
        <f>Z98</f>
        <v>0</v>
      </c>
      <c r="BG21" s="60">
        <f>AB98</f>
        <v>280</v>
      </c>
      <c r="BH21" s="60">
        <f>AD98</f>
        <v>260</v>
      </c>
      <c r="BI21" s="60">
        <f>AE98</f>
        <v>250</v>
      </c>
      <c r="BJ21" s="60">
        <f>AF98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21</v>
      </c>
      <c r="C22" s="46">
        <v>21</v>
      </c>
      <c r="D22" s="46">
        <v>21</v>
      </c>
      <c r="E22" s="46">
        <v>21</v>
      </c>
      <c r="F22" s="46">
        <v>21</v>
      </c>
      <c r="G22" s="46">
        <v>21</v>
      </c>
      <c r="H22" s="46">
        <v>21</v>
      </c>
      <c r="I22" s="46">
        <v>21</v>
      </c>
      <c r="J22" s="46">
        <v>21</v>
      </c>
      <c r="K22" s="46">
        <v>21</v>
      </c>
      <c r="L22" s="46">
        <v>21</v>
      </c>
      <c r="M22" s="46">
        <v>21</v>
      </c>
      <c r="N22" s="46">
        <v>21</v>
      </c>
      <c r="O22" s="46">
        <v>21</v>
      </c>
      <c r="P22" s="46">
        <v>21</v>
      </c>
      <c r="Q22" s="46">
        <v>21</v>
      </c>
      <c r="R22" s="46">
        <v>21</v>
      </c>
      <c r="S22" s="46">
        <v>21</v>
      </c>
      <c r="T22" s="46">
        <v>21</v>
      </c>
      <c r="U22" s="46">
        <v>21</v>
      </c>
      <c r="V22" s="46">
        <v>21</v>
      </c>
      <c r="W22" s="46">
        <v>21</v>
      </c>
      <c r="X22" s="46">
        <v>21</v>
      </c>
      <c r="Y22" s="46">
        <v>21</v>
      </c>
      <c r="Z22" s="46">
        <v>21</v>
      </c>
      <c r="AA22" s="46">
        <v>21</v>
      </c>
      <c r="AB22" s="46">
        <v>21</v>
      </c>
      <c r="AC22" s="46">
        <v>21</v>
      </c>
      <c r="AD22" s="46">
        <v>21</v>
      </c>
      <c r="AE22" s="46">
        <v>21</v>
      </c>
      <c r="AF22" s="46">
        <v>21</v>
      </c>
      <c r="AG22" s="61">
        <v>30</v>
      </c>
      <c r="AH22" s="48">
        <f t="shared" si="8"/>
        <v>21</v>
      </c>
      <c r="AI22" s="49">
        <f t="shared" si="9"/>
        <v>21</v>
      </c>
      <c r="AK22" s="51"/>
      <c r="AL22" s="62" t="s">
        <v>37</v>
      </c>
      <c r="AM22" s="63">
        <f t="shared" ref="AM22:BJ22" si="18">SUM(AM16:AM21)</f>
        <v>1497.64</v>
      </c>
      <c r="AN22" s="63">
        <f t="shared" si="18"/>
        <v>1461.64</v>
      </c>
      <c r="AO22" s="63">
        <f t="shared" si="18"/>
        <v>1587.24</v>
      </c>
      <c r="AP22" s="63">
        <f t="shared" si="18"/>
        <v>1573.14</v>
      </c>
      <c r="AQ22" s="63">
        <f t="shared" si="18"/>
        <v>1730.6399999999999</v>
      </c>
      <c r="AR22" s="63">
        <f t="shared" si="18"/>
        <v>1710.2399999999998</v>
      </c>
      <c r="AS22" s="63">
        <f t="shared" si="18"/>
        <v>1736.7399999999998</v>
      </c>
      <c r="AT22" s="63">
        <f t="shared" si="18"/>
        <v>1886.4399999999998</v>
      </c>
      <c r="AU22" s="63">
        <f t="shared" si="18"/>
        <v>1850.54</v>
      </c>
      <c r="AV22" s="63">
        <f t="shared" si="18"/>
        <v>1758.74</v>
      </c>
      <c r="AW22" s="63">
        <f t="shared" si="18"/>
        <v>1964.24</v>
      </c>
      <c r="AX22" s="63">
        <f t="shared" si="18"/>
        <v>2111.2399999999998</v>
      </c>
      <c r="AY22" s="63">
        <f t="shared" si="18"/>
        <v>1916.24</v>
      </c>
      <c r="AZ22" s="63">
        <f t="shared" si="18"/>
        <v>1894.24</v>
      </c>
      <c r="BA22" s="63">
        <f t="shared" si="18"/>
        <v>1820.74</v>
      </c>
      <c r="BB22" s="63">
        <f t="shared" si="18"/>
        <v>1916.94</v>
      </c>
      <c r="BC22" s="63">
        <f t="shared" si="18"/>
        <v>2000.44</v>
      </c>
      <c r="BD22" s="63">
        <f t="shared" si="18"/>
        <v>1910.0399999999997</v>
      </c>
      <c r="BE22" s="63">
        <f t="shared" si="18"/>
        <v>1797.84</v>
      </c>
      <c r="BF22" s="63">
        <f t="shared" si="18"/>
        <v>1412.0399999999997</v>
      </c>
      <c r="BG22" s="63">
        <f t="shared" si="18"/>
        <v>1964.1399999999999</v>
      </c>
      <c r="BH22" s="63">
        <f t="shared" si="18"/>
        <v>2032.3399999999997</v>
      </c>
      <c r="BI22" s="63">
        <f t="shared" si="18"/>
        <v>1882.1399999999999</v>
      </c>
      <c r="BJ22" s="63">
        <f t="shared" si="18"/>
        <v>1782.04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10.4</v>
      </c>
      <c r="C23" s="46">
        <v>10.4</v>
      </c>
      <c r="D23" s="46">
        <v>15</v>
      </c>
      <c r="E23" s="46">
        <v>15</v>
      </c>
      <c r="F23" s="46">
        <v>15</v>
      </c>
      <c r="G23" s="46">
        <v>15</v>
      </c>
      <c r="H23" s="46">
        <v>15</v>
      </c>
      <c r="I23" s="46">
        <v>15</v>
      </c>
      <c r="J23" s="46">
        <v>15</v>
      </c>
      <c r="K23" s="46">
        <v>15</v>
      </c>
      <c r="L23" s="46">
        <v>15</v>
      </c>
      <c r="M23" s="46">
        <v>15</v>
      </c>
      <c r="N23" s="46">
        <v>15</v>
      </c>
      <c r="O23" s="46">
        <v>15</v>
      </c>
      <c r="P23" s="46">
        <v>15</v>
      </c>
      <c r="Q23" s="46">
        <v>15</v>
      </c>
      <c r="R23" s="46">
        <v>15</v>
      </c>
      <c r="S23" s="46">
        <v>15</v>
      </c>
      <c r="T23" s="46">
        <v>15</v>
      </c>
      <c r="U23" s="46">
        <v>15</v>
      </c>
      <c r="V23" s="46">
        <v>15</v>
      </c>
      <c r="W23" s="46">
        <v>15</v>
      </c>
      <c r="X23" s="46">
        <v>15</v>
      </c>
      <c r="Y23" s="46">
        <v>15</v>
      </c>
      <c r="Z23" s="46">
        <v>15</v>
      </c>
      <c r="AA23" s="46">
        <v>15</v>
      </c>
      <c r="AB23" s="46">
        <v>15</v>
      </c>
      <c r="AC23" s="46">
        <v>15</v>
      </c>
      <c r="AD23" s="46">
        <v>15</v>
      </c>
      <c r="AE23" s="46">
        <v>15</v>
      </c>
      <c r="AF23" s="46">
        <v>15</v>
      </c>
      <c r="AG23" s="50">
        <v>24.2</v>
      </c>
      <c r="AH23" s="48">
        <f t="shared" si="8"/>
        <v>15</v>
      </c>
      <c r="AI23" s="49">
        <f t="shared" si="9"/>
        <v>10.4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-97</v>
      </c>
      <c r="AQ23" s="63">
        <f t="shared" si="19"/>
        <v>-180</v>
      </c>
      <c r="AR23" s="63">
        <f t="shared" si="19"/>
        <v>-284</v>
      </c>
      <c r="AS23" s="63">
        <f>I107*-1</f>
        <v>-345</v>
      </c>
      <c r="AT23" s="63">
        <f>K107*-1</f>
        <v>-260</v>
      </c>
      <c r="AU23" s="63">
        <f t="shared" ref="AU23:BD23" si="20">M107*-1</f>
        <v>-158</v>
      </c>
      <c r="AV23" s="63">
        <f t="shared" si="20"/>
        <v>-188</v>
      </c>
      <c r="AW23" s="63">
        <f t="shared" si="20"/>
        <v>-86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-89</v>
      </c>
      <c r="BB23" s="63">
        <f t="shared" si="20"/>
        <v>-80.599999999999994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8.1</v>
      </c>
      <c r="C24" s="46">
        <v>8.1</v>
      </c>
      <c r="D24" s="46">
        <v>11.6</v>
      </c>
      <c r="E24" s="46">
        <v>11.6</v>
      </c>
      <c r="F24" s="46">
        <v>11.6</v>
      </c>
      <c r="G24" s="46">
        <v>11.6</v>
      </c>
      <c r="H24" s="46">
        <v>11.6</v>
      </c>
      <c r="I24" s="46">
        <v>11.6</v>
      </c>
      <c r="J24" s="46">
        <v>11.6</v>
      </c>
      <c r="K24" s="46">
        <v>11.6</v>
      </c>
      <c r="L24" s="46">
        <v>11.6</v>
      </c>
      <c r="M24" s="46">
        <v>11.6</v>
      </c>
      <c r="N24" s="46">
        <v>11.6</v>
      </c>
      <c r="O24" s="46">
        <v>11.6</v>
      </c>
      <c r="P24" s="46">
        <v>11.6</v>
      </c>
      <c r="Q24" s="46">
        <v>11.6</v>
      </c>
      <c r="R24" s="46">
        <v>11.6</v>
      </c>
      <c r="S24" s="46">
        <v>11.6</v>
      </c>
      <c r="T24" s="46">
        <v>11.6</v>
      </c>
      <c r="U24" s="46">
        <v>11.6</v>
      </c>
      <c r="V24" s="46">
        <v>11.6</v>
      </c>
      <c r="W24" s="46">
        <v>11.6</v>
      </c>
      <c r="X24" s="46">
        <v>11.6</v>
      </c>
      <c r="Y24" s="46">
        <v>11.6</v>
      </c>
      <c r="Z24" s="46">
        <v>11.6</v>
      </c>
      <c r="AA24" s="46">
        <v>11.6</v>
      </c>
      <c r="AB24" s="46">
        <v>11.6</v>
      </c>
      <c r="AC24" s="46">
        <v>11.6</v>
      </c>
      <c r="AD24" s="46">
        <v>11.6</v>
      </c>
      <c r="AE24" s="46">
        <v>11.6</v>
      </c>
      <c r="AF24" s="46">
        <v>11.6</v>
      </c>
      <c r="AG24" s="50">
        <v>28</v>
      </c>
      <c r="AH24" s="48">
        <f t="shared" si="8"/>
        <v>11.6</v>
      </c>
      <c r="AI24" s="49">
        <f t="shared" si="9"/>
        <v>8.1</v>
      </c>
      <c r="AK24" s="51"/>
      <c r="AL24" s="62" t="s">
        <v>41</v>
      </c>
      <c r="AM24" s="63">
        <f t="shared" ref="AM24:BJ24" si="21">AM22+AM23</f>
        <v>1497.64</v>
      </c>
      <c r="AN24" s="63">
        <f t="shared" si="21"/>
        <v>1461.64</v>
      </c>
      <c r="AO24" s="63">
        <f t="shared" si="21"/>
        <v>1587.24</v>
      </c>
      <c r="AP24" s="63">
        <f t="shared" si="21"/>
        <v>1476.14</v>
      </c>
      <c r="AQ24" s="63">
        <f t="shared" si="21"/>
        <v>1550.6399999999999</v>
      </c>
      <c r="AR24" s="63">
        <f t="shared" si="21"/>
        <v>1426.2399999999998</v>
      </c>
      <c r="AS24" s="63">
        <f t="shared" si="21"/>
        <v>1391.7399999999998</v>
      </c>
      <c r="AT24" s="63">
        <f t="shared" si="21"/>
        <v>1626.4399999999998</v>
      </c>
      <c r="AU24" s="63">
        <f t="shared" si="21"/>
        <v>1692.54</v>
      </c>
      <c r="AV24" s="63">
        <f t="shared" si="21"/>
        <v>1570.74</v>
      </c>
      <c r="AW24" s="63">
        <f t="shared" si="21"/>
        <v>1878.24</v>
      </c>
      <c r="AX24" s="63">
        <f t="shared" si="21"/>
        <v>2111.2399999999998</v>
      </c>
      <c r="AY24" s="63">
        <f t="shared" si="21"/>
        <v>1916.24</v>
      </c>
      <c r="AZ24" s="63">
        <f t="shared" si="21"/>
        <v>1894.24</v>
      </c>
      <c r="BA24" s="63">
        <f t="shared" si="21"/>
        <v>1731.74</v>
      </c>
      <c r="BB24" s="63">
        <f t="shared" si="21"/>
        <v>1836.3400000000001</v>
      </c>
      <c r="BC24" s="63">
        <f t="shared" si="21"/>
        <v>2000.44</v>
      </c>
      <c r="BD24" s="63">
        <f t="shared" si="21"/>
        <v>1910.0399999999997</v>
      </c>
      <c r="BE24" s="63">
        <f t="shared" si="21"/>
        <v>1797.84</v>
      </c>
      <c r="BF24" s="63">
        <f t="shared" si="21"/>
        <v>1412.0399999999997</v>
      </c>
      <c r="BG24" s="63">
        <f t="shared" si="21"/>
        <v>1964.1399999999999</v>
      </c>
      <c r="BH24" s="63">
        <f t="shared" si="21"/>
        <v>2032.3399999999997</v>
      </c>
      <c r="BI24" s="63">
        <f t="shared" si="21"/>
        <v>1882.1399999999999</v>
      </c>
      <c r="BJ24" s="63">
        <f t="shared" si="21"/>
        <v>1782.04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10.6</v>
      </c>
      <c r="C25" s="46">
        <v>10.6</v>
      </c>
      <c r="D25" s="46">
        <v>15</v>
      </c>
      <c r="E25" s="46">
        <v>15</v>
      </c>
      <c r="F25" s="46">
        <v>15</v>
      </c>
      <c r="G25" s="46">
        <v>15</v>
      </c>
      <c r="H25" s="46">
        <v>15</v>
      </c>
      <c r="I25" s="46">
        <v>15</v>
      </c>
      <c r="J25" s="46">
        <v>15</v>
      </c>
      <c r="K25" s="46">
        <v>15</v>
      </c>
      <c r="L25" s="46">
        <v>15</v>
      </c>
      <c r="M25" s="46">
        <v>15</v>
      </c>
      <c r="N25" s="46">
        <v>15</v>
      </c>
      <c r="O25" s="46">
        <v>15</v>
      </c>
      <c r="P25" s="46">
        <v>15</v>
      </c>
      <c r="Q25" s="46">
        <v>15</v>
      </c>
      <c r="R25" s="46">
        <v>15</v>
      </c>
      <c r="S25" s="46">
        <v>15</v>
      </c>
      <c r="T25" s="46">
        <v>15</v>
      </c>
      <c r="U25" s="46">
        <v>15</v>
      </c>
      <c r="V25" s="46">
        <v>15</v>
      </c>
      <c r="W25" s="46">
        <v>15</v>
      </c>
      <c r="X25" s="46">
        <v>15</v>
      </c>
      <c r="Y25" s="46">
        <v>15</v>
      </c>
      <c r="Z25" s="46">
        <v>15</v>
      </c>
      <c r="AA25" s="46">
        <v>15</v>
      </c>
      <c r="AB25" s="46">
        <v>15</v>
      </c>
      <c r="AC25" s="46">
        <v>15</v>
      </c>
      <c r="AD25" s="46">
        <v>15</v>
      </c>
      <c r="AE25" s="46">
        <v>15</v>
      </c>
      <c r="AF25" s="46">
        <v>15</v>
      </c>
      <c r="AG25" s="61">
        <v>30</v>
      </c>
      <c r="AH25" s="48">
        <f t="shared" si="8"/>
        <v>15</v>
      </c>
      <c r="AI25" s="49">
        <f t="shared" si="9"/>
        <v>10.6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13.2</v>
      </c>
      <c r="C26" s="46">
        <v>13.2</v>
      </c>
      <c r="D26" s="46">
        <v>15</v>
      </c>
      <c r="E26" s="46">
        <v>15</v>
      </c>
      <c r="F26" s="46">
        <v>15</v>
      </c>
      <c r="G26" s="46">
        <v>15</v>
      </c>
      <c r="H26" s="46">
        <v>15</v>
      </c>
      <c r="I26" s="46">
        <v>15</v>
      </c>
      <c r="J26" s="46">
        <v>15</v>
      </c>
      <c r="K26" s="46">
        <v>15</v>
      </c>
      <c r="L26" s="46">
        <v>15</v>
      </c>
      <c r="M26" s="46">
        <v>15</v>
      </c>
      <c r="N26" s="46">
        <v>15</v>
      </c>
      <c r="O26" s="46">
        <v>15</v>
      </c>
      <c r="P26" s="46">
        <v>15</v>
      </c>
      <c r="Q26" s="46">
        <v>15</v>
      </c>
      <c r="R26" s="46">
        <v>15</v>
      </c>
      <c r="S26" s="46">
        <v>15</v>
      </c>
      <c r="T26" s="46">
        <v>15</v>
      </c>
      <c r="U26" s="46">
        <v>15</v>
      </c>
      <c r="V26" s="46">
        <v>15</v>
      </c>
      <c r="W26" s="46">
        <v>15</v>
      </c>
      <c r="X26" s="46">
        <v>15</v>
      </c>
      <c r="Y26" s="46">
        <v>15</v>
      </c>
      <c r="Z26" s="46">
        <v>15</v>
      </c>
      <c r="AA26" s="46">
        <v>15</v>
      </c>
      <c r="AB26" s="46">
        <v>15</v>
      </c>
      <c r="AC26" s="46">
        <v>15</v>
      </c>
      <c r="AD26" s="46">
        <v>15</v>
      </c>
      <c r="AE26" s="46">
        <v>15</v>
      </c>
      <c r="AF26" s="46">
        <v>15</v>
      </c>
      <c r="AG26" s="50">
        <v>25</v>
      </c>
      <c r="AH26" s="48">
        <f t="shared" si="8"/>
        <v>15</v>
      </c>
      <c r="AI26" s="49">
        <f t="shared" si="9"/>
        <v>13.2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12.4</v>
      </c>
      <c r="C29" s="46">
        <v>12.4</v>
      </c>
      <c r="D29" s="46">
        <v>16</v>
      </c>
      <c r="E29" s="46">
        <v>16</v>
      </c>
      <c r="F29" s="46">
        <v>16</v>
      </c>
      <c r="G29" s="46">
        <v>16</v>
      </c>
      <c r="H29" s="46">
        <v>16</v>
      </c>
      <c r="I29" s="46">
        <v>16</v>
      </c>
      <c r="J29" s="46">
        <v>16</v>
      </c>
      <c r="K29" s="46">
        <v>16</v>
      </c>
      <c r="L29" s="46">
        <v>16</v>
      </c>
      <c r="M29" s="46">
        <v>16</v>
      </c>
      <c r="N29" s="46">
        <v>16</v>
      </c>
      <c r="O29" s="46">
        <v>16</v>
      </c>
      <c r="P29" s="46">
        <v>16</v>
      </c>
      <c r="Q29" s="46">
        <v>16</v>
      </c>
      <c r="R29" s="46">
        <v>16</v>
      </c>
      <c r="S29" s="46">
        <v>16</v>
      </c>
      <c r="T29" s="46">
        <v>16</v>
      </c>
      <c r="U29" s="46">
        <v>16</v>
      </c>
      <c r="V29" s="46">
        <v>16</v>
      </c>
      <c r="W29" s="46">
        <v>16</v>
      </c>
      <c r="X29" s="46">
        <v>16</v>
      </c>
      <c r="Y29" s="46">
        <v>16</v>
      </c>
      <c r="Z29" s="46">
        <v>16</v>
      </c>
      <c r="AA29" s="46">
        <v>16</v>
      </c>
      <c r="AB29" s="46">
        <v>16</v>
      </c>
      <c r="AC29" s="46">
        <v>16</v>
      </c>
      <c r="AD29" s="46">
        <v>16</v>
      </c>
      <c r="AE29" s="46">
        <v>16</v>
      </c>
      <c r="AF29" s="46">
        <v>16</v>
      </c>
      <c r="AG29" s="50">
        <v>25</v>
      </c>
      <c r="AH29" s="48">
        <f t="shared" si="8"/>
        <v>16</v>
      </c>
      <c r="AI29" s="49">
        <f t="shared" si="9"/>
        <v>12.4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5.2</v>
      </c>
      <c r="C30" s="46">
        <v>5.2</v>
      </c>
      <c r="D30" s="46">
        <v>9.5</v>
      </c>
      <c r="E30" s="46">
        <v>9.5</v>
      </c>
      <c r="F30" s="46">
        <v>9.5</v>
      </c>
      <c r="G30" s="46">
        <v>9.5</v>
      </c>
      <c r="H30" s="46">
        <v>9.5</v>
      </c>
      <c r="I30" s="46">
        <v>9.5</v>
      </c>
      <c r="J30" s="46">
        <v>9.5</v>
      </c>
      <c r="K30" s="46">
        <v>9.5</v>
      </c>
      <c r="L30" s="46">
        <v>9.5</v>
      </c>
      <c r="M30" s="46">
        <v>9.5</v>
      </c>
      <c r="N30" s="46">
        <v>9.5</v>
      </c>
      <c r="O30" s="46">
        <v>9.5</v>
      </c>
      <c r="P30" s="46">
        <v>9.5</v>
      </c>
      <c r="Q30" s="46">
        <v>9.5</v>
      </c>
      <c r="R30" s="46">
        <v>9.5</v>
      </c>
      <c r="S30" s="46">
        <v>9.5</v>
      </c>
      <c r="T30" s="46">
        <v>9.5</v>
      </c>
      <c r="U30" s="46">
        <v>9.5</v>
      </c>
      <c r="V30" s="46">
        <v>9.5</v>
      </c>
      <c r="W30" s="46">
        <v>9.5</v>
      </c>
      <c r="X30" s="46">
        <v>9.5</v>
      </c>
      <c r="Y30" s="46">
        <v>9.5</v>
      </c>
      <c r="Z30" s="46">
        <v>9.5</v>
      </c>
      <c r="AA30" s="46">
        <v>9.5</v>
      </c>
      <c r="AB30" s="46">
        <v>9.5</v>
      </c>
      <c r="AC30" s="46">
        <v>9.5</v>
      </c>
      <c r="AD30" s="46">
        <v>9.5</v>
      </c>
      <c r="AE30" s="46">
        <v>9.5</v>
      </c>
      <c r="AF30" s="46">
        <v>9.5</v>
      </c>
      <c r="AG30" s="50">
        <v>23.5</v>
      </c>
      <c r="AH30" s="48">
        <f t="shared" si="8"/>
        <v>9.5</v>
      </c>
      <c r="AI30" s="49">
        <f t="shared" si="9"/>
        <v>5.2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12.8</v>
      </c>
      <c r="C34" s="46">
        <v>12.8</v>
      </c>
      <c r="D34" s="46">
        <v>14</v>
      </c>
      <c r="E34" s="46">
        <v>14</v>
      </c>
      <c r="F34" s="46">
        <v>14</v>
      </c>
      <c r="G34" s="46">
        <v>14</v>
      </c>
      <c r="H34" s="46">
        <v>14</v>
      </c>
      <c r="I34" s="46">
        <v>14</v>
      </c>
      <c r="J34" s="46">
        <v>14</v>
      </c>
      <c r="K34" s="46">
        <v>14</v>
      </c>
      <c r="L34" s="46">
        <v>14</v>
      </c>
      <c r="M34" s="46">
        <v>14</v>
      </c>
      <c r="N34" s="46">
        <v>14</v>
      </c>
      <c r="O34" s="46">
        <v>14</v>
      </c>
      <c r="P34" s="46">
        <v>14</v>
      </c>
      <c r="Q34" s="46">
        <v>14</v>
      </c>
      <c r="R34" s="46">
        <v>14</v>
      </c>
      <c r="S34" s="46">
        <v>14</v>
      </c>
      <c r="T34" s="46">
        <v>14</v>
      </c>
      <c r="U34" s="46">
        <v>14</v>
      </c>
      <c r="V34" s="46">
        <v>14</v>
      </c>
      <c r="W34" s="46">
        <v>14</v>
      </c>
      <c r="X34" s="46">
        <v>14</v>
      </c>
      <c r="Y34" s="46">
        <v>14</v>
      </c>
      <c r="Z34" s="46">
        <v>14</v>
      </c>
      <c r="AA34" s="46">
        <v>14</v>
      </c>
      <c r="AB34" s="46">
        <v>14</v>
      </c>
      <c r="AC34" s="46">
        <v>14</v>
      </c>
      <c r="AD34" s="46">
        <v>14</v>
      </c>
      <c r="AE34" s="46">
        <v>14</v>
      </c>
      <c r="AF34" s="46">
        <v>14</v>
      </c>
      <c r="AG34" s="50">
        <v>22</v>
      </c>
      <c r="AH34" s="48">
        <f t="shared" si="8"/>
        <v>14</v>
      </c>
      <c r="AI34" s="49">
        <f t="shared" si="9"/>
        <v>12.8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13.2</v>
      </c>
      <c r="C35" s="46">
        <v>13.2</v>
      </c>
      <c r="D35" s="46">
        <v>11</v>
      </c>
      <c r="E35" s="46">
        <v>11</v>
      </c>
      <c r="F35" s="46">
        <v>11</v>
      </c>
      <c r="G35" s="46">
        <v>11</v>
      </c>
      <c r="H35" s="46">
        <v>11</v>
      </c>
      <c r="I35" s="46">
        <v>11</v>
      </c>
      <c r="J35" s="46">
        <v>11</v>
      </c>
      <c r="K35" s="46">
        <v>11</v>
      </c>
      <c r="L35" s="46">
        <v>11</v>
      </c>
      <c r="M35" s="46">
        <v>11</v>
      </c>
      <c r="N35" s="46">
        <v>11</v>
      </c>
      <c r="O35" s="46">
        <v>11</v>
      </c>
      <c r="P35" s="46">
        <v>11</v>
      </c>
      <c r="Q35" s="46">
        <v>11</v>
      </c>
      <c r="R35" s="46">
        <v>11</v>
      </c>
      <c r="S35" s="46">
        <v>11</v>
      </c>
      <c r="T35" s="46">
        <v>11</v>
      </c>
      <c r="U35" s="46">
        <v>11</v>
      </c>
      <c r="V35" s="46">
        <v>11</v>
      </c>
      <c r="W35" s="46">
        <v>11</v>
      </c>
      <c r="X35" s="46">
        <v>11</v>
      </c>
      <c r="Y35" s="46">
        <v>11</v>
      </c>
      <c r="Z35" s="46">
        <v>11</v>
      </c>
      <c r="AA35" s="46">
        <v>11</v>
      </c>
      <c r="AB35" s="46">
        <v>11</v>
      </c>
      <c r="AC35" s="46">
        <v>11</v>
      </c>
      <c r="AD35" s="46">
        <v>11</v>
      </c>
      <c r="AE35" s="46">
        <v>11</v>
      </c>
      <c r="AF35" s="46">
        <v>11</v>
      </c>
      <c r="AG35" s="50">
        <v>20</v>
      </c>
      <c r="AH35" s="48">
        <f t="shared" si="8"/>
        <v>13.2</v>
      </c>
      <c r="AI35" s="49">
        <f t="shared" si="9"/>
        <v>11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11.1</v>
      </c>
      <c r="C37" s="46">
        <v>11.1</v>
      </c>
      <c r="D37" s="46">
        <v>10.5</v>
      </c>
      <c r="E37" s="46">
        <v>10.5</v>
      </c>
      <c r="F37" s="46">
        <v>10.5</v>
      </c>
      <c r="G37" s="46">
        <v>10.5</v>
      </c>
      <c r="H37" s="46">
        <v>10.5</v>
      </c>
      <c r="I37" s="46">
        <v>10.5</v>
      </c>
      <c r="J37" s="46">
        <v>10.5</v>
      </c>
      <c r="K37" s="46">
        <v>10.5</v>
      </c>
      <c r="L37" s="46">
        <v>10.5</v>
      </c>
      <c r="M37" s="46">
        <v>10.5</v>
      </c>
      <c r="N37" s="46">
        <v>10.5</v>
      </c>
      <c r="O37" s="46">
        <v>10.5</v>
      </c>
      <c r="P37" s="46">
        <v>10.5</v>
      </c>
      <c r="Q37" s="46">
        <v>10.5</v>
      </c>
      <c r="R37" s="46">
        <v>10.5</v>
      </c>
      <c r="S37" s="46">
        <v>10.5</v>
      </c>
      <c r="T37" s="46">
        <v>10.5</v>
      </c>
      <c r="U37" s="46">
        <v>10.5</v>
      </c>
      <c r="V37" s="46">
        <v>10.5</v>
      </c>
      <c r="W37" s="46">
        <v>10.5</v>
      </c>
      <c r="X37" s="46">
        <v>10.5</v>
      </c>
      <c r="Y37" s="46">
        <v>10.5</v>
      </c>
      <c r="Z37" s="46">
        <v>10.5</v>
      </c>
      <c r="AA37" s="46">
        <v>10.5</v>
      </c>
      <c r="AB37" s="46">
        <v>10.5</v>
      </c>
      <c r="AC37" s="46">
        <v>10.5</v>
      </c>
      <c r="AD37" s="46">
        <v>10.5</v>
      </c>
      <c r="AE37" s="46">
        <v>10.5</v>
      </c>
      <c r="AF37" s="46">
        <v>10.5</v>
      </c>
      <c r="AG37" s="50">
        <v>18</v>
      </c>
      <c r="AH37" s="48">
        <f t="shared" si="8"/>
        <v>11.1</v>
      </c>
      <c r="AI37" s="49">
        <f t="shared" si="9"/>
        <v>10.5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>
        <v>6.8</v>
      </c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6.8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2.2999999999999998</v>
      </c>
      <c r="C41" s="46">
        <v>2.2999999999999998</v>
      </c>
      <c r="D41" s="46">
        <v>2.7</v>
      </c>
      <c r="E41" s="46">
        <v>2.7</v>
      </c>
      <c r="F41" s="46">
        <v>2.7</v>
      </c>
      <c r="G41" s="46">
        <v>2.7</v>
      </c>
      <c r="H41" s="46">
        <v>2.7</v>
      </c>
      <c r="I41" s="46">
        <v>2.7</v>
      </c>
      <c r="J41" s="46">
        <v>2.7</v>
      </c>
      <c r="K41" s="46">
        <v>2.7</v>
      </c>
      <c r="L41" s="46">
        <v>2.7</v>
      </c>
      <c r="M41" s="46">
        <v>2.7</v>
      </c>
      <c r="N41" s="46">
        <v>2.7</v>
      </c>
      <c r="O41" s="46">
        <v>2.7</v>
      </c>
      <c r="P41" s="46">
        <v>2.7</v>
      </c>
      <c r="Q41" s="46">
        <v>2.7</v>
      </c>
      <c r="R41" s="46">
        <v>2.7</v>
      </c>
      <c r="S41" s="46">
        <v>2.7</v>
      </c>
      <c r="T41" s="46">
        <v>2.7</v>
      </c>
      <c r="U41" s="46">
        <v>2.7</v>
      </c>
      <c r="V41" s="46">
        <v>2.7</v>
      </c>
      <c r="W41" s="46">
        <v>2.7</v>
      </c>
      <c r="X41" s="46">
        <v>2.7</v>
      </c>
      <c r="Y41" s="46">
        <v>2.7</v>
      </c>
      <c r="Z41" s="46">
        <v>2.7</v>
      </c>
      <c r="AA41" s="46">
        <v>2.7</v>
      </c>
      <c r="AB41" s="46">
        <v>2.7</v>
      </c>
      <c r="AC41" s="46">
        <v>2.7</v>
      </c>
      <c r="AD41" s="46">
        <v>2.7</v>
      </c>
      <c r="AE41" s="46">
        <v>2.7</v>
      </c>
      <c r="AF41" s="46">
        <v>2.7</v>
      </c>
      <c r="AG41" s="50">
        <v>14.9</v>
      </c>
      <c r="AH41" s="48">
        <f t="shared" si="8"/>
        <v>2.7</v>
      </c>
      <c r="AI41" s="49">
        <f t="shared" si="9"/>
        <v>2.2999999999999998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3</v>
      </c>
      <c r="C44" s="46">
        <v>3</v>
      </c>
      <c r="D44" s="46">
        <v>4</v>
      </c>
      <c r="E44" s="46">
        <v>4</v>
      </c>
      <c r="F44" s="46">
        <v>4</v>
      </c>
      <c r="G44" s="46">
        <v>4</v>
      </c>
      <c r="H44" s="46">
        <v>4</v>
      </c>
      <c r="I44" s="46">
        <v>4</v>
      </c>
      <c r="J44" s="46">
        <v>4</v>
      </c>
      <c r="K44" s="46">
        <v>4</v>
      </c>
      <c r="L44" s="46">
        <v>4</v>
      </c>
      <c r="M44" s="46">
        <v>4</v>
      </c>
      <c r="N44" s="46">
        <v>4</v>
      </c>
      <c r="O44" s="46">
        <v>4</v>
      </c>
      <c r="P44" s="46">
        <v>4</v>
      </c>
      <c r="Q44" s="46">
        <v>4</v>
      </c>
      <c r="R44" s="46">
        <v>4</v>
      </c>
      <c r="S44" s="46">
        <v>4</v>
      </c>
      <c r="T44" s="46">
        <v>4</v>
      </c>
      <c r="U44" s="46">
        <v>4</v>
      </c>
      <c r="V44" s="46">
        <v>4</v>
      </c>
      <c r="W44" s="46">
        <v>4</v>
      </c>
      <c r="X44" s="46">
        <v>4</v>
      </c>
      <c r="Y44" s="46">
        <v>4</v>
      </c>
      <c r="Z44" s="46">
        <v>4</v>
      </c>
      <c r="AA44" s="46">
        <v>4</v>
      </c>
      <c r="AB44" s="46">
        <v>4</v>
      </c>
      <c r="AC44" s="46">
        <v>4</v>
      </c>
      <c r="AD44" s="46">
        <v>4</v>
      </c>
      <c r="AE44" s="46">
        <v>4</v>
      </c>
      <c r="AF44" s="46">
        <v>4</v>
      </c>
      <c r="AG44" s="50">
        <v>12</v>
      </c>
      <c r="AH44" s="48">
        <f t="shared" si="8"/>
        <v>4</v>
      </c>
      <c r="AI44" s="49">
        <f t="shared" si="9"/>
        <v>3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7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12</v>
      </c>
      <c r="AH45" s="48">
        <f t="shared" si="8"/>
        <v>7</v>
      </c>
      <c r="AI45" s="49">
        <f t="shared" si="9"/>
        <v>7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6</v>
      </c>
      <c r="C52" s="46">
        <v>6</v>
      </c>
      <c r="D52" s="46">
        <v>6</v>
      </c>
      <c r="E52" s="46">
        <v>6</v>
      </c>
      <c r="F52" s="46">
        <v>6</v>
      </c>
      <c r="G52" s="46">
        <v>6</v>
      </c>
      <c r="H52" s="46">
        <v>6</v>
      </c>
      <c r="I52" s="46">
        <v>6</v>
      </c>
      <c r="J52" s="46">
        <v>6</v>
      </c>
      <c r="K52" s="46">
        <v>6</v>
      </c>
      <c r="L52" s="46">
        <v>6</v>
      </c>
      <c r="M52" s="46">
        <v>6</v>
      </c>
      <c r="N52" s="46">
        <v>6</v>
      </c>
      <c r="O52" s="46">
        <v>6</v>
      </c>
      <c r="P52" s="46">
        <v>6</v>
      </c>
      <c r="Q52" s="46">
        <v>6</v>
      </c>
      <c r="R52" s="46">
        <v>6</v>
      </c>
      <c r="S52" s="46">
        <v>6</v>
      </c>
      <c r="T52" s="46">
        <v>6</v>
      </c>
      <c r="U52" s="46">
        <v>6</v>
      </c>
      <c r="V52" s="46">
        <v>6</v>
      </c>
      <c r="W52" s="46">
        <v>6</v>
      </c>
      <c r="X52" s="46">
        <v>6</v>
      </c>
      <c r="Y52" s="46">
        <v>6</v>
      </c>
      <c r="Z52" s="46">
        <v>6</v>
      </c>
      <c r="AA52" s="46">
        <v>6</v>
      </c>
      <c r="AB52" s="46">
        <v>0</v>
      </c>
      <c r="AC52" s="46">
        <v>0</v>
      </c>
      <c r="AD52" s="46">
        <v>0</v>
      </c>
      <c r="AE52" s="46">
        <v>0</v>
      </c>
      <c r="AF52" s="46">
        <v>0</v>
      </c>
      <c r="AG52" s="66">
        <v>10</v>
      </c>
      <c r="AH52" s="48">
        <f t="shared" si="8"/>
        <v>6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250</v>
      </c>
      <c r="C56" s="68">
        <v>250</v>
      </c>
      <c r="D56" s="68">
        <v>250</v>
      </c>
      <c r="E56" s="68">
        <v>250</v>
      </c>
      <c r="F56" s="68">
        <v>250</v>
      </c>
      <c r="G56" s="68">
        <v>250</v>
      </c>
      <c r="H56" s="68">
        <v>250</v>
      </c>
      <c r="I56" s="68">
        <v>250</v>
      </c>
      <c r="J56" s="68">
        <v>250</v>
      </c>
      <c r="K56" s="68">
        <v>250</v>
      </c>
      <c r="L56" s="68">
        <v>250</v>
      </c>
      <c r="M56" s="68">
        <v>250</v>
      </c>
      <c r="N56" s="68">
        <v>250</v>
      </c>
      <c r="O56" s="68">
        <v>250</v>
      </c>
      <c r="P56" s="68">
        <v>250</v>
      </c>
      <c r="Q56" s="68">
        <v>250</v>
      </c>
      <c r="R56" s="68">
        <v>250</v>
      </c>
      <c r="S56" s="68">
        <v>250</v>
      </c>
      <c r="T56" s="68">
        <v>250</v>
      </c>
      <c r="U56" s="68">
        <v>250</v>
      </c>
      <c r="V56" s="68">
        <v>250</v>
      </c>
      <c r="W56" s="68">
        <v>250</v>
      </c>
      <c r="X56" s="68">
        <v>250</v>
      </c>
      <c r="Y56" s="68">
        <v>250</v>
      </c>
      <c r="Z56" s="68">
        <v>250</v>
      </c>
      <c r="AA56" s="68">
        <v>250</v>
      </c>
      <c r="AB56" s="68">
        <v>250</v>
      </c>
      <c r="AC56" s="68">
        <v>250</v>
      </c>
      <c r="AD56" s="68">
        <v>250</v>
      </c>
      <c r="AE56" s="68">
        <v>250</v>
      </c>
      <c r="AF56" s="68">
        <v>250</v>
      </c>
      <c r="AG56" s="66">
        <v>85</v>
      </c>
      <c r="AH56" s="48">
        <f t="shared" si="8"/>
        <v>250</v>
      </c>
      <c r="AI56" s="49">
        <f t="shared" si="9"/>
        <v>250</v>
      </c>
      <c r="AK56" s="51"/>
    </row>
    <row r="57" spans="1:88" ht="15.75" thickBot="1" x14ac:dyDescent="0.3">
      <c r="A57" s="69" t="s">
        <v>74</v>
      </c>
      <c r="B57" s="68">
        <v>90</v>
      </c>
      <c r="C57" s="68">
        <v>90</v>
      </c>
      <c r="D57" s="68">
        <v>96</v>
      </c>
      <c r="E57" s="68">
        <v>92</v>
      </c>
      <c r="F57" s="68">
        <v>92</v>
      </c>
      <c r="G57" s="68">
        <v>85</v>
      </c>
      <c r="H57" s="68">
        <v>85</v>
      </c>
      <c r="I57" s="68">
        <v>75</v>
      </c>
      <c r="J57" s="68">
        <v>84</v>
      </c>
      <c r="K57" s="68">
        <v>83</v>
      </c>
      <c r="L57" s="68">
        <v>84</v>
      </c>
      <c r="M57" s="53">
        <f t="shared" ref="M57:R57" si="22">29.5+54.5</f>
        <v>84</v>
      </c>
      <c r="N57" s="53">
        <f t="shared" si="22"/>
        <v>84</v>
      </c>
      <c r="O57" s="53">
        <f t="shared" si="22"/>
        <v>84</v>
      </c>
      <c r="P57" s="53">
        <f t="shared" si="22"/>
        <v>84</v>
      </c>
      <c r="Q57" s="53">
        <f t="shared" si="22"/>
        <v>84</v>
      </c>
      <c r="R57" s="53">
        <f t="shared" si="22"/>
        <v>84</v>
      </c>
      <c r="S57" s="53">
        <f t="shared" ref="S57:T57" si="23">29.5+54.5</f>
        <v>84</v>
      </c>
      <c r="T57" s="53">
        <f t="shared" si="23"/>
        <v>84</v>
      </c>
      <c r="U57" s="53">
        <v>60.1</v>
      </c>
      <c r="V57" s="53">
        <v>64.400000000000006</v>
      </c>
      <c r="W57" s="53">
        <v>65</v>
      </c>
      <c r="X57" s="53">
        <v>65</v>
      </c>
      <c r="Y57" s="53">
        <v>54.8</v>
      </c>
      <c r="Z57" s="53">
        <v>54.8</v>
      </c>
      <c r="AA57" s="68">
        <v>56.4</v>
      </c>
      <c r="AB57" s="68">
        <v>56.4</v>
      </c>
      <c r="AC57" s="68">
        <v>56.4</v>
      </c>
      <c r="AD57" s="68">
        <f>21.7+37.1</f>
        <v>58.8</v>
      </c>
      <c r="AE57" s="68">
        <v>62</v>
      </c>
      <c r="AF57" s="68">
        <v>62</v>
      </c>
      <c r="AG57" s="66">
        <v>240</v>
      </c>
      <c r="AH57" s="48">
        <f t="shared" si="8"/>
        <v>96</v>
      </c>
      <c r="AI57" s="49">
        <f t="shared" si="9"/>
        <v>54.8</v>
      </c>
      <c r="AK57" s="51"/>
    </row>
    <row r="58" spans="1:88" ht="15.75" thickBot="1" x14ac:dyDescent="0.3">
      <c r="A58" s="70" t="s">
        <v>75</v>
      </c>
      <c r="B58" s="71">
        <f t="shared" ref="B58:C58" si="24">SUM(B11:B56)</f>
        <v>713.3</v>
      </c>
      <c r="C58" s="71">
        <f t="shared" si="24"/>
        <v>713.3</v>
      </c>
      <c r="D58" s="71">
        <f t="shared" ref="D58:AF58" si="25">SUM(D11:D56)</f>
        <v>741.2</v>
      </c>
      <c r="E58" s="71">
        <f t="shared" si="25"/>
        <v>767.2</v>
      </c>
      <c r="F58" s="71">
        <f t="shared" si="25"/>
        <v>789.09999999999991</v>
      </c>
      <c r="G58" s="71">
        <f t="shared" si="25"/>
        <v>789.09999999999991</v>
      </c>
      <c r="H58" s="71">
        <f t="shared" si="25"/>
        <v>789.09999999999991</v>
      </c>
      <c r="I58" s="71">
        <f t="shared" si="25"/>
        <v>789.09999999999991</v>
      </c>
      <c r="J58" s="71">
        <f t="shared" si="25"/>
        <v>807.8</v>
      </c>
      <c r="K58" s="71">
        <f t="shared" si="25"/>
        <v>807.8</v>
      </c>
      <c r="L58" s="71">
        <f t="shared" si="25"/>
        <v>807.8</v>
      </c>
      <c r="M58" s="71">
        <f t="shared" si="25"/>
        <v>807.8</v>
      </c>
      <c r="N58" s="71">
        <f t="shared" si="25"/>
        <v>807.8</v>
      </c>
      <c r="O58" s="71">
        <f t="shared" si="25"/>
        <v>807.8</v>
      </c>
      <c r="P58" s="71">
        <f t="shared" si="25"/>
        <v>807.8</v>
      </c>
      <c r="Q58" s="71">
        <f t="shared" si="25"/>
        <v>807.8</v>
      </c>
      <c r="R58" s="71">
        <f t="shared" ref="R58:T58" si="26">SUM(R11:R56)</f>
        <v>807.8</v>
      </c>
      <c r="S58" s="71">
        <f t="shared" si="26"/>
        <v>807.8</v>
      </c>
      <c r="T58" s="71">
        <f t="shared" si="26"/>
        <v>807.8</v>
      </c>
      <c r="U58" s="71">
        <f t="shared" ref="U58:V58" si="27">SUM(U11:U56)</f>
        <v>807.8</v>
      </c>
      <c r="V58" s="71">
        <f t="shared" si="27"/>
        <v>807.8</v>
      </c>
      <c r="W58" s="71">
        <f t="shared" ref="W58:X58" si="28">SUM(W11:W56)</f>
        <v>807.8</v>
      </c>
      <c r="X58" s="71">
        <f t="shared" si="28"/>
        <v>807.8</v>
      </c>
      <c r="Y58" s="71">
        <f t="shared" ref="Y58:AA58" si="29">SUM(Y11:Y56)</f>
        <v>807.8</v>
      </c>
      <c r="Z58" s="71">
        <f t="shared" si="29"/>
        <v>807.8</v>
      </c>
      <c r="AA58" s="71">
        <f t="shared" si="29"/>
        <v>807.8</v>
      </c>
      <c r="AB58" s="71">
        <f t="shared" si="25"/>
        <v>801.8</v>
      </c>
      <c r="AC58" s="71">
        <f t="shared" si="25"/>
        <v>801.8</v>
      </c>
      <c r="AD58" s="71">
        <f t="shared" si="25"/>
        <v>801.8</v>
      </c>
      <c r="AE58" s="71">
        <f t="shared" si="25"/>
        <v>761.59999999999991</v>
      </c>
      <c r="AF58" s="71">
        <f t="shared" si="25"/>
        <v>761.59999999999991</v>
      </c>
      <c r="AG58" s="72">
        <f>SUM(AG14:AG56)</f>
        <v>1042.4000000000001</v>
      </c>
      <c r="AH58" s="48">
        <f t="shared" si="8"/>
        <v>807.8</v>
      </c>
      <c r="AI58" s="49">
        <f t="shared" si="9"/>
        <v>713.3</v>
      </c>
      <c r="AK58" s="51"/>
    </row>
    <row r="59" spans="1:88" x14ac:dyDescent="0.25">
      <c r="A59" s="73" t="s">
        <v>76</v>
      </c>
      <c r="B59" s="46">
        <v>180</v>
      </c>
      <c r="C59" s="46">
        <v>152</v>
      </c>
      <c r="D59" s="46">
        <v>233</v>
      </c>
      <c r="E59" s="46">
        <v>177</v>
      </c>
      <c r="F59" s="46">
        <v>307</v>
      </c>
      <c r="G59" s="46">
        <v>307</v>
      </c>
      <c r="H59" s="46">
        <v>307</v>
      </c>
      <c r="I59" s="46">
        <v>422</v>
      </c>
      <c r="J59" s="46">
        <v>458</v>
      </c>
      <c r="K59" s="46">
        <v>458</v>
      </c>
      <c r="L59" s="46">
        <v>410</v>
      </c>
      <c r="M59" s="46">
        <v>253.4</v>
      </c>
      <c r="N59" s="74">
        <v>253</v>
      </c>
      <c r="O59" s="74">
        <v>341</v>
      </c>
      <c r="P59" s="74">
        <v>341</v>
      </c>
      <c r="Q59" s="74">
        <v>152</v>
      </c>
      <c r="R59" s="74">
        <v>152</v>
      </c>
      <c r="S59" s="74">
        <v>152</v>
      </c>
      <c r="T59" s="74">
        <v>344</v>
      </c>
      <c r="U59" s="74">
        <v>293.5</v>
      </c>
      <c r="V59" s="74">
        <v>229.2</v>
      </c>
      <c r="W59" s="74">
        <v>151</v>
      </c>
      <c r="X59" s="74">
        <v>92.6</v>
      </c>
      <c r="Y59" s="74">
        <v>60.5</v>
      </c>
      <c r="Z59" s="74">
        <v>100.6</v>
      </c>
      <c r="AA59" s="46">
        <v>100.6</v>
      </c>
      <c r="AB59" s="46">
        <v>301.7</v>
      </c>
      <c r="AC59" s="46">
        <v>342</v>
      </c>
      <c r="AD59" s="46">
        <v>341.7</v>
      </c>
      <c r="AE59" s="46">
        <v>302</v>
      </c>
      <c r="AF59" s="46">
        <v>251.6</v>
      </c>
      <c r="AG59" s="61">
        <v>456</v>
      </c>
      <c r="AH59" s="48">
        <f t="shared" si="8"/>
        <v>458</v>
      </c>
      <c r="AI59" s="49">
        <f t="shared" si="9"/>
        <v>60.5</v>
      </c>
      <c r="AK59" s="51"/>
    </row>
    <row r="60" spans="1:88" x14ac:dyDescent="0.25">
      <c r="A60" s="75" t="s">
        <v>77</v>
      </c>
      <c r="B60" s="76">
        <v>27</v>
      </c>
      <c r="C60" s="76">
        <v>27</v>
      </c>
      <c r="D60" s="76">
        <v>35</v>
      </c>
      <c r="E60" s="76">
        <v>48</v>
      </c>
      <c r="F60" s="76">
        <v>60</v>
      </c>
      <c r="G60" s="76">
        <v>60</v>
      </c>
      <c r="H60" s="76">
        <v>60</v>
      </c>
      <c r="I60" s="76">
        <v>60</v>
      </c>
      <c r="J60" s="76">
        <v>60</v>
      </c>
      <c r="K60" s="76">
        <v>60</v>
      </c>
      <c r="L60" s="76">
        <v>60</v>
      </c>
      <c r="M60" s="76">
        <v>60.7</v>
      </c>
      <c r="N60" s="76">
        <v>60.7</v>
      </c>
      <c r="O60" s="76">
        <v>60.7</v>
      </c>
      <c r="P60" s="76">
        <v>60.7</v>
      </c>
      <c r="Q60" s="76">
        <v>60.7</v>
      </c>
      <c r="R60" s="76">
        <v>60.7</v>
      </c>
      <c r="S60" s="76">
        <v>60.7</v>
      </c>
      <c r="T60" s="76">
        <v>60.7</v>
      </c>
      <c r="U60" s="76">
        <v>60.7</v>
      </c>
      <c r="V60" s="76">
        <v>60.7</v>
      </c>
      <c r="W60" s="76">
        <v>60.7</v>
      </c>
      <c r="X60" s="76">
        <v>60.7</v>
      </c>
      <c r="Y60" s="76">
        <v>60.7</v>
      </c>
      <c r="Z60" s="76">
        <v>60.7</v>
      </c>
      <c r="AA60" s="76">
        <v>60.7</v>
      </c>
      <c r="AB60" s="76">
        <v>39.4</v>
      </c>
      <c r="AC60" s="76">
        <v>40.5</v>
      </c>
      <c r="AD60" s="76">
        <v>39.5</v>
      </c>
      <c r="AE60" s="76">
        <v>34.6</v>
      </c>
      <c r="AF60" s="76">
        <v>36.700000000000003</v>
      </c>
      <c r="AG60" s="66">
        <v>60</v>
      </c>
      <c r="AH60" s="48">
        <f t="shared" si="8"/>
        <v>60.7</v>
      </c>
      <c r="AI60" s="49">
        <f t="shared" si="9"/>
        <v>27</v>
      </c>
      <c r="AK60" s="51"/>
    </row>
    <row r="61" spans="1:88" ht="15.75" thickBot="1" x14ac:dyDescent="0.3">
      <c r="A61" s="77" t="s">
        <v>78</v>
      </c>
      <c r="B61" s="78">
        <v>22.5</v>
      </c>
      <c r="C61" s="78">
        <v>22.5</v>
      </c>
      <c r="D61" s="78">
        <v>22.5</v>
      </c>
      <c r="E61" s="78">
        <v>22.5</v>
      </c>
      <c r="F61" s="78">
        <v>22.5</v>
      </c>
      <c r="G61" s="78">
        <v>22.5</v>
      </c>
      <c r="H61" s="78">
        <v>22.5</v>
      </c>
      <c r="I61" s="78">
        <v>22.5</v>
      </c>
      <c r="J61" s="78">
        <v>22.5</v>
      </c>
      <c r="K61" s="78">
        <v>22.5</v>
      </c>
      <c r="L61" s="78">
        <v>22.5</v>
      </c>
      <c r="M61" s="78">
        <v>22.5</v>
      </c>
      <c r="N61" s="78">
        <v>22.5</v>
      </c>
      <c r="O61" s="78">
        <v>22.5</v>
      </c>
      <c r="P61" s="78">
        <v>22.5</v>
      </c>
      <c r="Q61" s="78">
        <v>22.5</v>
      </c>
      <c r="R61" s="78">
        <v>22.5</v>
      </c>
      <c r="S61" s="78">
        <v>22.5</v>
      </c>
      <c r="T61" s="78">
        <v>22.5</v>
      </c>
      <c r="U61" s="78">
        <v>22.5</v>
      </c>
      <c r="V61" s="78">
        <v>22.5</v>
      </c>
      <c r="W61" s="78">
        <v>22.5</v>
      </c>
      <c r="X61" s="78">
        <v>22.5</v>
      </c>
      <c r="Y61" s="78">
        <v>22.5</v>
      </c>
      <c r="Z61" s="78">
        <v>22.5</v>
      </c>
      <c r="AA61" s="78">
        <v>22.5</v>
      </c>
      <c r="AB61" s="78">
        <v>22.4</v>
      </c>
      <c r="AC61" s="78">
        <v>22.4</v>
      </c>
      <c r="AD61" s="78">
        <v>22.4</v>
      </c>
      <c r="AE61" s="78">
        <v>22.4</v>
      </c>
      <c r="AF61" s="78">
        <v>22.4</v>
      </c>
      <c r="AG61" s="79">
        <v>22.1</v>
      </c>
      <c r="AH61" s="48">
        <f t="shared" si="8"/>
        <v>22.5</v>
      </c>
      <c r="AI61" s="49">
        <f t="shared" si="9"/>
        <v>22.4</v>
      </c>
      <c r="AK61" s="51"/>
    </row>
    <row r="62" spans="1:88" ht="15.75" thickBot="1" x14ac:dyDescent="0.3">
      <c r="A62" s="80" t="s">
        <v>79</v>
      </c>
      <c r="B62" s="71">
        <f t="shared" ref="B62:C62" si="30">SUM(B59:B61)</f>
        <v>229.5</v>
      </c>
      <c r="C62" s="71">
        <f t="shared" si="30"/>
        <v>201.5</v>
      </c>
      <c r="D62" s="71">
        <f t="shared" ref="D62:AG62" si="31">SUM(D59:D61)</f>
        <v>290.5</v>
      </c>
      <c r="E62" s="71">
        <f t="shared" si="31"/>
        <v>247.5</v>
      </c>
      <c r="F62" s="71">
        <f t="shared" si="31"/>
        <v>389.5</v>
      </c>
      <c r="G62" s="71">
        <f t="shared" si="31"/>
        <v>389.5</v>
      </c>
      <c r="H62" s="71">
        <f t="shared" si="31"/>
        <v>389.5</v>
      </c>
      <c r="I62" s="71">
        <f t="shared" si="31"/>
        <v>504.5</v>
      </c>
      <c r="J62" s="71">
        <f t="shared" si="31"/>
        <v>540.5</v>
      </c>
      <c r="K62" s="71">
        <f t="shared" si="31"/>
        <v>540.5</v>
      </c>
      <c r="L62" s="71">
        <f t="shared" si="31"/>
        <v>492.5</v>
      </c>
      <c r="M62" s="71">
        <f t="shared" si="31"/>
        <v>336.6</v>
      </c>
      <c r="N62" s="71">
        <f t="shared" si="31"/>
        <v>336.2</v>
      </c>
      <c r="O62" s="71">
        <f t="shared" si="31"/>
        <v>424.2</v>
      </c>
      <c r="P62" s="71">
        <f t="shared" si="31"/>
        <v>424.2</v>
      </c>
      <c r="Q62" s="71">
        <f t="shared" si="31"/>
        <v>235.2</v>
      </c>
      <c r="R62" s="71">
        <f t="shared" ref="R62:T62" si="32">SUM(R59:R61)</f>
        <v>235.2</v>
      </c>
      <c r="S62" s="71">
        <f t="shared" si="32"/>
        <v>235.2</v>
      </c>
      <c r="T62" s="71">
        <f t="shared" si="32"/>
        <v>427.2</v>
      </c>
      <c r="U62" s="71">
        <f t="shared" ref="U62:V62" si="33">SUM(U59:U61)</f>
        <v>376.7</v>
      </c>
      <c r="V62" s="71">
        <f t="shared" si="33"/>
        <v>312.39999999999998</v>
      </c>
      <c r="W62" s="71">
        <f t="shared" ref="W62:X62" si="34">SUM(W59:W61)</f>
        <v>234.2</v>
      </c>
      <c r="X62" s="71">
        <f t="shared" si="34"/>
        <v>175.8</v>
      </c>
      <c r="Y62" s="71">
        <f t="shared" ref="Y62:AA62" si="35">SUM(Y59:Y61)</f>
        <v>143.69999999999999</v>
      </c>
      <c r="Z62" s="71">
        <f t="shared" si="35"/>
        <v>183.8</v>
      </c>
      <c r="AA62" s="71">
        <f t="shared" si="35"/>
        <v>183.8</v>
      </c>
      <c r="AB62" s="71">
        <f t="shared" si="31"/>
        <v>363.49999999999994</v>
      </c>
      <c r="AC62" s="71">
        <f t="shared" si="31"/>
        <v>404.9</v>
      </c>
      <c r="AD62" s="71">
        <f t="shared" si="31"/>
        <v>403.59999999999997</v>
      </c>
      <c r="AE62" s="71">
        <f t="shared" si="31"/>
        <v>359</v>
      </c>
      <c r="AF62" s="71">
        <f t="shared" si="31"/>
        <v>310.7</v>
      </c>
      <c r="AG62" s="72">
        <f t="shared" si="31"/>
        <v>538.1</v>
      </c>
      <c r="AH62" s="48">
        <f t="shared" si="8"/>
        <v>540.5</v>
      </c>
      <c r="AI62" s="49">
        <f t="shared" si="9"/>
        <v>143.69999999999999</v>
      </c>
      <c r="AK62" s="51"/>
    </row>
    <row r="63" spans="1:88" x14ac:dyDescent="0.25">
      <c r="A63" s="45" t="s">
        <v>80</v>
      </c>
      <c r="B63" s="46">
        <v>101</v>
      </c>
      <c r="C63" s="46">
        <v>101</v>
      </c>
      <c r="D63" s="46">
        <v>105</v>
      </c>
      <c r="E63" s="46">
        <v>105</v>
      </c>
      <c r="F63" s="46">
        <v>105</v>
      </c>
      <c r="G63" s="46">
        <v>105</v>
      </c>
      <c r="H63" s="46">
        <v>105</v>
      </c>
      <c r="I63" s="46">
        <v>117</v>
      </c>
      <c r="J63" s="46">
        <v>121</v>
      </c>
      <c r="K63" s="46">
        <v>130</v>
      </c>
      <c r="L63" s="46">
        <v>135.6</v>
      </c>
      <c r="M63" s="46">
        <v>135.1</v>
      </c>
      <c r="N63" s="46">
        <v>0</v>
      </c>
      <c r="O63" s="46">
        <v>19.5</v>
      </c>
      <c r="P63" s="46">
        <v>19.5</v>
      </c>
      <c r="Q63" s="46">
        <v>19.5</v>
      </c>
      <c r="R63" s="46">
        <v>19.5</v>
      </c>
      <c r="S63" s="46">
        <v>19.5</v>
      </c>
      <c r="T63" s="46">
        <v>19.5</v>
      </c>
      <c r="U63" s="46">
        <v>19.5</v>
      </c>
      <c r="V63" s="46">
        <v>19.5</v>
      </c>
      <c r="W63" s="46">
        <v>19.5</v>
      </c>
      <c r="X63" s="46">
        <v>24.4</v>
      </c>
      <c r="Y63" s="46">
        <v>24.4</v>
      </c>
      <c r="Z63" s="46">
        <v>62.4</v>
      </c>
      <c r="AA63" s="46">
        <v>95.3</v>
      </c>
      <c r="AB63" s="46">
        <v>95.3</v>
      </c>
      <c r="AC63" s="46">
        <v>121.4</v>
      </c>
      <c r="AD63" s="46">
        <v>127.6</v>
      </c>
      <c r="AE63" s="46">
        <v>136</v>
      </c>
      <c r="AF63" s="46">
        <v>136</v>
      </c>
      <c r="AG63" s="61">
        <v>144</v>
      </c>
      <c r="AH63" s="48">
        <f t="shared" si="8"/>
        <v>136</v>
      </c>
      <c r="AI63" s="49">
        <f t="shared" si="9"/>
        <v>0</v>
      </c>
      <c r="AK63" s="51"/>
    </row>
    <row r="64" spans="1:88" x14ac:dyDescent="0.25">
      <c r="A64" s="65" t="s">
        <v>81</v>
      </c>
      <c r="B64" s="76">
        <v>60</v>
      </c>
      <c r="C64" s="76">
        <v>60</v>
      </c>
      <c r="D64" s="76">
        <v>61</v>
      </c>
      <c r="E64" s="76">
        <v>66.599999999999994</v>
      </c>
      <c r="F64" s="76">
        <v>66</v>
      </c>
      <c r="G64" s="76">
        <v>65</v>
      </c>
      <c r="H64" s="76">
        <v>65</v>
      </c>
      <c r="I64" s="76">
        <v>64</v>
      </c>
      <c r="J64" s="76">
        <v>64.7</v>
      </c>
      <c r="K64" s="76">
        <v>64</v>
      </c>
      <c r="L64" s="76">
        <v>66.8</v>
      </c>
      <c r="M64" s="76">
        <v>66.2</v>
      </c>
      <c r="N64" s="76">
        <v>65</v>
      </c>
      <c r="O64" s="76">
        <v>65</v>
      </c>
      <c r="P64" s="76">
        <v>65</v>
      </c>
      <c r="Q64" s="76">
        <v>65</v>
      </c>
      <c r="R64" s="76">
        <v>65</v>
      </c>
      <c r="S64" s="76">
        <v>65</v>
      </c>
      <c r="T64" s="76">
        <v>65</v>
      </c>
      <c r="U64" s="76">
        <v>65</v>
      </c>
      <c r="V64" s="76">
        <v>62.6</v>
      </c>
      <c r="W64" s="76">
        <v>62.6</v>
      </c>
      <c r="X64" s="76">
        <v>63.7</v>
      </c>
      <c r="Y64" s="76">
        <v>63.7</v>
      </c>
      <c r="Z64" s="76">
        <v>63.7</v>
      </c>
      <c r="AA64" s="46">
        <v>58.2</v>
      </c>
      <c r="AB64" s="46">
        <v>58.2</v>
      </c>
      <c r="AC64" s="46">
        <v>65.3</v>
      </c>
      <c r="AD64" s="46">
        <v>65.8</v>
      </c>
      <c r="AE64" s="46">
        <v>65</v>
      </c>
      <c r="AF64" s="46">
        <v>65.400000000000006</v>
      </c>
      <c r="AG64" s="66">
        <v>70</v>
      </c>
      <c r="AH64" s="48">
        <f t="shared" si="8"/>
        <v>66.8</v>
      </c>
      <c r="AI64" s="49">
        <f t="shared" si="9"/>
        <v>58.2</v>
      </c>
      <c r="AK64" s="51"/>
    </row>
    <row r="65" spans="1:75" x14ac:dyDescent="0.25">
      <c r="A65" s="65" t="s">
        <v>82</v>
      </c>
      <c r="B65" s="76">
        <v>63</v>
      </c>
      <c r="C65" s="76">
        <v>63</v>
      </c>
      <c r="D65" s="76">
        <v>62.2</v>
      </c>
      <c r="E65" s="76">
        <v>62.3</v>
      </c>
      <c r="F65" s="76">
        <v>55.9</v>
      </c>
      <c r="G65" s="76">
        <v>33</v>
      </c>
      <c r="H65" s="76">
        <v>33</v>
      </c>
      <c r="I65" s="76">
        <v>68</v>
      </c>
      <c r="J65" s="76">
        <v>56</v>
      </c>
      <c r="K65" s="76">
        <v>55</v>
      </c>
      <c r="L65" s="76">
        <v>69</v>
      </c>
      <c r="M65" s="76">
        <v>69.900000000000006</v>
      </c>
      <c r="N65" s="76">
        <v>70</v>
      </c>
      <c r="O65" s="76">
        <v>69</v>
      </c>
      <c r="P65" s="76">
        <v>69</v>
      </c>
      <c r="Q65" s="76">
        <v>69</v>
      </c>
      <c r="R65" s="76">
        <v>69</v>
      </c>
      <c r="S65" s="76">
        <v>69</v>
      </c>
      <c r="T65" s="76">
        <v>69</v>
      </c>
      <c r="U65" s="76">
        <v>69</v>
      </c>
      <c r="V65" s="76">
        <v>69</v>
      </c>
      <c r="W65" s="76">
        <v>69</v>
      </c>
      <c r="X65" s="76">
        <v>69</v>
      </c>
      <c r="Y65" s="76">
        <v>69</v>
      </c>
      <c r="Z65" s="76">
        <v>69</v>
      </c>
      <c r="AA65" s="46">
        <v>70.3</v>
      </c>
      <c r="AB65" s="46">
        <v>70.3</v>
      </c>
      <c r="AC65" s="46">
        <v>70.599999999999994</v>
      </c>
      <c r="AD65" s="46">
        <v>70</v>
      </c>
      <c r="AE65" s="46">
        <v>69.7</v>
      </c>
      <c r="AF65" s="46">
        <v>69.599999999999994</v>
      </c>
      <c r="AG65" s="66">
        <v>69</v>
      </c>
      <c r="AH65" s="48">
        <f t="shared" si="8"/>
        <v>70.599999999999994</v>
      </c>
      <c r="AI65" s="49">
        <f t="shared" si="9"/>
        <v>33</v>
      </c>
      <c r="AK65" s="51"/>
    </row>
    <row r="66" spans="1:75" x14ac:dyDescent="0.25">
      <c r="A66" s="65" t="s">
        <v>83</v>
      </c>
      <c r="B66" s="76">
        <v>60.9</v>
      </c>
      <c r="C66" s="76">
        <v>60.9</v>
      </c>
      <c r="D66" s="76">
        <v>60.4</v>
      </c>
      <c r="E66" s="76">
        <v>60.4</v>
      </c>
      <c r="F66" s="76">
        <v>60.4</v>
      </c>
      <c r="G66" s="76">
        <v>60.4</v>
      </c>
      <c r="H66" s="76">
        <v>60.4</v>
      </c>
      <c r="I66" s="76">
        <v>60.4</v>
      </c>
      <c r="J66" s="76">
        <v>60.4</v>
      </c>
      <c r="K66" s="68">
        <v>60.4</v>
      </c>
      <c r="L66" s="68">
        <v>60</v>
      </c>
      <c r="M66" s="76">
        <v>60.4</v>
      </c>
      <c r="N66" s="76">
        <v>60.4</v>
      </c>
      <c r="O66" s="76">
        <v>60.4</v>
      </c>
      <c r="P66" s="76">
        <v>60.4</v>
      </c>
      <c r="Q66" s="76">
        <v>60.4</v>
      </c>
      <c r="R66" s="76">
        <v>60.4</v>
      </c>
      <c r="S66" s="76">
        <v>60.4</v>
      </c>
      <c r="T66" s="76">
        <v>60.4</v>
      </c>
      <c r="U66" s="76">
        <v>60.4</v>
      </c>
      <c r="V66" s="76">
        <v>60.4</v>
      </c>
      <c r="W66" s="76">
        <v>60.4</v>
      </c>
      <c r="X66" s="76">
        <v>60.4</v>
      </c>
      <c r="Y66" s="76">
        <v>60.4</v>
      </c>
      <c r="Z66" s="76">
        <v>60.4</v>
      </c>
      <c r="AA66" s="46">
        <v>60.4</v>
      </c>
      <c r="AB66" s="46">
        <v>60.4</v>
      </c>
      <c r="AC66" s="46">
        <v>61.2</v>
      </c>
      <c r="AD66" s="46">
        <v>61.2</v>
      </c>
      <c r="AE66" s="46">
        <v>61.2</v>
      </c>
      <c r="AF66" s="46">
        <v>61.2</v>
      </c>
      <c r="AG66" s="66">
        <v>60</v>
      </c>
      <c r="AH66" s="48">
        <f t="shared" si="8"/>
        <v>61.2</v>
      </c>
      <c r="AI66" s="49">
        <f t="shared" si="9"/>
        <v>60</v>
      </c>
      <c r="AK66" s="51"/>
    </row>
    <row r="67" spans="1:75" x14ac:dyDescent="0.25">
      <c r="A67" s="65" t="s">
        <v>84</v>
      </c>
      <c r="B67" s="46">
        <v>14</v>
      </c>
      <c r="C67" s="46">
        <v>0</v>
      </c>
      <c r="D67" s="46">
        <v>0</v>
      </c>
      <c r="E67" s="46">
        <v>0</v>
      </c>
      <c r="F67" s="46">
        <v>0</v>
      </c>
      <c r="G67" s="76">
        <v>23.9</v>
      </c>
      <c r="H67" s="76">
        <v>23.9</v>
      </c>
      <c r="I67" s="76">
        <v>23.9</v>
      </c>
      <c r="J67" s="76">
        <v>23.9</v>
      </c>
      <c r="K67" s="76">
        <v>26.7</v>
      </c>
      <c r="L67" s="68">
        <v>28</v>
      </c>
      <c r="M67" s="76">
        <v>28.2</v>
      </c>
      <c r="N67" s="76">
        <v>27</v>
      </c>
      <c r="O67" s="76">
        <v>27</v>
      </c>
      <c r="P67" s="76">
        <v>27</v>
      </c>
      <c r="Q67" s="76">
        <v>14</v>
      </c>
      <c r="R67" s="76">
        <v>14</v>
      </c>
      <c r="S67" s="76">
        <v>14</v>
      </c>
      <c r="T67" s="76">
        <v>14</v>
      </c>
      <c r="U67" s="76">
        <v>14</v>
      </c>
      <c r="V67" s="76">
        <v>0</v>
      </c>
      <c r="W67" s="76">
        <v>0</v>
      </c>
      <c r="X67" s="76">
        <v>0</v>
      </c>
      <c r="Y67" s="76">
        <v>0</v>
      </c>
      <c r="Z67" s="76">
        <v>0</v>
      </c>
      <c r="AA67" s="46">
        <v>0</v>
      </c>
      <c r="AB67" s="46">
        <v>10</v>
      </c>
      <c r="AC67" s="46">
        <v>10.4</v>
      </c>
      <c r="AD67" s="46">
        <v>10.5</v>
      </c>
      <c r="AE67" s="46">
        <v>10.5</v>
      </c>
      <c r="AF67" s="46">
        <v>24.3</v>
      </c>
      <c r="AG67" s="66">
        <v>30</v>
      </c>
      <c r="AH67" s="48">
        <f t="shared" si="8"/>
        <v>28.2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2.2000000000000002</v>
      </c>
      <c r="K68" s="46">
        <v>3.2</v>
      </c>
      <c r="L68" s="76">
        <v>5.3</v>
      </c>
      <c r="M68" s="76">
        <v>8.1999999999999993</v>
      </c>
      <c r="N68" s="76">
        <v>8.1999999999999993</v>
      </c>
      <c r="O68" s="76">
        <v>8.1999999999999993</v>
      </c>
      <c r="P68" s="76">
        <v>8.1999999999999993</v>
      </c>
      <c r="Q68" s="76">
        <v>8.1999999999999993</v>
      </c>
      <c r="R68" s="76">
        <v>8.1999999999999993</v>
      </c>
      <c r="S68" s="76">
        <v>6.2</v>
      </c>
      <c r="T68" s="76">
        <v>5</v>
      </c>
      <c r="U68" s="76">
        <v>4.8</v>
      </c>
      <c r="V68" s="76">
        <v>2.9</v>
      </c>
      <c r="W68" s="76">
        <v>1</v>
      </c>
      <c r="X68" s="76">
        <v>0.7</v>
      </c>
      <c r="Y68" s="76">
        <v>0</v>
      </c>
      <c r="Z68" s="7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8.1999999999999993</v>
      </c>
      <c r="AI68" s="49">
        <f t="shared" si="9"/>
        <v>0</v>
      </c>
      <c r="AK68" s="51"/>
      <c r="AY68" s="1" t="s">
        <v>86</v>
      </c>
      <c r="AZ68" s="82">
        <f>ROUND(C81,0)</f>
        <v>20</v>
      </c>
      <c r="BA68" s="81">
        <f t="shared" ref="BA68:BD72" si="36">D81</f>
        <v>21.8</v>
      </c>
      <c r="BB68" s="81">
        <f t="shared" si="36"/>
        <v>20</v>
      </c>
      <c r="BC68" s="81">
        <f t="shared" si="36"/>
        <v>19</v>
      </c>
      <c r="BD68" s="81">
        <f t="shared" si="36"/>
        <v>10</v>
      </c>
      <c r="BE68" s="82">
        <f>I81</f>
        <v>18</v>
      </c>
      <c r="BF68" s="82">
        <f>K81</f>
        <v>61</v>
      </c>
      <c r="BG68" s="82">
        <f t="shared" ref="BG68:BP72" si="37">M81</f>
        <v>55</v>
      </c>
      <c r="BH68" s="82">
        <f t="shared" si="37"/>
        <v>64</v>
      </c>
      <c r="BI68" s="82">
        <f t="shared" si="37"/>
        <v>62</v>
      </c>
      <c r="BJ68" s="82">
        <f t="shared" si="37"/>
        <v>73</v>
      </c>
      <c r="BK68" s="82">
        <f t="shared" si="37"/>
        <v>74</v>
      </c>
      <c r="BL68" s="82">
        <f t="shared" si="37"/>
        <v>74</v>
      </c>
      <c r="BM68" s="82">
        <f t="shared" si="37"/>
        <v>74</v>
      </c>
      <c r="BN68" s="82">
        <f t="shared" si="37"/>
        <v>68.900000000000006</v>
      </c>
      <c r="BO68" s="82">
        <f t="shared" si="37"/>
        <v>54.4</v>
      </c>
      <c r="BP68" s="82">
        <f t="shared" si="37"/>
        <v>73.8</v>
      </c>
      <c r="BQ68" s="82">
        <f>X81</f>
        <v>53.3</v>
      </c>
      <c r="BR68" s="82">
        <f>Z81</f>
        <v>44.3</v>
      </c>
      <c r="BS68" s="81">
        <f>AB81</f>
        <v>19.100000000000001</v>
      </c>
      <c r="BT68" s="81">
        <f t="shared" ref="BT68:BV72" si="38">AD81</f>
        <v>12.6</v>
      </c>
      <c r="BU68" s="81">
        <f t="shared" si="38"/>
        <v>13.5</v>
      </c>
      <c r="BV68" s="81">
        <f t="shared" si="38"/>
        <v>29.9</v>
      </c>
      <c r="BW68" s="81">
        <f>B81</f>
        <v>14</v>
      </c>
    </row>
    <row r="69" spans="1:75" x14ac:dyDescent="0.25">
      <c r="A69" s="65" t="s">
        <v>87</v>
      </c>
      <c r="B69" s="76">
        <v>11.6</v>
      </c>
      <c r="C69" s="76">
        <v>11.6</v>
      </c>
      <c r="D69" s="76">
        <v>12.5</v>
      </c>
      <c r="E69" s="76">
        <v>12.5</v>
      </c>
      <c r="F69" s="76">
        <v>12.5</v>
      </c>
      <c r="G69" s="76">
        <v>12.4</v>
      </c>
      <c r="H69" s="76">
        <v>12.4</v>
      </c>
      <c r="I69" s="76">
        <v>12.4</v>
      </c>
      <c r="J69" s="76">
        <v>12.4</v>
      </c>
      <c r="K69" s="76">
        <v>12.4</v>
      </c>
      <c r="L69" s="76">
        <v>12.4</v>
      </c>
      <c r="M69" s="76">
        <v>12.7</v>
      </c>
      <c r="N69" s="76">
        <v>12.7</v>
      </c>
      <c r="O69" s="76">
        <v>12.7</v>
      </c>
      <c r="P69" s="76">
        <v>12.7</v>
      </c>
      <c r="Q69" s="76">
        <v>12.7</v>
      </c>
      <c r="R69" s="76">
        <v>12.7</v>
      </c>
      <c r="S69" s="76">
        <v>12.7</v>
      </c>
      <c r="T69" s="76">
        <v>12.7</v>
      </c>
      <c r="U69" s="76">
        <v>12.7</v>
      </c>
      <c r="V69" s="76">
        <v>12.7</v>
      </c>
      <c r="W69" s="76">
        <v>12.7</v>
      </c>
      <c r="X69" s="76">
        <v>12.7</v>
      </c>
      <c r="Y69" s="76">
        <v>12.7</v>
      </c>
      <c r="Z69" s="76">
        <v>12.7</v>
      </c>
      <c r="AA69" s="76">
        <v>12.7</v>
      </c>
      <c r="AB69" s="76">
        <v>12.7</v>
      </c>
      <c r="AC69" s="76">
        <v>12.7</v>
      </c>
      <c r="AD69" s="76">
        <v>16.2</v>
      </c>
      <c r="AE69" s="76">
        <v>16.2</v>
      </c>
      <c r="AF69" s="76">
        <v>15.7</v>
      </c>
      <c r="AG69" s="66">
        <v>24</v>
      </c>
      <c r="AH69" s="48">
        <f t="shared" si="8"/>
        <v>16.2</v>
      </c>
      <c r="AI69" s="49">
        <f t="shared" si="9"/>
        <v>11.6</v>
      </c>
      <c r="AK69" s="51"/>
      <c r="AY69" s="1" t="s">
        <v>88</v>
      </c>
      <c r="AZ69" s="82">
        <f>ROUND(C82,0)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I82</f>
        <v>0</v>
      </c>
      <c r="BF69" s="82">
        <f>K82</f>
        <v>0</v>
      </c>
      <c r="BG69" s="82">
        <f t="shared" si="37"/>
        <v>102</v>
      </c>
      <c r="BH69" s="82">
        <f t="shared" si="37"/>
        <v>103</v>
      </c>
      <c r="BI69" s="82">
        <f t="shared" si="37"/>
        <v>65</v>
      </c>
      <c r="BJ69" s="82">
        <f t="shared" si="37"/>
        <v>95</v>
      </c>
      <c r="BK69" s="82">
        <f t="shared" si="37"/>
        <v>95</v>
      </c>
      <c r="BL69" s="82">
        <f t="shared" si="37"/>
        <v>92</v>
      </c>
      <c r="BM69" s="82">
        <f t="shared" si="37"/>
        <v>92</v>
      </c>
      <c r="BN69" s="82">
        <f t="shared" si="37"/>
        <v>0</v>
      </c>
      <c r="BO69" s="82">
        <f t="shared" si="37"/>
        <v>99.4</v>
      </c>
      <c r="BP69" s="82">
        <f t="shared" si="37"/>
        <v>84.9</v>
      </c>
      <c r="BQ69" s="82">
        <f>X82</f>
        <v>64.8</v>
      </c>
      <c r="BR69" s="82">
        <f>Z82</f>
        <v>0</v>
      </c>
      <c r="BS69" s="81">
        <f>AB82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B82</f>
        <v>0</v>
      </c>
    </row>
    <row r="70" spans="1:75" x14ac:dyDescent="0.25">
      <c r="A70" s="65" t="s">
        <v>89</v>
      </c>
      <c r="B70" s="76">
        <v>1.6</v>
      </c>
      <c r="C70" s="76">
        <v>1.6</v>
      </c>
      <c r="D70" s="76">
        <v>1.6</v>
      </c>
      <c r="E70" s="76">
        <v>1.6</v>
      </c>
      <c r="F70" s="76">
        <v>1.6</v>
      </c>
      <c r="G70" s="76">
        <v>1.6</v>
      </c>
      <c r="H70" s="76">
        <v>1.6</v>
      </c>
      <c r="I70" s="76">
        <v>1.6</v>
      </c>
      <c r="J70" s="76">
        <v>1.6</v>
      </c>
      <c r="K70" s="76">
        <v>1.6</v>
      </c>
      <c r="L70" s="76">
        <v>1.6</v>
      </c>
      <c r="M70" s="76">
        <v>1.6</v>
      </c>
      <c r="N70" s="76">
        <v>1.6</v>
      </c>
      <c r="O70" s="76">
        <v>1.6</v>
      </c>
      <c r="P70" s="76">
        <v>1.6</v>
      </c>
      <c r="Q70" s="76">
        <v>1.6</v>
      </c>
      <c r="R70" s="76">
        <v>1.6</v>
      </c>
      <c r="S70" s="76">
        <v>1.6</v>
      </c>
      <c r="T70" s="76">
        <v>1.6</v>
      </c>
      <c r="U70" s="76">
        <v>1.6</v>
      </c>
      <c r="V70" s="76">
        <v>1.6</v>
      </c>
      <c r="W70" s="76">
        <v>1.6</v>
      </c>
      <c r="X70" s="76">
        <v>1.6</v>
      </c>
      <c r="Y70" s="76">
        <v>1.6</v>
      </c>
      <c r="Z70" s="76">
        <v>1.6</v>
      </c>
      <c r="AA70" s="76">
        <v>1.6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66">
        <v>15</v>
      </c>
      <c r="AH70" s="48">
        <f t="shared" si="8"/>
        <v>1.6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36"/>
        <v>0</v>
      </c>
      <c r="BB70" s="81">
        <f t="shared" si="36"/>
        <v>-97</v>
      </c>
      <c r="BC70" s="81">
        <f t="shared" si="36"/>
        <v>-180</v>
      </c>
      <c r="BD70" s="81">
        <f t="shared" si="36"/>
        <v>-284</v>
      </c>
      <c r="BE70" s="82">
        <f>I83</f>
        <v>-345</v>
      </c>
      <c r="BF70" s="82">
        <f>K83</f>
        <v>-260</v>
      </c>
      <c r="BG70" s="82">
        <f t="shared" si="37"/>
        <v>-158</v>
      </c>
      <c r="BH70" s="82">
        <f t="shared" si="37"/>
        <v>-188</v>
      </c>
      <c r="BI70" s="82">
        <f t="shared" si="37"/>
        <v>-86</v>
      </c>
      <c r="BJ70" s="82">
        <f t="shared" si="37"/>
        <v>98</v>
      </c>
      <c r="BK70" s="82">
        <f t="shared" si="37"/>
        <v>100</v>
      </c>
      <c r="BL70" s="82">
        <f t="shared" si="37"/>
        <v>92</v>
      </c>
      <c r="BM70" s="82">
        <f t="shared" si="37"/>
        <v>-89</v>
      </c>
      <c r="BN70" s="82">
        <f t="shared" si="37"/>
        <v>-80.599999999999994</v>
      </c>
      <c r="BO70" s="82">
        <f t="shared" si="37"/>
        <v>58.6</v>
      </c>
      <c r="BP70" s="82">
        <f t="shared" si="37"/>
        <v>24.4</v>
      </c>
      <c r="BQ70" s="82">
        <f>X83</f>
        <v>94</v>
      </c>
      <c r="BR70" s="82">
        <f>Z83</f>
        <v>117.3</v>
      </c>
      <c r="BS70" s="81">
        <f>AB83</f>
        <v>0</v>
      </c>
      <c r="BT70" s="81">
        <f t="shared" si="38"/>
        <v>0</v>
      </c>
      <c r="BU70" s="81">
        <f t="shared" si="38"/>
        <v>0</v>
      </c>
      <c r="BV70" s="81">
        <f t="shared" si="38"/>
        <v>9</v>
      </c>
      <c r="BW70" s="81">
        <f>B83</f>
        <v>0</v>
      </c>
    </row>
    <row r="71" spans="1:75" s="83" customFormat="1" x14ac:dyDescent="0.25">
      <c r="A71" s="65" t="s">
        <v>91</v>
      </c>
      <c r="B71" s="76">
        <v>8.6</v>
      </c>
      <c r="C71" s="76">
        <v>8.6</v>
      </c>
      <c r="D71" s="76">
        <v>9.4</v>
      </c>
      <c r="E71" s="76">
        <v>9.4</v>
      </c>
      <c r="F71" s="76">
        <v>9.4</v>
      </c>
      <c r="G71" s="76">
        <v>9.4</v>
      </c>
      <c r="H71" s="76">
        <v>9.4</v>
      </c>
      <c r="I71" s="76">
        <v>9.4</v>
      </c>
      <c r="J71" s="76">
        <v>9.4</v>
      </c>
      <c r="K71" s="76">
        <v>9.4</v>
      </c>
      <c r="L71" s="76">
        <v>9.4</v>
      </c>
      <c r="M71" s="76">
        <v>9.4</v>
      </c>
      <c r="N71" s="76">
        <v>9.4</v>
      </c>
      <c r="O71" s="76">
        <v>9.4</v>
      </c>
      <c r="P71" s="76">
        <v>9.4</v>
      </c>
      <c r="Q71" s="76">
        <v>9.4</v>
      </c>
      <c r="R71" s="76">
        <v>9.4</v>
      </c>
      <c r="S71" s="76">
        <v>9.4</v>
      </c>
      <c r="T71" s="76">
        <v>9.4</v>
      </c>
      <c r="U71" s="76">
        <v>9.4</v>
      </c>
      <c r="V71" s="76">
        <v>9.4</v>
      </c>
      <c r="W71" s="76">
        <v>9.4</v>
      </c>
      <c r="X71" s="76">
        <v>9.4</v>
      </c>
      <c r="Y71" s="76">
        <v>9.4</v>
      </c>
      <c r="Z71" s="76">
        <v>9.4</v>
      </c>
      <c r="AA71" s="76">
        <v>9.4</v>
      </c>
      <c r="AB71" s="76">
        <v>9.4</v>
      </c>
      <c r="AC71" s="76">
        <v>9.4</v>
      </c>
      <c r="AD71" s="76">
        <v>12.9</v>
      </c>
      <c r="AE71" s="76">
        <v>12.9</v>
      </c>
      <c r="AF71" s="76">
        <v>13.6</v>
      </c>
      <c r="AG71" s="66">
        <v>14.1</v>
      </c>
      <c r="AH71" s="48">
        <f t="shared" si="8"/>
        <v>13.6</v>
      </c>
      <c r="AI71" s="49">
        <f t="shared" si="9"/>
        <v>8.6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36"/>
        <v>0</v>
      </c>
      <c r="BB71" s="81">
        <f t="shared" si="36"/>
        <v>0</v>
      </c>
      <c r="BC71" s="81">
        <f t="shared" si="36"/>
        <v>0</v>
      </c>
      <c r="BD71" s="81">
        <f t="shared" si="36"/>
        <v>0</v>
      </c>
      <c r="BE71" s="82">
        <f>I84</f>
        <v>0</v>
      </c>
      <c r="BF71" s="82">
        <f>K84</f>
        <v>0</v>
      </c>
      <c r="BG71" s="82">
        <f t="shared" si="37"/>
        <v>27.4</v>
      </c>
      <c r="BH71" s="82">
        <f t="shared" si="37"/>
        <v>27</v>
      </c>
      <c r="BI71" s="82">
        <f t="shared" si="37"/>
        <v>36</v>
      </c>
      <c r="BJ71" s="82">
        <f t="shared" si="37"/>
        <v>36</v>
      </c>
      <c r="BK71" s="82">
        <f t="shared" si="37"/>
        <v>37</v>
      </c>
      <c r="BL71" s="82">
        <f t="shared" si="37"/>
        <v>36</v>
      </c>
      <c r="BM71" s="82">
        <f t="shared" si="37"/>
        <v>36</v>
      </c>
      <c r="BN71" s="82">
        <f t="shared" si="37"/>
        <v>45.8</v>
      </c>
      <c r="BO71" s="82">
        <f t="shared" si="37"/>
        <v>52.6</v>
      </c>
      <c r="BP71" s="82">
        <f t="shared" si="37"/>
        <v>55.5</v>
      </c>
      <c r="BQ71" s="82">
        <f>X84</f>
        <v>53.3</v>
      </c>
      <c r="BR71" s="82">
        <f>Z84</f>
        <v>45.2</v>
      </c>
      <c r="BS71" s="81">
        <f>AB84</f>
        <v>14.7</v>
      </c>
      <c r="BT71" s="81">
        <f t="shared" si="38"/>
        <v>15.2</v>
      </c>
      <c r="BU71" s="81">
        <f t="shared" si="38"/>
        <v>15.9</v>
      </c>
      <c r="BV71" s="81">
        <f t="shared" si="38"/>
        <v>18</v>
      </c>
      <c r="BW71" s="81">
        <f>B84</f>
        <v>0</v>
      </c>
    </row>
    <row r="72" spans="1:75" x14ac:dyDescent="0.25">
      <c r="A72" s="84" t="s">
        <v>93</v>
      </c>
      <c r="B72" s="76">
        <v>14.1</v>
      </c>
      <c r="C72" s="76">
        <v>14.1</v>
      </c>
      <c r="D72" s="76">
        <v>12</v>
      </c>
      <c r="E72" s="76">
        <v>12</v>
      </c>
      <c r="F72" s="76">
        <v>12</v>
      </c>
      <c r="G72" s="76">
        <v>13</v>
      </c>
      <c r="H72" s="76">
        <v>13</v>
      </c>
      <c r="I72" s="76">
        <v>13</v>
      </c>
      <c r="J72" s="76">
        <v>13</v>
      </c>
      <c r="K72" s="76">
        <v>13</v>
      </c>
      <c r="L72" s="76">
        <v>13</v>
      </c>
      <c r="M72" s="76">
        <v>13</v>
      </c>
      <c r="N72" s="76">
        <v>13</v>
      </c>
      <c r="O72" s="76">
        <v>13</v>
      </c>
      <c r="P72" s="76">
        <v>13</v>
      </c>
      <c r="Q72" s="76">
        <v>13</v>
      </c>
      <c r="R72" s="76">
        <v>13</v>
      </c>
      <c r="S72" s="76">
        <v>13</v>
      </c>
      <c r="T72" s="76">
        <v>13</v>
      </c>
      <c r="U72" s="76">
        <v>13</v>
      </c>
      <c r="V72" s="76">
        <v>13</v>
      </c>
      <c r="W72" s="76">
        <v>13</v>
      </c>
      <c r="X72" s="76">
        <v>13</v>
      </c>
      <c r="Y72" s="76">
        <v>13</v>
      </c>
      <c r="Z72" s="76">
        <v>13</v>
      </c>
      <c r="AA72" s="76">
        <v>13</v>
      </c>
      <c r="AB72" s="76">
        <v>13</v>
      </c>
      <c r="AC72" s="76">
        <v>13</v>
      </c>
      <c r="AD72" s="76">
        <v>11.4</v>
      </c>
      <c r="AE72" s="76">
        <v>11.4</v>
      </c>
      <c r="AF72" s="76">
        <v>12.1</v>
      </c>
      <c r="AG72" s="66">
        <v>14</v>
      </c>
      <c r="AH72" s="48">
        <f t="shared" si="8"/>
        <v>14.1</v>
      </c>
      <c r="AI72" s="49">
        <f t="shared" si="9"/>
        <v>11.4</v>
      </c>
      <c r="AK72" s="51"/>
      <c r="AY72" s="1" t="s">
        <v>94</v>
      </c>
      <c r="AZ72" s="82">
        <f>ROUND(C85,0)</f>
        <v>0</v>
      </c>
      <c r="BA72" s="81">
        <f t="shared" si="36"/>
        <v>0</v>
      </c>
      <c r="BB72" s="81">
        <f t="shared" si="36"/>
        <v>0</v>
      </c>
      <c r="BC72" s="81">
        <f t="shared" si="36"/>
        <v>0</v>
      </c>
      <c r="BD72" s="81">
        <f t="shared" si="36"/>
        <v>0</v>
      </c>
      <c r="BE72" s="82">
        <f>I85</f>
        <v>0</v>
      </c>
      <c r="BF72" s="82">
        <f>K85</f>
        <v>89</v>
      </c>
      <c r="BG72" s="82">
        <f t="shared" si="37"/>
        <v>104.6</v>
      </c>
      <c r="BH72" s="82">
        <f t="shared" si="37"/>
        <v>141</v>
      </c>
      <c r="BI72" s="82">
        <f t="shared" si="37"/>
        <v>122</v>
      </c>
      <c r="BJ72" s="82">
        <f t="shared" si="37"/>
        <v>130</v>
      </c>
      <c r="BK72" s="82">
        <f t="shared" si="37"/>
        <v>133</v>
      </c>
      <c r="BL72" s="82">
        <f t="shared" si="37"/>
        <v>123</v>
      </c>
      <c r="BM72" s="82">
        <f t="shared" si="37"/>
        <v>123</v>
      </c>
      <c r="BN72" s="82">
        <f t="shared" si="37"/>
        <v>128</v>
      </c>
      <c r="BO72" s="82">
        <f t="shared" si="37"/>
        <v>109.3</v>
      </c>
      <c r="BP72" s="82">
        <f t="shared" si="37"/>
        <v>125.4</v>
      </c>
      <c r="BQ72" s="82">
        <f>X85</f>
        <v>117.6</v>
      </c>
      <c r="BR72" s="82">
        <f>Z85</f>
        <v>26.1</v>
      </c>
      <c r="BS72" s="81">
        <f>AB85</f>
        <v>0</v>
      </c>
      <c r="BT72" s="81">
        <f t="shared" si="38"/>
        <v>0</v>
      </c>
      <c r="BU72" s="81">
        <f t="shared" si="38"/>
        <v>0</v>
      </c>
      <c r="BV72" s="81">
        <f t="shared" si="38"/>
        <v>0</v>
      </c>
      <c r="BW72" s="81">
        <f>B85</f>
        <v>0</v>
      </c>
    </row>
    <row r="73" spans="1:75" x14ac:dyDescent="0.25">
      <c r="A73" s="65" t="s">
        <v>95</v>
      </c>
      <c r="B73" s="76">
        <v>4.5</v>
      </c>
      <c r="C73" s="76">
        <v>4.5</v>
      </c>
      <c r="D73" s="76">
        <v>7.9</v>
      </c>
      <c r="E73" s="76">
        <v>7.9</v>
      </c>
      <c r="F73" s="76">
        <v>7.9</v>
      </c>
      <c r="G73" s="76">
        <v>5.9</v>
      </c>
      <c r="H73" s="76">
        <v>5.9</v>
      </c>
      <c r="I73" s="76">
        <v>5.9</v>
      </c>
      <c r="J73" s="76">
        <v>5.9</v>
      </c>
      <c r="K73" s="76">
        <v>5.9</v>
      </c>
      <c r="L73" s="76">
        <v>5.9</v>
      </c>
      <c r="M73" s="76">
        <v>5.9</v>
      </c>
      <c r="N73" s="76">
        <v>5.9</v>
      </c>
      <c r="O73" s="76">
        <v>5.9</v>
      </c>
      <c r="P73" s="76">
        <v>5.9</v>
      </c>
      <c r="Q73" s="76">
        <v>5.9</v>
      </c>
      <c r="R73" s="76">
        <v>5.9</v>
      </c>
      <c r="S73" s="76">
        <v>5.9</v>
      </c>
      <c r="T73" s="76">
        <v>5.9</v>
      </c>
      <c r="U73" s="76">
        <v>5.9</v>
      </c>
      <c r="V73" s="76">
        <v>5.9</v>
      </c>
      <c r="W73" s="76">
        <v>5.9</v>
      </c>
      <c r="X73" s="76">
        <v>5.9</v>
      </c>
      <c r="Y73" s="76">
        <v>5.9</v>
      </c>
      <c r="Z73" s="76">
        <v>5.9</v>
      </c>
      <c r="AA73" s="76">
        <v>5.9</v>
      </c>
      <c r="AB73" s="76">
        <v>5.9</v>
      </c>
      <c r="AC73" s="76">
        <v>5.9</v>
      </c>
      <c r="AD73" s="76">
        <v>5.5</v>
      </c>
      <c r="AE73" s="76">
        <v>5.5</v>
      </c>
      <c r="AF73" s="76">
        <v>7.5</v>
      </c>
      <c r="AG73" s="66">
        <v>10.050000000000001</v>
      </c>
      <c r="AH73" s="48">
        <f t="shared" si="8"/>
        <v>7.9</v>
      </c>
      <c r="AI73" s="49">
        <f t="shared" si="9"/>
        <v>4.5</v>
      </c>
      <c r="AK73" s="51"/>
      <c r="AY73" s="1" t="s">
        <v>96</v>
      </c>
      <c r="AZ73" s="82">
        <f>ROUND(C91,0)</f>
        <v>45</v>
      </c>
      <c r="BA73" s="82">
        <f>D91</f>
        <v>45.2</v>
      </c>
      <c r="BB73" s="82">
        <f>E91</f>
        <v>44.2</v>
      </c>
      <c r="BC73" s="82">
        <f>F91</f>
        <v>45.8</v>
      </c>
      <c r="BD73" s="82">
        <f>G91</f>
        <v>45.5</v>
      </c>
      <c r="BE73" s="82">
        <f>I91</f>
        <v>43</v>
      </c>
      <c r="BF73" s="82">
        <f>K91</f>
        <v>0</v>
      </c>
      <c r="BG73" s="82">
        <f t="shared" ref="BG73:BP73" si="39">M91</f>
        <v>0</v>
      </c>
      <c r="BH73" s="82">
        <f t="shared" si="39"/>
        <v>0</v>
      </c>
      <c r="BI73" s="82">
        <f t="shared" si="39"/>
        <v>49</v>
      </c>
      <c r="BJ73" s="82">
        <f t="shared" si="39"/>
        <v>49</v>
      </c>
      <c r="BK73" s="82">
        <f t="shared" si="39"/>
        <v>49</v>
      </c>
      <c r="BL73" s="82">
        <f t="shared" si="39"/>
        <v>49</v>
      </c>
      <c r="BM73" s="82">
        <f t="shared" si="39"/>
        <v>49</v>
      </c>
      <c r="BN73" s="82">
        <f t="shared" si="39"/>
        <v>36.700000000000003</v>
      </c>
      <c r="BO73" s="82">
        <f t="shared" si="39"/>
        <v>39.299999999999997</v>
      </c>
      <c r="BP73" s="82">
        <f t="shared" si="39"/>
        <v>35.799999999999997</v>
      </c>
      <c r="BQ73" s="82">
        <f>X91</f>
        <v>28.2</v>
      </c>
      <c r="BR73" s="82">
        <f>Z91</f>
        <v>35</v>
      </c>
      <c r="BS73" s="82">
        <f>AB91</f>
        <v>42.3</v>
      </c>
      <c r="BT73" s="82">
        <f>AD91</f>
        <v>51</v>
      </c>
      <c r="BU73" s="82">
        <f>AE91</f>
        <v>50.9</v>
      </c>
      <c r="BV73" s="82">
        <f>AF91</f>
        <v>51.2</v>
      </c>
      <c r="BW73" s="82">
        <f>B91</f>
        <v>45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3.54</v>
      </c>
      <c r="Z75" s="85">
        <v>3.54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2">
        <f t="shared" ref="AZ75:BW80" si="40">VALUE(AZ68)</f>
        <v>20</v>
      </c>
      <c r="BA75" s="82">
        <f t="shared" si="40"/>
        <v>21.8</v>
      </c>
      <c r="BB75" s="82">
        <f t="shared" si="40"/>
        <v>20</v>
      </c>
      <c r="BC75" s="82">
        <f t="shared" si="40"/>
        <v>19</v>
      </c>
      <c r="BD75" s="82">
        <f t="shared" si="40"/>
        <v>10</v>
      </c>
      <c r="BE75" s="82">
        <f t="shared" si="40"/>
        <v>18</v>
      </c>
      <c r="BF75" s="82">
        <f t="shared" si="40"/>
        <v>61</v>
      </c>
      <c r="BG75" s="82">
        <f t="shared" si="40"/>
        <v>55</v>
      </c>
      <c r="BH75" s="82">
        <f t="shared" si="40"/>
        <v>64</v>
      </c>
      <c r="BI75" s="82">
        <f t="shared" si="40"/>
        <v>62</v>
      </c>
      <c r="BJ75" s="82">
        <f t="shared" si="40"/>
        <v>73</v>
      </c>
      <c r="BK75" s="82">
        <f t="shared" si="40"/>
        <v>74</v>
      </c>
      <c r="BL75" s="82">
        <f t="shared" si="40"/>
        <v>74</v>
      </c>
      <c r="BM75" s="82">
        <f t="shared" si="40"/>
        <v>74</v>
      </c>
      <c r="BN75" s="82">
        <f t="shared" si="40"/>
        <v>68.900000000000006</v>
      </c>
      <c r="BO75" s="82">
        <f t="shared" si="40"/>
        <v>54.4</v>
      </c>
      <c r="BP75" s="82">
        <f t="shared" si="40"/>
        <v>73.8</v>
      </c>
      <c r="BQ75" s="82">
        <f t="shared" si="40"/>
        <v>53.3</v>
      </c>
      <c r="BR75" s="82">
        <f t="shared" si="40"/>
        <v>44.3</v>
      </c>
      <c r="BS75" s="82">
        <f t="shared" si="40"/>
        <v>19.100000000000001</v>
      </c>
      <c r="BT75" s="82">
        <f t="shared" si="40"/>
        <v>12.6</v>
      </c>
      <c r="BU75" s="82">
        <f t="shared" si="40"/>
        <v>13.5</v>
      </c>
      <c r="BV75" s="82">
        <f t="shared" si="40"/>
        <v>29.9</v>
      </c>
      <c r="BW75" s="82">
        <f t="shared" si="40"/>
        <v>14</v>
      </c>
    </row>
    <row r="76" spans="1:75" ht="15.75" thickBot="1" x14ac:dyDescent="0.3">
      <c r="A76" s="87" t="s">
        <v>99</v>
      </c>
      <c r="B76" s="71">
        <f t="shared" ref="B76:C76" si="41">SUM(B63:B75)</f>
        <v>345.84000000000009</v>
      </c>
      <c r="C76" s="71">
        <f t="shared" si="41"/>
        <v>331.84000000000009</v>
      </c>
      <c r="D76" s="71">
        <f t="shared" ref="D76:AG76" si="42">SUM(D63:D75)</f>
        <v>338.53999999999996</v>
      </c>
      <c r="E76" s="71">
        <f t="shared" si="42"/>
        <v>344.23999999999995</v>
      </c>
      <c r="F76" s="71">
        <f t="shared" si="42"/>
        <v>337.24</v>
      </c>
      <c r="G76" s="71">
        <f t="shared" si="42"/>
        <v>336.13999999999993</v>
      </c>
      <c r="H76" s="71">
        <f t="shared" si="42"/>
        <v>336.13999999999993</v>
      </c>
      <c r="I76" s="71">
        <f t="shared" si="42"/>
        <v>382.13999999999993</v>
      </c>
      <c r="J76" s="71">
        <f t="shared" si="42"/>
        <v>377.03999999999991</v>
      </c>
      <c r="K76" s="71">
        <f t="shared" si="42"/>
        <v>388.13999999999993</v>
      </c>
      <c r="L76" s="71">
        <f t="shared" si="42"/>
        <v>413.53999999999996</v>
      </c>
      <c r="M76" s="71">
        <f t="shared" si="42"/>
        <v>417.14</v>
      </c>
      <c r="N76" s="71">
        <f t="shared" si="42"/>
        <v>279.73999999999995</v>
      </c>
      <c r="O76" s="71">
        <f t="shared" si="42"/>
        <v>298.24</v>
      </c>
      <c r="P76" s="71">
        <f t="shared" si="42"/>
        <v>298.24</v>
      </c>
      <c r="Q76" s="71">
        <f t="shared" si="42"/>
        <v>285.23999999999995</v>
      </c>
      <c r="R76" s="71">
        <f t="shared" si="42"/>
        <v>285.23999999999995</v>
      </c>
      <c r="S76" s="71">
        <f t="shared" ref="S76:T76" si="43">SUM(S63:S75)</f>
        <v>283.23999999999995</v>
      </c>
      <c r="T76" s="71">
        <f t="shared" si="43"/>
        <v>282.03999999999996</v>
      </c>
      <c r="U76" s="71">
        <f t="shared" ref="U76:V76" si="44">SUM(U63:U75)</f>
        <v>281.83999999999997</v>
      </c>
      <c r="V76" s="71">
        <f t="shared" si="44"/>
        <v>263.54000000000002</v>
      </c>
      <c r="W76" s="71">
        <f t="shared" ref="W76:X76" si="45">SUM(W63:W75)</f>
        <v>261.64000000000004</v>
      </c>
      <c r="X76" s="71">
        <f t="shared" si="45"/>
        <v>267.33999999999997</v>
      </c>
      <c r="Y76" s="71">
        <f t="shared" ref="Y76:AA76" si="46">SUM(Y63:Y75)</f>
        <v>266.64</v>
      </c>
      <c r="Z76" s="71">
        <f t="shared" si="46"/>
        <v>304.64</v>
      </c>
      <c r="AA76" s="71">
        <f t="shared" si="46"/>
        <v>333.34</v>
      </c>
      <c r="AB76" s="71">
        <f t="shared" si="42"/>
        <v>341.73999999999995</v>
      </c>
      <c r="AC76" s="71">
        <f t="shared" si="42"/>
        <v>376.43999999999988</v>
      </c>
      <c r="AD76" s="71">
        <f t="shared" si="42"/>
        <v>387.63999999999993</v>
      </c>
      <c r="AE76" s="71">
        <f t="shared" si="42"/>
        <v>394.93999999999994</v>
      </c>
      <c r="AF76" s="71">
        <f t="shared" si="42"/>
        <v>411.94000000000005</v>
      </c>
      <c r="AG76" s="72">
        <f t="shared" si="42"/>
        <v>489.91</v>
      </c>
      <c r="AH76" s="48">
        <f t="shared" si="8"/>
        <v>417.14</v>
      </c>
      <c r="AI76" s="49">
        <f t="shared" si="9"/>
        <v>261.64000000000004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0</v>
      </c>
      <c r="BG76" s="82">
        <f t="shared" si="40"/>
        <v>102</v>
      </c>
      <c r="BH76" s="82">
        <f t="shared" si="40"/>
        <v>103</v>
      </c>
      <c r="BI76" s="82">
        <f t="shared" si="40"/>
        <v>65</v>
      </c>
      <c r="BJ76" s="82">
        <f t="shared" si="40"/>
        <v>95</v>
      </c>
      <c r="BK76" s="82">
        <f t="shared" si="40"/>
        <v>95</v>
      </c>
      <c r="BL76" s="82">
        <f t="shared" si="40"/>
        <v>92</v>
      </c>
      <c r="BM76" s="82">
        <f t="shared" si="40"/>
        <v>92</v>
      </c>
      <c r="BN76" s="82">
        <f t="shared" si="40"/>
        <v>0</v>
      </c>
      <c r="BO76" s="82">
        <f t="shared" si="40"/>
        <v>99.4</v>
      </c>
      <c r="BP76" s="82">
        <f t="shared" si="40"/>
        <v>84.9</v>
      </c>
      <c r="BQ76" s="82">
        <f t="shared" si="40"/>
        <v>64.8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45" t="s">
        <v>100</v>
      </c>
      <c r="B77" s="46">
        <v>0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13.7</v>
      </c>
      <c r="T77" s="46">
        <v>13.7</v>
      </c>
      <c r="U77" s="46">
        <v>13.7</v>
      </c>
      <c r="V77" s="46">
        <v>13.7</v>
      </c>
      <c r="W77" s="46">
        <v>59.8</v>
      </c>
      <c r="X77" s="46">
        <v>19.2</v>
      </c>
      <c r="Y77" s="46">
        <v>58</v>
      </c>
      <c r="Z77" s="46">
        <v>48.7</v>
      </c>
      <c r="AA77" s="46">
        <v>59</v>
      </c>
      <c r="AB77" s="46">
        <v>60</v>
      </c>
      <c r="AC77" s="46">
        <v>60.1</v>
      </c>
      <c r="AD77" s="46">
        <v>60.1</v>
      </c>
      <c r="AE77" s="46">
        <v>24</v>
      </c>
      <c r="AF77" s="46">
        <v>30</v>
      </c>
      <c r="AG77" s="61">
        <v>60</v>
      </c>
      <c r="AH77" s="48">
        <f t="shared" si="8"/>
        <v>60.1</v>
      </c>
      <c r="AI77" s="49">
        <f t="shared" si="9"/>
        <v>0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-97</v>
      </c>
      <c r="BC77" s="82">
        <f t="shared" si="40"/>
        <v>-180</v>
      </c>
      <c r="BD77" s="82">
        <f t="shared" si="40"/>
        <v>-284</v>
      </c>
      <c r="BE77" s="82">
        <f t="shared" si="40"/>
        <v>-345</v>
      </c>
      <c r="BF77" s="82">
        <f t="shared" si="40"/>
        <v>-260</v>
      </c>
      <c r="BG77" s="82">
        <f t="shared" si="40"/>
        <v>-158</v>
      </c>
      <c r="BH77" s="82">
        <f t="shared" si="40"/>
        <v>-188</v>
      </c>
      <c r="BI77" s="82">
        <f t="shared" si="40"/>
        <v>-86</v>
      </c>
      <c r="BJ77" s="82">
        <f t="shared" si="40"/>
        <v>98</v>
      </c>
      <c r="BK77" s="82">
        <f t="shared" si="40"/>
        <v>100</v>
      </c>
      <c r="BL77" s="82">
        <f t="shared" si="40"/>
        <v>92</v>
      </c>
      <c r="BM77" s="82">
        <f t="shared" si="40"/>
        <v>-89</v>
      </c>
      <c r="BN77" s="82">
        <f t="shared" si="40"/>
        <v>-80.599999999999994</v>
      </c>
      <c r="BO77" s="82">
        <f t="shared" si="40"/>
        <v>58.6</v>
      </c>
      <c r="BP77" s="82">
        <f t="shared" si="40"/>
        <v>24.4</v>
      </c>
      <c r="BQ77" s="82">
        <f t="shared" si="40"/>
        <v>94</v>
      </c>
      <c r="BR77" s="82">
        <f t="shared" si="40"/>
        <v>117.3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9</v>
      </c>
      <c r="BW77" s="82">
        <f t="shared" si="40"/>
        <v>0</v>
      </c>
    </row>
    <row r="78" spans="1:75" x14ac:dyDescent="0.25">
      <c r="A78" s="65" t="s">
        <v>101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5</v>
      </c>
      <c r="T78" s="76">
        <v>5</v>
      </c>
      <c r="U78" s="76">
        <v>5</v>
      </c>
      <c r="V78" s="76">
        <v>8.3000000000000007</v>
      </c>
      <c r="W78" s="76">
        <v>29.5</v>
      </c>
      <c r="X78" s="76">
        <v>12.1</v>
      </c>
      <c r="Y78" s="76">
        <v>26.2</v>
      </c>
      <c r="Z78" s="76">
        <v>23.7</v>
      </c>
      <c r="AA78" s="76">
        <v>22.7</v>
      </c>
      <c r="AB78" s="76">
        <v>30</v>
      </c>
      <c r="AC78" s="76">
        <v>29.7</v>
      </c>
      <c r="AD78" s="76">
        <v>29.6</v>
      </c>
      <c r="AE78" s="76">
        <v>9</v>
      </c>
      <c r="AF78" s="76">
        <v>7.1</v>
      </c>
      <c r="AG78" s="66">
        <v>32</v>
      </c>
      <c r="AH78" s="48">
        <f t="shared" si="8"/>
        <v>30</v>
      </c>
      <c r="AI78" s="49">
        <f t="shared" si="9"/>
        <v>0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27.4</v>
      </c>
      <c r="BH78" s="82">
        <f t="shared" si="40"/>
        <v>27</v>
      </c>
      <c r="BI78" s="82">
        <f t="shared" si="40"/>
        <v>36</v>
      </c>
      <c r="BJ78" s="82">
        <f t="shared" si="40"/>
        <v>36</v>
      </c>
      <c r="BK78" s="82">
        <f t="shared" si="40"/>
        <v>37</v>
      </c>
      <c r="BL78" s="82">
        <f t="shared" si="40"/>
        <v>36</v>
      </c>
      <c r="BM78" s="82">
        <f t="shared" si="40"/>
        <v>36</v>
      </c>
      <c r="BN78" s="82">
        <f t="shared" si="40"/>
        <v>45.8</v>
      </c>
      <c r="BO78" s="82">
        <f t="shared" si="40"/>
        <v>52.6</v>
      </c>
      <c r="BP78" s="82">
        <f t="shared" si="40"/>
        <v>55.5</v>
      </c>
      <c r="BQ78" s="82">
        <f t="shared" si="40"/>
        <v>53.3</v>
      </c>
      <c r="BR78" s="82">
        <f t="shared" si="40"/>
        <v>45.2</v>
      </c>
      <c r="BS78" s="82">
        <f t="shared" si="40"/>
        <v>14.7</v>
      </c>
      <c r="BT78" s="82">
        <f t="shared" si="40"/>
        <v>15.2</v>
      </c>
      <c r="BU78" s="82">
        <f t="shared" si="40"/>
        <v>15.9</v>
      </c>
      <c r="BV78" s="82">
        <f t="shared" si="40"/>
        <v>18</v>
      </c>
      <c r="BW78" s="82">
        <f t="shared" si="40"/>
        <v>0</v>
      </c>
    </row>
    <row r="79" spans="1:75" ht="15.75" thickBot="1" x14ac:dyDescent="0.3">
      <c r="A79" s="84" t="s">
        <v>102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1.8</v>
      </c>
      <c r="T79" s="78">
        <v>1.8</v>
      </c>
      <c r="U79" s="78">
        <v>1.8</v>
      </c>
      <c r="V79" s="78">
        <v>4.5</v>
      </c>
      <c r="W79" s="78">
        <v>10.8</v>
      </c>
      <c r="X79" s="78">
        <v>4.4000000000000004</v>
      </c>
      <c r="Y79" s="78">
        <v>9.6</v>
      </c>
      <c r="Z79" s="78">
        <v>8.6</v>
      </c>
      <c r="AA79" s="78">
        <v>8.3000000000000007</v>
      </c>
      <c r="AB79" s="78">
        <v>11</v>
      </c>
      <c r="AC79" s="78">
        <v>10.8</v>
      </c>
      <c r="AD79" s="78">
        <v>10.8</v>
      </c>
      <c r="AE79" s="78">
        <v>3.3</v>
      </c>
      <c r="AF79" s="78">
        <v>2.6</v>
      </c>
      <c r="AG79" s="79">
        <v>14</v>
      </c>
      <c r="AH79" s="48">
        <f t="shared" si="8"/>
        <v>11</v>
      </c>
      <c r="AI79" s="49">
        <f t="shared" si="9"/>
        <v>0</v>
      </c>
      <c r="AK79" s="51"/>
      <c r="AZ79" s="82">
        <f t="shared" si="40"/>
        <v>0</v>
      </c>
      <c r="BA79" s="82">
        <f t="shared" si="40"/>
        <v>0</v>
      </c>
      <c r="BB79" s="82">
        <f t="shared" si="40"/>
        <v>0</v>
      </c>
      <c r="BC79" s="82">
        <f t="shared" si="40"/>
        <v>0</v>
      </c>
      <c r="BD79" s="82">
        <f t="shared" si="40"/>
        <v>0</v>
      </c>
      <c r="BE79" s="82">
        <f t="shared" si="40"/>
        <v>0</v>
      </c>
      <c r="BF79" s="82">
        <f t="shared" si="40"/>
        <v>89</v>
      </c>
      <c r="BG79" s="82">
        <f t="shared" si="40"/>
        <v>104.6</v>
      </c>
      <c r="BH79" s="82">
        <f t="shared" si="40"/>
        <v>141</v>
      </c>
      <c r="BI79" s="82">
        <f t="shared" si="40"/>
        <v>122</v>
      </c>
      <c r="BJ79" s="82">
        <f t="shared" si="40"/>
        <v>130</v>
      </c>
      <c r="BK79" s="82">
        <f t="shared" si="40"/>
        <v>133</v>
      </c>
      <c r="BL79" s="82">
        <f t="shared" si="40"/>
        <v>123</v>
      </c>
      <c r="BM79" s="82">
        <f t="shared" si="40"/>
        <v>123</v>
      </c>
      <c r="BN79" s="82">
        <f t="shared" si="40"/>
        <v>128</v>
      </c>
      <c r="BO79" s="82">
        <f t="shared" si="40"/>
        <v>109.3</v>
      </c>
      <c r="BP79" s="82">
        <f t="shared" si="40"/>
        <v>125.4</v>
      </c>
      <c r="BQ79" s="82">
        <f t="shared" si="40"/>
        <v>117.6</v>
      </c>
      <c r="BR79" s="82">
        <f t="shared" si="40"/>
        <v>26.1</v>
      </c>
      <c r="BS79" s="82">
        <f t="shared" si="40"/>
        <v>0</v>
      </c>
      <c r="BT79" s="82">
        <f t="shared" si="40"/>
        <v>0</v>
      </c>
      <c r="BU79" s="82">
        <f t="shared" si="40"/>
        <v>0</v>
      </c>
      <c r="BV79" s="82">
        <f t="shared" si="40"/>
        <v>0</v>
      </c>
      <c r="BW79" s="82">
        <f t="shared" si="40"/>
        <v>0</v>
      </c>
    </row>
    <row r="80" spans="1:75" ht="15.75" thickBot="1" x14ac:dyDescent="0.3">
      <c r="A80" s="87" t="s">
        <v>103</v>
      </c>
      <c r="B80" s="71">
        <f t="shared" ref="B80:C80" si="47">B77+B78+B79</f>
        <v>0</v>
      </c>
      <c r="C80" s="71">
        <f t="shared" si="47"/>
        <v>0</v>
      </c>
      <c r="D80" s="71">
        <f t="shared" ref="D80:AF80" si="48">D77+D78+D79</f>
        <v>0</v>
      </c>
      <c r="E80" s="71">
        <f t="shared" si="48"/>
        <v>0</v>
      </c>
      <c r="F80" s="71">
        <f t="shared" si="48"/>
        <v>0</v>
      </c>
      <c r="G80" s="71">
        <f t="shared" si="48"/>
        <v>0</v>
      </c>
      <c r="H80" s="71">
        <f t="shared" si="48"/>
        <v>0</v>
      </c>
      <c r="I80" s="71">
        <f t="shared" si="48"/>
        <v>0</v>
      </c>
      <c r="J80" s="71">
        <f t="shared" si="48"/>
        <v>0</v>
      </c>
      <c r="K80" s="71">
        <f t="shared" si="48"/>
        <v>0</v>
      </c>
      <c r="L80" s="71">
        <f t="shared" si="48"/>
        <v>0</v>
      </c>
      <c r="M80" s="71">
        <f t="shared" si="48"/>
        <v>0</v>
      </c>
      <c r="N80" s="71">
        <f t="shared" si="48"/>
        <v>0</v>
      </c>
      <c r="O80" s="71">
        <f t="shared" si="48"/>
        <v>0</v>
      </c>
      <c r="P80" s="71">
        <f t="shared" si="48"/>
        <v>0</v>
      </c>
      <c r="Q80" s="71">
        <f t="shared" si="48"/>
        <v>0</v>
      </c>
      <c r="R80" s="71">
        <f t="shared" si="48"/>
        <v>0</v>
      </c>
      <c r="S80" s="71">
        <f t="shared" ref="S80:T80" si="49">S77+S78+S79</f>
        <v>20.5</v>
      </c>
      <c r="T80" s="71">
        <f t="shared" si="49"/>
        <v>20.5</v>
      </c>
      <c r="U80" s="71">
        <f t="shared" ref="U80:V80" si="50">U77+U78+U79</f>
        <v>20.5</v>
      </c>
      <c r="V80" s="71">
        <f t="shared" si="50"/>
        <v>26.5</v>
      </c>
      <c r="W80" s="71">
        <f t="shared" ref="W80:X80" si="51">W77+W78+W79</f>
        <v>100.1</v>
      </c>
      <c r="X80" s="71">
        <f t="shared" si="51"/>
        <v>35.699999999999996</v>
      </c>
      <c r="Y80" s="71">
        <f t="shared" ref="Y80:AA80" si="52">Y77+Y78+Y79</f>
        <v>93.8</v>
      </c>
      <c r="Z80" s="71">
        <f t="shared" si="52"/>
        <v>81</v>
      </c>
      <c r="AA80" s="71">
        <f t="shared" si="52"/>
        <v>90</v>
      </c>
      <c r="AB80" s="71">
        <f t="shared" si="48"/>
        <v>101</v>
      </c>
      <c r="AC80" s="71">
        <f t="shared" si="48"/>
        <v>100.6</v>
      </c>
      <c r="AD80" s="71">
        <f t="shared" si="48"/>
        <v>100.5</v>
      </c>
      <c r="AE80" s="71">
        <f t="shared" si="48"/>
        <v>36.299999999999997</v>
      </c>
      <c r="AF80" s="71">
        <f t="shared" si="48"/>
        <v>39.700000000000003</v>
      </c>
      <c r="AG80" s="72">
        <f>SUM(AG77:AG79)</f>
        <v>106</v>
      </c>
      <c r="AH80" s="48">
        <f t="shared" si="8"/>
        <v>101</v>
      </c>
      <c r="AI80" s="49">
        <f t="shared" si="9"/>
        <v>0</v>
      </c>
      <c r="AK80" s="51"/>
      <c r="AZ80" s="82">
        <f t="shared" si="40"/>
        <v>45</v>
      </c>
      <c r="BA80" s="82">
        <f t="shared" si="40"/>
        <v>45.2</v>
      </c>
      <c r="BB80" s="82">
        <f t="shared" si="40"/>
        <v>44.2</v>
      </c>
      <c r="BC80" s="82">
        <f t="shared" si="40"/>
        <v>45.8</v>
      </c>
      <c r="BD80" s="82">
        <f t="shared" si="40"/>
        <v>45.5</v>
      </c>
      <c r="BE80" s="82">
        <f t="shared" si="40"/>
        <v>43</v>
      </c>
      <c r="BF80" s="82">
        <f t="shared" si="40"/>
        <v>0</v>
      </c>
      <c r="BG80" s="82">
        <f t="shared" si="40"/>
        <v>0</v>
      </c>
      <c r="BH80" s="82">
        <f t="shared" si="40"/>
        <v>0</v>
      </c>
      <c r="BI80" s="82">
        <f t="shared" si="40"/>
        <v>49</v>
      </c>
      <c r="BJ80" s="82">
        <f t="shared" si="40"/>
        <v>49</v>
      </c>
      <c r="BK80" s="82">
        <f t="shared" si="40"/>
        <v>49</v>
      </c>
      <c r="BL80" s="82">
        <f t="shared" si="40"/>
        <v>49</v>
      </c>
      <c r="BM80" s="82">
        <f t="shared" si="40"/>
        <v>49</v>
      </c>
      <c r="BN80" s="82">
        <f t="shared" si="40"/>
        <v>36.700000000000003</v>
      </c>
      <c r="BO80" s="82">
        <f t="shared" si="40"/>
        <v>39.299999999999997</v>
      </c>
      <c r="BP80" s="82">
        <f t="shared" si="40"/>
        <v>35.799999999999997</v>
      </c>
      <c r="BQ80" s="82">
        <f t="shared" si="40"/>
        <v>28.2</v>
      </c>
      <c r="BR80" s="82">
        <f t="shared" si="40"/>
        <v>35</v>
      </c>
      <c r="BS80" s="82">
        <f t="shared" si="40"/>
        <v>42.3</v>
      </c>
      <c r="BT80" s="82">
        <f t="shared" si="40"/>
        <v>51</v>
      </c>
      <c r="BU80" s="82">
        <f t="shared" si="40"/>
        <v>50.9</v>
      </c>
      <c r="BV80" s="82">
        <f t="shared" si="40"/>
        <v>51.2</v>
      </c>
      <c r="BW80" s="82">
        <f t="shared" si="40"/>
        <v>45</v>
      </c>
    </row>
    <row r="81" spans="1:64" x14ac:dyDescent="0.25">
      <c r="A81" s="45" t="s">
        <v>104</v>
      </c>
      <c r="B81" s="46">
        <v>14</v>
      </c>
      <c r="C81" s="46">
        <v>20</v>
      </c>
      <c r="D81" s="46">
        <v>21.8</v>
      </c>
      <c r="E81" s="46">
        <v>20</v>
      </c>
      <c r="F81" s="46">
        <v>19</v>
      </c>
      <c r="G81" s="46">
        <v>10</v>
      </c>
      <c r="H81" s="46">
        <v>14.6</v>
      </c>
      <c r="I81" s="46">
        <v>18</v>
      </c>
      <c r="J81" s="46">
        <v>63</v>
      </c>
      <c r="K81" s="46">
        <v>61</v>
      </c>
      <c r="L81" s="46">
        <v>60</v>
      </c>
      <c r="M81" s="46">
        <v>55</v>
      </c>
      <c r="N81" s="46">
        <v>64</v>
      </c>
      <c r="O81" s="46">
        <v>62</v>
      </c>
      <c r="P81" s="46">
        <v>73</v>
      </c>
      <c r="Q81" s="46">
        <v>74</v>
      </c>
      <c r="R81" s="46">
        <v>74</v>
      </c>
      <c r="S81" s="46">
        <v>74</v>
      </c>
      <c r="T81" s="46">
        <v>68.900000000000006</v>
      </c>
      <c r="U81" s="46">
        <v>54.4</v>
      </c>
      <c r="V81" s="46">
        <v>73.8</v>
      </c>
      <c r="W81" s="46">
        <v>56.5</v>
      </c>
      <c r="X81" s="46">
        <v>53.3</v>
      </c>
      <c r="Y81" s="46">
        <v>60</v>
      </c>
      <c r="Z81" s="46">
        <v>44.3</v>
      </c>
      <c r="AA81" s="46">
        <v>24.1</v>
      </c>
      <c r="AB81" s="46">
        <v>19.100000000000001</v>
      </c>
      <c r="AC81" s="46">
        <v>10.1</v>
      </c>
      <c r="AD81" s="46">
        <v>12.6</v>
      </c>
      <c r="AE81" s="46">
        <v>13.5</v>
      </c>
      <c r="AF81" s="46">
        <v>29.9</v>
      </c>
      <c r="AG81" s="61"/>
      <c r="AH81" s="48">
        <f t="shared" si="8"/>
        <v>74</v>
      </c>
      <c r="AI81" s="49">
        <f t="shared" si="9"/>
        <v>10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102</v>
      </c>
      <c r="N82" s="76">
        <v>103</v>
      </c>
      <c r="O82" s="76">
        <v>65</v>
      </c>
      <c r="P82" s="76">
        <v>95</v>
      </c>
      <c r="Q82" s="76">
        <v>95</v>
      </c>
      <c r="R82" s="76">
        <v>92</v>
      </c>
      <c r="S82" s="76">
        <v>92</v>
      </c>
      <c r="T82" s="76"/>
      <c r="U82" s="76">
        <v>99.4</v>
      </c>
      <c r="V82" s="76">
        <v>84.9</v>
      </c>
      <c r="W82" s="76">
        <v>71.2</v>
      </c>
      <c r="X82" s="76">
        <v>64.8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53">MAX(B82:AF82)</f>
        <v>103</v>
      </c>
      <c r="AI82" s="49">
        <f t="shared" ref="AI82:AI125" si="54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</v>
      </c>
      <c r="C83" s="76">
        <v>0</v>
      </c>
      <c r="D83" s="76">
        <v>0</v>
      </c>
      <c r="E83" s="76">
        <v>-97</v>
      </c>
      <c r="F83" s="76">
        <v>-180</v>
      </c>
      <c r="G83" s="76">
        <v>-284</v>
      </c>
      <c r="H83" s="76">
        <v>-259</v>
      </c>
      <c r="I83" s="76">
        <v>-345</v>
      </c>
      <c r="J83" s="76">
        <v>-349</v>
      </c>
      <c r="K83" s="76">
        <v>-260</v>
      </c>
      <c r="L83" s="76">
        <v>-154</v>
      </c>
      <c r="M83" s="76">
        <v>-158</v>
      </c>
      <c r="N83" s="76">
        <v>-188</v>
      </c>
      <c r="O83" s="76">
        <v>-86</v>
      </c>
      <c r="P83" s="76">
        <v>98</v>
      </c>
      <c r="Q83" s="76">
        <v>100</v>
      </c>
      <c r="R83" s="76">
        <v>92</v>
      </c>
      <c r="S83" s="76">
        <v>-89</v>
      </c>
      <c r="T83" s="76">
        <v>-80.599999999999994</v>
      </c>
      <c r="U83" s="76">
        <v>58.6</v>
      </c>
      <c r="V83" s="76">
        <v>24.4</v>
      </c>
      <c r="W83" s="76">
        <v>42.5</v>
      </c>
      <c r="X83" s="76">
        <v>94</v>
      </c>
      <c r="Y83" s="76">
        <v>105.3</v>
      </c>
      <c r="Z83" s="76">
        <v>117.3</v>
      </c>
      <c r="AA83" s="76">
        <v>177.6</v>
      </c>
      <c r="AB83" s="76">
        <v>0</v>
      </c>
      <c r="AC83" s="76">
        <v>17</v>
      </c>
      <c r="AD83" s="76">
        <v>0</v>
      </c>
      <c r="AE83" s="76">
        <v>0</v>
      </c>
      <c r="AF83" s="76">
        <v>9</v>
      </c>
      <c r="AG83" s="88"/>
      <c r="AH83" s="48">
        <f t="shared" si="53"/>
        <v>177.6</v>
      </c>
      <c r="AI83" s="49">
        <f t="shared" si="54"/>
        <v>-349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25.4</v>
      </c>
      <c r="M84" s="89">
        <v>27.4</v>
      </c>
      <c r="N84" s="89">
        <v>27</v>
      </c>
      <c r="O84" s="89">
        <v>36</v>
      </c>
      <c r="P84" s="89">
        <v>36</v>
      </c>
      <c r="Q84" s="89">
        <v>37</v>
      </c>
      <c r="R84" s="89">
        <v>36</v>
      </c>
      <c r="S84" s="89">
        <v>36</v>
      </c>
      <c r="T84" s="89">
        <v>45.8</v>
      </c>
      <c r="U84" s="89">
        <v>52.6</v>
      </c>
      <c r="V84" s="89">
        <v>55.5</v>
      </c>
      <c r="W84" s="89">
        <v>53.8</v>
      </c>
      <c r="X84" s="89">
        <v>53.3</v>
      </c>
      <c r="Y84" s="89">
        <v>44.3</v>
      </c>
      <c r="Z84" s="89">
        <v>45.2</v>
      </c>
      <c r="AA84" s="89">
        <v>48.3</v>
      </c>
      <c r="AB84" s="89">
        <v>14.7</v>
      </c>
      <c r="AC84" s="89">
        <v>16.5</v>
      </c>
      <c r="AD84" s="89">
        <v>15.2</v>
      </c>
      <c r="AE84" s="89">
        <v>15.9</v>
      </c>
      <c r="AF84" s="89">
        <v>18</v>
      </c>
      <c r="AG84" s="88"/>
      <c r="AH84" s="48">
        <f t="shared" si="53"/>
        <v>55.5</v>
      </c>
      <c r="AI84" s="49">
        <f t="shared" si="54"/>
        <v>0</v>
      </c>
      <c r="AK84" s="51"/>
      <c r="AY84" s="82"/>
      <c r="BF84" s="81"/>
      <c r="BG84" s="82">
        <f t="array" ref="BG84:BL107">TRANSPOSE(AZ68:BW73)</f>
        <v>20</v>
      </c>
      <c r="BH84" s="82">
        <v>0</v>
      </c>
      <c r="BI84" s="82">
        <v>0</v>
      </c>
      <c r="BJ84" s="82">
        <v>0</v>
      </c>
      <c r="BK84" s="82">
        <v>0</v>
      </c>
      <c r="BL84" s="82">
        <v>45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78.2</v>
      </c>
      <c r="K85" s="46">
        <v>89</v>
      </c>
      <c r="L85" s="46">
        <v>98</v>
      </c>
      <c r="M85" s="46">
        <v>104.6</v>
      </c>
      <c r="N85" s="46">
        <v>141</v>
      </c>
      <c r="O85" s="46">
        <v>122</v>
      </c>
      <c r="P85" s="46">
        <v>130</v>
      </c>
      <c r="Q85" s="46">
        <v>133</v>
      </c>
      <c r="R85" s="46">
        <v>123</v>
      </c>
      <c r="S85" s="46">
        <v>123</v>
      </c>
      <c r="T85" s="46">
        <v>128</v>
      </c>
      <c r="U85" s="46">
        <v>109.3</v>
      </c>
      <c r="V85" s="46">
        <v>125.4</v>
      </c>
      <c r="W85" s="46">
        <v>119.9</v>
      </c>
      <c r="X85" s="46">
        <v>117.6</v>
      </c>
      <c r="Y85" s="46">
        <v>48.3</v>
      </c>
      <c r="Z85" s="46">
        <v>26.1</v>
      </c>
      <c r="AA85" s="46">
        <v>34.200000000000003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53"/>
        <v>141</v>
      </c>
      <c r="AI85" s="49">
        <f t="shared" si="54"/>
        <v>0</v>
      </c>
      <c r="AK85" s="51"/>
      <c r="AY85" s="82"/>
      <c r="BF85" s="81"/>
      <c r="BG85" s="82">
        <v>21.8</v>
      </c>
      <c r="BH85" s="82">
        <v>0</v>
      </c>
      <c r="BI85" s="82">
        <v>0</v>
      </c>
      <c r="BJ85" s="82">
        <v>0</v>
      </c>
      <c r="BK85" s="82">
        <v>0</v>
      </c>
      <c r="BL85" s="82">
        <v>45.2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53"/>
        <v>0</v>
      </c>
      <c r="AI86" s="49">
        <f t="shared" si="54"/>
        <v>0</v>
      </c>
      <c r="AK86" s="51"/>
      <c r="AY86" s="82"/>
      <c r="BF86" s="81"/>
      <c r="BG86" s="82">
        <v>20</v>
      </c>
      <c r="BH86" s="82">
        <v>0</v>
      </c>
      <c r="BI86" s="82">
        <v>-97</v>
      </c>
      <c r="BJ86" s="82">
        <v>0</v>
      </c>
      <c r="BK86" s="82">
        <v>0</v>
      </c>
      <c r="BL86" s="82">
        <v>44.2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53"/>
        <v>0</v>
      </c>
      <c r="AI87" s="49">
        <f t="shared" si="54"/>
        <v>0</v>
      </c>
      <c r="AK87" s="51"/>
      <c r="AL87" s="91" t="s">
        <v>111</v>
      </c>
      <c r="AM87" s="91"/>
      <c r="AY87" s="82"/>
      <c r="BF87" s="82"/>
      <c r="BG87" s="82">
        <v>19</v>
      </c>
      <c r="BH87" s="82">
        <v>0</v>
      </c>
      <c r="BI87" s="82">
        <v>-180</v>
      </c>
      <c r="BJ87" s="82">
        <v>0</v>
      </c>
      <c r="BK87" s="82">
        <v>0</v>
      </c>
      <c r="BL87" s="82">
        <v>45.8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53"/>
        <v>0</v>
      </c>
      <c r="AI88" s="49">
        <f t="shared" si="54"/>
        <v>0</v>
      </c>
      <c r="AK88" s="92"/>
      <c r="AL88" s="93"/>
      <c r="AM88" s="93"/>
      <c r="AN88" s="94"/>
      <c r="AY88" s="82"/>
      <c r="BF88" s="82"/>
      <c r="BG88" s="82">
        <v>10</v>
      </c>
      <c r="BH88" s="82">
        <v>0</v>
      </c>
      <c r="BI88" s="82">
        <v>-284</v>
      </c>
      <c r="BJ88" s="82">
        <v>0</v>
      </c>
      <c r="BK88" s="82">
        <v>0</v>
      </c>
      <c r="BL88" s="82">
        <v>45.5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53"/>
        <v>0</v>
      </c>
      <c r="AI89" s="49">
        <f t="shared" si="54"/>
        <v>0</v>
      </c>
      <c r="AK89" s="95" t="s">
        <v>114</v>
      </c>
      <c r="AL89" s="76"/>
      <c r="AM89" s="89"/>
      <c r="AN89" s="96"/>
      <c r="AY89" s="82"/>
      <c r="BF89" s="82"/>
      <c r="BG89" s="82">
        <v>18</v>
      </c>
      <c r="BH89" s="82">
        <v>0</v>
      </c>
      <c r="BI89" s="82">
        <v>-345</v>
      </c>
      <c r="BJ89" s="82">
        <v>0</v>
      </c>
      <c r="BK89" s="82">
        <v>0</v>
      </c>
      <c r="BL89" s="82">
        <v>43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53"/>
        <v>0</v>
      </c>
      <c r="AI90" s="49">
        <f t="shared" si="54"/>
        <v>0</v>
      </c>
      <c r="AK90" s="95" t="s">
        <v>116</v>
      </c>
      <c r="AL90" s="89"/>
      <c r="AM90" s="89"/>
      <c r="AN90" s="96"/>
      <c r="AY90" s="82"/>
      <c r="BF90" s="82"/>
      <c r="BG90" s="82">
        <v>61</v>
      </c>
      <c r="BH90" s="82">
        <v>0</v>
      </c>
      <c r="BI90" s="82">
        <v>-260</v>
      </c>
      <c r="BJ90" s="82">
        <v>0</v>
      </c>
      <c r="BK90" s="82">
        <v>89</v>
      </c>
      <c r="BL90" s="82">
        <v>0</v>
      </c>
    </row>
    <row r="91" spans="1:64" ht="15.75" thickBot="1" x14ac:dyDescent="0.3">
      <c r="A91" s="97" t="s">
        <v>117</v>
      </c>
      <c r="B91" s="90">
        <v>45</v>
      </c>
      <c r="C91" s="90">
        <v>45</v>
      </c>
      <c r="D91" s="90">
        <v>45.2</v>
      </c>
      <c r="E91" s="90">
        <v>44.2</v>
      </c>
      <c r="F91" s="90">
        <v>45.8</v>
      </c>
      <c r="G91" s="90">
        <v>45.5</v>
      </c>
      <c r="H91" s="90">
        <v>40.799999999999997</v>
      </c>
      <c r="I91" s="90">
        <v>43</v>
      </c>
      <c r="J91" s="90">
        <v>0</v>
      </c>
      <c r="K91" s="90">
        <v>0</v>
      </c>
      <c r="L91" s="90">
        <v>0</v>
      </c>
      <c r="M91" s="90">
        <v>0</v>
      </c>
      <c r="N91" s="90"/>
      <c r="O91" s="90">
        <v>49</v>
      </c>
      <c r="P91" s="90">
        <v>49</v>
      </c>
      <c r="Q91" s="90">
        <v>49</v>
      </c>
      <c r="R91" s="90">
        <v>49</v>
      </c>
      <c r="S91" s="90">
        <v>49</v>
      </c>
      <c r="T91" s="90">
        <v>36.700000000000003</v>
      </c>
      <c r="U91" s="90">
        <v>39.299999999999997</v>
      </c>
      <c r="V91" s="90">
        <v>35.799999999999997</v>
      </c>
      <c r="W91" s="90">
        <v>26.4</v>
      </c>
      <c r="X91" s="90">
        <v>28.2</v>
      </c>
      <c r="Y91" s="90">
        <v>28.2</v>
      </c>
      <c r="Z91" s="90">
        <v>35</v>
      </c>
      <c r="AA91" s="90">
        <v>42.5</v>
      </c>
      <c r="AB91" s="90">
        <v>42.3</v>
      </c>
      <c r="AC91" s="90">
        <v>47.8</v>
      </c>
      <c r="AD91" s="90">
        <v>51</v>
      </c>
      <c r="AE91" s="90">
        <v>50.9</v>
      </c>
      <c r="AF91" s="90">
        <v>51.2</v>
      </c>
      <c r="AG91" s="98"/>
      <c r="AH91" s="48">
        <f t="shared" si="53"/>
        <v>51.2</v>
      </c>
      <c r="AI91" s="49">
        <f t="shared" si="54"/>
        <v>0</v>
      </c>
      <c r="AK91" s="99"/>
      <c r="AL91" s="46"/>
      <c r="AM91" s="46"/>
      <c r="AN91" s="100"/>
      <c r="AY91" s="82"/>
      <c r="BF91" s="82"/>
      <c r="BG91" s="82">
        <v>55</v>
      </c>
      <c r="BH91" s="82">
        <v>102</v>
      </c>
      <c r="BI91" s="82">
        <v>-158</v>
      </c>
      <c r="BJ91" s="82">
        <v>27.4</v>
      </c>
      <c r="BK91" s="82">
        <v>104.6</v>
      </c>
      <c r="BL91" s="82">
        <v>0</v>
      </c>
    </row>
    <row r="92" spans="1:64" ht="15.75" thickBot="1" x14ac:dyDescent="0.3">
      <c r="A92" s="87" t="s">
        <v>118</v>
      </c>
      <c r="B92" s="71">
        <f t="shared" ref="B92:C92" si="55">SUMIF(B81:B91,"&gt;0")</f>
        <v>59</v>
      </c>
      <c r="C92" s="71">
        <f t="shared" si="55"/>
        <v>65</v>
      </c>
      <c r="D92" s="71">
        <f t="shared" ref="D92:AF92" si="56">SUMIF(D81:D91,"&gt;0")</f>
        <v>67</v>
      </c>
      <c r="E92" s="71">
        <f t="shared" si="56"/>
        <v>64.2</v>
      </c>
      <c r="F92" s="71">
        <f t="shared" si="56"/>
        <v>64.8</v>
      </c>
      <c r="G92" s="71">
        <f t="shared" si="56"/>
        <v>55.5</v>
      </c>
      <c r="H92" s="71">
        <f t="shared" si="56"/>
        <v>55.4</v>
      </c>
      <c r="I92" s="71">
        <f t="shared" si="56"/>
        <v>61</v>
      </c>
      <c r="J92" s="71">
        <f t="shared" si="56"/>
        <v>141.19999999999999</v>
      </c>
      <c r="K92" s="71">
        <f t="shared" si="56"/>
        <v>150</v>
      </c>
      <c r="L92" s="71">
        <f t="shared" si="56"/>
        <v>183.4</v>
      </c>
      <c r="M92" s="71">
        <f t="shared" si="56"/>
        <v>289</v>
      </c>
      <c r="N92" s="71">
        <f t="shared" si="56"/>
        <v>335</v>
      </c>
      <c r="O92" s="71">
        <f t="shared" si="56"/>
        <v>334</v>
      </c>
      <c r="P92" s="71">
        <f t="shared" si="56"/>
        <v>481</v>
      </c>
      <c r="Q92" s="71">
        <f t="shared" si="56"/>
        <v>488</v>
      </c>
      <c r="R92" s="71">
        <f t="shared" si="56"/>
        <v>466</v>
      </c>
      <c r="S92" s="71">
        <f t="shared" ref="S92:T92" si="57">SUMIF(S81:S91,"&gt;0")</f>
        <v>374</v>
      </c>
      <c r="T92" s="71">
        <f t="shared" si="57"/>
        <v>279.39999999999998</v>
      </c>
      <c r="U92" s="71">
        <f t="shared" ref="U92:V92" si="58">SUMIF(U81:U91,"&gt;0")</f>
        <v>413.6</v>
      </c>
      <c r="V92" s="71">
        <f t="shared" si="58"/>
        <v>399.8</v>
      </c>
      <c r="W92" s="71">
        <f t="shared" ref="W92:X92" si="59">SUMIF(W81:W91,"&gt;0")</f>
        <v>370.29999999999995</v>
      </c>
      <c r="X92" s="71">
        <f t="shared" si="59"/>
        <v>411.2</v>
      </c>
      <c r="Y92" s="71">
        <v>34.799999999999997</v>
      </c>
      <c r="Z92" s="71">
        <v>34.799999999999997</v>
      </c>
      <c r="AA92" s="71">
        <f t="shared" ref="AA92" si="60">SUMIF(AA81:AA91,"&gt;0")</f>
        <v>326.7</v>
      </c>
      <c r="AB92" s="71">
        <f t="shared" si="56"/>
        <v>76.099999999999994</v>
      </c>
      <c r="AC92" s="71">
        <f t="shared" si="56"/>
        <v>91.4</v>
      </c>
      <c r="AD92" s="71">
        <f t="shared" si="56"/>
        <v>78.8</v>
      </c>
      <c r="AE92" s="71">
        <f t="shared" si="56"/>
        <v>80.3</v>
      </c>
      <c r="AF92" s="71">
        <f t="shared" si="56"/>
        <v>108.1</v>
      </c>
      <c r="AG92" s="101">
        <f>SUM(AG81:AG91)</f>
        <v>0</v>
      </c>
      <c r="AH92" s="48">
        <f t="shared" si="53"/>
        <v>488</v>
      </c>
      <c r="AI92" s="49">
        <f t="shared" si="54"/>
        <v>34.799999999999997</v>
      </c>
      <c r="AK92" s="99"/>
      <c r="AL92" s="90"/>
      <c r="AM92" s="102"/>
      <c r="AN92" s="202"/>
      <c r="AY92" s="82"/>
      <c r="BF92" s="82"/>
      <c r="BG92" s="82">
        <v>64</v>
      </c>
      <c r="BH92" s="82">
        <v>103</v>
      </c>
      <c r="BI92" s="82">
        <v>-188</v>
      </c>
      <c r="BJ92" s="82">
        <v>27</v>
      </c>
      <c r="BK92" s="82">
        <v>141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53"/>
        <v>0</v>
      </c>
      <c r="AI93" s="49">
        <f t="shared" si="54"/>
        <v>0</v>
      </c>
      <c r="AK93" s="99"/>
      <c r="AL93" s="90"/>
      <c r="AM93" s="90"/>
      <c r="AN93" s="203"/>
      <c r="BF93" s="82"/>
      <c r="BG93" s="82">
        <v>62</v>
      </c>
      <c r="BH93" s="82">
        <v>65</v>
      </c>
      <c r="BI93" s="82">
        <v>-86</v>
      </c>
      <c r="BJ93" s="82">
        <v>36</v>
      </c>
      <c r="BK93" s="82">
        <v>122</v>
      </c>
      <c r="BL93" s="82">
        <v>49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53"/>
        <v>0</v>
      </c>
      <c r="AI94" s="49">
        <f t="shared" si="54"/>
        <v>0</v>
      </c>
      <c r="AK94" s="104"/>
      <c r="AL94" s="105"/>
      <c r="AM94" s="105"/>
      <c r="AN94" s="106"/>
      <c r="BF94" s="82"/>
      <c r="BG94" s="82">
        <v>73</v>
      </c>
      <c r="BH94" s="82">
        <v>95</v>
      </c>
      <c r="BI94" s="82">
        <v>98</v>
      </c>
      <c r="BJ94" s="82">
        <v>36</v>
      </c>
      <c r="BK94" s="82">
        <v>130</v>
      </c>
      <c r="BL94" s="82">
        <v>49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53"/>
        <v>0</v>
      </c>
      <c r="AI95" s="49">
        <f t="shared" si="54"/>
        <v>0</v>
      </c>
      <c r="BF95" s="82"/>
      <c r="BG95" s="82">
        <v>74</v>
      </c>
      <c r="BH95" s="82">
        <v>95</v>
      </c>
      <c r="BI95" s="82">
        <v>100</v>
      </c>
      <c r="BJ95" s="82">
        <v>37</v>
      </c>
      <c r="BK95" s="82">
        <v>133</v>
      </c>
      <c r="BL95" s="82">
        <v>49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53"/>
        <v>0</v>
      </c>
      <c r="AI96" s="49">
        <f t="shared" si="54"/>
        <v>0</v>
      </c>
      <c r="BF96" s="82"/>
      <c r="BG96" s="82">
        <v>74</v>
      </c>
      <c r="BH96" s="82">
        <v>92</v>
      </c>
      <c r="BI96" s="82">
        <v>92</v>
      </c>
      <c r="BJ96" s="82">
        <v>36</v>
      </c>
      <c r="BK96" s="82">
        <v>123</v>
      </c>
      <c r="BL96" s="82">
        <v>49</v>
      </c>
    </row>
    <row r="97" spans="1:64" ht="15.75" thickBot="1" x14ac:dyDescent="0.3">
      <c r="A97" s="87" t="s">
        <v>123</v>
      </c>
      <c r="B97" s="108">
        <f t="shared" ref="B97:C97" si="61">B58+B62+B80+B76+B92+B96</f>
        <v>1347.64</v>
      </c>
      <c r="C97" s="108">
        <f t="shared" si="61"/>
        <v>1311.64</v>
      </c>
      <c r="D97" s="108">
        <f t="shared" ref="D97:AG97" si="62">D58+D62+D80+D76+D92+D96</f>
        <v>1437.24</v>
      </c>
      <c r="E97" s="108">
        <f t="shared" si="62"/>
        <v>1423.14</v>
      </c>
      <c r="F97" s="108">
        <f t="shared" si="62"/>
        <v>1580.6399999999999</v>
      </c>
      <c r="G97" s="108">
        <f t="shared" si="62"/>
        <v>1570.2399999999998</v>
      </c>
      <c r="H97" s="108">
        <f t="shared" si="62"/>
        <v>1570.1399999999999</v>
      </c>
      <c r="I97" s="108">
        <f t="shared" si="62"/>
        <v>1736.7399999999998</v>
      </c>
      <c r="J97" s="108">
        <f t="shared" si="62"/>
        <v>1866.54</v>
      </c>
      <c r="K97" s="108">
        <f t="shared" si="62"/>
        <v>1886.4399999999998</v>
      </c>
      <c r="L97" s="108">
        <f t="shared" si="62"/>
        <v>1897.24</v>
      </c>
      <c r="M97" s="108">
        <f t="shared" si="62"/>
        <v>1850.54</v>
      </c>
      <c r="N97" s="108">
        <f t="shared" si="62"/>
        <v>1758.74</v>
      </c>
      <c r="O97" s="108">
        <f t="shared" si="62"/>
        <v>1864.24</v>
      </c>
      <c r="P97" s="108">
        <f t="shared" si="62"/>
        <v>2011.24</v>
      </c>
      <c r="Q97" s="108">
        <f t="shared" si="62"/>
        <v>1816.24</v>
      </c>
      <c r="R97" s="108">
        <f t="shared" si="62"/>
        <v>1794.24</v>
      </c>
      <c r="S97" s="108">
        <f t="shared" ref="S97:T97" si="63">S58+S62+S80+S76+S92+S96</f>
        <v>1720.74</v>
      </c>
      <c r="T97" s="108">
        <f t="shared" si="63"/>
        <v>1816.94</v>
      </c>
      <c r="U97" s="108">
        <f t="shared" ref="U97:V97" si="64">U58+U62+U80+U76+U92+U96</f>
        <v>1900.44</v>
      </c>
      <c r="V97" s="108">
        <f t="shared" si="64"/>
        <v>1810.0399999999997</v>
      </c>
      <c r="W97" s="108">
        <f t="shared" ref="W97:X97" si="65">W58+W62+W80+W76+W92+W96</f>
        <v>1774.04</v>
      </c>
      <c r="X97" s="108">
        <f t="shared" si="65"/>
        <v>1697.84</v>
      </c>
      <c r="Y97" s="108">
        <f t="shared" ref="Y97:AA97" si="66">Y58+Y62+Y80+Y76+Y92+Y96</f>
        <v>1346.74</v>
      </c>
      <c r="Z97" s="108">
        <f t="shared" si="66"/>
        <v>1412.0399999999997</v>
      </c>
      <c r="AA97" s="108">
        <f t="shared" si="66"/>
        <v>1741.6399999999999</v>
      </c>
      <c r="AB97" s="108">
        <f t="shared" si="62"/>
        <v>1684.1399999999999</v>
      </c>
      <c r="AC97" s="108">
        <f t="shared" si="62"/>
        <v>1775.1399999999996</v>
      </c>
      <c r="AD97" s="108">
        <f t="shared" si="62"/>
        <v>1772.3399999999997</v>
      </c>
      <c r="AE97" s="108">
        <f t="shared" si="62"/>
        <v>1632.1399999999996</v>
      </c>
      <c r="AF97" s="108">
        <f t="shared" si="62"/>
        <v>1632.04</v>
      </c>
      <c r="AG97" s="72">
        <f t="shared" si="62"/>
        <v>2231.81</v>
      </c>
      <c r="AH97" s="48">
        <f t="shared" si="53"/>
        <v>2011.24</v>
      </c>
      <c r="AI97" s="49">
        <f t="shared" si="54"/>
        <v>1311.64</v>
      </c>
      <c r="BF97" s="82"/>
      <c r="BG97" s="82">
        <v>74</v>
      </c>
      <c r="BH97" s="82">
        <v>92</v>
      </c>
      <c r="BI97" s="82">
        <v>-89</v>
      </c>
      <c r="BJ97" s="82">
        <v>36</v>
      </c>
      <c r="BK97" s="82">
        <v>123</v>
      </c>
      <c r="BL97" s="82">
        <v>49</v>
      </c>
    </row>
    <row r="98" spans="1:64" ht="15.75" thickBot="1" x14ac:dyDescent="0.3">
      <c r="A98" s="109" t="s">
        <v>124</v>
      </c>
      <c r="B98" s="110">
        <v>150</v>
      </c>
      <c r="C98" s="110">
        <v>150</v>
      </c>
      <c r="D98" s="110">
        <v>150</v>
      </c>
      <c r="E98" s="110">
        <v>150</v>
      </c>
      <c r="F98" s="110">
        <v>150</v>
      </c>
      <c r="G98" s="110">
        <v>140</v>
      </c>
      <c r="H98" s="110">
        <v>100</v>
      </c>
      <c r="I98" s="110"/>
      <c r="J98" s="110"/>
      <c r="K98" s="110"/>
      <c r="L98" s="110"/>
      <c r="M98" s="110"/>
      <c r="N98" s="110"/>
      <c r="O98" s="110">
        <v>100</v>
      </c>
      <c r="P98" s="110">
        <v>100</v>
      </c>
      <c r="Q98" s="110">
        <v>100</v>
      </c>
      <c r="R98" s="110">
        <v>100</v>
      </c>
      <c r="S98" s="110">
        <v>100</v>
      </c>
      <c r="T98" s="110">
        <v>100</v>
      </c>
      <c r="U98" s="110">
        <v>100</v>
      </c>
      <c r="V98" s="110">
        <v>100</v>
      </c>
      <c r="W98" s="110">
        <v>100</v>
      </c>
      <c r="X98" s="110">
        <v>100</v>
      </c>
      <c r="Y98" s="110"/>
      <c r="Z98" s="110"/>
      <c r="AA98" s="110">
        <v>300</v>
      </c>
      <c r="AB98" s="110">
        <v>280</v>
      </c>
      <c r="AC98" s="110">
        <v>260</v>
      </c>
      <c r="AD98" s="110">
        <v>260</v>
      </c>
      <c r="AE98" s="110">
        <v>250</v>
      </c>
      <c r="AF98" s="110">
        <v>150</v>
      </c>
      <c r="AG98" s="101"/>
      <c r="AH98" s="48">
        <f t="shared" si="53"/>
        <v>300</v>
      </c>
      <c r="AI98" s="49">
        <f t="shared" si="54"/>
        <v>100</v>
      </c>
      <c r="BF98" s="82"/>
      <c r="BG98" s="82">
        <v>68.900000000000006</v>
      </c>
      <c r="BH98" s="82">
        <v>0</v>
      </c>
      <c r="BI98" s="82">
        <v>-80.599999999999994</v>
      </c>
      <c r="BJ98" s="82">
        <v>45.8</v>
      </c>
      <c r="BK98" s="82">
        <v>128</v>
      </c>
      <c r="BL98" s="82">
        <v>36.700000000000003</v>
      </c>
    </row>
    <row r="99" spans="1:64" ht="15.75" thickBot="1" x14ac:dyDescent="0.3">
      <c r="A99" s="87" t="s">
        <v>125</v>
      </c>
      <c r="B99" s="108">
        <f t="shared" ref="B99:C99" si="67">B97+B98</f>
        <v>1497.64</v>
      </c>
      <c r="C99" s="108">
        <f t="shared" si="67"/>
        <v>1461.64</v>
      </c>
      <c r="D99" s="108">
        <f t="shared" ref="D99:AF99" si="68">D97+D98</f>
        <v>1587.24</v>
      </c>
      <c r="E99" s="108">
        <f t="shared" si="68"/>
        <v>1573.14</v>
      </c>
      <c r="F99" s="108">
        <f t="shared" si="68"/>
        <v>1730.6399999999999</v>
      </c>
      <c r="G99" s="108">
        <f t="shared" si="68"/>
        <v>1710.2399999999998</v>
      </c>
      <c r="H99" s="108">
        <f t="shared" si="68"/>
        <v>1670.1399999999999</v>
      </c>
      <c r="I99" s="108">
        <f t="shared" si="68"/>
        <v>1736.7399999999998</v>
      </c>
      <c r="J99" s="108">
        <f t="shared" si="68"/>
        <v>1866.54</v>
      </c>
      <c r="K99" s="108">
        <f t="shared" si="68"/>
        <v>1886.4399999999998</v>
      </c>
      <c r="L99" s="108">
        <f t="shared" si="68"/>
        <v>1897.24</v>
      </c>
      <c r="M99" s="108">
        <f t="shared" si="68"/>
        <v>1850.54</v>
      </c>
      <c r="N99" s="108">
        <f t="shared" si="68"/>
        <v>1758.74</v>
      </c>
      <c r="O99" s="108">
        <f t="shared" si="68"/>
        <v>1964.24</v>
      </c>
      <c r="P99" s="108">
        <f t="shared" si="68"/>
        <v>2111.2399999999998</v>
      </c>
      <c r="Q99" s="108">
        <f t="shared" si="68"/>
        <v>1916.24</v>
      </c>
      <c r="R99" s="108">
        <f t="shared" si="68"/>
        <v>1894.24</v>
      </c>
      <c r="S99" s="108">
        <f t="shared" ref="S99:T99" si="69">S97+S98</f>
        <v>1820.74</v>
      </c>
      <c r="T99" s="108">
        <f t="shared" si="69"/>
        <v>1916.94</v>
      </c>
      <c r="U99" s="108">
        <f t="shared" ref="U99:V99" si="70">U97+U98</f>
        <v>2000.44</v>
      </c>
      <c r="V99" s="108">
        <f t="shared" si="70"/>
        <v>1910.0399999999997</v>
      </c>
      <c r="W99" s="108">
        <f t="shared" ref="W99:X99" si="71">W97+W98</f>
        <v>1874.04</v>
      </c>
      <c r="X99" s="108">
        <f t="shared" si="71"/>
        <v>1797.84</v>
      </c>
      <c r="Y99" s="108">
        <f t="shared" ref="Y99:AA99" si="72">Y97+Y98</f>
        <v>1346.74</v>
      </c>
      <c r="Z99" s="108">
        <f t="shared" si="72"/>
        <v>1412.0399999999997</v>
      </c>
      <c r="AA99" s="108">
        <f t="shared" si="72"/>
        <v>2041.6399999999999</v>
      </c>
      <c r="AB99" s="108">
        <f t="shared" si="68"/>
        <v>1964.1399999999999</v>
      </c>
      <c r="AC99" s="108">
        <f t="shared" si="68"/>
        <v>2035.1399999999996</v>
      </c>
      <c r="AD99" s="108">
        <f t="shared" si="68"/>
        <v>2032.3399999999997</v>
      </c>
      <c r="AE99" s="108">
        <f t="shared" si="68"/>
        <v>1882.1399999999996</v>
      </c>
      <c r="AF99" s="108">
        <f t="shared" si="68"/>
        <v>1782.04</v>
      </c>
      <c r="AG99" s="101">
        <f>AG96+AG92+AG80+AG76+AG58+AG98</f>
        <v>1693.71</v>
      </c>
      <c r="AH99" s="48">
        <f t="shared" si="53"/>
        <v>2111.2399999999998</v>
      </c>
      <c r="AI99" s="49">
        <f t="shared" si="54"/>
        <v>1346.74</v>
      </c>
      <c r="BF99" s="82"/>
      <c r="BG99" s="82">
        <v>54.4</v>
      </c>
      <c r="BH99" s="82">
        <v>99.4</v>
      </c>
      <c r="BI99" s="82">
        <v>58.6</v>
      </c>
      <c r="BJ99" s="82">
        <v>52.6</v>
      </c>
      <c r="BK99" s="82">
        <v>109.3</v>
      </c>
      <c r="BL99" s="82">
        <v>39.299999999999997</v>
      </c>
    </row>
    <row r="100" spans="1:64" ht="15.75" thickBot="1" x14ac:dyDescent="0.3">
      <c r="A100" s="87" t="s">
        <v>126</v>
      </c>
      <c r="B100" s="108">
        <f t="shared" ref="B100:C100" si="73">B99-(B107)</f>
        <v>1497.64</v>
      </c>
      <c r="C100" s="108">
        <f t="shared" si="73"/>
        <v>1461.64</v>
      </c>
      <c r="D100" s="108">
        <f t="shared" ref="D100:AF100" si="74">D99-(D107)</f>
        <v>1587.24</v>
      </c>
      <c r="E100" s="108">
        <f t="shared" si="74"/>
        <v>1476.14</v>
      </c>
      <c r="F100" s="108">
        <f t="shared" si="74"/>
        <v>1550.6399999999999</v>
      </c>
      <c r="G100" s="108">
        <f t="shared" si="74"/>
        <v>1426.2399999999998</v>
      </c>
      <c r="H100" s="108">
        <f t="shared" si="74"/>
        <v>1411.1399999999999</v>
      </c>
      <c r="I100" s="108">
        <f t="shared" si="74"/>
        <v>1391.7399999999998</v>
      </c>
      <c r="J100" s="108">
        <f t="shared" si="74"/>
        <v>1517.54</v>
      </c>
      <c r="K100" s="108">
        <f t="shared" si="74"/>
        <v>1626.4399999999998</v>
      </c>
      <c r="L100" s="108">
        <f t="shared" si="74"/>
        <v>1743.24</v>
      </c>
      <c r="M100" s="108">
        <f t="shared" si="74"/>
        <v>1692.54</v>
      </c>
      <c r="N100" s="108">
        <f t="shared" si="74"/>
        <v>1570.74</v>
      </c>
      <c r="O100" s="108">
        <f t="shared" si="74"/>
        <v>1878.24</v>
      </c>
      <c r="P100" s="108">
        <f t="shared" si="74"/>
        <v>2111.2399999999998</v>
      </c>
      <c r="Q100" s="108">
        <f t="shared" si="74"/>
        <v>1916.24</v>
      </c>
      <c r="R100" s="108">
        <f t="shared" si="74"/>
        <v>1894.24</v>
      </c>
      <c r="S100" s="108">
        <f t="shared" ref="S100:T100" si="75">S99-(S107)</f>
        <v>1731.74</v>
      </c>
      <c r="T100" s="108">
        <f t="shared" si="75"/>
        <v>1836.3400000000001</v>
      </c>
      <c r="U100" s="108">
        <f t="shared" ref="U100:V100" si="76">U99-(U107)</f>
        <v>2000.44</v>
      </c>
      <c r="V100" s="108">
        <f t="shared" si="76"/>
        <v>1910.0399999999997</v>
      </c>
      <c r="W100" s="108">
        <f t="shared" ref="W100:X100" si="77">W99-(W107)</f>
        <v>1874.04</v>
      </c>
      <c r="X100" s="108">
        <f t="shared" si="77"/>
        <v>1797.84</v>
      </c>
      <c r="Y100" s="108">
        <f t="shared" ref="Y100:AA100" si="78">Y99-(Y107)</f>
        <v>1346.74</v>
      </c>
      <c r="Z100" s="108">
        <f t="shared" si="78"/>
        <v>1412.0399999999997</v>
      </c>
      <c r="AA100" s="108">
        <f t="shared" si="78"/>
        <v>2041.6399999999999</v>
      </c>
      <c r="AB100" s="108">
        <f t="shared" si="74"/>
        <v>1964.1399999999999</v>
      </c>
      <c r="AC100" s="108">
        <f t="shared" si="74"/>
        <v>2035.1399999999996</v>
      </c>
      <c r="AD100" s="108">
        <f t="shared" si="74"/>
        <v>2032.3399999999997</v>
      </c>
      <c r="AE100" s="108">
        <f t="shared" si="74"/>
        <v>1882.1399999999996</v>
      </c>
      <c r="AF100" s="108">
        <f t="shared" si="74"/>
        <v>1782.04</v>
      </c>
      <c r="AG100" s="101"/>
      <c r="AH100" s="48">
        <f t="shared" si="53"/>
        <v>2111.2399999999998</v>
      </c>
      <c r="AI100" s="49">
        <f t="shared" si="54"/>
        <v>1346.74</v>
      </c>
      <c r="BF100" s="82"/>
      <c r="BG100" s="82">
        <v>73.8</v>
      </c>
      <c r="BH100" s="82">
        <v>84.9</v>
      </c>
      <c r="BI100" s="82">
        <v>24.4</v>
      </c>
      <c r="BJ100" s="82">
        <v>55.5</v>
      </c>
      <c r="BK100" s="82">
        <v>125.4</v>
      </c>
      <c r="BL100" s="82">
        <v>35.799999999999997</v>
      </c>
    </row>
    <row r="101" spans="1:64" x14ac:dyDescent="0.25">
      <c r="A101" s="45" t="s">
        <v>107</v>
      </c>
      <c r="B101" s="89">
        <f t="shared" ref="B101:C101" si="79">IF(B84&lt;0,B84*-1,0)</f>
        <v>0</v>
      </c>
      <c r="C101" s="89">
        <f t="shared" si="79"/>
        <v>0</v>
      </c>
      <c r="D101" s="89">
        <f t="shared" ref="D101:AF101" si="80">IF(D84&lt;0,D84*-1,0)</f>
        <v>0</v>
      </c>
      <c r="E101" s="89">
        <f t="shared" si="80"/>
        <v>0</v>
      </c>
      <c r="F101" s="89">
        <f t="shared" si="80"/>
        <v>0</v>
      </c>
      <c r="G101" s="89">
        <f t="shared" si="80"/>
        <v>0</v>
      </c>
      <c r="H101" s="89">
        <f t="shared" si="80"/>
        <v>0</v>
      </c>
      <c r="I101" s="89">
        <f t="shared" si="80"/>
        <v>0</v>
      </c>
      <c r="J101" s="89">
        <f t="shared" si="80"/>
        <v>0</v>
      </c>
      <c r="K101" s="89">
        <f t="shared" si="80"/>
        <v>0</v>
      </c>
      <c r="L101" s="89">
        <f t="shared" si="80"/>
        <v>0</v>
      </c>
      <c r="M101" s="89">
        <f t="shared" si="80"/>
        <v>0</v>
      </c>
      <c r="N101" s="89">
        <f t="shared" si="80"/>
        <v>0</v>
      </c>
      <c r="O101" s="89">
        <f t="shared" si="80"/>
        <v>0</v>
      </c>
      <c r="P101" s="89">
        <f t="shared" si="80"/>
        <v>0</v>
      </c>
      <c r="Q101" s="89">
        <f t="shared" si="80"/>
        <v>0</v>
      </c>
      <c r="R101" s="89">
        <f t="shared" si="80"/>
        <v>0</v>
      </c>
      <c r="S101" s="89">
        <f t="shared" ref="S101:T101" si="81">IF(S84&lt;0,S84*-1,0)</f>
        <v>0</v>
      </c>
      <c r="T101" s="89">
        <f t="shared" si="81"/>
        <v>0</v>
      </c>
      <c r="U101" s="89">
        <f t="shared" ref="U101:V101" si="82">IF(U84&lt;0,U84*-1,0)</f>
        <v>0</v>
      </c>
      <c r="V101" s="89">
        <f t="shared" si="82"/>
        <v>0</v>
      </c>
      <c r="W101" s="89">
        <f t="shared" ref="W101:X101" si="83">IF(W84&lt;0,W84*-1,0)</f>
        <v>0</v>
      </c>
      <c r="X101" s="89">
        <f t="shared" si="83"/>
        <v>0</v>
      </c>
      <c r="Y101" s="89">
        <f t="shared" ref="Y101:AA101" si="84">IF(Y84&lt;0,Y84*-1,0)</f>
        <v>0</v>
      </c>
      <c r="Z101" s="89">
        <f t="shared" si="84"/>
        <v>0</v>
      </c>
      <c r="AA101" s="89">
        <f t="shared" si="84"/>
        <v>0</v>
      </c>
      <c r="AB101" s="89">
        <f t="shared" si="80"/>
        <v>0</v>
      </c>
      <c r="AC101" s="89">
        <f t="shared" si="80"/>
        <v>0</v>
      </c>
      <c r="AD101" s="89">
        <f t="shared" si="80"/>
        <v>0</v>
      </c>
      <c r="AE101" s="89">
        <f t="shared" si="80"/>
        <v>0</v>
      </c>
      <c r="AF101" s="89">
        <f t="shared" si="80"/>
        <v>0</v>
      </c>
      <c r="AG101" s="61"/>
      <c r="AH101" s="48">
        <f t="shared" si="53"/>
        <v>0</v>
      </c>
      <c r="AI101" s="49">
        <f t="shared" si="54"/>
        <v>0</v>
      </c>
      <c r="BF101" s="81"/>
      <c r="BG101" s="82">
        <v>53.3</v>
      </c>
      <c r="BH101" s="82">
        <v>64.8</v>
      </c>
      <c r="BI101" s="82">
        <v>94</v>
      </c>
      <c r="BJ101" s="82">
        <v>53.3</v>
      </c>
      <c r="BK101" s="82">
        <v>117.6</v>
      </c>
      <c r="BL101" s="82">
        <v>28.2</v>
      </c>
    </row>
    <row r="102" spans="1:64" x14ac:dyDescent="0.25">
      <c r="A102" s="65" t="s">
        <v>105</v>
      </c>
      <c r="B102" s="89">
        <f t="shared" ref="B102:C102" si="85">IF(B82&lt;0,B82*-1,0)</f>
        <v>0</v>
      </c>
      <c r="C102" s="89">
        <f t="shared" si="85"/>
        <v>0</v>
      </c>
      <c r="D102" s="89">
        <f t="shared" ref="D102:AF102" si="86">IF(D82&lt;0,D82*-1,0)</f>
        <v>0</v>
      </c>
      <c r="E102" s="89">
        <f t="shared" si="86"/>
        <v>0</v>
      </c>
      <c r="F102" s="89">
        <f t="shared" si="86"/>
        <v>0</v>
      </c>
      <c r="G102" s="89">
        <f t="shared" si="86"/>
        <v>0</v>
      </c>
      <c r="H102" s="89">
        <f t="shared" si="86"/>
        <v>0</v>
      </c>
      <c r="I102" s="89">
        <f t="shared" si="86"/>
        <v>0</v>
      </c>
      <c r="J102" s="89">
        <f t="shared" si="86"/>
        <v>0</v>
      </c>
      <c r="K102" s="89">
        <f t="shared" si="86"/>
        <v>0</v>
      </c>
      <c r="L102" s="89">
        <f t="shared" si="86"/>
        <v>0</v>
      </c>
      <c r="M102" s="89">
        <f t="shared" si="86"/>
        <v>0</v>
      </c>
      <c r="N102" s="89">
        <f t="shared" si="86"/>
        <v>0</v>
      </c>
      <c r="O102" s="89">
        <f t="shared" si="86"/>
        <v>0</v>
      </c>
      <c r="P102" s="89">
        <f t="shared" si="86"/>
        <v>0</v>
      </c>
      <c r="Q102" s="89">
        <f t="shared" si="86"/>
        <v>0</v>
      </c>
      <c r="R102" s="89">
        <f t="shared" si="86"/>
        <v>0</v>
      </c>
      <c r="S102" s="89">
        <f t="shared" ref="S102:T102" si="87">IF(S82&lt;0,S82*-1,0)</f>
        <v>0</v>
      </c>
      <c r="T102" s="89">
        <f t="shared" si="87"/>
        <v>0</v>
      </c>
      <c r="U102" s="89">
        <f t="shared" ref="U102:V102" si="88">IF(U82&lt;0,U82*-1,0)</f>
        <v>0</v>
      </c>
      <c r="V102" s="89">
        <f t="shared" si="88"/>
        <v>0</v>
      </c>
      <c r="W102" s="89">
        <f t="shared" ref="W102:X102" si="89">IF(W82&lt;0,W82*-1,0)</f>
        <v>0</v>
      </c>
      <c r="X102" s="89">
        <f t="shared" si="89"/>
        <v>0</v>
      </c>
      <c r="Y102" s="89">
        <f t="shared" ref="Y102:AA102" si="90">IF(Y82&lt;0,Y82*-1,0)</f>
        <v>0</v>
      </c>
      <c r="Z102" s="89">
        <f t="shared" si="90"/>
        <v>0</v>
      </c>
      <c r="AA102" s="89">
        <f t="shared" si="90"/>
        <v>0</v>
      </c>
      <c r="AB102" s="89">
        <f t="shared" si="86"/>
        <v>0</v>
      </c>
      <c r="AC102" s="89">
        <f t="shared" si="86"/>
        <v>0</v>
      </c>
      <c r="AD102" s="89">
        <f t="shared" si="86"/>
        <v>0</v>
      </c>
      <c r="AE102" s="89">
        <f t="shared" si="86"/>
        <v>0</v>
      </c>
      <c r="AF102" s="89">
        <f t="shared" si="86"/>
        <v>0</v>
      </c>
      <c r="AG102" s="66"/>
      <c r="AH102" s="48">
        <f t="shared" si="53"/>
        <v>0</v>
      </c>
      <c r="AI102" s="49">
        <f t="shared" si="54"/>
        <v>0</v>
      </c>
      <c r="BF102" s="81"/>
      <c r="BG102" s="82">
        <v>44.3</v>
      </c>
      <c r="BH102" s="82">
        <v>0</v>
      </c>
      <c r="BI102" s="82">
        <v>117.3</v>
      </c>
      <c r="BJ102" s="82">
        <v>45.2</v>
      </c>
      <c r="BK102" s="82">
        <v>26.1</v>
      </c>
      <c r="BL102" s="82">
        <v>35</v>
      </c>
    </row>
    <row r="103" spans="1:64" x14ac:dyDescent="0.25">
      <c r="A103" s="97" t="s">
        <v>127</v>
      </c>
      <c r="B103" s="89">
        <f t="shared" ref="B103:C103" si="91">IF(B85&lt;0,B85*-1,0)</f>
        <v>0</v>
      </c>
      <c r="C103" s="89">
        <f t="shared" si="91"/>
        <v>0</v>
      </c>
      <c r="D103" s="89">
        <f t="shared" ref="D103:AF103" si="92">IF(D85&lt;0,D85*-1,0)</f>
        <v>0</v>
      </c>
      <c r="E103" s="89">
        <f t="shared" si="92"/>
        <v>0</v>
      </c>
      <c r="F103" s="89">
        <f t="shared" si="92"/>
        <v>0</v>
      </c>
      <c r="G103" s="89">
        <f t="shared" si="92"/>
        <v>0</v>
      </c>
      <c r="H103" s="89">
        <f t="shared" si="92"/>
        <v>0</v>
      </c>
      <c r="I103" s="89">
        <f t="shared" si="92"/>
        <v>0</v>
      </c>
      <c r="J103" s="89">
        <f t="shared" si="92"/>
        <v>0</v>
      </c>
      <c r="K103" s="89">
        <f t="shared" si="92"/>
        <v>0</v>
      </c>
      <c r="L103" s="89">
        <f t="shared" si="92"/>
        <v>0</v>
      </c>
      <c r="M103" s="89">
        <f t="shared" si="92"/>
        <v>0</v>
      </c>
      <c r="N103" s="89">
        <f t="shared" si="92"/>
        <v>0</v>
      </c>
      <c r="O103" s="89">
        <f t="shared" si="92"/>
        <v>0</v>
      </c>
      <c r="P103" s="89">
        <f t="shared" si="92"/>
        <v>0</v>
      </c>
      <c r="Q103" s="89">
        <f t="shared" si="92"/>
        <v>0</v>
      </c>
      <c r="R103" s="89">
        <f t="shared" si="92"/>
        <v>0</v>
      </c>
      <c r="S103" s="89">
        <f t="shared" ref="S103:T103" si="93">IF(S85&lt;0,S85*-1,0)</f>
        <v>0</v>
      </c>
      <c r="T103" s="89">
        <f t="shared" si="93"/>
        <v>0</v>
      </c>
      <c r="U103" s="89">
        <f t="shared" ref="U103:V103" si="94">IF(U85&lt;0,U85*-1,0)</f>
        <v>0</v>
      </c>
      <c r="V103" s="89">
        <f t="shared" si="94"/>
        <v>0</v>
      </c>
      <c r="W103" s="89">
        <f t="shared" ref="W103:X103" si="95">IF(W85&lt;0,W85*-1,0)</f>
        <v>0</v>
      </c>
      <c r="X103" s="89">
        <f t="shared" si="95"/>
        <v>0</v>
      </c>
      <c r="Y103" s="89">
        <f t="shared" ref="Y103:AA103" si="96">IF(Y85&lt;0,Y85*-1,0)</f>
        <v>0</v>
      </c>
      <c r="Z103" s="89">
        <f t="shared" si="96"/>
        <v>0</v>
      </c>
      <c r="AA103" s="89">
        <f t="shared" si="96"/>
        <v>0</v>
      </c>
      <c r="AB103" s="89">
        <f t="shared" si="92"/>
        <v>0</v>
      </c>
      <c r="AC103" s="89">
        <f t="shared" si="92"/>
        <v>0</v>
      </c>
      <c r="AD103" s="89">
        <f t="shared" si="92"/>
        <v>0</v>
      </c>
      <c r="AE103" s="89">
        <f t="shared" si="92"/>
        <v>0</v>
      </c>
      <c r="AF103" s="89">
        <f t="shared" si="92"/>
        <v>0</v>
      </c>
      <c r="AG103" s="111"/>
      <c r="AH103" s="48">
        <f t="shared" si="53"/>
        <v>0</v>
      </c>
      <c r="AI103" s="49">
        <f t="shared" si="54"/>
        <v>0</v>
      </c>
      <c r="BF103" s="81"/>
      <c r="BG103" s="82">
        <v>19.100000000000001</v>
      </c>
      <c r="BH103" s="82">
        <v>0</v>
      </c>
      <c r="BI103" s="82">
        <v>0</v>
      </c>
      <c r="BJ103" s="82">
        <v>14.7</v>
      </c>
      <c r="BK103" s="82">
        <v>0</v>
      </c>
      <c r="BL103" s="82">
        <v>42.3</v>
      </c>
    </row>
    <row r="104" spans="1:64" x14ac:dyDescent="0.25">
      <c r="A104" s="97" t="s">
        <v>128</v>
      </c>
      <c r="B104" s="89">
        <f t="shared" ref="B104:C104" si="97">IF(B83&lt;0,B83*-1,0)</f>
        <v>0</v>
      </c>
      <c r="C104" s="89">
        <f t="shared" si="97"/>
        <v>0</v>
      </c>
      <c r="D104" s="89">
        <f t="shared" ref="D104:AF104" si="98">IF(D83&lt;0,D83*-1,0)</f>
        <v>0</v>
      </c>
      <c r="E104" s="89">
        <f t="shared" si="98"/>
        <v>97</v>
      </c>
      <c r="F104" s="89">
        <f t="shared" si="98"/>
        <v>180</v>
      </c>
      <c r="G104" s="89">
        <f t="shared" si="98"/>
        <v>284</v>
      </c>
      <c r="H104" s="89">
        <f t="shared" si="98"/>
        <v>259</v>
      </c>
      <c r="I104" s="89">
        <f t="shared" si="98"/>
        <v>345</v>
      </c>
      <c r="J104" s="89">
        <f t="shared" si="98"/>
        <v>349</v>
      </c>
      <c r="K104" s="89">
        <f t="shared" si="98"/>
        <v>260</v>
      </c>
      <c r="L104" s="89">
        <f t="shared" si="98"/>
        <v>154</v>
      </c>
      <c r="M104" s="89">
        <f t="shared" si="98"/>
        <v>158</v>
      </c>
      <c r="N104" s="89">
        <f t="shared" si="98"/>
        <v>188</v>
      </c>
      <c r="O104" s="89">
        <f t="shared" si="98"/>
        <v>86</v>
      </c>
      <c r="P104" s="89">
        <f t="shared" si="98"/>
        <v>0</v>
      </c>
      <c r="Q104" s="89">
        <f t="shared" si="98"/>
        <v>0</v>
      </c>
      <c r="R104" s="89">
        <f t="shared" si="98"/>
        <v>0</v>
      </c>
      <c r="S104" s="89">
        <f t="shared" ref="S104:T104" si="99">IF(S83&lt;0,S83*-1,0)</f>
        <v>89</v>
      </c>
      <c r="T104" s="89">
        <f t="shared" si="99"/>
        <v>80.599999999999994</v>
      </c>
      <c r="U104" s="89">
        <f t="shared" ref="U104:V104" si="100">IF(U83&lt;0,U83*-1,0)</f>
        <v>0</v>
      </c>
      <c r="V104" s="89">
        <f t="shared" si="100"/>
        <v>0</v>
      </c>
      <c r="W104" s="89">
        <f t="shared" ref="W104:X104" si="101">IF(W83&lt;0,W83*-1,0)</f>
        <v>0</v>
      </c>
      <c r="X104" s="89">
        <f t="shared" si="101"/>
        <v>0</v>
      </c>
      <c r="Y104" s="89">
        <f t="shared" ref="Y104:AA104" si="102">IF(Y83&lt;0,Y83*-1,0)</f>
        <v>0</v>
      </c>
      <c r="Z104" s="89">
        <f t="shared" si="102"/>
        <v>0</v>
      </c>
      <c r="AA104" s="89">
        <f t="shared" si="102"/>
        <v>0</v>
      </c>
      <c r="AB104" s="89">
        <f t="shared" si="98"/>
        <v>0</v>
      </c>
      <c r="AC104" s="89">
        <f t="shared" si="98"/>
        <v>0</v>
      </c>
      <c r="AD104" s="89">
        <f t="shared" si="98"/>
        <v>0</v>
      </c>
      <c r="AE104" s="89">
        <f t="shared" si="98"/>
        <v>0</v>
      </c>
      <c r="AF104" s="89">
        <f t="shared" si="98"/>
        <v>0</v>
      </c>
      <c r="AG104" s="111"/>
      <c r="AH104" s="48">
        <f t="shared" si="53"/>
        <v>349</v>
      </c>
      <c r="AI104" s="49">
        <f t="shared" si="54"/>
        <v>0</v>
      </c>
      <c r="BF104" s="81"/>
      <c r="BG104" s="82">
        <v>12.6</v>
      </c>
      <c r="BH104" s="82">
        <v>0</v>
      </c>
      <c r="BI104" s="82">
        <v>0</v>
      </c>
      <c r="BJ104" s="82">
        <v>15.2</v>
      </c>
      <c r="BK104" s="82">
        <v>0</v>
      </c>
      <c r="BL104" s="82">
        <v>51</v>
      </c>
    </row>
    <row r="105" spans="1:64" x14ac:dyDescent="0.25">
      <c r="A105" s="97" t="s">
        <v>104</v>
      </c>
      <c r="B105" s="89">
        <f t="shared" ref="B105:C105" si="103">IF(B81&lt;0,B81*-1,0)</f>
        <v>0</v>
      </c>
      <c r="C105" s="89">
        <f t="shared" si="103"/>
        <v>0</v>
      </c>
      <c r="D105" s="89">
        <f t="shared" ref="D105:AF105" si="104">IF(D81&lt;0,D81*-1,0)</f>
        <v>0</v>
      </c>
      <c r="E105" s="89">
        <f t="shared" si="104"/>
        <v>0</v>
      </c>
      <c r="F105" s="89">
        <f t="shared" si="104"/>
        <v>0</v>
      </c>
      <c r="G105" s="89">
        <f t="shared" si="104"/>
        <v>0</v>
      </c>
      <c r="H105" s="89">
        <f t="shared" si="104"/>
        <v>0</v>
      </c>
      <c r="I105" s="89">
        <f t="shared" si="104"/>
        <v>0</v>
      </c>
      <c r="J105" s="89">
        <f t="shared" si="104"/>
        <v>0</v>
      </c>
      <c r="K105" s="89">
        <f t="shared" si="104"/>
        <v>0</v>
      </c>
      <c r="L105" s="89">
        <f t="shared" si="104"/>
        <v>0</v>
      </c>
      <c r="M105" s="89">
        <f t="shared" si="104"/>
        <v>0</v>
      </c>
      <c r="N105" s="89">
        <f t="shared" si="104"/>
        <v>0</v>
      </c>
      <c r="O105" s="89">
        <f t="shared" si="104"/>
        <v>0</v>
      </c>
      <c r="P105" s="89">
        <f t="shared" si="104"/>
        <v>0</v>
      </c>
      <c r="Q105" s="89">
        <f t="shared" si="104"/>
        <v>0</v>
      </c>
      <c r="R105" s="89">
        <f t="shared" si="104"/>
        <v>0</v>
      </c>
      <c r="S105" s="89">
        <f t="shared" ref="S105:T105" si="105">IF(S81&lt;0,S81*-1,0)</f>
        <v>0</v>
      </c>
      <c r="T105" s="89">
        <f t="shared" si="105"/>
        <v>0</v>
      </c>
      <c r="U105" s="89">
        <f t="shared" ref="U105:V105" si="106">IF(U81&lt;0,U81*-1,0)</f>
        <v>0</v>
      </c>
      <c r="V105" s="89">
        <f t="shared" si="106"/>
        <v>0</v>
      </c>
      <c r="W105" s="89">
        <f t="shared" ref="W105:X105" si="107">IF(W81&lt;0,W81*-1,0)</f>
        <v>0</v>
      </c>
      <c r="X105" s="89">
        <f t="shared" si="107"/>
        <v>0</v>
      </c>
      <c r="Y105" s="89">
        <f t="shared" ref="Y105:AA105" si="108">IF(Y81&lt;0,Y81*-1,0)</f>
        <v>0</v>
      </c>
      <c r="Z105" s="89">
        <f t="shared" si="108"/>
        <v>0</v>
      </c>
      <c r="AA105" s="89">
        <f t="shared" si="108"/>
        <v>0</v>
      </c>
      <c r="AB105" s="89">
        <f t="shared" si="104"/>
        <v>0</v>
      </c>
      <c r="AC105" s="89">
        <f t="shared" si="104"/>
        <v>0</v>
      </c>
      <c r="AD105" s="89">
        <f t="shared" si="104"/>
        <v>0</v>
      </c>
      <c r="AE105" s="89">
        <f t="shared" si="104"/>
        <v>0</v>
      </c>
      <c r="AF105" s="89">
        <f t="shared" si="104"/>
        <v>0</v>
      </c>
      <c r="AG105" s="111"/>
      <c r="AH105" s="48">
        <f t="shared" si="53"/>
        <v>0</v>
      </c>
      <c r="AI105" s="49">
        <f t="shared" si="54"/>
        <v>0</v>
      </c>
      <c r="BF105" s="81"/>
      <c r="BG105" s="82">
        <v>13.5</v>
      </c>
      <c r="BH105" s="82">
        <v>0</v>
      </c>
      <c r="BI105" s="82">
        <v>0</v>
      </c>
      <c r="BJ105" s="82">
        <v>15.9</v>
      </c>
      <c r="BK105" s="82">
        <v>0</v>
      </c>
      <c r="BL105" s="82">
        <v>50.9</v>
      </c>
    </row>
    <row r="106" spans="1:64" ht="15.75" thickBot="1" x14ac:dyDescent="0.3">
      <c r="A106" s="97" t="s">
        <v>129</v>
      </c>
      <c r="B106" s="107">
        <v>0</v>
      </c>
      <c r="C106" s="107">
        <v>1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53"/>
        <v>1</v>
      </c>
      <c r="AI106" s="49">
        <f t="shared" si="54"/>
        <v>0</v>
      </c>
      <c r="BG106" s="82">
        <v>29.9</v>
      </c>
      <c r="BH106" s="82">
        <v>0</v>
      </c>
      <c r="BI106" s="82">
        <v>9</v>
      </c>
      <c r="BJ106" s="82">
        <v>18</v>
      </c>
      <c r="BK106" s="82">
        <v>0</v>
      </c>
      <c r="BL106" s="82">
        <v>51.2</v>
      </c>
    </row>
    <row r="107" spans="1:64" ht="15.75" thickBot="1" x14ac:dyDescent="0.3">
      <c r="A107" s="112" t="s">
        <v>130</v>
      </c>
      <c r="B107" s="71">
        <f t="shared" ref="B107" si="109">SUM(B101:B106)</f>
        <v>0</v>
      </c>
      <c r="C107" s="71">
        <v>0</v>
      </c>
      <c r="D107" s="71">
        <f t="shared" ref="D107:AF107" si="110">SUM(D101:D106)</f>
        <v>0</v>
      </c>
      <c r="E107" s="71">
        <f t="shared" si="110"/>
        <v>97</v>
      </c>
      <c r="F107" s="71">
        <f t="shared" si="110"/>
        <v>180</v>
      </c>
      <c r="G107" s="71">
        <f t="shared" si="110"/>
        <v>284</v>
      </c>
      <c r="H107" s="71">
        <f t="shared" si="110"/>
        <v>259</v>
      </c>
      <c r="I107" s="71">
        <f t="shared" si="110"/>
        <v>345</v>
      </c>
      <c r="J107" s="71">
        <f t="shared" si="110"/>
        <v>349</v>
      </c>
      <c r="K107" s="71">
        <f t="shared" si="110"/>
        <v>260</v>
      </c>
      <c r="L107" s="71">
        <f t="shared" si="110"/>
        <v>154</v>
      </c>
      <c r="M107" s="71">
        <f t="shared" si="110"/>
        <v>158</v>
      </c>
      <c r="N107" s="71">
        <f t="shared" si="110"/>
        <v>188</v>
      </c>
      <c r="O107" s="71">
        <f t="shared" si="110"/>
        <v>86</v>
      </c>
      <c r="P107" s="71">
        <f t="shared" si="110"/>
        <v>0</v>
      </c>
      <c r="Q107" s="71">
        <f t="shared" si="110"/>
        <v>0</v>
      </c>
      <c r="R107" s="71">
        <f t="shared" si="110"/>
        <v>0</v>
      </c>
      <c r="S107" s="71">
        <f t="shared" ref="S107:T107" si="111">SUM(S101:S106)</f>
        <v>89</v>
      </c>
      <c r="T107" s="71">
        <f t="shared" si="111"/>
        <v>80.599999999999994</v>
      </c>
      <c r="U107" s="71">
        <f t="shared" ref="U107:V107" si="112">SUM(U101:U106)</f>
        <v>0</v>
      </c>
      <c r="V107" s="71">
        <f t="shared" si="112"/>
        <v>0</v>
      </c>
      <c r="W107" s="71">
        <f t="shared" ref="W107:X107" si="113">SUM(W101:W106)</f>
        <v>0</v>
      </c>
      <c r="X107" s="71">
        <f t="shared" si="113"/>
        <v>0</v>
      </c>
      <c r="Y107" s="71">
        <f t="shared" ref="Y107:AA107" si="114">SUM(Y101:Y106)</f>
        <v>0</v>
      </c>
      <c r="Z107" s="71">
        <f t="shared" si="114"/>
        <v>0</v>
      </c>
      <c r="AA107" s="71">
        <f t="shared" si="114"/>
        <v>0</v>
      </c>
      <c r="AB107" s="71">
        <f t="shared" si="110"/>
        <v>0</v>
      </c>
      <c r="AC107" s="71">
        <f t="shared" si="110"/>
        <v>0</v>
      </c>
      <c r="AD107" s="71">
        <f t="shared" si="110"/>
        <v>0</v>
      </c>
      <c r="AE107" s="71">
        <f t="shared" si="110"/>
        <v>0</v>
      </c>
      <c r="AF107" s="71">
        <f t="shared" si="110"/>
        <v>0</v>
      </c>
      <c r="AG107" s="101"/>
      <c r="AH107" s="48">
        <f t="shared" si="53"/>
        <v>349</v>
      </c>
      <c r="AI107" s="49">
        <f t="shared" si="54"/>
        <v>0</v>
      </c>
      <c r="AK107" s="51"/>
      <c r="BG107" s="82">
        <v>14</v>
      </c>
      <c r="BH107" s="82">
        <v>0</v>
      </c>
      <c r="BI107" s="82">
        <v>0</v>
      </c>
      <c r="BJ107" s="82">
        <v>0</v>
      </c>
      <c r="BK107" s="82">
        <v>0</v>
      </c>
      <c r="BL107" s="82">
        <v>45</v>
      </c>
    </row>
    <row r="108" spans="1:64" ht="15.75" thickBot="1" x14ac:dyDescent="0.3">
      <c r="A108" s="87" t="s">
        <v>131</v>
      </c>
      <c r="B108" s="71">
        <f t="shared" ref="B108:C108" si="115">B92-B107</f>
        <v>59</v>
      </c>
      <c r="C108" s="71">
        <f t="shared" si="115"/>
        <v>65</v>
      </c>
      <c r="D108" s="71">
        <f t="shared" ref="D108:AF108" si="116">D92-D107</f>
        <v>67</v>
      </c>
      <c r="E108" s="71">
        <f t="shared" si="116"/>
        <v>-32.799999999999997</v>
      </c>
      <c r="F108" s="71">
        <f t="shared" si="116"/>
        <v>-115.2</v>
      </c>
      <c r="G108" s="71">
        <f t="shared" si="116"/>
        <v>-228.5</v>
      </c>
      <c r="H108" s="71">
        <f t="shared" si="116"/>
        <v>-203.6</v>
      </c>
      <c r="I108" s="71">
        <f t="shared" si="116"/>
        <v>-284</v>
      </c>
      <c r="J108" s="71">
        <f t="shared" si="116"/>
        <v>-207.8</v>
      </c>
      <c r="K108" s="71">
        <f t="shared" si="116"/>
        <v>-110</v>
      </c>
      <c r="L108" s="71">
        <f t="shared" si="116"/>
        <v>29.400000000000006</v>
      </c>
      <c r="M108" s="71">
        <f t="shared" si="116"/>
        <v>131</v>
      </c>
      <c r="N108" s="71">
        <f t="shared" si="116"/>
        <v>147</v>
      </c>
      <c r="O108" s="71">
        <f t="shared" si="116"/>
        <v>248</v>
      </c>
      <c r="P108" s="71">
        <f t="shared" si="116"/>
        <v>481</v>
      </c>
      <c r="Q108" s="71">
        <f t="shared" si="116"/>
        <v>488</v>
      </c>
      <c r="R108" s="71">
        <f t="shared" si="116"/>
        <v>466</v>
      </c>
      <c r="S108" s="71">
        <f t="shared" ref="S108:T108" si="117">S92-S107</f>
        <v>285</v>
      </c>
      <c r="T108" s="71">
        <f t="shared" si="117"/>
        <v>198.79999999999998</v>
      </c>
      <c r="U108" s="71">
        <f t="shared" ref="U108:V108" si="118">U92-U107</f>
        <v>413.6</v>
      </c>
      <c r="V108" s="71">
        <f t="shared" si="118"/>
        <v>399.8</v>
      </c>
      <c r="W108" s="71">
        <f t="shared" ref="W108:X108" si="119">W92-W107</f>
        <v>370.29999999999995</v>
      </c>
      <c r="X108" s="71">
        <f t="shared" si="119"/>
        <v>411.2</v>
      </c>
      <c r="Y108" s="71">
        <f t="shared" ref="Y108:AA108" si="120">Y92-Y107</f>
        <v>34.799999999999997</v>
      </c>
      <c r="Z108" s="71">
        <f t="shared" si="120"/>
        <v>34.799999999999997</v>
      </c>
      <c r="AA108" s="71">
        <f t="shared" si="120"/>
        <v>326.7</v>
      </c>
      <c r="AB108" s="71">
        <f t="shared" si="116"/>
        <v>76.099999999999994</v>
      </c>
      <c r="AC108" s="71">
        <f t="shared" si="116"/>
        <v>91.4</v>
      </c>
      <c r="AD108" s="71">
        <f t="shared" si="116"/>
        <v>78.8</v>
      </c>
      <c r="AE108" s="71">
        <f t="shared" si="116"/>
        <v>80.3</v>
      </c>
      <c r="AF108" s="71">
        <f t="shared" si="116"/>
        <v>108.1</v>
      </c>
      <c r="AG108" s="101"/>
      <c r="AH108" s="48">
        <f t="shared" si="53"/>
        <v>488</v>
      </c>
      <c r="AI108" s="49">
        <f t="shared" si="54"/>
        <v>-284</v>
      </c>
    </row>
    <row r="109" spans="1:64" x14ac:dyDescent="0.25">
      <c r="A109" s="113" t="s">
        <v>132</v>
      </c>
      <c r="B109" s="114">
        <v>50.02</v>
      </c>
      <c r="C109" s="114">
        <v>50.02</v>
      </c>
      <c r="D109" s="114">
        <v>50.021000000000001</v>
      </c>
      <c r="E109" s="114">
        <v>50.06</v>
      </c>
      <c r="F109" s="114">
        <v>49.970999999999997</v>
      </c>
      <c r="G109" s="114">
        <v>49.911000000000001</v>
      </c>
      <c r="H109" s="114">
        <v>49.944000000000003</v>
      </c>
      <c r="I109" s="114">
        <v>49.923000000000002</v>
      </c>
      <c r="J109" s="114">
        <v>49.991999999999997</v>
      </c>
      <c r="K109" s="114">
        <v>50.036999999999999</v>
      </c>
      <c r="L109" s="114">
        <v>50</v>
      </c>
      <c r="M109" s="114">
        <v>49.982999999999997</v>
      </c>
      <c r="N109" s="114">
        <v>50.057000000000002</v>
      </c>
      <c r="O109" s="114">
        <v>50.118000000000002</v>
      </c>
      <c r="P109" s="114">
        <v>50.118000000000002</v>
      </c>
      <c r="Q109" s="114">
        <v>49.941000000000003</v>
      </c>
      <c r="R109" s="114">
        <v>50.003999999999998</v>
      </c>
      <c r="S109" s="114">
        <v>50.003999999999998</v>
      </c>
      <c r="T109" s="114">
        <v>49.99</v>
      </c>
      <c r="U109" s="114">
        <v>50.02</v>
      </c>
      <c r="V109" s="114">
        <v>50.01</v>
      </c>
      <c r="W109" s="114">
        <v>50.01</v>
      </c>
      <c r="X109" s="114">
        <v>49.94</v>
      </c>
      <c r="Y109" s="114">
        <v>50.03</v>
      </c>
      <c r="Z109" s="114">
        <v>50.05</v>
      </c>
      <c r="AA109" s="114">
        <v>49.93</v>
      </c>
      <c r="AB109" s="114">
        <v>50.07</v>
      </c>
      <c r="AC109" s="114">
        <v>49.947000000000003</v>
      </c>
      <c r="AD109" s="114">
        <v>50.030999999999999</v>
      </c>
      <c r="AE109" s="114">
        <v>50.018000000000001</v>
      </c>
      <c r="AF109" s="114">
        <v>50.030999999999999</v>
      </c>
      <c r="AG109" s="115"/>
      <c r="AH109" s="48">
        <f t="shared" si="53"/>
        <v>50.118000000000002</v>
      </c>
      <c r="AI109" s="49">
        <f t="shared" si="54"/>
        <v>49.911000000000001</v>
      </c>
    </row>
    <row r="110" spans="1:64" x14ac:dyDescent="0.25">
      <c r="A110" s="116" t="s">
        <v>133</v>
      </c>
      <c r="B110" s="76">
        <v>124.6</v>
      </c>
      <c r="C110" s="76">
        <v>124.6</v>
      </c>
      <c r="D110" s="76">
        <v>124.6</v>
      </c>
      <c r="E110" s="76">
        <v>124.6</v>
      </c>
      <c r="F110" s="76">
        <v>124.6</v>
      </c>
      <c r="G110" s="76">
        <v>123.7</v>
      </c>
      <c r="H110" s="76">
        <v>123.7</v>
      </c>
      <c r="I110" s="76">
        <v>121</v>
      </c>
      <c r="J110" s="76">
        <v>124.7</v>
      </c>
      <c r="K110" s="76">
        <v>124.7</v>
      </c>
      <c r="L110" s="76">
        <v>124.7</v>
      </c>
      <c r="M110" s="76">
        <v>123.1</v>
      </c>
      <c r="N110" s="76">
        <v>123</v>
      </c>
      <c r="O110" s="76">
        <v>118</v>
      </c>
      <c r="P110" s="76">
        <v>118</v>
      </c>
      <c r="Q110" s="76">
        <v>121</v>
      </c>
      <c r="R110" s="76">
        <v>121.2</v>
      </c>
      <c r="S110" s="76">
        <v>121.2</v>
      </c>
      <c r="T110" s="76">
        <v>122.7</v>
      </c>
      <c r="U110" s="76">
        <v>120.3</v>
      </c>
      <c r="V110" s="76">
        <v>120.9</v>
      </c>
      <c r="W110" s="76">
        <v>120.9</v>
      </c>
      <c r="X110" s="76">
        <v>127.2</v>
      </c>
      <c r="Y110" s="76">
        <v>128.6</v>
      </c>
      <c r="Z110" s="76">
        <v>128.4</v>
      </c>
      <c r="AA110" s="76">
        <v>127.8</v>
      </c>
      <c r="AB110" s="76">
        <v>125.8</v>
      </c>
      <c r="AC110" s="76">
        <v>126.3</v>
      </c>
      <c r="AD110" s="76">
        <v>126.7</v>
      </c>
      <c r="AE110" s="76">
        <v>126.7</v>
      </c>
      <c r="AF110" s="76">
        <v>124.2</v>
      </c>
      <c r="AG110" s="117"/>
      <c r="AH110" s="48">
        <f t="shared" si="53"/>
        <v>128.6</v>
      </c>
      <c r="AI110" s="49">
        <f t="shared" si="54"/>
        <v>118</v>
      </c>
    </row>
    <row r="111" spans="1:64" x14ac:dyDescent="0.25">
      <c r="A111" s="116" t="s">
        <v>134</v>
      </c>
      <c r="B111" s="76">
        <v>128</v>
      </c>
      <c r="C111" s="76">
        <v>128</v>
      </c>
      <c r="D111" s="76">
        <v>129</v>
      </c>
      <c r="E111" s="76">
        <v>129</v>
      </c>
      <c r="F111" s="76">
        <v>129</v>
      </c>
      <c r="G111" s="76">
        <v>127.7</v>
      </c>
      <c r="H111" s="76">
        <v>127.7</v>
      </c>
      <c r="I111" s="76">
        <v>125</v>
      </c>
      <c r="J111" s="76">
        <v>128</v>
      </c>
      <c r="K111" s="76">
        <v>128</v>
      </c>
      <c r="L111" s="76">
        <v>128</v>
      </c>
      <c r="M111" s="76">
        <v>125.5</v>
      </c>
      <c r="N111" s="76">
        <v>125.7</v>
      </c>
      <c r="O111" s="76">
        <v>122</v>
      </c>
      <c r="P111" s="76">
        <v>122</v>
      </c>
      <c r="Q111" s="76">
        <v>125</v>
      </c>
      <c r="R111" s="76">
        <v>125.3</v>
      </c>
      <c r="S111" s="76">
        <v>125.3</v>
      </c>
      <c r="T111" s="76">
        <v>126.6</v>
      </c>
      <c r="U111" s="76">
        <v>124.2</v>
      </c>
      <c r="V111" s="76">
        <v>124.6</v>
      </c>
      <c r="W111" s="76">
        <v>124.6</v>
      </c>
      <c r="X111" s="76">
        <v>129.4</v>
      </c>
      <c r="Y111" s="76">
        <v>130.6</v>
      </c>
      <c r="Z111" s="76">
        <v>131.6</v>
      </c>
      <c r="AA111" s="76">
        <v>131.6</v>
      </c>
      <c r="AB111" s="76">
        <v>129.30000000000001</v>
      </c>
      <c r="AC111" s="76">
        <v>130.30000000000001</v>
      </c>
      <c r="AD111" s="76">
        <v>130.80000000000001</v>
      </c>
      <c r="AE111" s="76">
        <v>130.80000000000001</v>
      </c>
      <c r="AF111" s="76">
        <v>129.19999999999999</v>
      </c>
      <c r="AG111" s="117"/>
      <c r="AH111" s="48">
        <f t="shared" si="53"/>
        <v>131.6</v>
      </c>
      <c r="AI111" s="49">
        <f t="shared" si="54"/>
        <v>122</v>
      </c>
    </row>
    <row r="112" spans="1:64" x14ac:dyDescent="0.25">
      <c r="A112" s="116" t="s">
        <v>135</v>
      </c>
      <c r="B112" s="76">
        <v>130</v>
      </c>
      <c r="C112" s="76">
        <v>130</v>
      </c>
      <c r="D112" s="76">
        <v>132</v>
      </c>
      <c r="E112" s="76">
        <v>132</v>
      </c>
      <c r="F112" s="76">
        <v>132</v>
      </c>
      <c r="G112" s="76">
        <v>133</v>
      </c>
      <c r="H112" s="76">
        <v>133</v>
      </c>
      <c r="I112" s="76">
        <v>133</v>
      </c>
      <c r="J112" s="76">
        <v>129</v>
      </c>
      <c r="K112" s="76">
        <v>129</v>
      </c>
      <c r="L112" s="76">
        <v>129</v>
      </c>
      <c r="M112" s="76">
        <v>126.7</v>
      </c>
      <c r="N112" s="76">
        <v>124.9</v>
      </c>
      <c r="O112" s="76">
        <v>125.4</v>
      </c>
      <c r="P112" s="76">
        <v>125.4</v>
      </c>
      <c r="Q112" s="76">
        <v>120.7</v>
      </c>
      <c r="R112" s="76">
        <v>120.6</v>
      </c>
      <c r="S112" s="76">
        <v>120.6</v>
      </c>
      <c r="T112" s="76">
        <v>122.9</v>
      </c>
      <c r="U112" s="76">
        <v>124.3</v>
      </c>
      <c r="V112" s="76">
        <v>128.9</v>
      </c>
      <c r="W112" s="76">
        <v>128.9</v>
      </c>
      <c r="X112" s="76">
        <v>128.9</v>
      </c>
      <c r="Y112" s="76">
        <v>126.4</v>
      </c>
      <c r="Z112" s="76">
        <v>125.9</v>
      </c>
      <c r="AA112" s="76">
        <v>125.9</v>
      </c>
      <c r="AB112" s="76">
        <v>126.7</v>
      </c>
      <c r="AC112" s="76">
        <v>123</v>
      </c>
      <c r="AD112" s="76">
        <v>124.3</v>
      </c>
      <c r="AE112" s="76">
        <v>124.3</v>
      </c>
      <c r="AF112" s="76">
        <v>124.7</v>
      </c>
      <c r="AG112" s="117"/>
      <c r="AH112" s="48">
        <f t="shared" si="53"/>
        <v>133</v>
      </c>
      <c r="AI112" s="49">
        <f t="shared" si="54"/>
        <v>120.6</v>
      </c>
    </row>
    <row r="113" spans="1:35" x14ac:dyDescent="0.25">
      <c r="A113" s="118" t="s">
        <v>136</v>
      </c>
      <c r="B113" s="76">
        <v>131</v>
      </c>
      <c r="C113" s="76">
        <v>131</v>
      </c>
      <c r="D113" s="76">
        <v>134</v>
      </c>
      <c r="E113" s="76">
        <v>134</v>
      </c>
      <c r="F113" s="76">
        <v>134</v>
      </c>
      <c r="G113" s="76">
        <v>133</v>
      </c>
      <c r="H113" s="76">
        <v>133</v>
      </c>
      <c r="I113" s="76">
        <v>133</v>
      </c>
      <c r="J113" s="76">
        <v>129.5</v>
      </c>
      <c r="K113" s="76">
        <v>129.5</v>
      </c>
      <c r="L113" s="76">
        <v>129.5</v>
      </c>
      <c r="M113" s="76">
        <v>131.6</v>
      </c>
      <c r="N113" s="76">
        <v>133.30000000000001</v>
      </c>
      <c r="O113" s="76">
        <v>126.9</v>
      </c>
      <c r="P113" s="76">
        <v>126.9</v>
      </c>
      <c r="Q113" s="76">
        <v>129.19999999999999</v>
      </c>
      <c r="R113" s="76">
        <v>129.19999999999999</v>
      </c>
      <c r="S113" s="76">
        <v>129.19999999999999</v>
      </c>
      <c r="T113" s="76">
        <v>126.8</v>
      </c>
      <c r="U113" s="76">
        <v>129</v>
      </c>
      <c r="V113" s="76">
        <v>129.6</v>
      </c>
      <c r="W113" s="76">
        <v>129.6</v>
      </c>
      <c r="X113" s="76">
        <v>128.19999999999999</v>
      </c>
      <c r="Y113" s="76">
        <v>125.9</v>
      </c>
      <c r="Z113" s="76">
        <v>125.7</v>
      </c>
      <c r="AA113" s="76">
        <v>125.7</v>
      </c>
      <c r="AB113" s="76">
        <v>127.3</v>
      </c>
      <c r="AC113" s="76">
        <v>126</v>
      </c>
      <c r="AD113" s="76">
        <v>126.5</v>
      </c>
      <c r="AE113" s="76">
        <v>126.5</v>
      </c>
      <c r="AF113" s="76">
        <v>127.3</v>
      </c>
      <c r="AG113" s="117"/>
      <c r="AH113" s="48">
        <f t="shared" si="53"/>
        <v>134</v>
      </c>
      <c r="AI113" s="49">
        <f t="shared" si="54"/>
        <v>125.7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>
        <v>132.19999999999999</v>
      </c>
      <c r="AC114" s="119">
        <v>132.19999999999999</v>
      </c>
      <c r="AD114" s="119">
        <v>137</v>
      </c>
      <c r="AE114" s="119">
        <v>137</v>
      </c>
      <c r="AF114" s="119">
        <v>132.9</v>
      </c>
      <c r="AG114" s="120"/>
      <c r="AH114" s="48">
        <f t="shared" si="53"/>
        <v>137</v>
      </c>
      <c r="AI114" s="49">
        <f t="shared" si="54"/>
        <v>132.19999999999999</v>
      </c>
    </row>
    <row r="115" spans="1:35" x14ac:dyDescent="0.25">
      <c r="A115" s="116" t="s">
        <v>138</v>
      </c>
      <c r="B115" s="76">
        <v>130</v>
      </c>
      <c r="C115" s="76">
        <v>130</v>
      </c>
      <c r="D115" s="76">
        <v>128.5</v>
      </c>
      <c r="E115" s="76">
        <v>128.5</v>
      </c>
      <c r="F115" s="76">
        <v>128.5</v>
      </c>
      <c r="G115" s="76">
        <v>131</v>
      </c>
      <c r="H115" s="76">
        <v>131</v>
      </c>
      <c r="I115" s="76">
        <v>131</v>
      </c>
      <c r="J115" s="76">
        <v>125</v>
      </c>
      <c r="K115" s="76">
        <v>125</v>
      </c>
      <c r="L115" s="76">
        <v>125</v>
      </c>
      <c r="M115" s="76">
        <v>127.4</v>
      </c>
      <c r="N115" s="76">
        <v>122.6</v>
      </c>
      <c r="O115" s="76">
        <v>120.2</v>
      </c>
      <c r="P115" s="76">
        <v>120.2</v>
      </c>
      <c r="Q115" s="76">
        <v>125.6</v>
      </c>
      <c r="R115" s="76">
        <v>129.30000000000001</v>
      </c>
      <c r="S115" s="76">
        <v>129.30000000000001</v>
      </c>
      <c r="T115" s="76">
        <v>130.4</v>
      </c>
      <c r="U115" s="76">
        <v>122.5</v>
      </c>
      <c r="V115" s="76">
        <v>130.1</v>
      </c>
      <c r="W115" s="76">
        <v>130.1</v>
      </c>
      <c r="X115" s="76">
        <v>130.9</v>
      </c>
      <c r="Y115" s="76">
        <v>137.4</v>
      </c>
      <c r="Z115" s="76">
        <v>132.80000000000001</v>
      </c>
      <c r="AA115" s="76">
        <v>132.80000000000001</v>
      </c>
      <c r="AB115" s="76">
        <v>124.8</v>
      </c>
      <c r="AC115" s="76">
        <v>125.7</v>
      </c>
      <c r="AD115" s="76">
        <v>125</v>
      </c>
      <c r="AE115" s="76">
        <v>125</v>
      </c>
      <c r="AF115" s="76">
        <v>115.3</v>
      </c>
      <c r="AG115" s="117"/>
      <c r="AH115" s="48">
        <f t="shared" si="53"/>
        <v>137.4</v>
      </c>
      <c r="AI115" s="49">
        <f t="shared" si="54"/>
        <v>115.3</v>
      </c>
    </row>
    <row r="116" spans="1:35" ht="15.75" thickBot="1" x14ac:dyDescent="0.3">
      <c r="A116" s="116" t="s">
        <v>139</v>
      </c>
      <c r="B116" s="105">
        <v>64.599999999999994</v>
      </c>
      <c r="C116" s="105">
        <v>64.599999999999994</v>
      </c>
      <c r="D116" s="105">
        <v>64.900000000000006</v>
      </c>
      <c r="E116" s="105">
        <v>64.900000000000006</v>
      </c>
      <c r="F116" s="105">
        <v>64.900000000000006</v>
      </c>
      <c r="G116" s="105">
        <v>64.400000000000006</v>
      </c>
      <c r="H116" s="105">
        <v>64.400000000000006</v>
      </c>
      <c r="I116" s="105">
        <v>63</v>
      </c>
      <c r="J116" s="105">
        <v>64</v>
      </c>
      <c r="K116" s="105">
        <v>64</v>
      </c>
      <c r="L116" s="105">
        <v>64</v>
      </c>
      <c r="M116" s="105">
        <v>62.7</v>
      </c>
      <c r="N116" s="105">
        <v>62.8</v>
      </c>
      <c r="O116" s="105">
        <v>61.2</v>
      </c>
      <c r="P116" s="105">
        <v>61.2</v>
      </c>
      <c r="Q116" s="105">
        <v>62.9</v>
      </c>
      <c r="R116" s="105">
        <v>62.7</v>
      </c>
      <c r="S116" s="105">
        <v>62.7</v>
      </c>
      <c r="T116" s="105">
        <v>63.9</v>
      </c>
      <c r="U116" s="105">
        <v>62.6</v>
      </c>
      <c r="V116" s="105">
        <v>62.5</v>
      </c>
      <c r="W116" s="105">
        <v>62.5</v>
      </c>
      <c r="X116" s="105">
        <v>65.3</v>
      </c>
      <c r="Y116" s="105">
        <v>65.599999999999994</v>
      </c>
      <c r="Z116" s="105">
        <v>66.2</v>
      </c>
      <c r="AA116" s="105">
        <v>66.2</v>
      </c>
      <c r="AB116" s="105">
        <v>65.099999999999994</v>
      </c>
      <c r="AC116" s="105">
        <v>65</v>
      </c>
      <c r="AD116" s="105">
        <v>65.7</v>
      </c>
      <c r="AE116" s="105">
        <v>65.7</v>
      </c>
      <c r="AF116" s="105">
        <v>65.099999999999994</v>
      </c>
      <c r="AG116" s="121"/>
      <c r="AH116" s="48">
        <f t="shared" si="53"/>
        <v>66.2</v>
      </c>
      <c r="AI116" s="49">
        <f t="shared" si="54"/>
        <v>61.2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53"/>
        <v>0</v>
      </c>
      <c r="AI117" s="49">
        <f t="shared" si="54"/>
        <v>0</v>
      </c>
    </row>
    <row r="118" spans="1:35" ht="15.75" thickBot="1" x14ac:dyDescent="0.3">
      <c r="A118" s="123" t="s">
        <v>141</v>
      </c>
      <c r="B118" s="124">
        <f t="shared" ref="B118:C118" si="121">SUM(B22,B28,B31:B32,B66,B68:B69,B71,B73,B119:B123,B155,B161,B167,B176,B178,B190,B197,B200:B201,B208,B210,B212,B216:B218,B220:B222,B227,B233:B234,B236:B238,B246,B251)</f>
        <v>105.54000000000002</v>
      </c>
      <c r="C118" s="124">
        <f t="shared" si="121"/>
        <v>94.139999999999986</v>
      </c>
      <c r="D118" s="124">
        <f t="shared" ref="D118:O118" si="122">SUM(D22,D28,D31:D32,D66,D68:D69,D71,D73,D119:D123,D155,D161,D167,D176,D178,D190,D197,D200:D201,D208,D210,D212,D216:D218,D220:D222,D227,D233:D234,D236:D238,D246,D251)</f>
        <v>88.640000000000015</v>
      </c>
      <c r="E118" s="124">
        <f t="shared" si="122"/>
        <v>84.139999999999972</v>
      </c>
      <c r="F118" s="124">
        <f t="shared" si="122"/>
        <v>88.939999999999969</v>
      </c>
      <c r="G118" s="124">
        <f t="shared" si="122"/>
        <v>31.440000000000026</v>
      </c>
      <c r="H118" s="124">
        <f t="shared" si="122"/>
        <v>124.34000000000002</v>
      </c>
      <c r="I118" s="124">
        <f t="shared" si="122"/>
        <v>156.64000000000001</v>
      </c>
      <c r="J118" s="124">
        <f t="shared" si="122"/>
        <v>188.74</v>
      </c>
      <c r="K118" s="124">
        <f t="shared" si="122"/>
        <v>217.54000000000002</v>
      </c>
      <c r="L118" s="124">
        <f t="shared" si="122"/>
        <v>248.44</v>
      </c>
      <c r="M118" s="124">
        <f t="shared" si="122"/>
        <v>254.04000000000002</v>
      </c>
      <c r="N118" s="124">
        <f t="shared" si="122"/>
        <v>236.84</v>
      </c>
      <c r="O118" s="124">
        <f t="shared" si="122"/>
        <v>283.83999999999997</v>
      </c>
      <c r="P118" s="124">
        <v>42</v>
      </c>
      <c r="Q118" s="124">
        <f t="shared" ref="Q118:R118" si="123">SUM(Q22,Q28,Q31:Q32,Q66,Q68:Q69,Q71,Q73,Q119:Q123,Q155,Q161,Q167,Q176,Q178,Q190,Q197,Q200:Q201,Q208,Q210,Q212,Q216:Q218,Q220:Q222,Q227,Q233:Q234,Q236:Q238,Q246,Q251)</f>
        <v>260.33999999999997</v>
      </c>
      <c r="R118" s="124">
        <f t="shared" si="123"/>
        <v>252.54000000000002</v>
      </c>
      <c r="S118" s="124">
        <f t="shared" ref="S118:T118" si="124">SUM(S22,S28,S31:S32,S66,S68:S69,S71,S73,S119:S123,S155,S161,S167,S176,S178,S190,S197,S200:S201,S208,S210,S212,S216:S218,S220:S222,S227,S233:S234,S236:S238,S246,S251)</f>
        <v>250.54000000000002</v>
      </c>
      <c r="T118" s="124">
        <f t="shared" si="124"/>
        <v>252.24</v>
      </c>
      <c r="U118" s="124">
        <f t="shared" ref="U118:V118" si="125">SUM(U22,U28,U31:U32,U66,U68:U69,U71,U73,U119:U123,U155,U161,U167,U176,U178,U190,U197,U200:U201,U208,U210,U212,U216:U218,U220:U222,U227,U233:U234,U236:U238,U246,U251)</f>
        <v>285.84000000000003</v>
      </c>
      <c r="V118" s="124">
        <f t="shared" si="125"/>
        <v>273.24</v>
      </c>
      <c r="W118" s="124">
        <f t="shared" ref="W118:X118" si="126">SUM(W22,W28,W31:W32,W66,W68:W69,W71,W73,W119:W123,W155,W161,W167,W176,W178,W190,W197,W200:W201,W208,W210,W212,W216:W218,W220:W222,W227,W233:W234,W236:W238,W246,W251)</f>
        <v>278.04000000000002</v>
      </c>
      <c r="X118" s="124">
        <f t="shared" si="126"/>
        <v>276.34000000000003</v>
      </c>
      <c r="Y118" s="124">
        <f t="shared" ref="Y118:AA118" si="127">SUM(Y22,Y28,Y31:Y32,Y66,Y68:Y69,Y71,Y73,Y119:Y123,Y155,Y161,Y167,Y176,Y178,Y190,Y197,Y200:Y201,Y208,Y210,Y212,Y216:Y218,Y220:Y222,Y227,Y233:Y234,Y236:Y238,Y246,Y251)</f>
        <v>267.64000000000004</v>
      </c>
      <c r="Z118" s="124">
        <f t="shared" si="127"/>
        <v>297.54000000000002</v>
      </c>
      <c r="AA118" s="124">
        <f t="shared" si="127"/>
        <v>338.64000000000004</v>
      </c>
      <c r="AB118" s="124">
        <f t="shared" ref="AB118:AF118" si="128">SUM(AB22,AB28,AB31:AB32,AB66,AB68:AB69,AB71,AB73,AB119:AB123,AB155,AB161,AB167,AB176,AB178,AB190,AB197,AB200:AB201,AB208,AB210,AB212,AB216:AB218,AB220:AB222,AB227,AB233:AB234,AB236:AB238,AB246,AB251)</f>
        <v>266.84000000000003</v>
      </c>
      <c r="AC118" s="124">
        <f t="shared" si="128"/>
        <v>232.64000000000001</v>
      </c>
      <c r="AD118" s="124">
        <f t="shared" si="128"/>
        <v>213.84000000000003</v>
      </c>
      <c r="AE118" s="124">
        <f t="shared" si="128"/>
        <v>180.04000000000002</v>
      </c>
      <c r="AF118" s="124">
        <f t="shared" si="128"/>
        <v>108.93999999999998</v>
      </c>
      <c r="AG118" s="125"/>
      <c r="AH118" s="48">
        <f t="shared" si="53"/>
        <v>338.64000000000004</v>
      </c>
      <c r="AI118" s="49">
        <f t="shared" si="54"/>
        <v>31.440000000000026</v>
      </c>
    </row>
    <row r="119" spans="1:35" x14ac:dyDescent="0.25">
      <c r="A119" s="126" t="s">
        <v>142</v>
      </c>
      <c r="B119" s="127">
        <v>58</v>
      </c>
      <c r="C119" s="127">
        <v>49</v>
      </c>
      <c r="D119" s="127">
        <v>47.4</v>
      </c>
      <c r="E119" s="127">
        <v>56.1</v>
      </c>
      <c r="F119" s="127">
        <v>58.3</v>
      </c>
      <c r="G119" s="127">
        <v>64</v>
      </c>
      <c r="H119" s="127">
        <v>60.9</v>
      </c>
      <c r="I119" s="127">
        <v>65.400000000000006</v>
      </c>
      <c r="J119" s="127">
        <v>49</v>
      </c>
      <c r="K119" s="127">
        <v>37.799999999999997</v>
      </c>
      <c r="L119" s="127">
        <v>42.5</v>
      </c>
      <c r="M119" s="127">
        <v>42.7</v>
      </c>
      <c r="N119" s="127">
        <v>61.9</v>
      </c>
      <c r="O119" s="127">
        <v>58.9</v>
      </c>
      <c r="P119" s="127">
        <v>58.9</v>
      </c>
      <c r="Q119" s="127">
        <v>53</v>
      </c>
      <c r="R119" s="127">
        <v>55</v>
      </c>
      <c r="S119" s="127">
        <v>55</v>
      </c>
      <c r="T119" s="127">
        <v>60.9</v>
      </c>
      <c r="U119" s="127">
        <v>56.2</v>
      </c>
      <c r="V119" s="127">
        <v>69.7</v>
      </c>
      <c r="W119" s="127">
        <v>50.1</v>
      </c>
      <c r="X119" s="127">
        <v>57.9</v>
      </c>
      <c r="Y119" s="127">
        <v>58.3</v>
      </c>
      <c r="Z119" s="127">
        <v>68.099999999999994</v>
      </c>
      <c r="AA119" s="127">
        <v>66.099999999999994</v>
      </c>
      <c r="AB119" s="127">
        <v>67</v>
      </c>
      <c r="AC119" s="127">
        <v>41.9</v>
      </c>
      <c r="AD119" s="127">
        <v>46.4</v>
      </c>
      <c r="AE119" s="127">
        <v>57.8</v>
      </c>
      <c r="AF119" s="127">
        <v>57</v>
      </c>
      <c r="AG119" s="128">
        <v>75</v>
      </c>
      <c r="AH119" s="48">
        <f t="shared" si="53"/>
        <v>69.7</v>
      </c>
      <c r="AI119" s="49">
        <f t="shared" si="54"/>
        <v>37.799999999999997</v>
      </c>
    </row>
    <row r="120" spans="1:35" x14ac:dyDescent="0.25">
      <c r="A120" s="129" t="s">
        <v>143</v>
      </c>
      <c r="B120" s="130">
        <v>81</v>
      </c>
      <c r="C120" s="130">
        <v>70</v>
      </c>
      <c r="D120" s="130">
        <v>68.599999999999994</v>
      </c>
      <c r="E120" s="130">
        <v>79.599999999999994</v>
      </c>
      <c r="F120" s="130">
        <v>81.400000000000006</v>
      </c>
      <c r="G120" s="130" t="s">
        <v>294</v>
      </c>
      <c r="H120" s="130">
        <v>84.6</v>
      </c>
      <c r="I120" s="130">
        <v>88.3</v>
      </c>
      <c r="J120" s="130">
        <v>66.5</v>
      </c>
      <c r="K120" s="130">
        <v>50</v>
      </c>
      <c r="L120" s="130">
        <v>58.8</v>
      </c>
      <c r="M120" s="130">
        <v>58.4</v>
      </c>
      <c r="N120" s="130">
        <v>91</v>
      </c>
      <c r="O120" s="130">
        <v>81</v>
      </c>
      <c r="P120" s="130">
        <v>81</v>
      </c>
      <c r="Q120" s="130">
        <v>75.400000000000006</v>
      </c>
      <c r="R120" s="130">
        <v>78</v>
      </c>
      <c r="S120" s="130">
        <v>78</v>
      </c>
      <c r="T120" s="130">
        <v>85.1</v>
      </c>
      <c r="U120" s="130">
        <v>77.7</v>
      </c>
      <c r="V120" s="130">
        <v>99.1</v>
      </c>
      <c r="W120" s="130">
        <v>78</v>
      </c>
      <c r="X120" s="130">
        <v>88.7</v>
      </c>
      <c r="Y120" s="130">
        <v>86.9</v>
      </c>
      <c r="Z120" s="130">
        <v>97.6</v>
      </c>
      <c r="AA120" s="130">
        <v>100.3</v>
      </c>
      <c r="AB120" s="130">
        <v>97.7</v>
      </c>
      <c r="AC120" s="130">
        <v>64.099999999999994</v>
      </c>
      <c r="AD120" s="130">
        <v>73.7</v>
      </c>
      <c r="AE120" s="130">
        <v>90</v>
      </c>
      <c r="AF120" s="130">
        <v>91.7</v>
      </c>
      <c r="AG120" s="128">
        <v>240</v>
      </c>
      <c r="AH120" s="48">
        <f t="shared" si="53"/>
        <v>100.3</v>
      </c>
      <c r="AI120" s="49">
        <f t="shared" si="54"/>
        <v>50</v>
      </c>
    </row>
    <row r="121" spans="1:35" x14ac:dyDescent="0.25">
      <c r="A121" s="129" t="s">
        <v>144</v>
      </c>
      <c r="B121" s="130">
        <v>-124</v>
      </c>
      <c r="C121" s="130">
        <v>-112</v>
      </c>
      <c r="D121" s="130">
        <v>-114</v>
      </c>
      <c r="E121" s="130">
        <v>-129</v>
      </c>
      <c r="F121" s="130">
        <v>-130</v>
      </c>
      <c r="G121" s="130">
        <v>-125</v>
      </c>
      <c r="H121" s="130">
        <v>-118</v>
      </c>
      <c r="I121" s="130">
        <v>-104</v>
      </c>
      <c r="J121" s="130">
        <v>-58</v>
      </c>
      <c r="K121" s="130">
        <v>-27</v>
      </c>
      <c r="L121" s="130">
        <v>-72</v>
      </c>
      <c r="M121" s="130">
        <f>-31.4-33.6</f>
        <v>-65</v>
      </c>
      <c r="N121" s="130">
        <v>-109</v>
      </c>
      <c r="O121" s="130">
        <v>-75</v>
      </c>
      <c r="P121" s="130">
        <v>-75</v>
      </c>
      <c r="Q121" s="130">
        <v>-75</v>
      </c>
      <c r="R121" s="130">
        <v>-81</v>
      </c>
      <c r="S121" s="130">
        <v>-81</v>
      </c>
      <c r="T121" s="130">
        <v>-89.2</v>
      </c>
      <c r="U121" s="130">
        <v>-72</v>
      </c>
      <c r="V121" s="130">
        <v>-89</v>
      </c>
      <c r="W121" s="130">
        <v>-48</v>
      </c>
      <c r="X121" s="130">
        <v>-55</v>
      </c>
      <c r="Y121" s="130">
        <v>-57</v>
      </c>
      <c r="Z121" s="130">
        <v>-128.9</v>
      </c>
      <c r="AA121" s="130">
        <v>-116.9</v>
      </c>
      <c r="AB121" s="130">
        <v>-167</v>
      </c>
      <c r="AC121" s="130">
        <v>-125</v>
      </c>
      <c r="AD121" s="130">
        <v>-143</v>
      </c>
      <c r="AE121" s="130">
        <v>-150</v>
      </c>
      <c r="AF121" s="130">
        <v>-180</v>
      </c>
      <c r="AG121" s="128">
        <v>240</v>
      </c>
      <c r="AH121" s="48">
        <f t="shared" si="53"/>
        <v>-27</v>
      </c>
      <c r="AI121" s="49">
        <f t="shared" si="54"/>
        <v>-180</v>
      </c>
    </row>
    <row r="122" spans="1:35" ht="15.75" thickBot="1" x14ac:dyDescent="0.3">
      <c r="A122" s="129" t="s">
        <v>145</v>
      </c>
      <c r="B122" s="130">
        <v>-8</v>
      </c>
      <c r="C122" s="130">
        <v>-6.4</v>
      </c>
      <c r="D122" s="130">
        <v>-5.7</v>
      </c>
      <c r="E122" s="130">
        <v>-8.5</v>
      </c>
      <c r="F122" s="130">
        <v>-6.9</v>
      </c>
      <c r="G122" s="130">
        <v>-9.4</v>
      </c>
      <c r="H122" s="130">
        <v>-10.4</v>
      </c>
      <c r="I122" s="130">
        <v>-9.9</v>
      </c>
      <c r="J122" s="130">
        <v>-2.2000000000000002</v>
      </c>
      <c r="K122" s="130">
        <v>3.2</v>
      </c>
      <c r="L122" s="130">
        <v>-3</v>
      </c>
      <c r="M122" s="130">
        <v>3.2</v>
      </c>
      <c r="N122" s="130">
        <v>3.8</v>
      </c>
      <c r="O122" s="130">
        <v>-7.6</v>
      </c>
      <c r="P122" s="130">
        <v>-7.6</v>
      </c>
      <c r="Q122" s="130">
        <v>-10</v>
      </c>
      <c r="R122" s="130">
        <v>-11</v>
      </c>
      <c r="S122" s="130">
        <v>-11</v>
      </c>
      <c r="T122" s="130">
        <v>-4.0999999999999996</v>
      </c>
      <c r="U122" s="130">
        <v>-4.0999999999999996</v>
      </c>
      <c r="V122" s="130">
        <v>-9.4</v>
      </c>
      <c r="W122" s="130">
        <v>27.5</v>
      </c>
      <c r="X122" s="130">
        <v>10.7</v>
      </c>
      <c r="Y122" s="130">
        <v>35.5</v>
      </c>
      <c r="Z122" s="130">
        <v>25.8</v>
      </c>
      <c r="AA122" s="130">
        <v>32</v>
      </c>
      <c r="AB122" s="130">
        <v>28.9</v>
      </c>
      <c r="AC122" s="130">
        <v>27.5</v>
      </c>
      <c r="AD122" s="130">
        <v>23.9</v>
      </c>
      <c r="AE122" s="130">
        <v>5.3</v>
      </c>
      <c r="AF122" s="130">
        <v>-2.7</v>
      </c>
      <c r="AG122" s="128">
        <v>60</v>
      </c>
      <c r="AH122" s="48">
        <f t="shared" si="53"/>
        <v>35.5</v>
      </c>
      <c r="AI122" s="49">
        <f t="shared" si="54"/>
        <v>-11</v>
      </c>
    </row>
    <row r="123" spans="1:35" x14ac:dyDescent="0.25">
      <c r="A123" s="126" t="s">
        <v>146</v>
      </c>
      <c r="B123" s="131">
        <v>-25</v>
      </c>
      <c r="C123" s="131">
        <v>-30</v>
      </c>
      <c r="D123" s="131">
        <v>-35.799999999999997</v>
      </c>
      <c r="E123" s="131">
        <v>-42.2</v>
      </c>
      <c r="F123" s="131">
        <v>-42</v>
      </c>
      <c r="G123" s="131">
        <v>-24.2</v>
      </c>
      <c r="H123" s="131">
        <v>-18.8</v>
      </c>
      <c r="I123" s="131">
        <v>-9.1999999999999993</v>
      </c>
      <c r="J123" s="131">
        <v>5.2</v>
      </c>
      <c r="K123" s="131">
        <v>24.3</v>
      </c>
      <c r="L123" s="131">
        <v>91.2</v>
      </c>
      <c r="M123" s="131">
        <v>80.2</v>
      </c>
      <c r="N123" s="131">
        <v>54.6</v>
      </c>
      <c r="O123" s="131">
        <v>92</v>
      </c>
      <c r="P123" s="131">
        <v>92</v>
      </c>
      <c r="Q123" s="131">
        <v>82.4</v>
      </c>
      <c r="R123" s="131">
        <v>77</v>
      </c>
      <c r="S123" s="131">
        <v>77</v>
      </c>
      <c r="T123" s="131">
        <v>68.2</v>
      </c>
      <c r="U123" s="131">
        <v>96.9</v>
      </c>
      <c r="V123" s="131">
        <v>73.599999999999994</v>
      </c>
      <c r="W123" s="131">
        <v>43.1</v>
      </c>
      <c r="X123" s="131">
        <v>47</v>
      </c>
      <c r="Y123" s="131">
        <v>17.600000000000001</v>
      </c>
      <c r="Z123" s="131">
        <v>108.6</v>
      </c>
      <c r="AA123" s="131">
        <v>130.80000000000001</v>
      </c>
      <c r="AB123" s="131">
        <v>113.9</v>
      </c>
      <c r="AC123" s="131">
        <v>97</v>
      </c>
      <c r="AD123" s="131">
        <v>79.099999999999994</v>
      </c>
      <c r="AE123" s="131">
        <v>43.2</v>
      </c>
      <c r="AF123" s="131">
        <v>7</v>
      </c>
      <c r="AG123" s="132">
        <v>120</v>
      </c>
      <c r="AH123" s="48">
        <f t="shared" si="53"/>
        <v>130.80000000000001</v>
      </c>
      <c r="AI123" s="49">
        <f t="shared" si="54"/>
        <v>-42.2</v>
      </c>
    </row>
    <row r="124" spans="1:35" x14ac:dyDescent="0.25">
      <c r="A124" s="129" t="s">
        <v>147</v>
      </c>
      <c r="B124" s="131">
        <v>34</v>
      </c>
      <c r="C124" s="131">
        <v>32</v>
      </c>
      <c r="D124" s="131">
        <v>30.4</v>
      </c>
      <c r="E124" s="131">
        <v>29.7</v>
      </c>
      <c r="F124" s="131">
        <v>33.4</v>
      </c>
      <c r="G124" s="131">
        <v>42.7</v>
      </c>
      <c r="H124" s="131">
        <v>44.3</v>
      </c>
      <c r="I124" s="131">
        <v>52.6</v>
      </c>
      <c r="J124" s="131">
        <v>60.4</v>
      </c>
      <c r="K124" s="131">
        <v>67.599999999999994</v>
      </c>
      <c r="L124" s="131">
        <v>92.7</v>
      </c>
      <c r="M124" s="131">
        <v>91.7</v>
      </c>
      <c r="N124" s="131">
        <v>78</v>
      </c>
      <c r="O124" s="131">
        <v>95</v>
      </c>
      <c r="P124" s="131">
        <v>95</v>
      </c>
      <c r="Q124" s="131">
        <v>84</v>
      </c>
      <c r="R124" s="131">
        <v>82</v>
      </c>
      <c r="S124" s="131">
        <v>82</v>
      </c>
      <c r="T124" s="131">
        <v>72.400000000000006</v>
      </c>
      <c r="U124" s="131">
        <v>83.7</v>
      </c>
      <c r="V124" s="131">
        <v>72.8</v>
      </c>
      <c r="W124" s="131">
        <v>60.1</v>
      </c>
      <c r="X124" s="131">
        <v>61.5</v>
      </c>
      <c r="Y124" s="131">
        <v>44.9</v>
      </c>
      <c r="Z124" s="131">
        <v>88.5</v>
      </c>
      <c r="AA124" s="131">
        <v>97.7</v>
      </c>
      <c r="AB124" s="131">
        <v>97.4</v>
      </c>
      <c r="AC124" s="131">
        <v>90.8</v>
      </c>
      <c r="AD124" s="131">
        <v>81.099999999999994</v>
      </c>
      <c r="AE124" s="131">
        <v>63.2</v>
      </c>
      <c r="AF124" s="131">
        <v>47</v>
      </c>
      <c r="AG124" s="132"/>
      <c r="AH124" s="48">
        <f t="shared" si="53"/>
        <v>97.7</v>
      </c>
      <c r="AI124" s="49">
        <f t="shared" si="54"/>
        <v>29.7</v>
      </c>
    </row>
    <row r="125" spans="1:35" x14ac:dyDescent="0.25">
      <c r="A125" s="129" t="s">
        <v>148</v>
      </c>
      <c r="B125" s="131">
        <v>-12</v>
      </c>
      <c r="C125" s="131">
        <v>-11</v>
      </c>
      <c r="D125" s="131">
        <v>-9.8000000000000007</v>
      </c>
      <c r="E125" s="131">
        <v>-10.3</v>
      </c>
      <c r="F125" s="131">
        <v>-10.4</v>
      </c>
      <c r="G125" s="131">
        <v>-15.3</v>
      </c>
      <c r="H125" s="131">
        <v>-15.6</v>
      </c>
      <c r="I125" s="131">
        <v>-21.2</v>
      </c>
      <c r="J125" s="131">
        <v>-23</v>
      </c>
      <c r="K125" s="131">
        <v>-24</v>
      </c>
      <c r="L125" s="131">
        <v>23.2</v>
      </c>
      <c r="M125" s="131">
        <v>23.2</v>
      </c>
      <c r="N125" s="131">
        <v>-8.1</v>
      </c>
      <c r="O125" s="131">
        <v>-2.4</v>
      </c>
      <c r="P125" s="131">
        <v>-2.4</v>
      </c>
      <c r="Q125" s="131">
        <v>1.1000000000000001</v>
      </c>
      <c r="R125" s="131">
        <v>-0.4</v>
      </c>
      <c r="S125" s="131">
        <v>-0.4</v>
      </c>
      <c r="T125" s="131">
        <v>-7.9</v>
      </c>
      <c r="U125" s="131">
        <v>-6.5</v>
      </c>
      <c r="V125" s="131">
        <v>-30.4</v>
      </c>
      <c r="W125" s="131">
        <v>-35.4</v>
      </c>
      <c r="X125" s="131">
        <v>-37.9</v>
      </c>
      <c r="Y125" s="131">
        <v>-77.400000000000006</v>
      </c>
      <c r="Z125" s="131">
        <v>-15.4</v>
      </c>
      <c r="AA125" s="131">
        <v>-15.8</v>
      </c>
      <c r="AB125" s="131">
        <v>-13</v>
      </c>
      <c r="AC125" s="131">
        <v>-11.3</v>
      </c>
      <c r="AD125" s="131">
        <v>-9.1999999999999993</v>
      </c>
      <c r="AE125" s="131">
        <v>-9.6999999999999993</v>
      </c>
      <c r="AF125" s="131">
        <v>-7.1</v>
      </c>
      <c r="AG125" s="132"/>
      <c r="AH125" s="48">
        <f t="shared" si="53"/>
        <v>23.2</v>
      </c>
      <c r="AI125" s="49">
        <f t="shared" si="54"/>
        <v>-77.400000000000006</v>
      </c>
    </row>
    <row r="126" spans="1:35" ht="15.75" thickBot="1" x14ac:dyDescent="0.3">
      <c r="A126" s="129" t="s">
        <v>149</v>
      </c>
      <c r="B126" s="131">
        <v>55</v>
      </c>
      <c r="C126" s="131">
        <v>57</v>
      </c>
      <c r="D126" s="131">
        <v>61.2</v>
      </c>
      <c r="E126" s="131">
        <v>49.6</v>
      </c>
      <c r="F126" s="131">
        <v>43.8</v>
      </c>
      <c r="G126" s="131">
        <v>46.5</v>
      </c>
      <c r="H126" s="131">
        <v>48.3</v>
      </c>
      <c r="I126" s="131">
        <v>68</v>
      </c>
      <c r="J126" s="131">
        <v>56.2</v>
      </c>
      <c r="K126" s="131">
        <v>83.4</v>
      </c>
      <c r="L126" s="131">
        <v>56.1</v>
      </c>
      <c r="M126" s="131">
        <v>56.1</v>
      </c>
      <c r="N126" s="131">
        <v>56.1</v>
      </c>
      <c r="O126" s="131">
        <v>63</v>
      </c>
      <c r="P126" s="131">
        <v>63</v>
      </c>
      <c r="Q126" s="131">
        <v>64</v>
      </c>
      <c r="R126" s="131">
        <v>61</v>
      </c>
      <c r="S126" s="131">
        <v>61</v>
      </c>
      <c r="T126" s="131">
        <v>49.8</v>
      </c>
      <c r="U126" s="131">
        <v>62.9</v>
      </c>
      <c r="V126" s="131">
        <v>58.5</v>
      </c>
      <c r="W126" s="131">
        <v>35.799999999999997</v>
      </c>
      <c r="X126" s="131">
        <v>38.799999999999997</v>
      </c>
      <c r="Y126" s="131">
        <v>14.1</v>
      </c>
      <c r="Z126" s="131">
        <v>15.7</v>
      </c>
      <c r="AA126" s="131">
        <v>-12.6</v>
      </c>
      <c r="AB126" s="131">
        <v>3.6</v>
      </c>
      <c r="AC126" s="131">
        <v>36</v>
      </c>
      <c r="AD126" s="131">
        <v>31.4</v>
      </c>
      <c r="AE126" s="131">
        <v>24.7</v>
      </c>
      <c r="AF126" s="131">
        <v>25.1</v>
      </c>
      <c r="AG126" s="128"/>
      <c r="AH126" s="48">
        <f>MAX(B126:AF126)</f>
        <v>83.4</v>
      </c>
      <c r="AI126" s="49">
        <f>MIN(B126:AF126)</f>
        <v>-12.6</v>
      </c>
    </row>
    <row r="127" spans="1:35" x14ac:dyDescent="0.25">
      <c r="A127" s="126" t="s">
        <v>150</v>
      </c>
      <c r="B127" s="131">
        <v>-162</v>
      </c>
      <c r="C127" s="131">
        <v>-160</v>
      </c>
      <c r="D127" s="131">
        <v>-208.8</v>
      </c>
      <c r="E127" s="131">
        <v>-191.4</v>
      </c>
      <c r="F127" s="131">
        <v>-260</v>
      </c>
      <c r="G127" s="131">
        <v>-253</v>
      </c>
      <c r="H127" s="131">
        <v>-246</v>
      </c>
      <c r="I127" s="131">
        <v>-308.8</v>
      </c>
      <c r="J127" s="131">
        <v>-308.5</v>
      </c>
      <c r="K127" s="131">
        <v>-298</v>
      </c>
      <c r="L127" s="131">
        <v>-224.9</v>
      </c>
      <c r="M127" s="131">
        <v>-224.9</v>
      </c>
      <c r="N127" s="131">
        <v>-224.9</v>
      </c>
      <c r="O127" s="131">
        <v>-166</v>
      </c>
      <c r="P127" s="131">
        <v>-166</v>
      </c>
      <c r="Q127" s="131">
        <v>-106</v>
      </c>
      <c r="R127" s="131">
        <v>-104</v>
      </c>
      <c r="S127" s="131">
        <v>-104</v>
      </c>
      <c r="T127" s="131">
        <v>-192.4</v>
      </c>
      <c r="U127" s="131">
        <v>-181.7</v>
      </c>
      <c r="V127" s="131">
        <v>-134</v>
      </c>
      <c r="W127" s="131">
        <v>-107.6</v>
      </c>
      <c r="X127" s="131">
        <v>-79</v>
      </c>
      <c r="Y127" s="131">
        <v>-76.5</v>
      </c>
      <c r="Z127" s="131">
        <v>-49.2</v>
      </c>
      <c r="AA127" s="131">
        <v>-38.299999999999997</v>
      </c>
      <c r="AB127" s="131">
        <v>-139.6</v>
      </c>
      <c r="AC127" s="131">
        <v>-172</v>
      </c>
      <c r="AD127" s="131">
        <v>-173.1</v>
      </c>
      <c r="AE127" s="131">
        <v>-178.8</v>
      </c>
      <c r="AF127" s="131">
        <v>-173.4</v>
      </c>
      <c r="AG127" s="128"/>
      <c r="AH127" s="48">
        <f>MAX(B127:AF127)</f>
        <v>-38.299999999999997</v>
      </c>
      <c r="AI127" s="49">
        <f>MIN(B127:AF127)</f>
        <v>-308.8</v>
      </c>
    </row>
    <row r="128" spans="1:35" x14ac:dyDescent="0.25">
      <c r="A128" s="129" t="s">
        <v>151</v>
      </c>
      <c r="B128" s="119">
        <v>7</v>
      </c>
      <c r="C128" s="119">
        <v>2.5</v>
      </c>
      <c r="D128" s="119">
        <v>9.5</v>
      </c>
      <c r="E128" s="119">
        <v>7.6</v>
      </c>
      <c r="F128" s="119">
        <v>9.4</v>
      </c>
      <c r="G128" s="119">
        <v>11.7</v>
      </c>
      <c r="H128" s="119">
        <v>10.6</v>
      </c>
      <c r="I128" s="119">
        <v>4</v>
      </c>
      <c r="J128" s="119">
        <v>7.5</v>
      </c>
      <c r="K128" s="119">
        <v>6.6</v>
      </c>
      <c r="L128" s="119">
        <v>0.6</v>
      </c>
      <c r="M128" s="119">
        <v>0.6</v>
      </c>
      <c r="N128" s="119">
        <v>0.6</v>
      </c>
      <c r="O128" s="119">
        <v>0</v>
      </c>
      <c r="P128" s="119">
        <v>0</v>
      </c>
      <c r="Q128" s="119">
        <v>-17</v>
      </c>
      <c r="R128" s="119">
        <v>-4.4000000000000004</v>
      </c>
      <c r="S128" s="119">
        <v>-4.4000000000000004</v>
      </c>
      <c r="T128" s="119">
        <v>-22.2</v>
      </c>
      <c r="U128" s="119">
        <v>-19.5</v>
      </c>
      <c r="V128" s="119">
        <v>-16.100000000000001</v>
      </c>
      <c r="W128" s="119">
        <v>-25</v>
      </c>
      <c r="X128" s="119">
        <v>-24.7</v>
      </c>
      <c r="Y128" s="119">
        <v>-38.4</v>
      </c>
      <c r="Z128" s="119">
        <v>-50.8</v>
      </c>
      <c r="AA128" s="119">
        <v>-53.3</v>
      </c>
      <c r="AB128" s="119">
        <v>-44</v>
      </c>
      <c r="AC128" s="119">
        <v>-36.700000000000003</v>
      </c>
      <c r="AD128" s="119">
        <v>-44.4</v>
      </c>
      <c r="AE128" s="119">
        <v>-39.4</v>
      </c>
      <c r="AF128" s="119">
        <v>-32.5</v>
      </c>
      <c r="AG128" s="128"/>
      <c r="AH128" s="48">
        <f>MAX(B128:AF128)</f>
        <v>11.7</v>
      </c>
      <c r="AI128" s="49">
        <f>MIN(B128:AF128)</f>
        <v>-53.3</v>
      </c>
    </row>
    <row r="129" spans="1:37" x14ac:dyDescent="0.25">
      <c r="A129" s="129" t="s">
        <v>152</v>
      </c>
      <c r="B129" s="119">
        <v>60</v>
      </c>
      <c r="C129" s="119">
        <v>62.5</v>
      </c>
      <c r="D129" s="119">
        <v>55.9</v>
      </c>
      <c r="E129" s="119">
        <v>48.4</v>
      </c>
      <c r="F129" s="119">
        <v>36.1</v>
      </c>
      <c r="G129" s="119">
        <v>22.2</v>
      </c>
      <c r="H129" s="119">
        <v>24.7</v>
      </c>
      <c r="I129" s="119">
        <v>23.9</v>
      </c>
      <c r="J129" s="119">
        <v>42.2</v>
      </c>
      <c r="K129" s="119">
        <v>48.2</v>
      </c>
      <c r="L129" s="119">
        <v>51.5</v>
      </c>
      <c r="M129" s="119">
        <v>51.5</v>
      </c>
      <c r="N129" s="119">
        <v>51.5</v>
      </c>
      <c r="O129" s="119">
        <v>56</v>
      </c>
      <c r="P129" s="119">
        <v>56</v>
      </c>
      <c r="Q129" s="119">
        <v>52</v>
      </c>
      <c r="R129" s="119">
        <v>52.5</v>
      </c>
      <c r="S129" s="119">
        <v>52.5</v>
      </c>
      <c r="T129" s="119">
        <v>54.2</v>
      </c>
      <c r="U129" s="119">
        <v>66.2</v>
      </c>
      <c r="V129" s="119">
        <v>54.2</v>
      </c>
      <c r="W129" s="119">
        <v>65.2</v>
      </c>
      <c r="X129" s="119">
        <v>54.7</v>
      </c>
      <c r="Y129" s="119">
        <v>82.6</v>
      </c>
      <c r="Z129" s="119">
        <v>91.4</v>
      </c>
      <c r="AA129" s="119">
        <v>94.6</v>
      </c>
      <c r="AB129" s="119">
        <v>96.8</v>
      </c>
      <c r="AC129" s="119">
        <v>105</v>
      </c>
      <c r="AD129" s="119">
        <v>107.2</v>
      </c>
      <c r="AE129" s="119">
        <v>107</v>
      </c>
      <c r="AF129" s="119">
        <v>102.2</v>
      </c>
      <c r="AG129" s="128"/>
      <c r="AH129" s="48">
        <f>MAX(B129:AF129)</f>
        <v>107.2</v>
      </c>
      <c r="AI129" s="49">
        <f>MIN(B129:AF129)</f>
        <v>22.2</v>
      </c>
    </row>
    <row r="130" spans="1:37" ht="15.75" thickBot="1" x14ac:dyDescent="0.3">
      <c r="A130" s="129" t="s">
        <v>153</v>
      </c>
      <c r="B130" s="119">
        <v>74</v>
      </c>
      <c r="C130" s="119">
        <v>73</v>
      </c>
      <c r="D130" s="119">
        <v>66.8</v>
      </c>
      <c r="E130" s="119">
        <v>62.9</v>
      </c>
      <c r="F130" s="119">
        <v>57.3</v>
      </c>
      <c r="G130" s="119">
        <v>42.8</v>
      </c>
      <c r="H130" s="119">
        <v>48.9</v>
      </c>
      <c r="I130" s="119">
        <v>58.4</v>
      </c>
      <c r="J130" s="119">
        <v>71.2</v>
      </c>
      <c r="K130" s="119">
        <v>84</v>
      </c>
      <c r="L130" s="119">
        <v>82</v>
      </c>
      <c r="M130" s="119">
        <v>82</v>
      </c>
      <c r="N130" s="119">
        <v>82</v>
      </c>
      <c r="O130" s="119">
        <v>72.5</v>
      </c>
      <c r="P130" s="119">
        <v>72.5</v>
      </c>
      <c r="Q130" s="119">
        <v>72</v>
      </c>
      <c r="R130" s="119">
        <v>70</v>
      </c>
      <c r="S130" s="119">
        <v>70</v>
      </c>
      <c r="T130" s="119">
        <v>74.2</v>
      </c>
      <c r="U130" s="119">
        <v>78.5</v>
      </c>
      <c r="V130" s="119">
        <v>69.099999999999994</v>
      </c>
      <c r="W130" s="119">
        <v>71.599999999999994</v>
      </c>
      <c r="X130" s="119">
        <v>69.3</v>
      </c>
      <c r="Y130" s="119">
        <v>106.6</v>
      </c>
      <c r="Z130" s="119">
        <v>118.3</v>
      </c>
      <c r="AA130" s="119">
        <v>110.9</v>
      </c>
      <c r="AB130" s="119">
        <v>111.6</v>
      </c>
      <c r="AC130" s="119">
        <v>119.6</v>
      </c>
      <c r="AD130" s="119">
        <v>122.7</v>
      </c>
      <c r="AE130" s="119">
        <v>122.4</v>
      </c>
      <c r="AF130" s="119">
        <v>113.5</v>
      </c>
      <c r="AG130" s="128"/>
      <c r="AH130" s="48">
        <f>MAX(B130:AF130)</f>
        <v>122.7</v>
      </c>
      <c r="AI130" s="49">
        <f>MIN(B130:AF130)</f>
        <v>42.8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1985.62</v>
      </c>
      <c r="C132" s="137">
        <v>1985.8</v>
      </c>
      <c r="D132" s="137">
        <v>1986.5</v>
      </c>
      <c r="E132" s="137">
        <v>1986.32</v>
      </c>
      <c r="F132" s="137">
        <v>1986.83</v>
      </c>
      <c r="G132" s="137">
        <v>1986.85</v>
      </c>
      <c r="H132" s="137"/>
      <c r="I132" s="137">
        <v>1986.8</v>
      </c>
      <c r="J132" s="137"/>
      <c r="K132" s="137">
        <v>1986.3</v>
      </c>
      <c r="L132" s="137"/>
      <c r="M132" s="137">
        <v>1986.1</v>
      </c>
      <c r="N132" s="137">
        <v>1986.1</v>
      </c>
      <c r="O132" s="137">
        <v>1986.1</v>
      </c>
      <c r="P132" s="137">
        <v>1985.91</v>
      </c>
      <c r="Q132" s="137">
        <v>1985.78</v>
      </c>
      <c r="R132" s="137">
        <v>1985.8</v>
      </c>
      <c r="S132" s="137">
        <v>1985.9</v>
      </c>
      <c r="T132" s="137">
        <v>1985.5</v>
      </c>
      <c r="U132" s="137">
        <v>1985.15</v>
      </c>
      <c r="V132" s="137">
        <v>1984.95</v>
      </c>
      <c r="W132" s="137"/>
      <c r="X132" s="137">
        <v>1985.29</v>
      </c>
      <c r="Y132" s="137"/>
      <c r="Z132" s="137">
        <v>1985.75</v>
      </c>
      <c r="AA132" s="137"/>
      <c r="AB132" s="137">
        <v>1986.03</v>
      </c>
      <c r="AC132" s="137"/>
      <c r="AD132" s="137"/>
      <c r="AE132" s="137">
        <v>1985.75</v>
      </c>
      <c r="AF132" s="138">
        <v>1985.71</v>
      </c>
      <c r="AG132" s="139"/>
      <c r="AH132" s="48"/>
      <c r="AI132" s="49"/>
    </row>
    <row r="133" spans="1:37" x14ac:dyDescent="0.25">
      <c r="A133" s="136" t="s">
        <v>156</v>
      </c>
      <c r="B133" s="140">
        <v>523.37</v>
      </c>
      <c r="C133" s="140">
        <v>523.41999999999996</v>
      </c>
      <c r="D133" s="140">
        <v>523.46</v>
      </c>
      <c r="E133" s="140">
        <v>523.48</v>
      </c>
      <c r="F133" s="140">
        <v>523.54</v>
      </c>
      <c r="G133" s="140">
        <v>523.59</v>
      </c>
      <c r="H133" s="140"/>
      <c r="I133" s="140">
        <v>523.87</v>
      </c>
      <c r="J133" s="140"/>
      <c r="K133" s="140">
        <v>523.9</v>
      </c>
      <c r="L133" s="140"/>
      <c r="M133" s="140">
        <v>523.9</v>
      </c>
      <c r="N133" s="140">
        <v>523.79999999999995</v>
      </c>
      <c r="O133" s="140">
        <v>523.51</v>
      </c>
      <c r="P133" s="140">
        <v>523.51</v>
      </c>
      <c r="Q133" s="140">
        <v>523.74</v>
      </c>
      <c r="R133" s="140">
        <v>523.74</v>
      </c>
      <c r="S133" s="140">
        <v>523.75</v>
      </c>
      <c r="T133" s="140">
        <v>523.75</v>
      </c>
      <c r="U133" s="140">
        <v>523.75</v>
      </c>
      <c r="V133" s="140">
        <v>523.75</v>
      </c>
      <c r="W133" s="140"/>
      <c r="X133" s="140">
        <v>523.72</v>
      </c>
      <c r="Y133" s="140"/>
      <c r="Z133" s="140">
        <v>523.76</v>
      </c>
      <c r="AA133" s="140"/>
      <c r="AB133" s="140">
        <v>523.6</v>
      </c>
      <c r="AC133" s="140"/>
      <c r="AD133" s="140">
        <v>523.6</v>
      </c>
      <c r="AE133" s="140">
        <v>523.54999999999995</v>
      </c>
      <c r="AF133" s="141">
        <v>523.48</v>
      </c>
      <c r="AG133" s="139"/>
      <c r="AH133" s="48"/>
      <c r="AI133" s="49"/>
    </row>
    <row r="134" spans="1:37" x14ac:dyDescent="0.25">
      <c r="A134" s="136" t="s">
        <v>157</v>
      </c>
      <c r="B134" s="140">
        <v>624.96</v>
      </c>
      <c r="C134" s="140">
        <v>625.1</v>
      </c>
      <c r="D134" s="140">
        <v>625.37</v>
      </c>
      <c r="E134" s="140">
        <v>625.70000000000005</v>
      </c>
      <c r="F134" s="140">
        <v>625.70000000000005</v>
      </c>
      <c r="G134" s="140">
        <v>625.54</v>
      </c>
      <c r="H134" s="140"/>
      <c r="I134" s="140">
        <v>625.54</v>
      </c>
      <c r="J134" s="140"/>
      <c r="K134" s="140">
        <v>625.54999999999995</v>
      </c>
      <c r="L134" s="140"/>
      <c r="M134" s="140">
        <v>625.47</v>
      </c>
      <c r="N134" s="140">
        <v>625.41</v>
      </c>
      <c r="O134" s="140">
        <v>625.29</v>
      </c>
      <c r="P134" s="140">
        <v>625.21</v>
      </c>
      <c r="Q134" s="140">
        <v>625.14</v>
      </c>
      <c r="R134" s="140">
        <v>625.09</v>
      </c>
      <c r="S134" s="140">
        <v>625.03</v>
      </c>
      <c r="T134" s="140">
        <v>624.9</v>
      </c>
      <c r="U134" s="140">
        <v>624.86</v>
      </c>
      <c r="V134" s="140">
        <v>624.75</v>
      </c>
      <c r="W134" s="140"/>
      <c r="X134" s="140">
        <v>624.67999999999995</v>
      </c>
      <c r="Y134" s="140"/>
      <c r="Z134" s="140">
        <v>624.66</v>
      </c>
      <c r="AA134" s="140"/>
      <c r="AB134" s="140">
        <v>624.63</v>
      </c>
      <c r="AC134" s="140"/>
      <c r="AD134" s="140">
        <v>624.62</v>
      </c>
      <c r="AE134" s="140">
        <v>624.55999999999995</v>
      </c>
      <c r="AF134" s="141">
        <v>624.5</v>
      </c>
      <c r="AG134" s="139"/>
      <c r="AH134" s="48"/>
      <c r="AI134" s="49"/>
    </row>
    <row r="135" spans="1:37" x14ac:dyDescent="0.25">
      <c r="A135" s="136" t="s">
        <v>158</v>
      </c>
      <c r="B135" s="140"/>
      <c r="C135" s="140">
        <v>336.96</v>
      </c>
      <c r="D135" s="140">
        <v>336.96</v>
      </c>
      <c r="E135" s="140">
        <v>336.93</v>
      </c>
      <c r="F135" s="140">
        <v>336.92</v>
      </c>
      <c r="G135" s="140">
        <v>336.98</v>
      </c>
      <c r="H135" s="140"/>
      <c r="I135" s="140">
        <v>337.22</v>
      </c>
      <c r="J135" s="140"/>
      <c r="K135" s="140">
        <v>337.25</v>
      </c>
      <c r="L135" s="140"/>
      <c r="M135" s="140">
        <v>337.3</v>
      </c>
      <c r="N135" s="140">
        <v>337.17</v>
      </c>
      <c r="O135" s="140">
        <v>337.21</v>
      </c>
      <c r="P135" s="140">
        <v>337.34</v>
      </c>
      <c r="Q135" s="140">
        <v>337.48</v>
      </c>
      <c r="R135" s="140">
        <v>337.53</v>
      </c>
      <c r="S135" s="140"/>
      <c r="T135" s="140">
        <v>337.63</v>
      </c>
      <c r="U135" s="140">
        <v>337.65</v>
      </c>
      <c r="V135" s="140">
        <v>337.66</v>
      </c>
      <c r="W135" s="140"/>
      <c r="X135" s="140">
        <v>337.65</v>
      </c>
      <c r="Y135" s="140"/>
      <c r="Z135" s="140">
        <v>337.66</v>
      </c>
      <c r="AA135" s="140"/>
      <c r="AB135" s="140"/>
      <c r="AC135" s="140"/>
      <c r="AD135" s="140"/>
      <c r="AE135" s="140">
        <v>337.55</v>
      </c>
      <c r="AF135" s="141"/>
      <c r="AG135" s="139"/>
      <c r="AH135" s="48"/>
      <c r="AI135" s="49"/>
    </row>
    <row r="136" spans="1:37" x14ac:dyDescent="0.25">
      <c r="A136" s="136" t="s">
        <v>159</v>
      </c>
      <c r="B136" s="140">
        <v>884.1</v>
      </c>
      <c r="C136" s="140">
        <v>884.8</v>
      </c>
      <c r="D136" s="140">
        <v>885.8</v>
      </c>
      <c r="E136" s="140">
        <v>886.7</v>
      </c>
      <c r="F136" s="140">
        <v>887.7</v>
      </c>
      <c r="G136" s="140"/>
      <c r="H136" s="140"/>
      <c r="I136" s="140">
        <v>887.1</v>
      </c>
      <c r="J136" s="140"/>
      <c r="K136" s="140">
        <v>887</v>
      </c>
      <c r="L136" s="140"/>
      <c r="M136" s="140">
        <v>886.2</v>
      </c>
      <c r="N136" s="140">
        <v>885.4</v>
      </c>
      <c r="O136" s="140">
        <v>884.4</v>
      </c>
      <c r="P136" s="140">
        <v>883.3</v>
      </c>
      <c r="Q136" s="140">
        <v>881.8</v>
      </c>
      <c r="R136" s="140">
        <v>881.9</v>
      </c>
      <c r="S136" s="140"/>
      <c r="T136" s="140">
        <v>881.9</v>
      </c>
      <c r="U136" s="140">
        <v>881.9</v>
      </c>
      <c r="V136" s="140">
        <v>882.4</v>
      </c>
      <c r="W136" s="140"/>
      <c r="X136" s="140">
        <v>883.7</v>
      </c>
      <c r="Y136" s="140"/>
      <c r="Z136" s="140">
        <v>884.9</v>
      </c>
      <c r="AA136" s="140"/>
      <c r="AB136" s="140"/>
      <c r="AC136" s="140"/>
      <c r="AD136" s="140"/>
      <c r="AE136" s="140">
        <v>886.2</v>
      </c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>
        <v>1492.21</v>
      </c>
      <c r="C137" s="142"/>
      <c r="D137" s="142"/>
      <c r="E137" s="142">
        <v>1492.23</v>
      </c>
      <c r="F137" s="142"/>
      <c r="G137" s="142"/>
      <c r="H137" s="142"/>
      <c r="I137" s="142"/>
      <c r="J137" s="142"/>
      <c r="K137" s="142">
        <v>1592.25</v>
      </c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>
        <f>55/66*456</f>
        <v>380</v>
      </c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>
        <v>8154</v>
      </c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>
        <v>5692</v>
      </c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>
        <v>17593</v>
      </c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>
        <f>AC147+AC148+AC149</f>
        <v>31439</v>
      </c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>
        <f>AC150/24</f>
        <v>1309.9583333333333</v>
      </c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129">SUM(B139:B243)</f>
        <v>0</v>
      </c>
      <c r="C244" s="161">
        <f t="shared" si="129"/>
        <v>0</v>
      </c>
      <c r="D244" s="161">
        <f t="shared" si="129"/>
        <v>0</v>
      </c>
      <c r="E244" s="161">
        <f t="shared" si="129"/>
        <v>0</v>
      </c>
      <c r="F244" s="161">
        <f t="shared" si="129"/>
        <v>0</v>
      </c>
      <c r="G244" s="161">
        <f t="shared" si="129"/>
        <v>0</v>
      </c>
      <c r="H244" s="161">
        <f t="shared" si="129"/>
        <v>0</v>
      </c>
      <c r="I244" s="161">
        <f t="shared" si="129"/>
        <v>0</v>
      </c>
      <c r="J244" s="161">
        <f t="shared" si="129"/>
        <v>0</v>
      </c>
      <c r="K244" s="161">
        <f t="shared" si="129"/>
        <v>0</v>
      </c>
      <c r="L244" s="161">
        <f t="shared" si="129"/>
        <v>0</v>
      </c>
      <c r="M244" s="161">
        <f t="shared" si="129"/>
        <v>0</v>
      </c>
      <c r="N244" s="161">
        <f t="shared" si="129"/>
        <v>0</v>
      </c>
      <c r="O244" s="161">
        <f t="shared" si="129"/>
        <v>0</v>
      </c>
      <c r="P244" s="161">
        <f t="shared" si="129"/>
        <v>0</v>
      </c>
      <c r="Q244" s="161">
        <f t="shared" si="129"/>
        <v>0</v>
      </c>
      <c r="R244" s="161">
        <f t="shared" si="129"/>
        <v>0</v>
      </c>
      <c r="S244" s="161">
        <f t="shared" si="129"/>
        <v>0</v>
      </c>
      <c r="T244" s="161">
        <f t="shared" si="129"/>
        <v>380</v>
      </c>
      <c r="U244" s="161">
        <f t="shared" si="129"/>
        <v>0</v>
      </c>
      <c r="V244" s="161">
        <f t="shared" si="129"/>
        <v>0</v>
      </c>
      <c r="W244" s="161">
        <f t="shared" si="129"/>
        <v>0</v>
      </c>
      <c r="X244" s="161">
        <f t="shared" si="129"/>
        <v>0</v>
      </c>
      <c r="Y244" s="161">
        <f t="shared" si="129"/>
        <v>0</v>
      </c>
      <c r="Z244" s="161">
        <f t="shared" si="129"/>
        <v>0</v>
      </c>
      <c r="AA244" s="161">
        <f t="shared" si="129"/>
        <v>0</v>
      </c>
      <c r="AB244" s="161">
        <f t="shared" si="129"/>
        <v>0</v>
      </c>
      <c r="AC244" s="161">
        <f t="shared" si="129"/>
        <v>64187.958333333336</v>
      </c>
      <c r="AD244" s="161">
        <f t="shared" si="129"/>
        <v>0</v>
      </c>
      <c r="AE244" s="161">
        <f t="shared" si="129"/>
        <v>0</v>
      </c>
      <c r="AF244" s="162">
        <f t="shared" si="129"/>
        <v>0</v>
      </c>
      <c r="AG244" s="163">
        <f t="shared" si="12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130">AF246</f>
        <v>0.3</v>
      </c>
      <c r="C246" s="166">
        <v>0.3</v>
      </c>
      <c r="D246" s="166">
        <f t="shared" ref="D246:S251" si="131">C246</f>
        <v>0.3</v>
      </c>
      <c r="E246" s="166">
        <f t="shared" si="131"/>
        <v>0.3</v>
      </c>
      <c r="F246" s="166">
        <f t="shared" si="131"/>
        <v>0.3</v>
      </c>
      <c r="G246" s="166">
        <f t="shared" si="131"/>
        <v>0.3</v>
      </c>
      <c r="H246" s="166">
        <f t="shared" si="131"/>
        <v>0.3</v>
      </c>
      <c r="I246" s="166">
        <f t="shared" si="131"/>
        <v>0.3</v>
      </c>
      <c r="J246" s="166">
        <f t="shared" si="131"/>
        <v>0.3</v>
      </c>
      <c r="K246" s="166">
        <f t="shared" si="131"/>
        <v>0.3</v>
      </c>
      <c r="L246" s="166">
        <f t="shared" si="131"/>
        <v>0.3</v>
      </c>
      <c r="M246" s="166">
        <f t="shared" si="131"/>
        <v>0.3</v>
      </c>
      <c r="N246" s="166">
        <f t="shared" si="131"/>
        <v>0.3</v>
      </c>
      <c r="O246" s="166">
        <f t="shared" si="131"/>
        <v>0.3</v>
      </c>
      <c r="P246" s="166">
        <f t="shared" si="131"/>
        <v>0.3</v>
      </c>
      <c r="Q246" s="166">
        <f t="shared" si="131"/>
        <v>0.3</v>
      </c>
      <c r="R246" s="166">
        <f t="shared" si="131"/>
        <v>0.3</v>
      </c>
      <c r="S246" s="166">
        <f t="shared" si="131"/>
        <v>0.3</v>
      </c>
      <c r="T246" s="166">
        <f t="shared" ref="T246:AF251" si="132">S246</f>
        <v>0.3</v>
      </c>
      <c r="U246" s="166">
        <f t="shared" si="132"/>
        <v>0.3</v>
      </c>
      <c r="V246" s="166">
        <f t="shared" si="132"/>
        <v>0.3</v>
      </c>
      <c r="W246" s="166">
        <f t="shared" si="132"/>
        <v>0.3</v>
      </c>
      <c r="X246" s="166">
        <f t="shared" si="132"/>
        <v>0.3</v>
      </c>
      <c r="Y246" s="166">
        <f t="shared" si="132"/>
        <v>0.3</v>
      </c>
      <c r="Z246" s="166">
        <f t="shared" si="132"/>
        <v>0.3</v>
      </c>
      <c r="AA246" s="166">
        <f t="shared" si="132"/>
        <v>0.3</v>
      </c>
      <c r="AB246" s="166">
        <f t="shared" si="132"/>
        <v>0.3</v>
      </c>
      <c r="AC246" s="166">
        <f t="shared" si="132"/>
        <v>0.3</v>
      </c>
      <c r="AD246" s="166">
        <f t="shared" si="132"/>
        <v>0.3</v>
      </c>
      <c r="AE246" s="166">
        <f t="shared" si="132"/>
        <v>0.3</v>
      </c>
      <c r="AF246" s="166">
        <f t="shared" si="132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130"/>
        <v>0.4</v>
      </c>
      <c r="C247" s="152">
        <v>0.4</v>
      </c>
      <c r="D247" s="152">
        <f t="shared" si="131"/>
        <v>0.4</v>
      </c>
      <c r="E247" s="152">
        <f t="shared" si="131"/>
        <v>0.4</v>
      </c>
      <c r="F247" s="152">
        <f t="shared" si="131"/>
        <v>0.4</v>
      </c>
      <c r="G247" s="152">
        <f t="shared" si="131"/>
        <v>0.4</v>
      </c>
      <c r="H247" s="152">
        <f t="shared" si="131"/>
        <v>0.4</v>
      </c>
      <c r="I247" s="152">
        <f t="shared" si="131"/>
        <v>0.4</v>
      </c>
      <c r="J247" s="152">
        <f t="shared" si="131"/>
        <v>0.4</v>
      </c>
      <c r="K247" s="152">
        <f t="shared" si="131"/>
        <v>0.4</v>
      </c>
      <c r="L247" s="152">
        <f t="shared" si="131"/>
        <v>0.4</v>
      </c>
      <c r="M247" s="152">
        <f t="shared" si="131"/>
        <v>0.4</v>
      </c>
      <c r="N247" s="152">
        <f t="shared" si="131"/>
        <v>0.4</v>
      </c>
      <c r="O247" s="152">
        <f t="shared" si="131"/>
        <v>0.4</v>
      </c>
      <c r="P247" s="152">
        <f t="shared" si="131"/>
        <v>0.4</v>
      </c>
      <c r="Q247" s="152">
        <f t="shared" si="131"/>
        <v>0.4</v>
      </c>
      <c r="R247" s="152">
        <f t="shared" si="131"/>
        <v>0.4</v>
      </c>
      <c r="S247" s="152">
        <f t="shared" si="131"/>
        <v>0.4</v>
      </c>
      <c r="T247" s="152">
        <f t="shared" si="132"/>
        <v>0.4</v>
      </c>
      <c r="U247" s="152">
        <f t="shared" si="132"/>
        <v>0.4</v>
      </c>
      <c r="V247" s="152">
        <f t="shared" si="132"/>
        <v>0.4</v>
      </c>
      <c r="W247" s="152">
        <f t="shared" si="132"/>
        <v>0.4</v>
      </c>
      <c r="X247" s="152">
        <f t="shared" si="132"/>
        <v>0.4</v>
      </c>
      <c r="Y247" s="152">
        <f t="shared" si="132"/>
        <v>0.4</v>
      </c>
      <c r="Z247" s="152">
        <f t="shared" si="132"/>
        <v>0.4</v>
      </c>
      <c r="AA247" s="152">
        <f t="shared" si="132"/>
        <v>0.4</v>
      </c>
      <c r="AB247" s="152">
        <f t="shared" si="132"/>
        <v>0.4</v>
      </c>
      <c r="AC247" s="152">
        <f t="shared" si="132"/>
        <v>0.4</v>
      </c>
      <c r="AD247" s="152">
        <f t="shared" si="132"/>
        <v>0.4</v>
      </c>
      <c r="AE247" s="152">
        <f t="shared" si="132"/>
        <v>0.4</v>
      </c>
      <c r="AF247" s="152">
        <f t="shared" si="132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130"/>
        <v>1.5</v>
      </c>
      <c r="C248" s="152">
        <v>1.5</v>
      </c>
      <c r="D248" s="152">
        <f t="shared" si="131"/>
        <v>1.5</v>
      </c>
      <c r="E248" s="152">
        <f t="shared" si="131"/>
        <v>1.5</v>
      </c>
      <c r="F248" s="152">
        <f t="shared" si="131"/>
        <v>1.5</v>
      </c>
      <c r="G248" s="152">
        <f t="shared" si="131"/>
        <v>1.5</v>
      </c>
      <c r="H248" s="152">
        <f t="shared" si="131"/>
        <v>1.5</v>
      </c>
      <c r="I248" s="152">
        <f t="shared" si="131"/>
        <v>1.5</v>
      </c>
      <c r="J248" s="152">
        <f t="shared" si="131"/>
        <v>1.5</v>
      </c>
      <c r="K248" s="152">
        <f t="shared" si="131"/>
        <v>1.5</v>
      </c>
      <c r="L248" s="152">
        <f t="shared" si="131"/>
        <v>1.5</v>
      </c>
      <c r="M248" s="152">
        <f t="shared" si="131"/>
        <v>1.5</v>
      </c>
      <c r="N248" s="152">
        <f t="shared" si="131"/>
        <v>1.5</v>
      </c>
      <c r="O248" s="152">
        <f t="shared" si="131"/>
        <v>1.5</v>
      </c>
      <c r="P248" s="152">
        <f t="shared" si="131"/>
        <v>1.5</v>
      </c>
      <c r="Q248" s="152">
        <f t="shared" si="131"/>
        <v>1.5</v>
      </c>
      <c r="R248" s="152">
        <f t="shared" si="131"/>
        <v>1.5</v>
      </c>
      <c r="S248" s="152">
        <f t="shared" si="131"/>
        <v>1.5</v>
      </c>
      <c r="T248" s="152">
        <f t="shared" si="132"/>
        <v>1.5</v>
      </c>
      <c r="U248" s="152">
        <f t="shared" si="132"/>
        <v>1.5</v>
      </c>
      <c r="V248" s="152">
        <f t="shared" si="132"/>
        <v>1.5</v>
      </c>
      <c r="W248" s="152">
        <f t="shared" si="132"/>
        <v>1.5</v>
      </c>
      <c r="X248" s="152">
        <f t="shared" si="132"/>
        <v>1.5</v>
      </c>
      <c r="Y248" s="152">
        <f t="shared" si="132"/>
        <v>1.5</v>
      </c>
      <c r="Z248" s="152">
        <f t="shared" si="132"/>
        <v>1.5</v>
      </c>
      <c r="AA248" s="152">
        <f t="shared" si="132"/>
        <v>1.5</v>
      </c>
      <c r="AB248" s="152">
        <f t="shared" si="132"/>
        <v>1.5</v>
      </c>
      <c r="AC248" s="152">
        <f t="shared" si="132"/>
        <v>1.5</v>
      </c>
      <c r="AD248" s="152">
        <f t="shared" si="132"/>
        <v>1.5</v>
      </c>
      <c r="AE248" s="152">
        <f t="shared" si="132"/>
        <v>1.5</v>
      </c>
      <c r="AF248" s="152">
        <f t="shared" si="132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130"/>
        <v>0.3</v>
      </c>
      <c r="C249" s="152">
        <v>0.3</v>
      </c>
      <c r="D249" s="152">
        <f t="shared" si="131"/>
        <v>0.3</v>
      </c>
      <c r="E249" s="152">
        <f t="shared" si="131"/>
        <v>0.3</v>
      </c>
      <c r="F249" s="152">
        <f t="shared" si="131"/>
        <v>0.3</v>
      </c>
      <c r="G249" s="152">
        <f t="shared" si="131"/>
        <v>0.3</v>
      </c>
      <c r="H249" s="152">
        <f t="shared" si="131"/>
        <v>0.3</v>
      </c>
      <c r="I249" s="152">
        <f t="shared" si="131"/>
        <v>0.3</v>
      </c>
      <c r="J249" s="152">
        <f t="shared" si="131"/>
        <v>0.3</v>
      </c>
      <c r="K249" s="152">
        <f t="shared" si="131"/>
        <v>0.3</v>
      </c>
      <c r="L249" s="152">
        <f t="shared" si="131"/>
        <v>0.3</v>
      </c>
      <c r="M249" s="152">
        <f t="shared" si="131"/>
        <v>0.3</v>
      </c>
      <c r="N249" s="152">
        <f t="shared" si="131"/>
        <v>0.3</v>
      </c>
      <c r="O249" s="152">
        <f t="shared" si="131"/>
        <v>0.3</v>
      </c>
      <c r="P249" s="152">
        <f t="shared" si="131"/>
        <v>0.3</v>
      </c>
      <c r="Q249" s="152">
        <f t="shared" si="131"/>
        <v>0.3</v>
      </c>
      <c r="R249" s="152">
        <f t="shared" si="131"/>
        <v>0.3</v>
      </c>
      <c r="S249" s="152">
        <f t="shared" si="131"/>
        <v>0.3</v>
      </c>
      <c r="T249" s="152">
        <f t="shared" si="132"/>
        <v>0.3</v>
      </c>
      <c r="U249" s="152">
        <f t="shared" si="132"/>
        <v>0.3</v>
      </c>
      <c r="V249" s="152">
        <f t="shared" si="132"/>
        <v>0.3</v>
      </c>
      <c r="W249" s="152">
        <f t="shared" si="132"/>
        <v>0.3</v>
      </c>
      <c r="X249" s="152">
        <f t="shared" si="132"/>
        <v>0.3</v>
      </c>
      <c r="Y249" s="152">
        <f t="shared" si="132"/>
        <v>0.3</v>
      </c>
      <c r="Z249" s="152">
        <f t="shared" si="132"/>
        <v>0.3</v>
      </c>
      <c r="AA249" s="152">
        <f t="shared" si="132"/>
        <v>0.3</v>
      </c>
      <c r="AB249" s="152">
        <f t="shared" si="132"/>
        <v>0.3</v>
      </c>
      <c r="AC249" s="152">
        <f t="shared" si="132"/>
        <v>0.3</v>
      </c>
      <c r="AD249" s="152">
        <f t="shared" si="132"/>
        <v>0.3</v>
      </c>
      <c r="AE249" s="152">
        <f t="shared" si="132"/>
        <v>0.3</v>
      </c>
      <c r="AF249" s="152">
        <f t="shared" si="132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130"/>
        <v>0.4</v>
      </c>
      <c r="C250" s="152">
        <v>0.4</v>
      </c>
      <c r="D250" s="152">
        <f t="shared" si="131"/>
        <v>0.4</v>
      </c>
      <c r="E250" s="152">
        <f t="shared" si="131"/>
        <v>0.4</v>
      </c>
      <c r="F250" s="152">
        <f t="shared" si="131"/>
        <v>0.4</v>
      </c>
      <c r="G250" s="152">
        <f t="shared" si="131"/>
        <v>0.4</v>
      </c>
      <c r="H250" s="152">
        <f t="shared" si="131"/>
        <v>0.4</v>
      </c>
      <c r="I250" s="152">
        <f t="shared" si="131"/>
        <v>0.4</v>
      </c>
      <c r="J250" s="152">
        <f t="shared" si="131"/>
        <v>0.4</v>
      </c>
      <c r="K250" s="152">
        <f t="shared" si="131"/>
        <v>0.4</v>
      </c>
      <c r="L250" s="152">
        <f t="shared" si="131"/>
        <v>0.4</v>
      </c>
      <c r="M250" s="152">
        <f t="shared" si="131"/>
        <v>0.4</v>
      </c>
      <c r="N250" s="152">
        <f t="shared" si="131"/>
        <v>0.4</v>
      </c>
      <c r="O250" s="152">
        <f t="shared" si="131"/>
        <v>0.4</v>
      </c>
      <c r="P250" s="152">
        <f t="shared" si="131"/>
        <v>0.4</v>
      </c>
      <c r="Q250" s="152">
        <f t="shared" si="131"/>
        <v>0.4</v>
      </c>
      <c r="R250" s="152">
        <f t="shared" si="131"/>
        <v>0.4</v>
      </c>
      <c r="S250" s="152">
        <f t="shared" si="131"/>
        <v>0.4</v>
      </c>
      <c r="T250" s="152">
        <f t="shared" si="132"/>
        <v>0.4</v>
      </c>
      <c r="U250" s="152">
        <f t="shared" si="132"/>
        <v>0.4</v>
      </c>
      <c r="V250" s="152">
        <f t="shared" si="132"/>
        <v>0.4</v>
      </c>
      <c r="W250" s="152">
        <f t="shared" si="132"/>
        <v>0.4</v>
      </c>
      <c r="X250" s="152">
        <f t="shared" si="132"/>
        <v>0.4</v>
      </c>
      <c r="Y250" s="152">
        <f t="shared" si="132"/>
        <v>0.4</v>
      </c>
      <c r="Z250" s="152">
        <f t="shared" si="132"/>
        <v>0.4</v>
      </c>
      <c r="AA250" s="152">
        <f t="shared" si="132"/>
        <v>0.4</v>
      </c>
      <c r="AB250" s="152">
        <f t="shared" si="132"/>
        <v>0.4</v>
      </c>
      <c r="AC250" s="152">
        <f t="shared" si="132"/>
        <v>0.4</v>
      </c>
      <c r="AD250" s="152">
        <f t="shared" si="132"/>
        <v>0.4</v>
      </c>
      <c r="AE250" s="152">
        <f t="shared" si="132"/>
        <v>0.4</v>
      </c>
      <c r="AF250" s="152">
        <f t="shared" si="132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130"/>
        <v>0.64</v>
      </c>
      <c r="C251" s="157">
        <v>0.64</v>
      </c>
      <c r="D251" s="157">
        <f t="shared" si="131"/>
        <v>0.64</v>
      </c>
      <c r="E251" s="157">
        <f t="shared" si="131"/>
        <v>0.64</v>
      </c>
      <c r="F251" s="157">
        <f t="shared" si="131"/>
        <v>0.64</v>
      </c>
      <c r="G251" s="157">
        <f t="shared" si="131"/>
        <v>0.64</v>
      </c>
      <c r="H251" s="157">
        <f t="shared" si="131"/>
        <v>0.64</v>
      </c>
      <c r="I251" s="157">
        <f t="shared" si="131"/>
        <v>0.64</v>
      </c>
      <c r="J251" s="157">
        <f t="shared" si="131"/>
        <v>0.64</v>
      </c>
      <c r="K251" s="157">
        <f t="shared" si="131"/>
        <v>0.64</v>
      </c>
      <c r="L251" s="157">
        <f t="shared" si="131"/>
        <v>0.64</v>
      </c>
      <c r="M251" s="157">
        <f t="shared" si="131"/>
        <v>0.64</v>
      </c>
      <c r="N251" s="157">
        <f t="shared" si="131"/>
        <v>0.64</v>
      </c>
      <c r="O251" s="157">
        <f t="shared" si="131"/>
        <v>0.64</v>
      </c>
      <c r="P251" s="157">
        <f t="shared" si="131"/>
        <v>0.64</v>
      </c>
      <c r="Q251" s="157">
        <f t="shared" si="131"/>
        <v>0.64</v>
      </c>
      <c r="R251" s="157">
        <f t="shared" si="131"/>
        <v>0.64</v>
      </c>
      <c r="S251" s="157">
        <f t="shared" si="131"/>
        <v>0.64</v>
      </c>
      <c r="T251" s="157">
        <f t="shared" si="132"/>
        <v>0.64</v>
      </c>
      <c r="U251" s="157">
        <f t="shared" si="132"/>
        <v>0.64</v>
      </c>
      <c r="V251" s="157">
        <f t="shared" si="132"/>
        <v>0.64</v>
      </c>
      <c r="W251" s="157">
        <f t="shared" si="132"/>
        <v>0.64</v>
      </c>
      <c r="X251" s="157">
        <f t="shared" si="132"/>
        <v>0.64</v>
      </c>
      <c r="Y251" s="157">
        <f t="shared" si="132"/>
        <v>0.64</v>
      </c>
      <c r="Z251" s="157">
        <f t="shared" si="132"/>
        <v>0.64</v>
      </c>
      <c r="AA251" s="157">
        <f t="shared" si="132"/>
        <v>0.64</v>
      </c>
      <c r="AB251" s="157">
        <f t="shared" si="132"/>
        <v>0.64</v>
      </c>
      <c r="AC251" s="157">
        <f t="shared" si="132"/>
        <v>0.64</v>
      </c>
      <c r="AD251" s="157">
        <f t="shared" si="132"/>
        <v>0.64</v>
      </c>
      <c r="AE251" s="157">
        <f t="shared" si="132"/>
        <v>0.64</v>
      </c>
      <c r="AF251" s="157">
        <f t="shared" si="132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133">SUM(B246:B251)</f>
        <v>3.54</v>
      </c>
      <c r="C252" s="161">
        <f t="shared" si="133"/>
        <v>3.54</v>
      </c>
      <c r="D252" s="161">
        <f t="shared" si="133"/>
        <v>3.54</v>
      </c>
      <c r="E252" s="161">
        <f t="shared" si="133"/>
        <v>3.54</v>
      </c>
      <c r="F252" s="161">
        <f t="shared" si="133"/>
        <v>3.54</v>
      </c>
      <c r="G252" s="161">
        <f t="shared" si="133"/>
        <v>3.54</v>
      </c>
      <c r="H252" s="161">
        <f t="shared" si="133"/>
        <v>3.54</v>
      </c>
      <c r="I252" s="161">
        <f t="shared" si="133"/>
        <v>3.54</v>
      </c>
      <c r="J252" s="161">
        <f t="shared" si="133"/>
        <v>3.54</v>
      </c>
      <c r="K252" s="161">
        <f t="shared" si="133"/>
        <v>3.54</v>
      </c>
      <c r="L252" s="161">
        <f t="shared" si="133"/>
        <v>3.54</v>
      </c>
      <c r="M252" s="161">
        <f t="shared" si="133"/>
        <v>3.54</v>
      </c>
      <c r="N252" s="161">
        <f t="shared" si="133"/>
        <v>3.54</v>
      </c>
      <c r="O252" s="161">
        <f t="shared" si="133"/>
        <v>3.54</v>
      </c>
      <c r="P252" s="161">
        <f t="shared" si="133"/>
        <v>3.54</v>
      </c>
      <c r="Q252" s="161">
        <f t="shared" si="133"/>
        <v>3.54</v>
      </c>
      <c r="R252" s="161">
        <f t="shared" si="133"/>
        <v>3.54</v>
      </c>
      <c r="S252" s="161">
        <f t="shared" si="133"/>
        <v>3.54</v>
      </c>
      <c r="T252" s="161">
        <f t="shared" si="133"/>
        <v>3.54</v>
      </c>
      <c r="U252" s="161">
        <f t="shared" si="133"/>
        <v>3.54</v>
      </c>
      <c r="V252" s="161">
        <f t="shared" si="133"/>
        <v>3.54</v>
      </c>
      <c r="W252" s="161">
        <f t="shared" si="133"/>
        <v>3.54</v>
      </c>
      <c r="X252" s="161">
        <f t="shared" si="133"/>
        <v>3.54</v>
      </c>
      <c r="Y252" s="161">
        <f t="shared" si="133"/>
        <v>3.54</v>
      </c>
      <c r="Z252" s="161">
        <f t="shared" si="133"/>
        <v>3.54</v>
      </c>
      <c r="AA252" s="161">
        <f t="shared" si="133"/>
        <v>3.54</v>
      </c>
      <c r="AB252" s="161">
        <f t="shared" si="133"/>
        <v>3.54</v>
      </c>
      <c r="AC252" s="161">
        <f t="shared" si="133"/>
        <v>3.54</v>
      </c>
      <c r="AD252" s="161">
        <f t="shared" si="133"/>
        <v>3.54</v>
      </c>
      <c r="AE252" s="161">
        <f t="shared" si="133"/>
        <v>3.54</v>
      </c>
      <c r="AF252" s="161">
        <f t="shared" si="133"/>
        <v>3.54</v>
      </c>
      <c r="AG252" s="171">
        <f t="shared" si="13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1897.24</v>
      </c>
      <c r="C256" s="174">
        <f>INDEX(G9:N9,1,MATCH(MAX(G99:N99),G99:N99,0))</f>
        <v>0.3125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2080/10/13)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026" priority="89">
      <formula>$AH11=0</formula>
    </cfRule>
  </conditionalFormatting>
  <conditionalFormatting sqref="A132:A253">
    <cfRule type="expression" dxfId="3025" priority="90">
      <formula>$AH132=0</formula>
    </cfRule>
  </conditionalFormatting>
  <conditionalFormatting sqref="B8">
    <cfRule type="expression" dxfId="3024" priority="144">
      <formula>AND(C$9&gt;=14/24,C$9&lt;20/24)</formula>
    </cfRule>
    <cfRule type="expression" dxfId="3023" priority="145">
      <formula>AND(C$9&gt;=8/24,C$9&lt;14/24)</formula>
    </cfRule>
    <cfRule type="expression" dxfId="3022" priority="146">
      <formula>C$9&lt;8/24</formula>
    </cfRule>
    <cfRule type="expression" dxfId="3021" priority="147">
      <formula>C$9&gt;=20/24</formula>
    </cfRule>
  </conditionalFormatting>
  <conditionalFormatting sqref="B11:F56 G11:I57 J12:Q57 R12:T74 U12:Z80 AA56:AF61 E57:F57 D57:D61 B57:C80 E58:Q61 AA62:AG62 D62:Q74 AA63:AF80 D75:T80 AG80">
    <cfRule type="expression" dxfId="3020" priority="40">
      <formula>B11&gt;$AG11</formula>
    </cfRule>
  </conditionalFormatting>
  <conditionalFormatting sqref="B11:I52 J12:Z52 D59:D68 B59:C74 E66:E74 F67:F74 D69:AF74 B77:AF99 B9:AF10 B101:AF117 B119:AF137 B244:AF244 B246:B252">
    <cfRule type="expression" dxfId="3019" priority="41">
      <formula>B$9&gt;=20/24</formula>
    </cfRule>
  </conditionalFormatting>
  <conditionalFormatting sqref="B53:Z57 AA56:AF57">
    <cfRule type="expression" dxfId="3018" priority="53">
      <formula>B$9&lt;8/24</formula>
    </cfRule>
  </conditionalFormatting>
  <conditionalFormatting sqref="B9:AF10 B11:I52 J12:Z52 D59:D68 B59:C74 E66:E74 F67:F74 D69:AF74 B77:AF99 B101:AF117 B119:AF137 B244:AF244 B246:B252">
    <cfRule type="expression" dxfId="3017" priority="42">
      <formula>AND(B$9&gt;=14/24,B$9&lt;20/24)</formula>
    </cfRule>
    <cfRule type="expression" dxfId="3016" priority="43">
      <formula>AND(B$9&gt;=8/24,B$9&lt;14/24)</formula>
    </cfRule>
    <cfRule type="expression" dxfId="3015" priority="44">
      <formula>B$9&lt;8/24</formula>
    </cfRule>
  </conditionalFormatting>
  <conditionalFormatting sqref="D246:AF252">
    <cfRule type="expression" dxfId="3014" priority="129">
      <formula>D$9&gt;=20/24</formula>
    </cfRule>
    <cfRule type="expression" dxfId="3013" priority="130">
      <formula>AND(D$9&gt;=14/24,D$9&lt;20/24)</formula>
    </cfRule>
    <cfRule type="expression" dxfId="3012" priority="131">
      <formula>AND(D$9&gt;=8/24,D$9&lt;14/24)</formula>
    </cfRule>
    <cfRule type="expression" dxfId="3011" priority="132">
      <formula>D$9&lt;8/24</formula>
    </cfRule>
  </conditionalFormatting>
  <conditionalFormatting sqref="E63:I67 J64:J67 K67">
    <cfRule type="expression" dxfId="3010" priority="54">
      <formula>E$9&gt;=20/24</formula>
    </cfRule>
    <cfRule type="expression" dxfId="3009" priority="55">
      <formula>AND(E$9&gt;=14/24,E$9&lt;20/24)</formula>
    </cfRule>
    <cfRule type="expression" dxfId="3008" priority="56">
      <formula>AND(E$9&gt;=8/24,E$9&lt;14/24)</formula>
    </cfRule>
    <cfRule type="expression" dxfId="3007" priority="57">
      <formula>E$9&lt;8/24</formula>
    </cfRule>
  </conditionalFormatting>
  <conditionalFormatting sqref="E68:Z68">
    <cfRule type="expression" dxfId="3006" priority="49">
      <formula>E$9&gt;=20/24</formula>
    </cfRule>
    <cfRule type="expression" dxfId="3005" priority="50">
      <formula>AND(E$9&gt;=14/24,E$9&lt;20/24)</formula>
    </cfRule>
    <cfRule type="expression" dxfId="3004" priority="51">
      <formula>AND(E$9&gt;=8/24,E$9&lt;14/24)</formula>
    </cfRule>
    <cfRule type="expression" dxfId="3003" priority="52">
      <formula>E$9&lt;8/24</formula>
    </cfRule>
  </conditionalFormatting>
  <conditionalFormatting sqref="E59:AF62">
    <cfRule type="expression" dxfId="3002" priority="67">
      <formula>E$9&gt;=20/24</formula>
    </cfRule>
    <cfRule type="expression" dxfId="3001" priority="68">
      <formula>AND(E$9&gt;=14/24,E$9&lt;20/24)</formula>
    </cfRule>
    <cfRule type="expression" dxfId="3000" priority="69">
      <formula>AND(E$9&gt;=8/24,E$9&lt;14/24)</formula>
    </cfRule>
    <cfRule type="expression" dxfId="2999" priority="70">
      <formula>E$9&lt;8/24</formula>
    </cfRule>
  </conditionalFormatting>
  <conditionalFormatting sqref="F63:L65">
    <cfRule type="expression" dxfId="2998" priority="81">
      <formula>F$9&gt;=20/24</formula>
    </cfRule>
    <cfRule type="expression" dxfId="2997" priority="82">
      <formula>AND(F$9&gt;=14/24,F$9&lt;20/24)</formula>
    </cfRule>
    <cfRule type="expression" dxfId="2996" priority="83">
      <formula>AND(F$9&gt;=8/24,F$9&lt;14/24)</formula>
    </cfRule>
    <cfRule type="expression" dxfId="2995" priority="84">
      <formula>F$9&lt;8/24</formula>
    </cfRule>
  </conditionalFormatting>
  <conditionalFormatting sqref="J11:Z11 AA11:AF52">
    <cfRule type="expression" dxfId="2994" priority="58">
      <formula>J11&gt;$AG11</formula>
    </cfRule>
    <cfRule type="expression" dxfId="2993" priority="59">
      <formula>J$9&gt;=20/24</formula>
    </cfRule>
    <cfRule type="expression" dxfId="2992" priority="60">
      <formula>AND(J$9&gt;=14/24,J$9&lt;20/24)</formula>
    </cfRule>
    <cfRule type="expression" dxfId="2991" priority="61">
      <formula>AND(J$9&gt;=8/24,J$9&lt;14/24)</formula>
    </cfRule>
  </conditionalFormatting>
  <conditionalFormatting sqref="J11:Z11 AA11:AF55">
    <cfRule type="expression" dxfId="2990" priority="62">
      <formula>J$9&lt;8/24</formula>
    </cfRule>
  </conditionalFormatting>
  <conditionalFormatting sqref="M8 S8 AB8">
    <cfRule type="expression" dxfId="2989" priority="136">
      <formula>AND(N$9&gt;=14/24,N$9&lt;20/24)</formula>
    </cfRule>
    <cfRule type="expression" dxfId="2988" priority="137">
      <formula>AND(N$9&gt;=8/24,N$9&lt;14/24)</formula>
    </cfRule>
    <cfRule type="expression" dxfId="2987" priority="138">
      <formula>N$9&lt;8/24</formula>
    </cfRule>
  </conditionalFormatting>
  <conditionalFormatting sqref="M63:Z67">
    <cfRule type="expression" dxfId="2986" priority="85">
      <formula>M$9&gt;=20/24</formula>
    </cfRule>
    <cfRule type="expression" dxfId="2985" priority="86">
      <formula>AND(M$9&gt;=14/24,M$9&lt;20/24)</formula>
    </cfRule>
    <cfRule type="expression" dxfId="2984" priority="87">
      <formula>AND(M$9&gt;=8/24,M$9&lt;14/24)</formula>
    </cfRule>
    <cfRule type="expression" dxfId="2983" priority="88">
      <formula>M$9&lt;8/24</formula>
    </cfRule>
  </conditionalFormatting>
  <conditionalFormatting sqref="M53:AF56 B53:L57">
    <cfRule type="expression" dxfId="2982" priority="37">
      <formula>B$9&gt;=20/24</formula>
    </cfRule>
    <cfRule type="expression" dxfId="2981" priority="38">
      <formula>AND(B$9&gt;=14/24,B$9&lt;20/24)</formula>
    </cfRule>
    <cfRule type="expression" dxfId="2980" priority="39">
      <formula>AND(B$9&gt;=8/24,B$9&lt;14/24)</formula>
    </cfRule>
  </conditionalFormatting>
  <conditionalFormatting sqref="M57:AF57">
    <cfRule type="expression" dxfId="2979" priority="46">
      <formula>M$9&gt;=20/24</formula>
    </cfRule>
    <cfRule type="expression" dxfId="2978" priority="47">
      <formula>AND(M$9&gt;=14/24,M$9&lt;20/24)</formula>
    </cfRule>
    <cfRule type="expression" dxfId="2977" priority="48">
      <formula>AND(M$9&gt;=8/24,M$9&lt;14/24)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76" priority="135">
      <formula>N$9&gt;=20/24</formula>
    </cfRule>
  </conditionalFormatting>
  <conditionalFormatting sqref="S8">
    <cfRule type="expression" dxfId="2975" priority="122">
      <formula>U$9&gt;=20/24</formula>
    </cfRule>
    <cfRule type="expression" dxfId="2974" priority="123">
      <formula>AND(U$9&gt;=14/24,U$9&lt;20/24)</formula>
    </cfRule>
    <cfRule type="expression" dxfId="2973" priority="124">
      <formula>AND(U$9&gt;=8/24,U$9&lt;14/24)</formula>
    </cfRule>
    <cfRule type="expression" dxfId="2972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A53:AF55">
    <cfRule type="expression" dxfId="2971" priority="76">
      <formula>AA53&gt;$AG53</formula>
    </cfRule>
  </conditionalFormatting>
  <conditionalFormatting sqref="AA63:AF68">
    <cfRule type="expression" dxfId="2970" priority="71">
      <formula>AA$9&gt;=20/24</formula>
    </cfRule>
    <cfRule type="expression" dxfId="2969" priority="72">
      <formula>AND(AA$9&gt;=14/24,AA$9&lt;20/24)</formula>
    </cfRule>
    <cfRule type="expression" dxfId="2968" priority="73">
      <formula>AND(AA$9&gt;=8/24,AA$9&lt;14/24)</formula>
    </cfRule>
    <cfRule type="expression" dxfId="2967" priority="74">
      <formula>AA$9&lt;8/24</formula>
    </cfRule>
  </conditionalFormatting>
  <conditionalFormatting sqref="AB8">
    <cfRule type="expression" dxfId="2966" priority="118">
      <formula>AD$9&gt;=20/24</formula>
    </cfRule>
    <cfRule type="expression" dxfId="2965" priority="119">
      <formula>AND(AD$9&gt;=14/24,AD$9&lt;20/24)</formula>
    </cfRule>
    <cfRule type="expression" dxfId="2964" priority="120">
      <formula>AND(AD$9&gt;=8/24,AD$9&lt;14/24)</formula>
    </cfRule>
    <cfRule type="expression" dxfId="2963" priority="121">
      <formula>AD$9&lt;8/24</formula>
    </cfRule>
  </conditionalFormatting>
  <conditionalFormatting sqref="AG58">
    <cfRule type="expression" dxfId="2962" priority="113">
      <formula>AG58&gt;$AG58</formula>
    </cfRule>
  </conditionalFormatting>
  <conditionalFormatting sqref="AG62">
    <cfRule type="expression" dxfId="2961" priority="96">
      <formula>AG$9&gt;=20/24</formula>
    </cfRule>
    <cfRule type="expression" dxfId="2960" priority="97">
      <formula>AND(AG$9&gt;=14/24,AG$9&lt;20/24)</formula>
    </cfRule>
    <cfRule type="expression" dxfId="2959" priority="98">
      <formula>AND(AG$9&gt;=8/24,AG$9&lt;14/24)</formula>
    </cfRule>
    <cfRule type="expression" dxfId="2958" priority="99">
      <formula>AG$9&lt;8/24</formula>
    </cfRule>
  </conditionalFormatting>
  <conditionalFormatting sqref="AG75:AG76">
    <cfRule type="expression" dxfId="2957" priority="91">
      <formula>AG75&gt;$AG75</formula>
    </cfRule>
  </conditionalFormatting>
  <conditionalFormatting sqref="AG80">
    <cfRule type="expression" dxfId="2956" priority="92">
      <formula>AG$9&gt;=20/24</formula>
    </cfRule>
    <cfRule type="expression" dxfId="2955" priority="93">
      <formula>AND(AG$9&gt;=14/24,AG$9&lt;20/24)</formula>
    </cfRule>
    <cfRule type="expression" dxfId="2954" priority="94">
      <formula>AND(AG$9&gt;=8/24,AG$9&lt;14/24)</formula>
    </cfRule>
    <cfRule type="expression" dxfId="2953" priority="95">
      <formula>AG$9&lt;8/24</formula>
    </cfRule>
  </conditionalFormatting>
  <conditionalFormatting sqref="AG97">
    <cfRule type="expression" dxfId="2952" priority="114">
      <formula>AG$9&gt;=20/24</formula>
    </cfRule>
    <cfRule type="expression" dxfId="2951" priority="115">
      <formula>AND(AG$9&gt;=14/24,AG$9&lt;20/24)</formula>
    </cfRule>
    <cfRule type="expression" dxfId="2950" priority="116">
      <formula>AND(AG$9&gt;=8/24,AG$9&lt;14/24)</formula>
    </cfRule>
    <cfRule type="expression" dxfId="2949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948" priority="139">
      <formula>AJ$9&gt;=20/24</formula>
    </cfRule>
    <cfRule type="expression" dxfId="2947" priority="140">
      <formula>AND(AJ$9&gt;=14/24,AJ$9&lt;20/24)</formula>
    </cfRule>
    <cfRule type="expression" dxfId="2946" priority="141">
      <formula>AND(AJ$9&gt;=8/24,AJ$9&lt;14/24)</formula>
    </cfRule>
    <cfRule type="expression" dxfId="2945" priority="142">
      <formula>AJ$9&lt;8/24</formula>
    </cfRule>
  </conditionalFormatting>
  <conditionalFormatting sqref="AL88:AN88 AL94:AN94">
    <cfRule type="expression" dxfId="2944" priority="106">
      <formula>AL$9&gt;=20/24</formula>
    </cfRule>
    <cfRule type="expression" dxfId="2943" priority="107">
      <formula>AND(AL$9&gt;=14/24,AL$9&lt;20/24)</formula>
    </cfRule>
    <cfRule type="expression" dxfId="2942" priority="108">
      <formula>AND(AL$9&gt;=8/24,AL$9&lt;14/24)</formula>
    </cfRule>
    <cfRule type="expression" dxfId="2941" priority="109">
      <formula>AL$9&lt;8/24</formula>
    </cfRule>
  </conditionalFormatting>
  <conditionalFormatting sqref="AM15:AM21 AN16:AR21">
    <cfRule type="expression" dxfId="2940" priority="13">
      <formula>AX$9&gt;=20/24</formula>
    </cfRule>
    <cfRule type="expression" dxfId="2939" priority="14">
      <formula>AND(AX$9&gt;=14/24,AX$9&lt;20/24)</formula>
    </cfRule>
    <cfRule type="expression" dxfId="2938" priority="15">
      <formula>AND(AX$9&gt;=8/24,AX$9&lt;14/24)</formula>
    </cfRule>
    <cfRule type="expression" dxfId="2937" priority="16">
      <formula>AX$9&lt;8/24</formula>
    </cfRule>
  </conditionalFormatting>
  <conditionalFormatting sqref="AN89:AN92">
    <cfRule type="expression" dxfId="2936" priority="102">
      <formula>AN$9&gt;=20/24</formula>
    </cfRule>
    <cfRule type="expression" dxfId="2935" priority="103">
      <formula>AND(AN$9&gt;=14/24,AN$9&lt;20/24)</formula>
    </cfRule>
    <cfRule type="expression" dxfId="2934" priority="104">
      <formula>AND(AN$9&gt;=8/24,AN$9&lt;14/24)</formula>
    </cfRule>
    <cfRule type="expression" dxfId="2933" priority="105">
      <formula>AN$9&lt;8/24</formula>
    </cfRule>
  </conditionalFormatting>
  <conditionalFormatting sqref="AN15:AR15">
    <cfRule type="expression" dxfId="2932" priority="1">
      <formula>U$9&gt;=20/24</formula>
    </cfRule>
    <cfRule type="expression" dxfId="2931" priority="2">
      <formula>AND(U$9&gt;=14/24,U$9&lt;20/24)</formula>
    </cfRule>
    <cfRule type="expression" dxfId="2930" priority="3">
      <formula>AND(U$9&gt;=8/24,U$9&lt;14/24)</formula>
    </cfRule>
    <cfRule type="expression" dxfId="2929" priority="4">
      <formula>U$9&lt;8/24</formula>
    </cfRule>
  </conditionalFormatting>
  <conditionalFormatting sqref="AS15">
    <cfRule type="expression" dxfId="2928" priority="9">
      <formula>AA$9&gt;=20/24</formula>
    </cfRule>
    <cfRule type="expression" dxfId="2927" priority="10">
      <formula>AND(AA$9&gt;=14/24,AA$9&lt;20/24)</formula>
    </cfRule>
    <cfRule type="expression" dxfId="2926" priority="11">
      <formula>AND(AA$9&gt;=8/24,AA$9&lt;14/24)</formula>
    </cfRule>
    <cfRule type="expression" dxfId="2925" priority="12">
      <formula>AA$9&lt;8/24</formula>
    </cfRule>
  </conditionalFormatting>
  <conditionalFormatting sqref="AS16:AS21">
    <cfRule type="expression" dxfId="2924" priority="17">
      <formula>BE$9&gt;=20/24</formula>
    </cfRule>
    <cfRule type="expression" dxfId="2923" priority="18">
      <formula>AND(BE$9&gt;=14/24,BE$9&lt;20/24)</formula>
    </cfRule>
    <cfRule type="expression" dxfId="2922" priority="19">
      <formula>AND(BE$9&gt;=8/24,BE$9&lt;14/24)</formula>
    </cfRule>
    <cfRule type="expression" dxfId="2921" priority="20">
      <formula>BE$9&lt;8/24</formula>
    </cfRule>
  </conditionalFormatting>
  <conditionalFormatting sqref="AT15 AX15:BJ15">
    <cfRule type="expression" dxfId="2920" priority="21">
      <formula>AC$9&gt;=20/24</formula>
    </cfRule>
    <cfRule type="expression" dxfId="2919" priority="22">
      <formula>AND(AC$9&gt;=14/24,AC$9&lt;20/24)</formula>
    </cfRule>
    <cfRule type="expression" dxfId="2918" priority="23">
      <formula>AND(AC$9&gt;=8/24,AC$9&lt;14/24)</formula>
    </cfRule>
    <cfRule type="expression" dxfId="2917" priority="24">
      <formula>AC$9&lt;8/24</formula>
    </cfRule>
  </conditionalFormatting>
  <conditionalFormatting sqref="AT16:AT21">
    <cfRule type="expression" dxfId="2916" priority="25">
      <formula>BG$9&gt;=20/24</formula>
    </cfRule>
    <cfRule type="expression" dxfId="2915" priority="26">
      <formula>AND(BG$9&gt;=14/24,BG$9&lt;20/24)</formula>
    </cfRule>
    <cfRule type="expression" dxfId="2914" priority="27">
      <formula>AND(BG$9&gt;=8/24,BG$9&lt;14/24)</formula>
    </cfRule>
    <cfRule type="expression" dxfId="2913" priority="28">
      <formula>BG$9&lt;8/24</formula>
    </cfRule>
  </conditionalFormatting>
  <conditionalFormatting sqref="AU15:AV15">
    <cfRule type="expression" dxfId="2912" priority="29">
      <formula>AE$9&gt;=20/24</formula>
    </cfRule>
    <cfRule type="expression" dxfId="2911" priority="30">
      <formula>AND(AE$9&gt;=14/24,AE$9&lt;20/24)</formula>
    </cfRule>
    <cfRule type="expression" dxfId="2910" priority="31">
      <formula>AND(AE$9&gt;=8/24,AE$9&lt;14/24)</formula>
    </cfRule>
    <cfRule type="expression" dxfId="2909" priority="32">
      <formula>AE$9&lt;8/24</formula>
    </cfRule>
  </conditionalFormatting>
  <conditionalFormatting sqref="AU16:BJ21">
    <cfRule type="expression" dxfId="2908" priority="33">
      <formula>BI$9&gt;=20/24</formula>
    </cfRule>
    <cfRule type="expression" dxfId="2907" priority="34">
      <formula>AND(BI$9&gt;=14/24,BI$9&lt;20/24)</formula>
    </cfRule>
    <cfRule type="expression" dxfId="2906" priority="35">
      <formula>AND(BI$9&gt;=8/24,BI$9&lt;14/24)</formula>
    </cfRule>
    <cfRule type="expression" dxfId="2905" priority="36">
      <formula>BI$9&lt;8/24</formula>
    </cfRule>
  </conditionalFormatting>
  <conditionalFormatting sqref="AW15">
    <cfRule type="expression" dxfId="2904" priority="5">
      <formula>B$9&gt;=20/24</formula>
    </cfRule>
    <cfRule type="expression" dxfId="2903" priority="6">
      <formula>AND(B$9&gt;=14/24,B$9&lt;20/24)</formula>
    </cfRule>
    <cfRule type="expression" dxfId="2902" priority="7">
      <formula>AND(B$9&gt;=8/24,B$9&lt;14/24)</formula>
    </cfRule>
    <cfRule type="expression" dxfId="290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354A-55ED-48D2-8D47-1B8FF8CB371A}">
  <sheetPr codeName="Sheet14"/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H121" sqref="H12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2080/10/14</v>
      </c>
      <c r="C4" s="187"/>
      <c r="D4" s="187"/>
      <c r="E4" s="188" t="str">
        <f ca="1">"2080/"&amp;"10/"&amp;INT(MID(CELL("filename",G6),FIND("]",CELL("filename",G6))+1,200))</f>
        <v>2080/10/14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77</v>
      </c>
      <c r="C5" s="30">
        <f t="shared" si="0"/>
        <v>78.5</v>
      </c>
      <c r="D5" s="30">
        <f t="shared" si="0"/>
        <v>70.2</v>
      </c>
      <c r="E5" s="30">
        <f t="shared" si="0"/>
        <v>68.400000000000006</v>
      </c>
      <c r="F5" s="30">
        <f t="shared" si="0"/>
        <v>64.400000000000006</v>
      </c>
      <c r="G5" s="30">
        <f t="shared" si="0"/>
        <v>92.4</v>
      </c>
      <c r="H5" s="30">
        <f t="shared" si="0"/>
        <v>64.400000000000006</v>
      </c>
      <c r="I5" s="30">
        <f t="shared" si="0"/>
        <v>220.5</v>
      </c>
      <c r="J5" s="30">
        <f t="shared" si="0"/>
        <v>244</v>
      </c>
      <c r="K5" s="30">
        <f t="shared" si="0"/>
        <v>239.5</v>
      </c>
      <c r="L5" s="30">
        <f t="shared" si="0"/>
        <v>231.6</v>
      </c>
      <c r="M5" s="30">
        <f t="shared" si="0"/>
        <v>253.60000000000002</v>
      </c>
      <c r="N5" s="30">
        <f t="shared" si="0"/>
        <v>241.1</v>
      </c>
      <c r="O5" s="30">
        <f t="shared" si="0"/>
        <v>238.8</v>
      </c>
      <c r="P5" s="30">
        <f t="shared" si="0"/>
        <v>255.2</v>
      </c>
      <c r="Q5" s="30">
        <f t="shared" si="0"/>
        <v>283.7</v>
      </c>
      <c r="R5" s="30">
        <f t="shared" si="0"/>
        <v>298.7</v>
      </c>
      <c r="S5" s="30">
        <f t="shared" si="0"/>
        <v>455</v>
      </c>
      <c r="T5" s="30">
        <f t="shared" si="0"/>
        <v>443.19999999999993</v>
      </c>
      <c r="U5" s="30">
        <f t="shared" si="0"/>
        <v>425.09999999999997</v>
      </c>
      <c r="V5" s="30">
        <f t="shared" si="0"/>
        <v>373.5</v>
      </c>
      <c r="W5" s="30">
        <f t="shared" si="0"/>
        <v>306.39999999999998</v>
      </c>
      <c r="X5" s="30">
        <f t="shared" si="0"/>
        <v>81.900000000000006</v>
      </c>
      <c r="Y5" s="30">
        <f t="shared" si="0"/>
        <v>88.800000000000011</v>
      </c>
      <c r="Z5" s="30">
        <f t="shared" si="0"/>
        <v>4.2</v>
      </c>
      <c r="AA5" s="30">
        <f t="shared" si="0"/>
        <v>4.8</v>
      </c>
      <c r="AB5" s="30">
        <f t="shared" si="0"/>
        <v>4.8</v>
      </c>
      <c r="AC5" s="30">
        <f t="shared" si="0"/>
        <v>3.6</v>
      </c>
      <c r="AD5" s="30">
        <f t="shared" si="0"/>
        <v>0</v>
      </c>
      <c r="AE5" s="30">
        <f t="shared" si="0"/>
        <v>0</v>
      </c>
      <c r="AF5" s="30">
        <f>B92</f>
        <v>79.5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1935MW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Load=835</v>
      </c>
      <c r="B7" s="35">
        <f t="shared" ref="B7:AF7" si="1">B100</f>
        <v>1763.3399999999997</v>
      </c>
      <c r="C7" s="35">
        <f t="shared" si="1"/>
        <v>1718.2399999999998</v>
      </c>
      <c r="D7" s="35">
        <f t="shared" si="1"/>
        <v>1687.6399999999999</v>
      </c>
      <c r="E7" s="35">
        <f t="shared" si="1"/>
        <v>1622.94</v>
      </c>
      <c r="F7" s="35">
        <f t="shared" si="1"/>
        <v>1536.64</v>
      </c>
      <c r="G7" s="35">
        <f t="shared" si="1"/>
        <v>834.53999999999985</v>
      </c>
      <c r="H7" s="35">
        <f t="shared" si="1"/>
        <v>1555.8400000000001</v>
      </c>
      <c r="I7" s="35">
        <f t="shared" si="1"/>
        <v>1636.9400000000003</v>
      </c>
      <c r="J7" s="35">
        <f t="shared" si="1"/>
        <v>1620.54</v>
      </c>
      <c r="K7" s="35">
        <f t="shared" si="1"/>
        <v>1731.8400000000001</v>
      </c>
      <c r="L7" s="35">
        <f t="shared" si="1"/>
        <v>1803.04</v>
      </c>
      <c r="M7" s="35">
        <f t="shared" si="1"/>
        <v>1830.6399999999999</v>
      </c>
      <c r="N7" s="35">
        <f t="shared" si="1"/>
        <v>1846.14</v>
      </c>
      <c r="O7" s="35">
        <f t="shared" si="1"/>
        <v>1927.3399999999997</v>
      </c>
      <c r="P7" s="35">
        <f t="shared" si="1"/>
        <v>1939.1400000000003</v>
      </c>
      <c r="Q7" s="35">
        <f t="shared" si="1"/>
        <v>1921.4399999999998</v>
      </c>
      <c r="R7" s="35">
        <f t="shared" si="1"/>
        <v>1892.3700000000001</v>
      </c>
      <c r="S7" s="35">
        <f t="shared" si="1"/>
        <v>1816.47</v>
      </c>
      <c r="T7" s="35">
        <f t="shared" si="1"/>
        <v>1785.27</v>
      </c>
      <c r="U7" s="35">
        <f t="shared" si="1"/>
        <v>1747.17</v>
      </c>
      <c r="V7" s="35">
        <f t="shared" si="1"/>
        <v>1692.37</v>
      </c>
      <c r="W7" s="35">
        <f t="shared" si="1"/>
        <v>1565.17</v>
      </c>
      <c r="X7" s="35">
        <f t="shared" si="1"/>
        <v>1489.5700000000002</v>
      </c>
      <c r="Y7" s="35">
        <f t="shared" si="1"/>
        <v>1682.0700000000002</v>
      </c>
      <c r="Z7" s="35">
        <f t="shared" si="1"/>
        <v>1765.9699999999998</v>
      </c>
      <c r="AA7" s="35">
        <f t="shared" si="1"/>
        <v>1830.4999999999998</v>
      </c>
      <c r="AB7" s="35">
        <f t="shared" si="1"/>
        <v>1643.8699999999997</v>
      </c>
      <c r="AC7" s="35">
        <f t="shared" si="1"/>
        <v>1643.8699999999997</v>
      </c>
      <c r="AD7" s="35">
        <f t="shared" si="1"/>
        <v>1600.6699999999998</v>
      </c>
      <c r="AE7" s="35">
        <f t="shared" si="1"/>
        <v>1284.07</v>
      </c>
      <c r="AF7" s="35">
        <f t="shared" si="1"/>
        <v>1274.5700000000002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2067.14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1939.14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26.8</v>
      </c>
      <c r="C11" s="46">
        <v>26.8</v>
      </c>
      <c r="D11" s="46">
        <v>26.8</v>
      </c>
      <c r="E11" s="46">
        <v>28.5</v>
      </c>
      <c r="F11" s="46">
        <v>28.5</v>
      </c>
      <c r="G11" s="46">
        <v>28.5</v>
      </c>
      <c r="H11" s="46">
        <v>28.5</v>
      </c>
      <c r="I11" s="46">
        <v>37.9</v>
      </c>
      <c r="J11" s="46">
        <v>39.299999999999997</v>
      </c>
      <c r="K11" s="46">
        <v>49</v>
      </c>
      <c r="L11" s="46">
        <v>60</v>
      </c>
      <c r="M11" s="46">
        <v>60.6</v>
      </c>
      <c r="N11" s="46">
        <v>60.6</v>
      </c>
      <c r="O11" s="46">
        <v>60.6</v>
      </c>
      <c r="P11" s="46">
        <v>49.4</v>
      </c>
      <c r="Q11" s="46">
        <v>54</v>
      </c>
      <c r="R11" s="46">
        <v>47.4</v>
      </c>
      <c r="S11" s="46">
        <v>47.4</v>
      </c>
      <c r="T11" s="46">
        <v>47.4</v>
      </c>
      <c r="U11" s="46">
        <v>47.4</v>
      </c>
      <c r="V11" s="46">
        <v>47.4</v>
      </c>
      <c r="W11" s="46">
        <v>47.4</v>
      </c>
      <c r="X11" s="46">
        <v>47.4</v>
      </c>
      <c r="Y11" s="46">
        <v>47.4</v>
      </c>
      <c r="Z11" s="46">
        <v>47.4</v>
      </c>
      <c r="AA11" s="46">
        <v>47.4</v>
      </c>
      <c r="AB11" s="46">
        <v>47.4</v>
      </c>
      <c r="AC11" s="46">
        <v>47.4</v>
      </c>
      <c r="AD11" s="46">
        <v>47.4</v>
      </c>
      <c r="AE11" s="46">
        <v>47.4</v>
      </c>
      <c r="AF11" s="46">
        <v>40</v>
      </c>
      <c r="AG11" s="47">
        <v>86</v>
      </c>
      <c r="AH11" s="48">
        <f t="shared" ref="AH11:AH16" si="2">MAX(B11:AF11)</f>
        <v>60.6</v>
      </c>
      <c r="AI11" s="49">
        <f t="shared" ref="AI11:AI16" si="3">MIN(B11:AF11)</f>
        <v>26.8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35</v>
      </c>
      <c r="C12" s="46">
        <v>35</v>
      </c>
      <c r="D12" s="46">
        <v>35</v>
      </c>
      <c r="E12" s="46">
        <v>35</v>
      </c>
      <c r="F12" s="46">
        <v>35</v>
      </c>
      <c r="G12" s="46">
        <v>35</v>
      </c>
      <c r="H12" s="46">
        <v>35</v>
      </c>
      <c r="I12" s="46">
        <v>45</v>
      </c>
      <c r="J12" s="46">
        <v>45</v>
      </c>
      <c r="K12" s="46">
        <v>45</v>
      </c>
      <c r="L12" s="46">
        <v>45</v>
      </c>
      <c r="M12" s="46">
        <v>45</v>
      </c>
      <c r="N12" s="46">
        <v>45</v>
      </c>
      <c r="O12" s="46">
        <v>45</v>
      </c>
      <c r="P12" s="46">
        <v>45</v>
      </c>
      <c r="Q12" s="46">
        <v>45</v>
      </c>
      <c r="R12" s="46">
        <v>45</v>
      </c>
      <c r="S12" s="46">
        <v>45</v>
      </c>
      <c r="T12" s="46">
        <v>45</v>
      </c>
      <c r="U12" s="46">
        <v>45</v>
      </c>
      <c r="V12" s="46">
        <v>45</v>
      </c>
      <c r="W12" s="46">
        <v>45</v>
      </c>
      <c r="X12" s="46">
        <v>45</v>
      </c>
      <c r="Y12" s="46">
        <v>45</v>
      </c>
      <c r="Z12" s="46">
        <v>45</v>
      </c>
      <c r="AA12" s="46">
        <v>45</v>
      </c>
      <c r="AB12" s="46">
        <v>45</v>
      </c>
      <c r="AC12" s="46">
        <v>45</v>
      </c>
      <c r="AD12" s="46">
        <v>45</v>
      </c>
      <c r="AE12" s="46">
        <v>45</v>
      </c>
      <c r="AF12" s="46">
        <v>45</v>
      </c>
      <c r="AG12" s="50">
        <v>54</v>
      </c>
      <c r="AH12" s="48">
        <f t="shared" si="2"/>
        <v>45</v>
      </c>
      <c r="AI12" s="49">
        <f t="shared" si="3"/>
        <v>35</v>
      </c>
      <c r="AK12" s="51"/>
      <c r="AL12" s="52" t="str">
        <f ca="1">MID(CELL("filename",C7),FIND("]",CELL("filename",C7))+1,600)</f>
        <v>14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29</v>
      </c>
      <c r="C13" s="46">
        <v>29</v>
      </c>
      <c r="D13" s="46">
        <v>29</v>
      </c>
      <c r="E13" s="46">
        <v>29</v>
      </c>
      <c r="F13" s="46">
        <v>29</v>
      </c>
      <c r="G13" s="46"/>
      <c r="H13" s="46">
        <v>0</v>
      </c>
      <c r="I13" s="46">
        <v>0</v>
      </c>
      <c r="J13" s="46">
        <v>29</v>
      </c>
      <c r="K13" s="46">
        <v>29</v>
      </c>
      <c r="L13" s="46">
        <v>29</v>
      </c>
      <c r="M13" s="46">
        <v>29</v>
      </c>
      <c r="N13" s="46">
        <v>29</v>
      </c>
      <c r="O13" s="46">
        <v>29</v>
      </c>
      <c r="P13" s="46">
        <v>29</v>
      </c>
      <c r="Q13" s="46">
        <v>29</v>
      </c>
      <c r="R13" s="46">
        <v>0</v>
      </c>
      <c r="S13" s="46">
        <v>0</v>
      </c>
      <c r="T13" s="46">
        <v>0</v>
      </c>
      <c r="U13" s="46">
        <v>28.9</v>
      </c>
      <c r="V13" s="46">
        <v>28.9</v>
      </c>
      <c r="W13" s="46">
        <v>28.9</v>
      </c>
      <c r="X13" s="46">
        <v>28.9</v>
      </c>
      <c r="Y13" s="46">
        <v>28.9</v>
      </c>
      <c r="Z13" s="46">
        <v>28.9</v>
      </c>
      <c r="AA13" s="46">
        <v>28.9</v>
      </c>
      <c r="AB13" s="46">
        <v>28.9</v>
      </c>
      <c r="AC13" s="46">
        <v>28.9</v>
      </c>
      <c r="AD13" s="46">
        <v>28.9</v>
      </c>
      <c r="AE13" s="46">
        <v>28.9</v>
      </c>
      <c r="AF13" s="46">
        <v>28.9</v>
      </c>
      <c r="AG13" s="50">
        <v>54</v>
      </c>
      <c r="AH13" s="48">
        <f t="shared" si="2"/>
        <v>29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/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50.4</v>
      </c>
      <c r="C15" s="46">
        <v>50.4</v>
      </c>
      <c r="D15" s="46">
        <v>50.4</v>
      </c>
      <c r="E15" s="46">
        <v>50.4</v>
      </c>
      <c r="F15" s="46">
        <v>50.4</v>
      </c>
      <c r="G15" s="46"/>
      <c r="H15" s="46">
        <v>50.4</v>
      </c>
      <c r="I15" s="46">
        <v>50.4</v>
      </c>
      <c r="J15" s="46">
        <v>50.4</v>
      </c>
      <c r="K15" s="46">
        <v>50.4</v>
      </c>
      <c r="L15" s="46">
        <v>50.4</v>
      </c>
      <c r="M15" s="46">
        <v>50.4</v>
      </c>
      <c r="N15" s="46">
        <v>50.4</v>
      </c>
      <c r="O15" s="46">
        <v>50.4</v>
      </c>
      <c r="P15" s="46">
        <v>50.4</v>
      </c>
      <c r="Q15" s="46">
        <v>50.4</v>
      </c>
      <c r="R15" s="46">
        <v>50.33</v>
      </c>
      <c r="S15" s="46">
        <v>50.33</v>
      </c>
      <c r="T15" s="46">
        <v>50.33</v>
      </c>
      <c r="U15" s="46">
        <v>50.33</v>
      </c>
      <c r="V15" s="46">
        <v>50.33</v>
      </c>
      <c r="W15" s="46">
        <v>50.33</v>
      </c>
      <c r="X15" s="46">
        <v>50.33</v>
      </c>
      <c r="Y15" s="46">
        <v>50.33</v>
      </c>
      <c r="Z15" s="46">
        <v>50.33</v>
      </c>
      <c r="AA15" s="53">
        <v>50.33</v>
      </c>
      <c r="AB15" s="53">
        <v>50.33</v>
      </c>
      <c r="AC15" s="53">
        <v>50.33</v>
      </c>
      <c r="AD15" s="53">
        <v>50.33</v>
      </c>
      <c r="AE15" s="53">
        <v>50.33</v>
      </c>
      <c r="AF15" s="53">
        <v>50.33</v>
      </c>
      <c r="AG15" s="50">
        <v>50</v>
      </c>
      <c r="AH15" s="48">
        <f t="shared" si="2"/>
        <v>50.4</v>
      </c>
      <c r="AI15" s="49">
        <f t="shared" si="3"/>
        <v>50.33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23</v>
      </c>
      <c r="C16" s="46">
        <v>23</v>
      </c>
      <c r="D16" s="46">
        <v>23</v>
      </c>
      <c r="E16" s="46">
        <v>23</v>
      </c>
      <c r="F16" s="46">
        <v>23</v>
      </c>
      <c r="G16" s="46" t="s">
        <v>295</v>
      </c>
      <c r="H16" s="46">
        <v>23</v>
      </c>
      <c r="I16" s="46">
        <v>23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23</v>
      </c>
      <c r="S16" s="46">
        <v>23</v>
      </c>
      <c r="T16" s="46">
        <v>23</v>
      </c>
      <c r="U16" s="46">
        <v>23</v>
      </c>
      <c r="V16" s="46">
        <v>23</v>
      </c>
      <c r="W16" s="46">
        <v>23</v>
      </c>
      <c r="X16" s="46">
        <v>23</v>
      </c>
      <c r="Y16" s="46">
        <v>23</v>
      </c>
      <c r="Z16" s="46">
        <v>23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45</v>
      </c>
      <c r="AH16" s="48">
        <f t="shared" si="2"/>
        <v>23</v>
      </c>
      <c r="AI16" s="49">
        <f t="shared" si="3"/>
        <v>23</v>
      </c>
      <c r="AK16" s="51"/>
      <c r="AL16" s="54" t="s">
        <v>7</v>
      </c>
      <c r="AM16" s="59">
        <f t="shared" ref="AM16:AR16" si="4">B58</f>
        <v>756.59999999999991</v>
      </c>
      <c r="AN16" s="59">
        <f t="shared" si="4"/>
        <v>756.59999999999991</v>
      </c>
      <c r="AO16" s="59">
        <f t="shared" si="4"/>
        <v>756.59999999999991</v>
      </c>
      <c r="AP16" s="59">
        <f t="shared" si="4"/>
        <v>758.3</v>
      </c>
      <c r="AQ16" s="59">
        <f t="shared" si="4"/>
        <v>758.3</v>
      </c>
      <c r="AR16" s="59">
        <f t="shared" si="4"/>
        <v>320.5</v>
      </c>
      <c r="AS16" s="59">
        <f>I58</f>
        <v>766</v>
      </c>
      <c r="AT16" s="59">
        <f>K58</f>
        <v>817.59999999999991</v>
      </c>
      <c r="AU16" s="59">
        <f t="shared" ref="AU16:BD16" si="5">M58</f>
        <v>829.2</v>
      </c>
      <c r="AV16" s="59">
        <f t="shared" si="5"/>
        <v>829.2</v>
      </c>
      <c r="AW16" s="59">
        <f t="shared" si="5"/>
        <v>829.2</v>
      </c>
      <c r="AX16" s="59">
        <f t="shared" si="5"/>
        <v>818</v>
      </c>
      <c r="AY16" s="59">
        <f t="shared" si="5"/>
        <v>822.59999999999991</v>
      </c>
      <c r="AZ16" s="59">
        <f t="shared" si="5"/>
        <v>757.13</v>
      </c>
      <c r="BA16" s="59">
        <f t="shared" si="5"/>
        <v>757.13</v>
      </c>
      <c r="BB16" s="59">
        <f t="shared" si="5"/>
        <v>757.13</v>
      </c>
      <c r="BC16" s="59">
        <f t="shared" si="5"/>
        <v>786.03</v>
      </c>
      <c r="BD16" s="59">
        <f t="shared" si="5"/>
        <v>786.03</v>
      </c>
      <c r="BE16" s="60">
        <f>X58</f>
        <v>786.03</v>
      </c>
      <c r="BF16" s="60">
        <f>Z58</f>
        <v>808.82999999999993</v>
      </c>
      <c r="BG16" s="60">
        <f>AB58</f>
        <v>808.82999999999993</v>
      </c>
      <c r="BH16" s="60">
        <f>AD58</f>
        <v>808.82999999999993</v>
      </c>
      <c r="BI16" s="60">
        <f>AE58</f>
        <v>808.82999999999993</v>
      </c>
      <c r="BJ16" s="60">
        <f>AF58</f>
        <v>801.43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23</v>
      </c>
      <c r="C17" s="46">
        <v>23</v>
      </c>
      <c r="D17" s="46">
        <v>23</v>
      </c>
      <c r="E17" s="46">
        <v>23</v>
      </c>
      <c r="F17" s="46">
        <v>23</v>
      </c>
      <c r="G17" s="46" t="s">
        <v>288</v>
      </c>
      <c r="H17" s="46">
        <v>23</v>
      </c>
      <c r="I17" s="46">
        <v>23</v>
      </c>
      <c r="J17" s="46">
        <v>23</v>
      </c>
      <c r="K17" s="46">
        <v>23</v>
      </c>
      <c r="L17" s="46">
        <v>23</v>
      </c>
      <c r="M17" s="46">
        <v>23</v>
      </c>
      <c r="N17" s="46">
        <v>23</v>
      </c>
      <c r="O17" s="46">
        <v>23</v>
      </c>
      <c r="P17" s="46">
        <v>23</v>
      </c>
      <c r="Q17" s="46">
        <v>23</v>
      </c>
      <c r="R17" s="46">
        <v>23</v>
      </c>
      <c r="S17" s="46">
        <v>23</v>
      </c>
      <c r="T17" s="46">
        <v>23</v>
      </c>
      <c r="U17" s="46">
        <v>23</v>
      </c>
      <c r="V17" s="46">
        <v>23</v>
      </c>
      <c r="W17" s="46">
        <v>23</v>
      </c>
      <c r="X17" s="46">
        <v>23</v>
      </c>
      <c r="Y17" s="46">
        <v>23</v>
      </c>
      <c r="Z17" s="46">
        <v>23</v>
      </c>
      <c r="AA17" s="46">
        <v>23</v>
      </c>
      <c r="AB17" s="46">
        <v>23</v>
      </c>
      <c r="AC17" s="46">
        <v>23</v>
      </c>
      <c r="AD17" s="46">
        <v>23</v>
      </c>
      <c r="AE17" s="46">
        <v>23</v>
      </c>
      <c r="AF17" s="46">
        <v>23</v>
      </c>
      <c r="AG17" s="50">
        <v>44</v>
      </c>
      <c r="AH17" s="48">
        <f>MAX(B17:AG17)</f>
        <v>44</v>
      </c>
      <c r="AI17" s="49">
        <f>MIN(B17:AG17)</f>
        <v>23</v>
      </c>
      <c r="AK17" s="51"/>
      <c r="AL17" s="54" t="s">
        <v>27</v>
      </c>
      <c r="AM17" s="59">
        <f t="shared" ref="AM17:AR17" si="6">B62</f>
        <v>341.19999999999993</v>
      </c>
      <c r="AN17" s="59">
        <f t="shared" si="6"/>
        <v>320.29999999999995</v>
      </c>
      <c r="AO17" s="59">
        <f t="shared" si="6"/>
        <v>290</v>
      </c>
      <c r="AP17" s="59">
        <f t="shared" si="6"/>
        <v>248.4</v>
      </c>
      <c r="AQ17" s="59">
        <f t="shared" si="6"/>
        <v>184.9</v>
      </c>
      <c r="AR17" s="59">
        <f t="shared" si="6"/>
        <v>314.09999999999997</v>
      </c>
      <c r="AS17" s="59">
        <f>I62</f>
        <v>330.4</v>
      </c>
      <c r="AT17" s="59">
        <f>K62</f>
        <v>353.4</v>
      </c>
      <c r="AU17" s="59">
        <f t="shared" ref="AU17:BD17" si="7">M62</f>
        <v>427.4</v>
      </c>
      <c r="AV17" s="59">
        <f t="shared" si="7"/>
        <v>432.4</v>
      </c>
      <c r="AW17" s="59">
        <f t="shared" si="7"/>
        <v>432.4</v>
      </c>
      <c r="AX17" s="59">
        <f t="shared" si="7"/>
        <v>531.4</v>
      </c>
      <c r="AY17" s="59">
        <f t="shared" si="7"/>
        <v>473.79999999999995</v>
      </c>
      <c r="AZ17" s="59">
        <f t="shared" si="7"/>
        <v>419</v>
      </c>
      <c r="BA17" s="59">
        <f t="shared" si="7"/>
        <v>328.4</v>
      </c>
      <c r="BB17" s="59">
        <f t="shared" si="7"/>
        <v>198.9</v>
      </c>
      <c r="BC17" s="59">
        <f t="shared" si="7"/>
        <v>195.6</v>
      </c>
      <c r="BD17" s="59">
        <f t="shared" si="7"/>
        <v>101.4</v>
      </c>
      <c r="BE17" s="60">
        <f>X62</f>
        <v>76.2</v>
      </c>
      <c r="BF17" s="60">
        <f>Z62</f>
        <v>182</v>
      </c>
      <c r="BG17" s="60">
        <f>AB62</f>
        <v>262.10000000000002</v>
      </c>
      <c r="BH17" s="60">
        <f>AD62</f>
        <v>262.10000000000002</v>
      </c>
      <c r="BI17" s="60">
        <f>AE62</f>
        <v>432.1</v>
      </c>
      <c r="BJ17" s="60">
        <f>AF62</f>
        <v>432.1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22</v>
      </c>
      <c r="C18" s="46">
        <v>22</v>
      </c>
      <c r="D18" s="46">
        <v>22</v>
      </c>
      <c r="E18" s="46">
        <v>22</v>
      </c>
      <c r="F18" s="46">
        <v>22</v>
      </c>
      <c r="G18" s="46" t="s">
        <v>297</v>
      </c>
      <c r="H18" s="46">
        <v>22</v>
      </c>
      <c r="I18" s="46">
        <v>30</v>
      </c>
      <c r="J18" s="46">
        <v>30</v>
      </c>
      <c r="K18" s="46">
        <v>30</v>
      </c>
      <c r="L18" s="46">
        <v>30</v>
      </c>
      <c r="M18" s="46">
        <v>30</v>
      </c>
      <c r="N18" s="46">
        <v>30</v>
      </c>
      <c r="O18" s="46">
        <v>30</v>
      </c>
      <c r="P18" s="46">
        <v>30</v>
      </c>
      <c r="Q18" s="46">
        <v>30</v>
      </c>
      <c r="R18" s="46">
        <v>30</v>
      </c>
      <c r="S18" s="46">
        <v>30</v>
      </c>
      <c r="T18" s="46">
        <v>30</v>
      </c>
      <c r="U18" s="46">
        <v>30</v>
      </c>
      <c r="V18" s="46">
        <v>30</v>
      </c>
      <c r="W18" s="46">
        <v>30</v>
      </c>
      <c r="X18" s="46">
        <v>30</v>
      </c>
      <c r="Y18" s="46">
        <v>30</v>
      </c>
      <c r="Z18" s="46">
        <v>30</v>
      </c>
      <c r="AA18" s="46">
        <v>30</v>
      </c>
      <c r="AB18" s="46">
        <v>30</v>
      </c>
      <c r="AC18" s="46">
        <v>30</v>
      </c>
      <c r="AD18" s="46">
        <v>30</v>
      </c>
      <c r="AE18" s="46">
        <v>30</v>
      </c>
      <c r="AF18" s="46">
        <v>30</v>
      </c>
      <c r="AG18" s="50">
        <v>42</v>
      </c>
      <c r="AH18" s="48">
        <f t="shared" ref="AH18:AH81" si="8">MAX(B18:AF18)</f>
        <v>30</v>
      </c>
      <c r="AI18" s="49">
        <f t="shared" ref="AI18:AI81" si="9">MIN(B18:AF18)</f>
        <v>22</v>
      </c>
      <c r="AK18" s="51"/>
      <c r="AL18" s="54" t="s">
        <v>29</v>
      </c>
      <c r="AM18" s="59">
        <f t="shared" ref="AM18:AR18" si="10">B76</f>
        <v>412.84000000000003</v>
      </c>
      <c r="AN18" s="59">
        <f t="shared" si="10"/>
        <v>412.54000000000008</v>
      </c>
      <c r="AO18" s="59">
        <f t="shared" si="10"/>
        <v>412.54000000000008</v>
      </c>
      <c r="AP18" s="59">
        <f t="shared" si="10"/>
        <v>403.04000000000008</v>
      </c>
      <c r="AQ18" s="59">
        <f t="shared" si="10"/>
        <v>403.04000000000008</v>
      </c>
      <c r="AR18" s="59">
        <f t="shared" si="10"/>
        <v>55.54</v>
      </c>
      <c r="AS18" s="59">
        <f>I76</f>
        <v>368.6400000000001</v>
      </c>
      <c r="AT18" s="59">
        <f>K76</f>
        <v>400.84000000000003</v>
      </c>
      <c r="AU18" s="59">
        <f t="shared" ref="AU18:BD18" si="11">M76</f>
        <v>422.44</v>
      </c>
      <c r="AV18" s="59">
        <f t="shared" si="11"/>
        <v>419.74</v>
      </c>
      <c r="AW18" s="59">
        <f t="shared" si="11"/>
        <v>424.64</v>
      </c>
      <c r="AX18" s="59">
        <f t="shared" si="11"/>
        <v>430.94000000000005</v>
      </c>
      <c r="AY18" s="59">
        <f t="shared" si="11"/>
        <v>427.14</v>
      </c>
      <c r="AZ18" s="59">
        <f t="shared" si="11"/>
        <v>411.54</v>
      </c>
      <c r="BA18" s="59">
        <f t="shared" si="11"/>
        <v>411.24</v>
      </c>
      <c r="BB18" s="59">
        <f t="shared" si="11"/>
        <v>353.04</v>
      </c>
      <c r="BC18" s="59">
        <f t="shared" si="11"/>
        <v>301.14000000000004</v>
      </c>
      <c r="BD18" s="59">
        <f t="shared" si="11"/>
        <v>339.34000000000003</v>
      </c>
      <c r="BE18" s="60">
        <f>X76</f>
        <v>320.94000000000005</v>
      </c>
      <c r="BF18" s="60">
        <f>Z76</f>
        <v>386.34</v>
      </c>
      <c r="BG18" s="60">
        <f>AB76</f>
        <v>388.14</v>
      </c>
      <c r="BH18" s="60">
        <f>AD76</f>
        <v>328.84000000000003</v>
      </c>
      <c r="BI18" s="60">
        <f>AE76</f>
        <v>373.44</v>
      </c>
      <c r="BJ18" s="60">
        <f>AF76</f>
        <v>373.44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27.5</v>
      </c>
      <c r="C19" s="46">
        <v>27.5</v>
      </c>
      <c r="D19" s="46">
        <v>27.5</v>
      </c>
      <c r="E19" s="46">
        <v>27.5</v>
      </c>
      <c r="F19" s="46">
        <v>27.5</v>
      </c>
      <c r="G19" s="46" t="s">
        <v>289</v>
      </c>
      <c r="H19" s="46">
        <v>27.5</v>
      </c>
      <c r="I19" s="46">
        <v>31.8</v>
      </c>
      <c r="J19" s="46">
        <v>31.8</v>
      </c>
      <c r="K19" s="46">
        <v>31.8</v>
      </c>
      <c r="L19" s="46">
        <v>31.8</v>
      </c>
      <c r="M19" s="46">
        <v>31.8</v>
      </c>
      <c r="N19" s="46">
        <v>31.8</v>
      </c>
      <c r="O19" s="46">
        <v>31.8</v>
      </c>
      <c r="P19" s="46">
        <v>31.8</v>
      </c>
      <c r="Q19" s="46">
        <v>31.8</v>
      </c>
      <c r="R19" s="46">
        <v>26.7</v>
      </c>
      <c r="S19" s="46">
        <v>26.7</v>
      </c>
      <c r="T19" s="46">
        <v>26.7</v>
      </c>
      <c r="U19" s="46">
        <v>26.7</v>
      </c>
      <c r="V19" s="46">
        <v>26.7</v>
      </c>
      <c r="W19" s="46">
        <v>26.7</v>
      </c>
      <c r="X19" s="46">
        <v>26.7</v>
      </c>
      <c r="Y19" s="46">
        <v>26.7</v>
      </c>
      <c r="Z19" s="46">
        <v>26.7</v>
      </c>
      <c r="AA19" s="46">
        <v>26.7</v>
      </c>
      <c r="AB19" s="46">
        <v>26.7</v>
      </c>
      <c r="AC19" s="46">
        <v>26.7</v>
      </c>
      <c r="AD19" s="46">
        <v>26.7</v>
      </c>
      <c r="AE19" s="46">
        <v>26.7</v>
      </c>
      <c r="AF19" s="46">
        <v>26.7</v>
      </c>
      <c r="AG19" s="50">
        <v>38.46</v>
      </c>
      <c r="AH19" s="48">
        <f t="shared" si="8"/>
        <v>31.8</v>
      </c>
      <c r="AI19" s="49">
        <f t="shared" si="9"/>
        <v>26.7</v>
      </c>
      <c r="AK19" s="51"/>
      <c r="AL19" s="54" t="s">
        <v>31</v>
      </c>
      <c r="AM19" s="59">
        <f t="shared" ref="AM19:AR19" si="12">B92</f>
        <v>79.5</v>
      </c>
      <c r="AN19" s="59">
        <f t="shared" si="12"/>
        <v>77</v>
      </c>
      <c r="AO19" s="59">
        <f t="shared" si="12"/>
        <v>78.5</v>
      </c>
      <c r="AP19" s="59">
        <f t="shared" si="12"/>
        <v>70.2</v>
      </c>
      <c r="AQ19" s="59">
        <f t="shared" si="12"/>
        <v>68.400000000000006</v>
      </c>
      <c r="AR19" s="59">
        <f t="shared" si="12"/>
        <v>64.400000000000006</v>
      </c>
      <c r="AS19" s="59">
        <f>I92</f>
        <v>64.400000000000006</v>
      </c>
      <c r="AT19" s="59">
        <f>K92</f>
        <v>244</v>
      </c>
      <c r="AU19" s="59">
        <f t="shared" ref="AU19:BD19" si="13">M92</f>
        <v>231.6</v>
      </c>
      <c r="AV19" s="59">
        <f t="shared" si="13"/>
        <v>253.60000000000002</v>
      </c>
      <c r="AW19" s="59">
        <f t="shared" si="13"/>
        <v>241.1</v>
      </c>
      <c r="AX19" s="59">
        <f t="shared" si="13"/>
        <v>238.8</v>
      </c>
      <c r="AY19" s="59">
        <f t="shared" si="13"/>
        <v>255.2</v>
      </c>
      <c r="AZ19" s="59">
        <f t="shared" si="13"/>
        <v>283.7</v>
      </c>
      <c r="BA19" s="59">
        <f t="shared" si="13"/>
        <v>298.7</v>
      </c>
      <c r="BB19" s="59">
        <f t="shared" si="13"/>
        <v>455</v>
      </c>
      <c r="BC19" s="59">
        <f t="shared" si="13"/>
        <v>443.19999999999993</v>
      </c>
      <c r="BD19" s="59">
        <f t="shared" si="13"/>
        <v>425.09999999999997</v>
      </c>
      <c r="BE19" s="60">
        <f>X92</f>
        <v>306.39999999999998</v>
      </c>
      <c r="BF19" s="60">
        <f>Z92</f>
        <v>88.800000000000011</v>
      </c>
      <c r="BG19" s="60">
        <f>AB92</f>
        <v>4.8</v>
      </c>
      <c r="BH19" s="60">
        <f>AD92</f>
        <v>3.6</v>
      </c>
      <c r="BI19" s="60">
        <f>AE92</f>
        <v>0</v>
      </c>
      <c r="BJ19" s="60">
        <f>AF92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17</v>
      </c>
      <c r="F20" s="46">
        <v>17</v>
      </c>
      <c r="G20" s="46" t="s">
        <v>300</v>
      </c>
      <c r="H20" s="46">
        <v>17</v>
      </c>
      <c r="I20" s="46">
        <v>17</v>
      </c>
      <c r="J20" s="46">
        <v>17</v>
      </c>
      <c r="K20" s="46">
        <v>17</v>
      </c>
      <c r="L20" s="46">
        <v>17</v>
      </c>
      <c r="M20" s="46">
        <v>17</v>
      </c>
      <c r="N20" s="46">
        <v>17</v>
      </c>
      <c r="O20" s="46">
        <v>17</v>
      </c>
      <c r="P20" s="46">
        <v>17</v>
      </c>
      <c r="Q20" s="46">
        <v>17</v>
      </c>
      <c r="R20" s="46">
        <v>17</v>
      </c>
      <c r="S20" s="46">
        <v>17</v>
      </c>
      <c r="T20" s="46">
        <v>17</v>
      </c>
      <c r="U20" s="46">
        <v>17</v>
      </c>
      <c r="V20" s="46">
        <v>17</v>
      </c>
      <c r="W20" s="46">
        <v>17</v>
      </c>
      <c r="X20" s="46">
        <v>17</v>
      </c>
      <c r="Y20" s="46">
        <v>17</v>
      </c>
      <c r="Z20" s="46">
        <v>17</v>
      </c>
      <c r="AA20" s="46">
        <v>17</v>
      </c>
      <c r="AB20" s="46">
        <v>17</v>
      </c>
      <c r="AC20" s="46">
        <v>17</v>
      </c>
      <c r="AD20" s="46">
        <v>17</v>
      </c>
      <c r="AE20" s="46">
        <v>17</v>
      </c>
      <c r="AF20" s="46">
        <v>17</v>
      </c>
      <c r="AG20" s="50">
        <v>38.46</v>
      </c>
      <c r="AH20" s="48">
        <f t="shared" si="8"/>
        <v>17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23.200000000000003</v>
      </c>
      <c r="AN20" s="59">
        <f t="shared" si="14"/>
        <v>7.8000000000000007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15.1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48</v>
      </c>
      <c r="AY20" s="59">
        <f t="shared" si="15"/>
        <v>22.700000000000003</v>
      </c>
      <c r="AZ20" s="59">
        <f t="shared" si="15"/>
        <v>21</v>
      </c>
      <c r="BA20" s="59">
        <f t="shared" si="15"/>
        <v>21</v>
      </c>
      <c r="BB20" s="59">
        <f t="shared" si="15"/>
        <v>21.200000000000003</v>
      </c>
      <c r="BC20" s="59">
        <f t="shared" si="15"/>
        <v>21.200000000000003</v>
      </c>
      <c r="BD20" s="59">
        <f t="shared" si="15"/>
        <v>40.5</v>
      </c>
      <c r="BE20" s="60">
        <f>X80</f>
        <v>0</v>
      </c>
      <c r="BF20" s="60">
        <f>Z80</f>
        <v>0</v>
      </c>
      <c r="BG20" s="60">
        <f>AB80</f>
        <v>0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 t="s">
        <v>288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150</v>
      </c>
      <c r="AN21" s="59">
        <f t="shared" si="16"/>
        <v>150</v>
      </c>
      <c r="AO21" s="59">
        <f t="shared" si="16"/>
        <v>150</v>
      </c>
      <c r="AP21" s="59">
        <f t="shared" si="16"/>
        <v>150</v>
      </c>
      <c r="AQ21" s="59">
        <f t="shared" si="16"/>
        <v>150</v>
      </c>
      <c r="AR21" s="59">
        <f t="shared" si="16"/>
        <v>150</v>
      </c>
      <c r="AS21" s="59">
        <f>I98</f>
        <v>150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300</v>
      </c>
      <c r="BG21" s="60">
        <f>AB98</f>
        <v>200</v>
      </c>
      <c r="BH21" s="60">
        <f>AD98</f>
        <v>200</v>
      </c>
      <c r="BI21" s="60">
        <f>AE98</f>
        <v>0</v>
      </c>
      <c r="BJ21" s="60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21</v>
      </c>
      <c r="C22" s="46">
        <v>21</v>
      </c>
      <c r="D22" s="46">
        <v>21</v>
      </c>
      <c r="E22" s="46">
        <v>21</v>
      </c>
      <c r="F22" s="46">
        <v>21</v>
      </c>
      <c r="G22" s="46" t="s">
        <v>299</v>
      </c>
      <c r="H22" s="46">
        <v>21</v>
      </c>
      <c r="I22" s="46">
        <v>21</v>
      </c>
      <c r="J22" s="46">
        <v>21</v>
      </c>
      <c r="K22" s="46">
        <v>21</v>
      </c>
      <c r="L22" s="46">
        <v>21</v>
      </c>
      <c r="M22" s="46">
        <v>21</v>
      </c>
      <c r="N22" s="46">
        <v>21</v>
      </c>
      <c r="O22" s="46">
        <v>21</v>
      </c>
      <c r="P22" s="46">
        <v>21</v>
      </c>
      <c r="Q22" s="46">
        <v>21</v>
      </c>
      <c r="R22" s="46">
        <v>13</v>
      </c>
      <c r="S22" s="46">
        <v>13</v>
      </c>
      <c r="T22" s="46">
        <v>13</v>
      </c>
      <c r="U22" s="46">
        <v>13</v>
      </c>
      <c r="V22" s="46">
        <v>13</v>
      </c>
      <c r="W22" s="46">
        <v>13</v>
      </c>
      <c r="X22" s="46">
        <v>13</v>
      </c>
      <c r="Y22" s="46">
        <v>13</v>
      </c>
      <c r="Z22" s="46">
        <v>30</v>
      </c>
      <c r="AA22" s="46">
        <v>30</v>
      </c>
      <c r="AB22" s="46">
        <v>30</v>
      </c>
      <c r="AC22" s="46">
        <v>30</v>
      </c>
      <c r="AD22" s="46">
        <v>30</v>
      </c>
      <c r="AE22" s="46">
        <v>30</v>
      </c>
      <c r="AF22" s="46">
        <v>30</v>
      </c>
      <c r="AG22" s="61">
        <v>30</v>
      </c>
      <c r="AH22" s="48">
        <f t="shared" si="8"/>
        <v>30</v>
      </c>
      <c r="AI22" s="49">
        <f t="shared" si="9"/>
        <v>13</v>
      </c>
      <c r="AK22" s="51"/>
      <c r="AL22" s="62" t="s">
        <v>37</v>
      </c>
      <c r="AM22" s="63">
        <f t="shared" ref="AM22:BJ22" si="18">SUM(AM16:AM21)</f>
        <v>1763.34</v>
      </c>
      <c r="AN22" s="63">
        <f t="shared" si="18"/>
        <v>1724.24</v>
      </c>
      <c r="AO22" s="63">
        <f t="shared" si="18"/>
        <v>1687.6399999999999</v>
      </c>
      <c r="AP22" s="63">
        <f t="shared" si="18"/>
        <v>1629.94</v>
      </c>
      <c r="AQ22" s="63">
        <f t="shared" si="18"/>
        <v>1564.64</v>
      </c>
      <c r="AR22" s="63">
        <f t="shared" si="18"/>
        <v>904.53999999999985</v>
      </c>
      <c r="AS22" s="63">
        <f t="shared" si="18"/>
        <v>1694.5400000000002</v>
      </c>
      <c r="AT22" s="63">
        <f t="shared" si="18"/>
        <v>1815.8400000000001</v>
      </c>
      <c r="AU22" s="63">
        <f t="shared" si="18"/>
        <v>1910.6399999999999</v>
      </c>
      <c r="AV22" s="63">
        <f t="shared" si="18"/>
        <v>1934.94</v>
      </c>
      <c r="AW22" s="63">
        <f t="shared" si="18"/>
        <v>1927.3399999999997</v>
      </c>
      <c r="AX22" s="63">
        <f t="shared" si="18"/>
        <v>2067.1400000000003</v>
      </c>
      <c r="AY22" s="63">
        <f t="shared" si="18"/>
        <v>2001.44</v>
      </c>
      <c r="AZ22" s="63">
        <f t="shared" si="18"/>
        <v>1892.3700000000001</v>
      </c>
      <c r="BA22" s="63">
        <f t="shared" si="18"/>
        <v>1816.47</v>
      </c>
      <c r="BB22" s="63">
        <f t="shared" si="18"/>
        <v>1785.27</v>
      </c>
      <c r="BC22" s="63">
        <f t="shared" si="18"/>
        <v>1747.1699999999998</v>
      </c>
      <c r="BD22" s="63">
        <f t="shared" si="18"/>
        <v>1692.37</v>
      </c>
      <c r="BE22" s="63">
        <f t="shared" si="18"/>
        <v>1489.5700000000002</v>
      </c>
      <c r="BF22" s="63">
        <f t="shared" si="18"/>
        <v>1765.9699999999998</v>
      </c>
      <c r="BG22" s="63">
        <f t="shared" si="18"/>
        <v>1663.8699999999997</v>
      </c>
      <c r="BH22" s="63">
        <f t="shared" si="18"/>
        <v>1603.37</v>
      </c>
      <c r="BI22" s="63">
        <f t="shared" si="18"/>
        <v>1614.37</v>
      </c>
      <c r="BJ22" s="63">
        <f t="shared" si="18"/>
        <v>1606.97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15</v>
      </c>
      <c r="C23" s="46">
        <v>15</v>
      </c>
      <c r="D23" s="46">
        <v>15</v>
      </c>
      <c r="E23" s="46">
        <v>15</v>
      </c>
      <c r="F23" s="46">
        <v>15</v>
      </c>
      <c r="G23" s="46" t="s">
        <v>296</v>
      </c>
      <c r="H23" s="46">
        <v>15</v>
      </c>
      <c r="I23" s="46">
        <v>15</v>
      </c>
      <c r="J23" s="46">
        <v>15</v>
      </c>
      <c r="K23" s="46">
        <v>15</v>
      </c>
      <c r="L23" s="46">
        <v>15</v>
      </c>
      <c r="M23" s="46">
        <v>15</v>
      </c>
      <c r="N23" s="46">
        <v>15</v>
      </c>
      <c r="O23" s="46">
        <v>15</v>
      </c>
      <c r="P23" s="46">
        <v>15</v>
      </c>
      <c r="Q23" s="46">
        <v>15</v>
      </c>
      <c r="R23" s="46">
        <v>15</v>
      </c>
      <c r="S23" s="46">
        <v>15</v>
      </c>
      <c r="T23" s="46">
        <v>15</v>
      </c>
      <c r="U23" s="46">
        <v>15</v>
      </c>
      <c r="V23" s="46">
        <v>15</v>
      </c>
      <c r="W23" s="46">
        <v>15</v>
      </c>
      <c r="X23" s="46">
        <v>15</v>
      </c>
      <c r="Y23" s="46">
        <v>15</v>
      </c>
      <c r="Z23" s="46">
        <v>15</v>
      </c>
      <c r="AA23" s="46">
        <v>15</v>
      </c>
      <c r="AB23" s="46">
        <v>15</v>
      </c>
      <c r="AC23" s="46">
        <v>15</v>
      </c>
      <c r="AD23" s="46">
        <v>15</v>
      </c>
      <c r="AE23" s="46">
        <v>15</v>
      </c>
      <c r="AF23" s="46">
        <v>15</v>
      </c>
      <c r="AG23" s="50">
        <v>24.2</v>
      </c>
      <c r="AH23" s="48">
        <f t="shared" si="8"/>
        <v>15</v>
      </c>
      <c r="AI23" s="49">
        <f t="shared" si="9"/>
        <v>15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-6</v>
      </c>
      <c r="AO23" s="63">
        <f t="shared" si="19"/>
        <v>0</v>
      </c>
      <c r="AP23" s="63">
        <f t="shared" si="19"/>
        <v>-7</v>
      </c>
      <c r="AQ23" s="63">
        <f t="shared" si="19"/>
        <v>-28</v>
      </c>
      <c r="AR23" s="63">
        <f t="shared" si="19"/>
        <v>-70</v>
      </c>
      <c r="AS23" s="63">
        <f>I107*-1</f>
        <v>-57.6</v>
      </c>
      <c r="AT23" s="63">
        <f>K107*-1</f>
        <v>-84</v>
      </c>
      <c r="AU23" s="63">
        <f t="shared" ref="AU23:BD23" si="20">M107*-1</f>
        <v>-80</v>
      </c>
      <c r="AV23" s="63">
        <f t="shared" si="20"/>
        <v>-88.8</v>
      </c>
      <c r="AW23" s="63">
        <f t="shared" si="20"/>
        <v>0</v>
      </c>
      <c r="AX23" s="63">
        <f t="shared" si="20"/>
        <v>-128</v>
      </c>
      <c r="AY23" s="63">
        <f t="shared" si="20"/>
        <v>-80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-20</v>
      </c>
      <c r="BH23" s="63">
        <f>AD107*-1</f>
        <v>-2.7</v>
      </c>
      <c r="BI23" s="63">
        <f>AE107*-1</f>
        <v>-330.3</v>
      </c>
      <c r="BJ23" s="63">
        <f>AF107*-1</f>
        <v>-332.4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11.6</v>
      </c>
      <c r="C24" s="46">
        <v>11.6</v>
      </c>
      <c r="D24" s="46">
        <v>11.6</v>
      </c>
      <c r="E24" s="46">
        <v>11.6</v>
      </c>
      <c r="F24" s="46">
        <v>11.6</v>
      </c>
      <c r="G24" s="46" t="s">
        <v>301</v>
      </c>
      <c r="H24" s="46">
        <v>11.6</v>
      </c>
      <c r="I24" s="46">
        <v>11.6</v>
      </c>
      <c r="J24" s="46">
        <v>11.6</v>
      </c>
      <c r="K24" s="46">
        <v>11.6</v>
      </c>
      <c r="L24" s="46">
        <v>11.6</v>
      </c>
      <c r="M24" s="46">
        <v>11.6</v>
      </c>
      <c r="N24" s="46">
        <v>11.6</v>
      </c>
      <c r="O24" s="46">
        <v>11.6</v>
      </c>
      <c r="P24" s="46">
        <v>11.6</v>
      </c>
      <c r="Q24" s="46">
        <v>11.6</v>
      </c>
      <c r="R24" s="46">
        <v>15</v>
      </c>
      <c r="S24" s="46">
        <v>15</v>
      </c>
      <c r="T24" s="46">
        <v>15</v>
      </c>
      <c r="U24" s="46">
        <v>15</v>
      </c>
      <c r="V24" s="46">
        <v>15</v>
      </c>
      <c r="W24" s="46">
        <v>15</v>
      </c>
      <c r="X24" s="46">
        <v>15</v>
      </c>
      <c r="Y24" s="46">
        <v>15</v>
      </c>
      <c r="Z24" s="46">
        <v>15</v>
      </c>
      <c r="AA24" s="46">
        <v>15</v>
      </c>
      <c r="AB24" s="46">
        <v>15</v>
      </c>
      <c r="AC24" s="46">
        <v>15</v>
      </c>
      <c r="AD24" s="46">
        <v>15</v>
      </c>
      <c r="AE24" s="46">
        <v>15</v>
      </c>
      <c r="AF24" s="46">
        <v>15</v>
      </c>
      <c r="AG24" s="50">
        <v>28</v>
      </c>
      <c r="AH24" s="48">
        <f t="shared" si="8"/>
        <v>15</v>
      </c>
      <c r="AI24" s="49">
        <f t="shared" si="9"/>
        <v>11.6</v>
      </c>
      <c r="AK24" s="51"/>
      <c r="AL24" s="62" t="s">
        <v>41</v>
      </c>
      <c r="AM24" s="63">
        <f t="shared" ref="AM24:BJ24" si="21">AM22+AM23</f>
        <v>1763.34</v>
      </c>
      <c r="AN24" s="63">
        <f t="shared" si="21"/>
        <v>1718.24</v>
      </c>
      <c r="AO24" s="63">
        <f t="shared" si="21"/>
        <v>1687.6399999999999</v>
      </c>
      <c r="AP24" s="63">
        <f t="shared" si="21"/>
        <v>1622.94</v>
      </c>
      <c r="AQ24" s="63">
        <f t="shared" si="21"/>
        <v>1536.64</v>
      </c>
      <c r="AR24" s="63">
        <f t="shared" si="21"/>
        <v>834.53999999999985</v>
      </c>
      <c r="AS24" s="63">
        <f t="shared" si="21"/>
        <v>1636.9400000000003</v>
      </c>
      <c r="AT24" s="63">
        <f t="shared" si="21"/>
        <v>1731.8400000000001</v>
      </c>
      <c r="AU24" s="63">
        <f t="shared" si="21"/>
        <v>1830.6399999999999</v>
      </c>
      <c r="AV24" s="63">
        <f t="shared" si="21"/>
        <v>1846.14</v>
      </c>
      <c r="AW24" s="63">
        <f t="shared" si="21"/>
        <v>1927.3399999999997</v>
      </c>
      <c r="AX24" s="63">
        <f t="shared" si="21"/>
        <v>1939.1400000000003</v>
      </c>
      <c r="AY24" s="63">
        <f t="shared" si="21"/>
        <v>1921.44</v>
      </c>
      <c r="AZ24" s="63">
        <f t="shared" si="21"/>
        <v>1892.3700000000001</v>
      </c>
      <c r="BA24" s="63">
        <f t="shared" si="21"/>
        <v>1816.47</v>
      </c>
      <c r="BB24" s="63">
        <f t="shared" si="21"/>
        <v>1785.27</v>
      </c>
      <c r="BC24" s="63">
        <f t="shared" si="21"/>
        <v>1747.1699999999998</v>
      </c>
      <c r="BD24" s="63">
        <f t="shared" si="21"/>
        <v>1692.37</v>
      </c>
      <c r="BE24" s="63">
        <f t="shared" si="21"/>
        <v>1489.5700000000002</v>
      </c>
      <c r="BF24" s="63">
        <f t="shared" si="21"/>
        <v>1765.9699999999998</v>
      </c>
      <c r="BG24" s="63">
        <f t="shared" si="21"/>
        <v>1643.8699999999997</v>
      </c>
      <c r="BH24" s="63">
        <f t="shared" si="21"/>
        <v>1600.6699999999998</v>
      </c>
      <c r="BI24" s="63">
        <f t="shared" si="21"/>
        <v>1284.07</v>
      </c>
      <c r="BJ24" s="63">
        <f t="shared" si="21"/>
        <v>1274.5700000000002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15</v>
      </c>
      <c r="C25" s="46">
        <v>15</v>
      </c>
      <c r="D25" s="46">
        <v>15</v>
      </c>
      <c r="E25" s="46">
        <v>15</v>
      </c>
      <c r="F25" s="46">
        <v>15</v>
      </c>
      <c r="G25" s="46" t="s">
        <v>296</v>
      </c>
      <c r="H25" s="46">
        <v>15</v>
      </c>
      <c r="I25" s="46">
        <v>15</v>
      </c>
      <c r="J25" s="46">
        <v>15</v>
      </c>
      <c r="K25" s="46">
        <v>15</v>
      </c>
      <c r="L25" s="46">
        <v>15</v>
      </c>
      <c r="M25" s="46">
        <v>15</v>
      </c>
      <c r="N25" s="46">
        <v>15</v>
      </c>
      <c r="O25" s="46">
        <v>15</v>
      </c>
      <c r="P25" s="46">
        <v>15</v>
      </c>
      <c r="Q25" s="46">
        <v>15</v>
      </c>
      <c r="R25" s="46">
        <v>15</v>
      </c>
      <c r="S25" s="46">
        <v>15</v>
      </c>
      <c r="T25" s="46">
        <v>15</v>
      </c>
      <c r="U25" s="46">
        <v>15</v>
      </c>
      <c r="V25" s="46">
        <v>15</v>
      </c>
      <c r="W25" s="46">
        <v>15</v>
      </c>
      <c r="X25" s="46">
        <v>15</v>
      </c>
      <c r="Y25" s="46">
        <v>15</v>
      </c>
      <c r="Z25" s="46">
        <v>15</v>
      </c>
      <c r="AA25" s="46">
        <v>15</v>
      </c>
      <c r="AB25" s="46">
        <v>15</v>
      </c>
      <c r="AC25" s="46">
        <v>15</v>
      </c>
      <c r="AD25" s="46">
        <v>15</v>
      </c>
      <c r="AE25" s="46">
        <v>15</v>
      </c>
      <c r="AF25" s="46">
        <v>15</v>
      </c>
      <c r="AG25" s="61">
        <v>30</v>
      </c>
      <c r="AH25" s="48">
        <f t="shared" si="8"/>
        <v>15</v>
      </c>
      <c r="AI25" s="49">
        <f t="shared" si="9"/>
        <v>15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15</v>
      </c>
      <c r="C26" s="46">
        <v>15</v>
      </c>
      <c r="D26" s="46">
        <v>15</v>
      </c>
      <c r="E26" s="46">
        <v>15</v>
      </c>
      <c r="F26" s="46">
        <v>15</v>
      </c>
      <c r="G26" s="46" t="s">
        <v>289</v>
      </c>
      <c r="H26" s="46">
        <v>15</v>
      </c>
      <c r="I26" s="46">
        <v>15</v>
      </c>
      <c r="J26" s="46">
        <v>15</v>
      </c>
      <c r="K26" s="46">
        <v>15</v>
      </c>
      <c r="L26" s="46">
        <v>15</v>
      </c>
      <c r="M26" s="46">
        <v>15</v>
      </c>
      <c r="N26" s="46">
        <v>15</v>
      </c>
      <c r="O26" s="46">
        <v>15</v>
      </c>
      <c r="P26" s="46">
        <v>15</v>
      </c>
      <c r="Q26" s="46">
        <v>15</v>
      </c>
      <c r="R26" s="46">
        <v>15</v>
      </c>
      <c r="S26" s="46">
        <v>15</v>
      </c>
      <c r="T26" s="46">
        <v>15</v>
      </c>
      <c r="U26" s="46">
        <v>15</v>
      </c>
      <c r="V26" s="46">
        <v>15</v>
      </c>
      <c r="W26" s="46">
        <v>15</v>
      </c>
      <c r="X26" s="46">
        <v>15</v>
      </c>
      <c r="Y26" s="46">
        <v>15</v>
      </c>
      <c r="Z26" s="46">
        <v>15</v>
      </c>
      <c r="AA26" s="46">
        <v>15</v>
      </c>
      <c r="AB26" s="46">
        <v>15</v>
      </c>
      <c r="AC26" s="46">
        <v>15</v>
      </c>
      <c r="AD26" s="46">
        <v>15</v>
      </c>
      <c r="AE26" s="46">
        <v>15</v>
      </c>
      <c r="AF26" s="46">
        <v>15</v>
      </c>
      <c r="AG26" s="50">
        <v>25</v>
      </c>
      <c r="AH26" s="48">
        <f t="shared" si="8"/>
        <v>15</v>
      </c>
      <c r="AI26" s="49">
        <f t="shared" si="9"/>
        <v>15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 t="s">
        <v>293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 t="s">
        <v>302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16</v>
      </c>
      <c r="C29" s="46">
        <v>16</v>
      </c>
      <c r="D29" s="46">
        <v>16</v>
      </c>
      <c r="E29" s="46">
        <v>16</v>
      </c>
      <c r="F29" s="46">
        <v>16</v>
      </c>
      <c r="G29" s="46" t="s">
        <v>303</v>
      </c>
      <c r="H29" s="46">
        <v>16</v>
      </c>
      <c r="I29" s="46">
        <v>16</v>
      </c>
      <c r="J29" s="46">
        <v>16</v>
      </c>
      <c r="K29" s="46">
        <v>16</v>
      </c>
      <c r="L29" s="46">
        <v>16</v>
      </c>
      <c r="M29" s="46">
        <v>16</v>
      </c>
      <c r="N29" s="46">
        <v>16</v>
      </c>
      <c r="O29" s="46">
        <v>16</v>
      </c>
      <c r="P29" s="46">
        <v>16</v>
      </c>
      <c r="Q29" s="46">
        <v>16</v>
      </c>
      <c r="R29" s="46">
        <v>16</v>
      </c>
      <c r="S29" s="46">
        <v>16</v>
      </c>
      <c r="T29" s="46">
        <v>16</v>
      </c>
      <c r="U29" s="46">
        <v>16</v>
      </c>
      <c r="V29" s="46">
        <v>16</v>
      </c>
      <c r="W29" s="46">
        <v>16</v>
      </c>
      <c r="X29" s="46">
        <v>16</v>
      </c>
      <c r="Y29" s="46">
        <v>16</v>
      </c>
      <c r="Z29" s="46">
        <v>17</v>
      </c>
      <c r="AA29" s="46">
        <v>17</v>
      </c>
      <c r="AB29" s="46">
        <v>17</v>
      </c>
      <c r="AC29" s="46">
        <v>17</v>
      </c>
      <c r="AD29" s="46">
        <v>17</v>
      </c>
      <c r="AE29" s="46">
        <v>17</v>
      </c>
      <c r="AF29" s="46">
        <v>17</v>
      </c>
      <c r="AG29" s="50">
        <v>25</v>
      </c>
      <c r="AH29" s="48">
        <f t="shared" si="8"/>
        <v>17</v>
      </c>
      <c r="AI29" s="49">
        <f t="shared" si="9"/>
        <v>16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9.5</v>
      </c>
      <c r="C30" s="46">
        <v>9.5</v>
      </c>
      <c r="D30" s="46">
        <v>9.5</v>
      </c>
      <c r="E30" s="46">
        <v>9.5</v>
      </c>
      <c r="F30" s="46">
        <v>9.5</v>
      </c>
      <c r="G30" s="46" t="s">
        <v>291</v>
      </c>
      <c r="H30" s="46">
        <v>9.5</v>
      </c>
      <c r="I30" s="46">
        <v>9.5</v>
      </c>
      <c r="J30" s="46">
        <v>9.5</v>
      </c>
      <c r="K30" s="46">
        <v>21</v>
      </c>
      <c r="L30" s="46">
        <v>21</v>
      </c>
      <c r="M30" s="46">
        <v>21</v>
      </c>
      <c r="N30" s="46">
        <v>21</v>
      </c>
      <c r="O30" s="46">
        <v>21</v>
      </c>
      <c r="P30" s="46">
        <v>21</v>
      </c>
      <c r="Q30" s="46">
        <v>21</v>
      </c>
      <c r="R30" s="46">
        <v>11.1</v>
      </c>
      <c r="S30" s="46">
        <v>11.1</v>
      </c>
      <c r="T30" s="46">
        <v>11.1</v>
      </c>
      <c r="U30" s="46">
        <v>11.1</v>
      </c>
      <c r="V30" s="46">
        <v>11.1</v>
      </c>
      <c r="W30" s="46">
        <v>11.1</v>
      </c>
      <c r="X30" s="46">
        <v>11.1</v>
      </c>
      <c r="Y30" s="46">
        <v>11.1</v>
      </c>
      <c r="Z30" s="46">
        <v>11.1</v>
      </c>
      <c r="AA30" s="46">
        <v>11.1</v>
      </c>
      <c r="AB30" s="46">
        <v>11.1</v>
      </c>
      <c r="AC30" s="46">
        <v>11.1</v>
      </c>
      <c r="AD30" s="46">
        <v>11.1</v>
      </c>
      <c r="AE30" s="46">
        <v>11.1</v>
      </c>
      <c r="AF30" s="46">
        <v>11.1</v>
      </c>
      <c r="AG30" s="50">
        <v>23.5</v>
      </c>
      <c r="AH30" s="48">
        <f t="shared" si="8"/>
        <v>21</v>
      </c>
      <c r="AI30" s="49">
        <f t="shared" si="9"/>
        <v>9.5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 t="s">
        <v>299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 t="s">
        <v>299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 t="s">
        <v>288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14</v>
      </c>
      <c r="C34" s="46">
        <v>14</v>
      </c>
      <c r="D34" s="46">
        <v>14</v>
      </c>
      <c r="E34" s="46">
        <v>14</v>
      </c>
      <c r="F34" s="46">
        <v>14</v>
      </c>
      <c r="G34" s="46" t="s">
        <v>295</v>
      </c>
      <c r="H34" s="46">
        <v>14</v>
      </c>
      <c r="I34" s="46">
        <v>14</v>
      </c>
      <c r="J34" s="46">
        <v>14</v>
      </c>
      <c r="K34" s="46">
        <v>14</v>
      </c>
      <c r="L34" s="46">
        <v>14</v>
      </c>
      <c r="M34" s="46">
        <v>14</v>
      </c>
      <c r="N34" s="46">
        <v>14</v>
      </c>
      <c r="O34" s="46">
        <v>14</v>
      </c>
      <c r="P34" s="46">
        <v>14</v>
      </c>
      <c r="Q34" s="46">
        <v>14</v>
      </c>
      <c r="R34" s="46">
        <v>7.1</v>
      </c>
      <c r="S34" s="46">
        <v>7.1</v>
      </c>
      <c r="T34" s="46">
        <v>7.1</v>
      </c>
      <c r="U34" s="46">
        <v>7.1</v>
      </c>
      <c r="V34" s="46">
        <v>7.1</v>
      </c>
      <c r="W34" s="46">
        <v>7.1</v>
      </c>
      <c r="X34" s="46">
        <v>7.1</v>
      </c>
      <c r="Y34" s="46">
        <v>7.1</v>
      </c>
      <c r="Z34" s="46">
        <v>7.1</v>
      </c>
      <c r="AA34" s="46">
        <v>7.1</v>
      </c>
      <c r="AB34" s="46">
        <v>7.1</v>
      </c>
      <c r="AC34" s="46">
        <v>7.1</v>
      </c>
      <c r="AD34" s="46">
        <v>7.1</v>
      </c>
      <c r="AE34" s="46">
        <v>7.1</v>
      </c>
      <c r="AF34" s="46">
        <v>7.1</v>
      </c>
      <c r="AG34" s="50">
        <v>22</v>
      </c>
      <c r="AH34" s="48">
        <f t="shared" si="8"/>
        <v>14</v>
      </c>
      <c r="AI34" s="49">
        <f t="shared" si="9"/>
        <v>7.1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11</v>
      </c>
      <c r="C35" s="46">
        <v>11</v>
      </c>
      <c r="D35" s="46">
        <v>11</v>
      </c>
      <c r="E35" s="46">
        <v>11</v>
      </c>
      <c r="F35" s="46">
        <v>11</v>
      </c>
      <c r="G35" s="46" t="s">
        <v>296</v>
      </c>
      <c r="H35" s="46">
        <v>15</v>
      </c>
      <c r="I35" s="46">
        <v>15</v>
      </c>
      <c r="J35" s="46">
        <v>15</v>
      </c>
      <c r="K35" s="46">
        <v>15</v>
      </c>
      <c r="L35" s="46">
        <v>15</v>
      </c>
      <c r="M35" s="46">
        <v>15</v>
      </c>
      <c r="N35" s="46">
        <v>15</v>
      </c>
      <c r="O35" s="46">
        <v>15</v>
      </c>
      <c r="P35" s="46">
        <v>15</v>
      </c>
      <c r="Q35" s="46">
        <v>15</v>
      </c>
      <c r="R35" s="46">
        <v>12.7</v>
      </c>
      <c r="S35" s="46">
        <v>12.7</v>
      </c>
      <c r="T35" s="46">
        <v>12.7</v>
      </c>
      <c r="U35" s="46">
        <v>12.7</v>
      </c>
      <c r="V35" s="46">
        <v>12.7</v>
      </c>
      <c r="W35" s="46">
        <v>12.7</v>
      </c>
      <c r="X35" s="46">
        <v>12.7</v>
      </c>
      <c r="Y35" s="46">
        <v>12.7</v>
      </c>
      <c r="Z35" s="46">
        <v>12.7</v>
      </c>
      <c r="AA35" s="46">
        <v>12.7</v>
      </c>
      <c r="AB35" s="46">
        <v>12.7</v>
      </c>
      <c r="AC35" s="46">
        <v>12.7</v>
      </c>
      <c r="AD35" s="46">
        <v>12.7</v>
      </c>
      <c r="AE35" s="46">
        <v>12.7</v>
      </c>
      <c r="AF35" s="46">
        <v>12.7</v>
      </c>
      <c r="AG35" s="50">
        <v>20</v>
      </c>
      <c r="AH35" s="48">
        <f t="shared" si="8"/>
        <v>15</v>
      </c>
      <c r="AI35" s="49">
        <f t="shared" si="9"/>
        <v>11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 t="s">
        <v>293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10.5</v>
      </c>
      <c r="C37" s="46">
        <v>10.5</v>
      </c>
      <c r="D37" s="46">
        <v>10.5</v>
      </c>
      <c r="E37" s="46">
        <v>10.5</v>
      </c>
      <c r="F37" s="46">
        <v>10.5</v>
      </c>
      <c r="G37" s="46"/>
      <c r="H37" s="46">
        <v>11.5</v>
      </c>
      <c r="I37" s="46">
        <v>11.5</v>
      </c>
      <c r="J37" s="46">
        <v>11.5</v>
      </c>
      <c r="K37" s="46">
        <v>11.5</v>
      </c>
      <c r="L37" s="46">
        <v>11.5</v>
      </c>
      <c r="M37" s="46">
        <v>11.5</v>
      </c>
      <c r="N37" s="46">
        <v>11.5</v>
      </c>
      <c r="O37" s="46">
        <v>11.5</v>
      </c>
      <c r="P37" s="46">
        <v>11.5</v>
      </c>
      <c r="Q37" s="46">
        <v>11.5</v>
      </c>
      <c r="R37" s="46">
        <v>10.5</v>
      </c>
      <c r="S37" s="46">
        <v>10.5</v>
      </c>
      <c r="T37" s="46">
        <v>10.5</v>
      </c>
      <c r="U37" s="46">
        <v>10.5</v>
      </c>
      <c r="V37" s="46">
        <v>10.5</v>
      </c>
      <c r="W37" s="46">
        <v>10.5</v>
      </c>
      <c r="X37" s="46">
        <v>10.5</v>
      </c>
      <c r="Y37" s="46">
        <v>10.5</v>
      </c>
      <c r="Z37" s="46">
        <v>10.5</v>
      </c>
      <c r="AA37" s="46">
        <v>10.5</v>
      </c>
      <c r="AB37" s="46">
        <v>10.5</v>
      </c>
      <c r="AC37" s="46">
        <v>10.5</v>
      </c>
      <c r="AD37" s="46">
        <v>10.5</v>
      </c>
      <c r="AE37" s="46">
        <v>10.5</v>
      </c>
      <c r="AF37" s="46">
        <v>10.5</v>
      </c>
      <c r="AG37" s="50">
        <v>18</v>
      </c>
      <c r="AH37" s="48">
        <f t="shared" si="8"/>
        <v>11.5</v>
      </c>
      <c r="AI37" s="49">
        <f t="shared" si="9"/>
        <v>10.5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/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6.8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/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0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2.7</v>
      </c>
      <c r="C41" s="46">
        <v>2.7</v>
      </c>
      <c r="D41" s="46">
        <v>2.7</v>
      </c>
      <c r="E41" s="46">
        <v>2.7</v>
      </c>
      <c r="F41" s="46">
        <v>2.7</v>
      </c>
      <c r="G41" s="46">
        <v>0</v>
      </c>
      <c r="H41" s="46">
        <v>2.7</v>
      </c>
      <c r="I41" s="46">
        <v>2.7</v>
      </c>
      <c r="J41" s="46">
        <v>2.7</v>
      </c>
      <c r="K41" s="46">
        <v>2.7</v>
      </c>
      <c r="L41" s="46">
        <v>2.7</v>
      </c>
      <c r="M41" s="46">
        <v>2.7</v>
      </c>
      <c r="N41" s="46">
        <v>2.7</v>
      </c>
      <c r="O41" s="46">
        <v>2.7</v>
      </c>
      <c r="P41" s="46">
        <v>2.7</v>
      </c>
      <c r="Q41" s="46">
        <v>2.7</v>
      </c>
      <c r="R41" s="46">
        <v>2.7</v>
      </c>
      <c r="S41" s="46">
        <v>2.7</v>
      </c>
      <c r="T41" s="46">
        <v>2.7</v>
      </c>
      <c r="U41" s="46">
        <v>2.7</v>
      </c>
      <c r="V41" s="46">
        <v>2.7</v>
      </c>
      <c r="W41" s="46">
        <v>2.7</v>
      </c>
      <c r="X41" s="46">
        <v>2.7</v>
      </c>
      <c r="Y41" s="46">
        <v>2.7</v>
      </c>
      <c r="Z41" s="46">
        <v>2.7</v>
      </c>
      <c r="AA41" s="46">
        <v>2.7</v>
      </c>
      <c r="AB41" s="46">
        <v>2.7</v>
      </c>
      <c r="AC41" s="46">
        <v>2.7</v>
      </c>
      <c r="AD41" s="46">
        <v>2.7</v>
      </c>
      <c r="AE41" s="46">
        <v>2.7</v>
      </c>
      <c r="AF41" s="46">
        <v>2.7</v>
      </c>
      <c r="AG41" s="50">
        <v>14.9</v>
      </c>
      <c r="AH41" s="48">
        <f t="shared" si="8"/>
        <v>2.7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0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0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4</v>
      </c>
      <c r="C44" s="46">
        <v>4</v>
      </c>
      <c r="D44" s="46">
        <v>4</v>
      </c>
      <c r="E44" s="46">
        <v>4</v>
      </c>
      <c r="F44" s="46">
        <v>4</v>
      </c>
      <c r="G44" s="46">
        <v>0</v>
      </c>
      <c r="H44" s="46">
        <v>4</v>
      </c>
      <c r="I44" s="46">
        <v>4</v>
      </c>
      <c r="J44" s="46">
        <v>4</v>
      </c>
      <c r="K44" s="46">
        <v>4</v>
      </c>
      <c r="L44" s="46">
        <v>4</v>
      </c>
      <c r="M44" s="46">
        <v>4</v>
      </c>
      <c r="N44" s="46">
        <v>4</v>
      </c>
      <c r="O44" s="46">
        <v>4</v>
      </c>
      <c r="P44" s="46">
        <v>4</v>
      </c>
      <c r="Q44" s="46">
        <v>4</v>
      </c>
      <c r="R44" s="46">
        <v>4</v>
      </c>
      <c r="S44" s="46">
        <v>4</v>
      </c>
      <c r="T44" s="46">
        <v>4</v>
      </c>
      <c r="U44" s="46">
        <v>4</v>
      </c>
      <c r="V44" s="46">
        <v>4</v>
      </c>
      <c r="W44" s="46">
        <v>4</v>
      </c>
      <c r="X44" s="46">
        <v>4</v>
      </c>
      <c r="Y44" s="46">
        <v>4</v>
      </c>
      <c r="Z44" s="46">
        <v>8.8000000000000007</v>
      </c>
      <c r="AA44" s="46">
        <v>8.8000000000000007</v>
      </c>
      <c r="AB44" s="46">
        <v>8.8000000000000007</v>
      </c>
      <c r="AC44" s="46">
        <v>8.8000000000000007</v>
      </c>
      <c r="AD44" s="46">
        <v>8.8000000000000007</v>
      </c>
      <c r="AE44" s="46">
        <v>8.8000000000000007</v>
      </c>
      <c r="AF44" s="46">
        <v>8.8000000000000007</v>
      </c>
      <c r="AG44" s="50">
        <v>12</v>
      </c>
      <c r="AH44" s="48">
        <f t="shared" si="8"/>
        <v>8.8000000000000007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0</v>
      </c>
      <c r="H45" s="46">
        <v>7</v>
      </c>
      <c r="I45" s="46">
        <v>7</v>
      </c>
      <c r="J45" s="46">
        <v>7</v>
      </c>
      <c r="K45" s="46">
        <v>7</v>
      </c>
      <c r="L45" s="46">
        <v>7</v>
      </c>
      <c r="M45" s="46">
        <v>7</v>
      </c>
      <c r="N45" s="46">
        <v>7</v>
      </c>
      <c r="O45" s="46">
        <v>7</v>
      </c>
      <c r="P45" s="46">
        <v>7</v>
      </c>
      <c r="Q45" s="46">
        <v>7</v>
      </c>
      <c r="R45" s="46">
        <v>7</v>
      </c>
      <c r="S45" s="46">
        <v>7</v>
      </c>
      <c r="T45" s="46">
        <v>7</v>
      </c>
      <c r="U45" s="46">
        <v>7</v>
      </c>
      <c r="V45" s="46">
        <v>7</v>
      </c>
      <c r="W45" s="46">
        <v>7</v>
      </c>
      <c r="X45" s="46">
        <v>7</v>
      </c>
      <c r="Y45" s="46">
        <v>7</v>
      </c>
      <c r="Z45" s="46">
        <v>7</v>
      </c>
      <c r="AA45" s="46">
        <v>7</v>
      </c>
      <c r="AB45" s="46">
        <v>7</v>
      </c>
      <c r="AC45" s="46">
        <v>7</v>
      </c>
      <c r="AD45" s="46">
        <v>7</v>
      </c>
      <c r="AE45" s="46">
        <v>7</v>
      </c>
      <c r="AF45" s="46">
        <v>7</v>
      </c>
      <c r="AG45" s="50">
        <v>12</v>
      </c>
      <c r="AH45" s="48">
        <f t="shared" si="8"/>
        <v>7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/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/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/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/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6"/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6">
        <v>0</v>
      </c>
      <c r="U52" s="46">
        <v>0</v>
      </c>
      <c r="V52" s="46">
        <v>0</v>
      </c>
      <c r="W52" s="46">
        <v>0</v>
      </c>
      <c r="X52" s="46">
        <v>0</v>
      </c>
      <c r="Y52" s="46">
        <v>0</v>
      </c>
      <c r="Z52" s="46">
        <v>0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6">
        <v>0</v>
      </c>
      <c r="AG52" s="66">
        <v>10</v>
      </c>
      <c r="AH52" s="48">
        <f t="shared" si="8"/>
        <v>0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/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/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/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250</v>
      </c>
      <c r="C56" s="68">
        <v>250</v>
      </c>
      <c r="D56" s="68">
        <v>250</v>
      </c>
      <c r="E56" s="68">
        <v>250</v>
      </c>
      <c r="F56" s="68">
        <v>250</v>
      </c>
      <c r="G56" s="68">
        <v>250</v>
      </c>
      <c r="H56" s="68">
        <v>250</v>
      </c>
      <c r="I56" s="68">
        <v>250</v>
      </c>
      <c r="J56" s="68">
        <v>250</v>
      </c>
      <c r="K56" s="68">
        <v>250</v>
      </c>
      <c r="L56" s="68">
        <v>250</v>
      </c>
      <c r="M56" s="68">
        <v>250</v>
      </c>
      <c r="N56" s="68">
        <v>250</v>
      </c>
      <c r="O56" s="68">
        <v>250</v>
      </c>
      <c r="P56" s="68">
        <v>250</v>
      </c>
      <c r="Q56" s="68">
        <v>250</v>
      </c>
      <c r="R56" s="68">
        <v>250</v>
      </c>
      <c r="S56" s="68">
        <v>250</v>
      </c>
      <c r="T56" s="68">
        <v>250</v>
      </c>
      <c r="U56" s="68">
        <v>250</v>
      </c>
      <c r="V56" s="68">
        <v>250</v>
      </c>
      <c r="W56" s="68">
        <v>250</v>
      </c>
      <c r="X56" s="68">
        <v>250</v>
      </c>
      <c r="Y56" s="68">
        <v>250</v>
      </c>
      <c r="Z56" s="68">
        <v>250</v>
      </c>
      <c r="AA56" s="68">
        <v>250</v>
      </c>
      <c r="AB56" s="68">
        <v>250</v>
      </c>
      <c r="AC56" s="68">
        <v>250</v>
      </c>
      <c r="AD56" s="68">
        <v>250</v>
      </c>
      <c r="AE56" s="68">
        <v>250</v>
      </c>
      <c r="AF56" s="68">
        <v>250</v>
      </c>
      <c r="AG56" s="66">
        <v>85</v>
      </c>
      <c r="AH56" s="48">
        <f t="shared" si="8"/>
        <v>250</v>
      </c>
      <c r="AI56" s="49">
        <f t="shared" si="9"/>
        <v>250</v>
      </c>
      <c r="AK56" s="51"/>
    </row>
    <row r="57" spans="1:88" ht="15.75" thickBot="1" x14ac:dyDescent="0.3">
      <c r="A57" s="69" t="s">
        <v>74</v>
      </c>
      <c r="B57" s="68">
        <v>62</v>
      </c>
      <c r="C57" s="68">
        <v>70</v>
      </c>
      <c r="D57" s="68">
        <v>70</v>
      </c>
      <c r="E57" s="68">
        <v>70</v>
      </c>
      <c r="F57" s="68">
        <v>70</v>
      </c>
      <c r="G57" s="68">
        <v>70</v>
      </c>
      <c r="H57" s="68">
        <v>70</v>
      </c>
      <c r="I57" s="68">
        <v>75</v>
      </c>
      <c r="J57" s="68">
        <v>77</v>
      </c>
      <c r="K57" s="68">
        <v>86</v>
      </c>
      <c r="L57" s="68">
        <v>77</v>
      </c>
      <c r="M57" s="68">
        <f>42.2+24.1</f>
        <v>66.300000000000011</v>
      </c>
      <c r="N57" s="53">
        <f>51+33.5</f>
        <v>84.5</v>
      </c>
      <c r="O57" s="53">
        <f>56.8+31.6</f>
        <v>88.4</v>
      </c>
      <c r="P57" s="53">
        <f>51.6+30.5</f>
        <v>82.1</v>
      </c>
      <c r="Q57" s="53">
        <f>48.5+27.5</f>
        <v>76</v>
      </c>
      <c r="R57" s="53">
        <f>29.5+52.6</f>
        <v>82.1</v>
      </c>
      <c r="S57" s="53">
        <v>77.900000000000006</v>
      </c>
      <c r="T57" s="53">
        <v>78.900000000000006</v>
      </c>
      <c r="U57" s="53">
        <v>76.599999999999994</v>
      </c>
      <c r="V57" s="53">
        <v>76.599999999999994</v>
      </c>
      <c r="W57" s="53">
        <f>22.9+45.8</f>
        <v>68.699999999999989</v>
      </c>
      <c r="X57" s="53">
        <v>79.400000000000006</v>
      </c>
      <c r="Y57" s="53">
        <v>79.400000000000006</v>
      </c>
      <c r="Z57" s="53">
        <v>79.400000000000006</v>
      </c>
      <c r="AA57" s="68">
        <v>72.900000000000006</v>
      </c>
      <c r="AB57" s="68">
        <v>72.900000000000006</v>
      </c>
      <c r="AC57" s="68">
        <v>72.900000000000006</v>
      </c>
      <c r="AD57" s="68">
        <v>72.900000000000006</v>
      </c>
      <c r="AE57" s="68">
        <v>72.900000000000006</v>
      </c>
      <c r="AF57" s="68">
        <v>72.900000000000006</v>
      </c>
      <c r="AG57" s="66">
        <v>240</v>
      </c>
      <c r="AH57" s="48">
        <f t="shared" si="8"/>
        <v>88.4</v>
      </c>
      <c r="AI57" s="49">
        <f t="shared" si="9"/>
        <v>62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756.59999999999991</v>
      </c>
      <c r="C58" s="71">
        <f t="shared" si="22"/>
        <v>756.59999999999991</v>
      </c>
      <c r="D58" s="71">
        <f t="shared" si="22"/>
        <v>756.59999999999991</v>
      </c>
      <c r="E58" s="71">
        <f t="shared" si="22"/>
        <v>758.3</v>
      </c>
      <c r="F58" s="71">
        <f t="shared" si="22"/>
        <v>758.3</v>
      </c>
      <c r="G58" s="71">
        <f t="shared" si="22"/>
        <v>320.5</v>
      </c>
      <c r="H58" s="71">
        <f t="shared" si="22"/>
        <v>734.3</v>
      </c>
      <c r="I58" s="71">
        <f t="shared" si="22"/>
        <v>766</v>
      </c>
      <c r="J58" s="71">
        <f t="shared" si="22"/>
        <v>796.4</v>
      </c>
      <c r="K58" s="71">
        <f t="shared" si="22"/>
        <v>817.59999999999991</v>
      </c>
      <c r="L58" s="71">
        <f t="shared" si="22"/>
        <v>828.59999999999991</v>
      </c>
      <c r="M58" s="71">
        <f t="shared" si="22"/>
        <v>829.2</v>
      </c>
      <c r="N58" s="71">
        <f t="shared" si="22"/>
        <v>829.2</v>
      </c>
      <c r="O58" s="71">
        <f t="shared" ref="O58:P58" si="23">SUM(O11:O56)</f>
        <v>829.2</v>
      </c>
      <c r="P58" s="71">
        <f t="shared" si="23"/>
        <v>818</v>
      </c>
      <c r="Q58" s="71">
        <f t="shared" si="22"/>
        <v>822.59999999999991</v>
      </c>
      <c r="R58" s="71">
        <f t="shared" ref="R58:S58" si="24">SUM(R11:R56)</f>
        <v>757.13</v>
      </c>
      <c r="S58" s="71">
        <f t="shared" si="24"/>
        <v>757.13</v>
      </c>
      <c r="T58" s="71">
        <f t="shared" ref="T58:U58" si="25">SUM(T11:T56)</f>
        <v>757.13</v>
      </c>
      <c r="U58" s="71">
        <f t="shared" si="25"/>
        <v>786.03</v>
      </c>
      <c r="V58" s="71">
        <f t="shared" ref="V58" si="26">SUM(V11:V56)</f>
        <v>786.03</v>
      </c>
      <c r="W58" s="71">
        <f t="shared" si="22"/>
        <v>786.03</v>
      </c>
      <c r="X58" s="71">
        <f t="shared" ref="X58:Y58" si="27">SUM(X11:X56)</f>
        <v>786.03</v>
      </c>
      <c r="Y58" s="71">
        <f t="shared" si="27"/>
        <v>786.03</v>
      </c>
      <c r="Z58" s="71">
        <f t="shared" ref="Z58:AA58" si="28">SUM(Z11:Z56)</f>
        <v>808.82999999999993</v>
      </c>
      <c r="AA58" s="71">
        <f t="shared" si="28"/>
        <v>808.82999999999993</v>
      </c>
      <c r="AB58" s="71">
        <f t="shared" si="22"/>
        <v>808.82999999999993</v>
      </c>
      <c r="AC58" s="71">
        <f t="shared" si="22"/>
        <v>808.82999999999993</v>
      </c>
      <c r="AD58" s="71">
        <f t="shared" si="22"/>
        <v>808.82999999999993</v>
      </c>
      <c r="AE58" s="71">
        <f t="shared" si="22"/>
        <v>808.82999999999993</v>
      </c>
      <c r="AF58" s="71">
        <f t="shared" si="22"/>
        <v>801.43</v>
      </c>
      <c r="AG58" s="72">
        <f>SUM(AG14:AG56)</f>
        <v>1042.4000000000001</v>
      </c>
      <c r="AH58" s="48">
        <f t="shared" si="8"/>
        <v>829.2</v>
      </c>
      <c r="AI58" s="49">
        <f t="shared" si="9"/>
        <v>320.5</v>
      </c>
      <c r="AK58" s="51"/>
    </row>
    <row r="59" spans="1:88" x14ac:dyDescent="0.25">
      <c r="A59" s="73" t="s">
        <v>76</v>
      </c>
      <c r="B59" s="46">
        <v>281.89999999999998</v>
      </c>
      <c r="C59" s="46">
        <v>261.5</v>
      </c>
      <c r="D59" s="46">
        <v>221.6</v>
      </c>
      <c r="E59" s="46">
        <v>181</v>
      </c>
      <c r="F59" s="46">
        <v>120.8</v>
      </c>
      <c r="G59" s="46">
        <v>250</v>
      </c>
      <c r="H59" s="46">
        <v>201</v>
      </c>
      <c r="I59" s="46">
        <v>248</v>
      </c>
      <c r="J59" s="46">
        <v>208</v>
      </c>
      <c r="K59" s="46">
        <v>271</v>
      </c>
      <c r="L59" s="46">
        <v>331.8</v>
      </c>
      <c r="M59" s="46">
        <v>345</v>
      </c>
      <c r="N59" s="74">
        <v>350</v>
      </c>
      <c r="O59" s="74">
        <v>350</v>
      </c>
      <c r="P59" s="74">
        <v>458</v>
      </c>
      <c r="Q59" s="74">
        <v>403.9</v>
      </c>
      <c r="R59" s="74">
        <v>350</v>
      </c>
      <c r="S59" s="74">
        <v>259.39999999999998</v>
      </c>
      <c r="T59" s="74">
        <v>129.9</v>
      </c>
      <c r="U59" s="74">
        <v>126.6</v>
      </c>
      <c r="V59" s="74">
        <v>32.4</v>
      </c>
      <c r="W59" s="46">
        <v>15.1</v>
      </c>
      <c r="X59" s="46">
        <v>15.1</v>
      </c>
      <c r="Y59" s="46">
        <v>130.69999999999999</v>
      </c>
      <c r="Z59" s="46">
        <v>120.9</v>
      </c>
      <c r="AA59" s="46">
        <v>271.63</v>
      </c>
      <c r="AB59" s="46">
        <v>201</v>
      </c>
      <c r="AC59" s="46">
        <v>201</v>
      </c>
      <c r="AD59" s="46">
        <v>201</v>
      </c>
      <c r="AE59" s="46">
        <v>371</v>
      </c>
      <c r="AF59" s="46">
        <v>371</v>
      </c>
      <c r="AG59" s="61">
        <v>456</v>
      </c>
      <c r="AH59" s="48">
        <f t="shared" si="8"/>
        <v>458</v>
      </c>
      <c r="AI59" s="49">
        <f t="shared" si="9"/>
        <v>15.1</v>
      </c>
      <c r="AK59" s="51"/>
    </row>
    <row r="60" spans="1:88" x14ac:dyDescent="0.25">
      <c r="A60" s="75" t="s">
        <v>77</v>
      </c>
      <c r="B60" s="76">
        <v>36.9</v>
      </c>
      <c r="C60" s="76">
        <v>36.4</v>
      </c>
      <c r="D60" s="76">
        <v>46</v>
      </c>
      <c r="E60" s="76">
        <v>45</v>
      </c>
      <c r="F60" s="76">
        <v>41.7</v>
      </c>
      <c r="G60" s="76">
        <v>41.7</v>
      </c>
      <c r="H60" s="76">
        <v>41.7</v>
      </c>
      <c r="I60" s="76">
        <v>60</v>
      </c>
      <c r="J60" s="76">
        <v>60</v>
      </c>
      <c r="K60" s="76">
        <v>60</v>
      </c>
      <c r="L60" s="76">
        <v>60</v>
      </c>
      <c r="M60" s="76">
        <v>60</v>
      </c>
      <c r="N60" s="76">
        <v>60</v>
      </c>
      <c r="O60" s="76">
        <v>60</v>
      </c>
      <c r="P60" s="76">
        <v>51</v>
      </c>
      <c r="Q60" s="76">
        <v>47.5</v>
      </c>
      <c r="R60" s="76">
        <v>46.5</v>
      </c>
      <c r="S60" s="76">
        <v>46.5</v>
      </c>
      <c r="T60" s="76">
        <v>46.5</v>
      </c>
      <c r="U60" s="76">
        <v>46.5</v>
      </c>
      <c r="V60" s="76">
        <v>46.5</v>
      </c>
      <c r="W60" s="76">
        <v>38.6</v>
      </c>
      <c r="X60" s="76">
        <v>38.6</v>
      </c>
      <c r="Y60" s="76">
        <v>38.6</v>
      </c>
      <c r="Z60" s="76">
        <v>38.6</v>
      </c>
      <c r="AA60" s="76">
        <v>38.6</v>
      </c>
      <c r="AB60" s="76">
        <v>38.6</v>
      </c>
      <c r="AC60" s="76">
        <v>38.6</v>
      </c>
      <c r="AD60" s="76">
        <v>38.6</v>
      </c>
      <c r="AE60" s="76">
        <v>38.6</v>
      </c>
      <c r="AF60" s="76">
        <v>38.6</v>
      </c>
      <c r="AG60" s="66">
        <v>60</v>
      </c>
      <c r="AH60" s="48">
        <f t="shared" si="8"/>
        <v>60</v>
      </c>
      <c r="AI60" s="49">
        <f t="shared" si="9"/>
        <v>36.4</v>
      </c>
      <c r="AK60" s="51"/>
    </row>
    <row r="61" spans="1:88" ht="15.75" thickBot="1" x14ac:dyDescent="0.3">
      <c r="A61" s="77" t="s">
        <v>78</v>
      </c>
      <c r="B61" s="78">
        <v>22.4</v>
      </c>
      <c r="C61" s="78">
        <v>22.4</v>
      </c>
      <c r="D61" s="78">
        <v>22.4</v>
      </c>
      <c r="E61" s="78">
        <v>22.4</v>
      </c>
      <c r="F61" s="78">
        <v>22.4</v>
      </c>
      <c r="G61" s="78">
        <v>22.4</v>
      </c>
      <c r="H61" s="78">
        <v>22.4</v>
      </c>
      <c r="I61" s="78">
        <v>22.4</v>
      </c>
      <c r="J61" s="78">
        <v>22.4</v>
      </c>
      <c r="K61" s="78">
        <v>22.4</v>
      </c>
      <c r="L61" s="78">
        <v>22.4</v>
      </c>
      <c r="M61" s="78">
        <v>22.4</v>
      </c>
      <c r="N61" s="78">
        <v>22.4</v>
      </c>
      <c r="O61" s="78">
        <v>22.4</v>
      </c>
      <c r="P61" s="78">
        <v>22.4</v>
      </c>
      <c r="Q61" s="78">
        <v>22.4</v>
      </c>
      <c r="R61" s="78">
        <v>22.5</v>
      </c>
      <c r="S61" s="78">
        <v>22.5</v>
      </c>
      <c r="T61" s="78">
        <v>22.5</v>
      </c>
      <c r="U61" s="78">
        <v>22.5</v>
      </c>
      <c r="V61" s="78">
        <v>22.5</v>
      </c>
      <c r="W61" s="78">
        <v>22.5</v>
      </c>
      <c r="X61" s="78">
        <v>22.5</v>
      </c>
      <c r="Y61" s="78">
        <v>22.5</v>
      </c>
      <c r="Z61" s="78">
        <v>22.5</v>
      </c>
      <c r="AA61" s="78">
        <v>22.5</v>
      </c>
      <c r="AB61" s="78">
        <v>22.5</v>
      </c>
      <c r="AC61" s="78">
        <v>22.5</v>
      </c>
      <c r="AD61" s="78">
        <v>22.5</v>
      </c>
      <c r="AE61" s="78">
        <v>22.5</v>
      </c>
      <c r="AF61" s="78">
        <v>22.5</v>
      </c>
      <c r="AG61" s="79">
        <v>22.1</v>
      </c>
      <c r="AH61" s="48">
        <f t="shared" si="8"/>
        <v>22.5</v>
      </c>
      <c r="AI61" s="49">
        <f t="shared" si="9"/>
        <v>22.4</v>
      </c>
      <c r="AK61" s="51"/>
    </row>
    <row r="62" spans="1:88" ht="15.75" thickBot="1" x14ac:dyDescent="0.3">
      <c r="A62" s="80" t="s">
        <v>79</v>
      </c>
      <c r="B62" s="71">
        <f t="shared" ref="B62:AG62" si="29">SUM(B59:B61)</f>
        <v>341.19999999999993</v>
      </c>
      <c r="C62" s="71">
        <f t="shared" si="29"/>
        <v>320.29999999999995</v>
      </c>
      <c r="D62" s="71">
        <f t="shared" si="29"/>
        <v>290</v>
      </c>
      <c r="E62" s="71">
        <f t="shared" si="29"/>
        <v>248.4</v>
      </c>
      <c r="F62" s="71">
        <f t="shared" si="29"/>
        <v>184.9</v>
      </c>
      <c r="G62" s="71">
        <f t="shared" si="29"/>
        <v>314.09999999999997</v>
      </c>
      <c r="H62" s="71">
        <f t="shared" si="29"/>
        <v>265.09999999999997</v>
      </c>
      <c r="I62" s="71">
        <f t="shared" si="29"/>
        <v>330.4</v>
      </c>
      <c r="J62" s="71">
        <f t="shared" si="29"/>
        <v>290.39999999999998</v>
      </c>
      <c r="K62" s="71">
        <f t="shared" si="29"/>
        <v>353.4</v>
      </c>
      <c r="L62" s="71">
        <f t="shared" si="29"/>
        <v>414.2</v>
      </c>
      <c r="M62" s="71">
        <f t="shared" si="29"/>
        <v>427.4</v>
      </c>
      <c r="N62" s="71">
        <f t="shared" si="29"/>
        <v>432.4</v>
      </c>
      <c r="O62" s="71">
        <f t="shared" ref="O62:P62" si="30">SUM(O59:O61)</f>
        <v>432.4</v>
      </c>
      <c r="P62" s="71">
        <f t="shared" si="30"/>
        <v>531.4</v>
      </c>
      <c r="Q62" s="71">
        <f t="shared" si="29"/>
        <v>473.79999999999995</v>
      </c>
      <c r="R62" s="71">
        <f t="shared" si="29"/>
        <v>419</v>
      </c>
      <c r="S62" s="71">
        <f t="shared" ref="S62:T62" si="31">SUM(S59:S61)</f>
        <v>328.4</v>
      </c>
      <c r="T62" s="71">
        <f t="shared" si="31"/>
        <v>198.9</v>
      </c>
      <c r="U62" s="71">
        <f t="shared" ref="U62:V62" si="32">SUM(U59:U61)</f>
        <v>195.6</v>
      </c>
      <c r="V62" s="71">
        <f t="shared" si="32"/>
        <v>101.4</v>
      </c>
      <c r="W62" s="71">
        <f t="shared" si="29"/>
        <v>76.2</v>
      </c>
      <c r="X62" s="71">
        <f t="shared" ref="X62:Y62" si="33">SUM(X59:X61)</f>
        <v>76.2</v>
      </c>
      <c r="Y62" s="71">
        <f t="shared" si="33"/>
        <v>191.79999999999998</v>
      </c>
      <c r="Z62" s="71">
        <f t="shared" ref="Z62:AA62" si="34">SUM(Z59:Z61)</f>
        <v>182</v>
      </c>
      <c r="AA62" s="71">
        <f t="shared" si="34"/>
        <v>332.73</v>
      </c>
      <c r="AB62" s="71">
        <f t="shared" si="29"/>
        <v>262.10000000000002</v>
      </c>
      <c r="AC62" s="71">
        <f t="shared" si="29"/>
        <v>262.10000000000002</v>
      </c>
      <c r="AD62" s="71">
        <f t="shared" si="29"/>
        <v>262.10000000000002</v>
      </c>
      <c r="AE62" s="71">
        <f t="shared" si="29"/>
        <v>432.1</v>
      </c>
      <c r="AF62" s="71">
        <f t="shared" si="29"/>
        <v>432.1</v>
      </c>
      <c r="AG62" s="72">
        <f t="shared" si="29"/>
        <v>538.1</v>
      </c>
      <c r="AH62" s="48">
        <f t="shared" si="8"/>
        <v>531.4</v>
      </c>
      <c r="AI62" s="49">
        <f t="shared" si="9"/>
        <v>76.2</v>
      </c>
      <c r="AK62" s="51"/>
    </row>
    <row r="63" spans="1:88" x14ac:dyDescent="0.25">
      <c r="A63" s="45" t="s">
        <v>80</v>
      </c>
      <c r="B63" s="46">
        <v>136.4</v>
      </c>
      <c r="C63" s="46">
        <v>136.4</v>
      </c>
      <c r="D63" s="46">
        <v>136.4</v>
      </c>
      <c r="E63" s="46">
        <v>136.4</v>
      </c>
      <c r="F63" s="46">
        <v>136.4</v>
      </c>
      <c r="G63" s="46"/>
      <c r="H63" s="46">
        <v>135</v>
      </c>
      <c r="I63" s="46">
        <v>135</v>
      </c>
      <c r="J63" s="46">
        <v>135</v>
      </c>
      <c r="K63" s="46">
        <v>135</v>
      </c>
      <c r="L63" s="46">
        <v>135</v>
      </c>
      <c r="M63" s="46">
        <v>144</v>
      </c>
      <c r="N63" s="46">
        <v>142.1</v>
      </c>
      <c r="O63" s="46">
        <v>140</v>
      </c>
      <c r="P63" s="46">
        <v>140</v>
      </c>
      <c r="Q63" s="46">
        <v>142.19999999999999</v>
      </c>
      <c r="R63" s="46">
        <v>142.1</v>
      </c>
      <c r="S63" s="46">
        <v>142.1</v>
      </c>
      <c r="T63" s="46">
        <v>142</v>
      </c>
      <c r="U63" s="46">
        <v>94.9</v>
      </c>
      <c r="V63" s="46">
        <v>96.9</v>
      </c>
      <c r="W63" s="46">
        <v>96.4</v>
      </c>
      <c r="X63" s="46">
        <v>96.4</v>
      </c>
      <c r="Y63" s="46">
        <v>128.6</v>
      </c>
      <c r="Z63" s="46">
        <v>145.19999999999999</v>
      </c>
      <c r="AA63" s="46">
        <v>146.1</v>
      </c>
      <c r="AB63" s="46">
        <v>146.1</v>
      </c>
      <c r="AC63" s="46">
        <v>146.1</v>
      </c>
      <c r="AD63" s="46">
        <v>97.5</v>
      </c>
      <c r="AE63" s="46">
        <v>138</v>
      </c>
      <c r="AF63" s="46">
        <v>138</v>
      </c>
      <c r="AG63" s="61">
        <v>144</v>
      </c>
      <c r="AH63" s="48">
        <f t="shared" si="8"/>
        <v>146.1</v>
      </c>
      <c r="AI63" s="49">
        <f t="shared" si="9"/>
        <v>94.9</v>
      </c>
      <c r="AK63" s="51"/>
    </row>
    <row r="64" spans="1:88" x14ac:dyDescent="0.25">
      <c r="A64" s="65" t="s">
        <v>81</v>
      </c>
      <c r="B64" s="76">
        <v>65.5</v>
      </c>
      <c r="C64" s="76">
        <v>65.5</v>
      </c>
      <c r="D64" s="76">
        <v>65.5</v>
      </c>
      <c r="E64" s="76">
        <v>65.5</v>
      </c>
      <c r="F64" s="76">
        <v>65.5</v>
      </c>
      <c r="G64" s="76"/>
      <c r="H64" s="76">
        <v>67.8</v>
      </c>
      <c r="I64" s="76">
        <v>67.400000000000006</v>
      </c>
      <c r="J64" s="76">
        <v>67.400000000000006</v>
      </c>
      <c r="K64" s="76">
        <v>67.400000000000006</v>
      </c>
      <c r="L64" s="76">
        <v>67.400000000000006</v>
      </c>
      <c r="M64" s="76">
        <v>67.099999999999994</v>
      </c>
      <c r="N64" s="76">
        <v>66.5</v>
      </c>
      <c r="O64" s="76">
        <v>65.599999999999994</v>
      </c>
      <c r="P64" s="76">
        <v>66.099999999999994</v>
      </c>
      <c r="Q64" s="76">
        <v>62</v>
      </c>
      <c r="R64" s="76">
        <v>62</v>
      </c>
      <c r="S64" s="76">
        <v>62</v>
      </c>
      <c r="T64" s="76">
        <v>47.4</v>
      </c>
      <c r="U64" s="76">
        <v>47.4</v>
      </c>
      <c r="V64" s="76">
        <v>60</v>
      </c>
      <c r="W64" s="46">
        <v>44.1</v>
      </c>
      <c r="X64" s="46">
        <v>44.7</v>
      </c>
      <c r="Y64" s="46">
        <v>63.7</v>
      </c>
      <c r="Z64" s="46">
        <v>61.7</v>
      </c>
      <c r="AA64" s="46">
        <v>61.6</v>
      </c>
      <c r="AB64" s="46">
        <v>61.6</v>
      </c>
      <c r="AC64" s="46">
        <v>61.6</v>
      </c>
      <c r="AD64" s="46">
        <v>51.9</v>
      </c>
      <c r="AE64" s="46">
        <v>55</v>
      </c>
      <c r="AF64" s="46">
        <v>55</v>
      </c>
      <c r="AG64" s="66">
        <v>70</v>
      </c>
      <c r="AH64" s="48">
        <f t="shared" si="8"/>
        <v>67.8</v>
      </c>
      <c r="AI64" s="49">
        <f t="shared" si="9"/>
        <v>44.1</v>
      </c>
      <c r="AK64" s="51"/>
    </row>
    <row r="65" spans="1:75" x14ac:dyDescent="0.25">
      <c r="A65" s="65" t="s">
        <v>82</v>
      </c>
      <c r="B65" s="76">
        <v>69.8</v>
      </c>
      <c r="C65" s="76">
        <v>69.8</v>
      </c>
      <c r="D65" s="76">
        <v>69.8</v>
      </c>
      <c r="E65" s="76">
        <v>69.8</v>
      </c>
      <c r="F65" s="76">
        <v>69.8</v>
      </c>
      <c r="G65" s="76"/>
      <c r="H65" s="76">
        <v>70</v>
      </c>
      <c r="I65" s="76">
        <v>69.7</v>
      </c>
      <c r="J65" s="76">
        <v>69.7</v>
      </c>
      <c r="K65" s="76">
        <v>69.7</v>
      </c>
      <c r="L65" s="76">
        <v>69.7</v>
      </c>
      <c r="M65" s="76">
        <v>65.7</v>
      </c>
      <c r="N65" s="76">
        <v>67.7</v>
      </c>
      <c r="O65" s="76">
        <v>69.7</v>
      </c>
      <c r="P65" s="76">
        <v>69.7</v>
      </c>
      <c r="Q65" s="76">
        <v>70.3</v>
      </c>
      <c r="R65" s="76">
        <v>70.099999999999994</v>
      </c>
      <c r="S65" s="76">
        <v>70.099999999999994</v>
      </c>
      <c r="T65" s="76">
        <v>47.7</v>
      </c>
      <c r="U65" s="76">
        <v>47.7</v>
      </c>
      <c r="V65" s="76">
        <v>70.3</v>
      </c>
      <c r="W65" s="46">
        <v>70.099999999999994</v>
      </c>
      <c r="X65" s="46">
        <v>70.099999999999994</v>
      </c>
      <c r="Y65" s="46">
        <v>70.3</v>
      </c>
      <c r="Z65" s="46">
        <v>69.7</v>
      </c>
      <c r="AA65" s="46">
        <v>70</v>
      </c>
      <c r="AB65" s="46">
        <v>70</v>
      </c>
      <c r="AC65" s="46">
        <v>70</v>
      </c>
      <c r="AD65" s="46">
        <v>69</v>
      </c>
      <c r="AE65" s="46">
        <v>70</v>
      </c>
      <c r="AF65" s="46">
        <v>70</v>
      </c>
      <c r="AG65" s="66">
        <v>69</v>
      </c>
      <c r="AH65" s="48">
        <f t="shared" si="8"/>
        <v>70.3</v>
      </c>
      <c r="AI65" s="49">
        <f t="shared" si="9"/>
        <v>47.7</v>
      </c>
      <c r="AK65" s="51"/>
    </row>
    <row r="66" spans="1:75" x14ac:dyDescent="0.25">
      <c r="A66" s="65" t="s">
        <v>83</v>
      </c>
      <c r="B66" s="76">
        <v>61.2</v>
      </c>
      <c r="C66" s="76">
        <v>61.2</v>
      </c>
      <c r="D66" s="76">
        <v>61.2</v>
      </c>
      <c r="E66" s="76">
        <v>61.2</v>
      </c>
      <c r="F66" s="76">
        <v>61.2</v>
      </c>
      <c r="G66" s="76"/>
      <c r="H66" s="76">
        <v>31</v>
      </c>
      <c r="I66" s="76">
        <v>31</v>
      </c>
      <c r="J66" s="76">
        <v>61</v>
      </c>
      <c r="K66" s="68">
        <v>61</v>
      </c>
      <c r="L66" s="68">
        <v>61</v>
      </c>
      <c r="M66" s="76">
        <v>61</v>
      </c>
      <c r="N66" s="76">
        <v>61</v>
      </c>
      <c r="O66" s="76">
        <v>61</v>
      </c>
      <c r="P66" s="76">
        <v>61</v>
      </c>
      <c r="Q66" s="76">
        <v>60</v>
      </c>
      <c r="R66" s="76">
        <v>60</v>
      </c>
      <c r="S66" s="76">
        <v>60</v>
      </c>
      <c r="T66" s="76">
        <v>60</v>
      </c>
      <c r="U66" s="76">
        <v>60</v>
      </c>
      <c r="V66" s="76">
        <v>60</v>
      </c>
      <c r="W66" s="46">
        <v>59.7</v>
      </c>
      <c r="X66" s="46">
        <v>59.7</v>
      </c>
      <c r="Y66" s="46">
        <v>59.7</v>
      </c>
      <c r="Z66" s="46">
        <v>59.7</v>
      </c>
      <c r="AA66" s="46">
        <v>60.4</v>
      </c>
      <c r="AB66" s="46">
        <v>60.4</v>
      </c>
      <c r="AC66" s="46">
        <v>60.4</v>
      </c>
      <c r="AD66" s="46">
        <v>60.4</v>
      </c>
      <c r="AE66" s="46">
        <v>60.4</v>
      </c>
      <c r="AF66" s="46">
        <v>60.4</v>
      </c>
      <c r="AG66" s="66">
        <v>60</v>
      </c>
      <c r="AH66" s="48">
        <f t="shared" si="8"/>
        <v>61.2</v>
      </c>
      <c r="AI66" s="49">
        <f t="shared" si="9"/>
        <v>31</v>
      </c>
      <c r="AK66" s="51"/>
    </row>
    <row r="67" spans="1:75" x14ac:dyDescent="0.25">
      <c r="A67" s="65" t="s">
        <v>84</v>
      </c>
      <c r="B67" s="46">
        <v>24.4</v>
      </c>
      <c r="C67" s="46">
        <v>24.1</v>
      </c>
      <c r="D67" s="46">
        <v>24.1</v>
      </c>
      <c r="E67" s="76">
        <v>14.6</v>
      </c>
      <c r="F67" s="76">
        <v>14.6</v>
      </c>
      <c r="G67" s="76"/>
      <c r="H67" s="76">
        <v>14.6</v>
      </c>
      <c r="I67" s="76">
        <v>10</v>
      </c>
      <c r="J67" s="76">
        <v>15</v>
      </c>
      <c r="K67" s="76">
        <v>23.8</v>
      </c>
      <c r="L67" s="68">
        <v>22.8</v>
      </c>
      <c r="M67" s="76">
        <v>22.9</v>
      </c>
      <c r="N67" s="76">
        <v>23.5</v>
      </c>
      <c r="O67" s="76">
        <v>23.5</v>
      </c>
      <c r="P67" s="76">
        <v>23.5</v>
      </c>
      <c r="Q67" s="76">
        <v>23.2</v>
      </c>
      <c r="R67" s="76">
        <v>22.8</v>
      </c>
      <c r="S67" s="76">
        <v>22.8</v>
      </c>
      <c r="T67" s="76">
        <v>10.1</v>
      </c>
      <c r="U67" s="76">
        <v>10.1</v>
      </c>
      <c r="V67" s="76">
        <v>10.1</v>
      </c>
      <c r="W67" s="46">
        <v>10.3</v>
      </c>
      <c r="X67" s="46">
        <v>10.3</v>
      </c>
      <c r="Y67" s="46">
        <v>10.3</v>
      </c>
      <c r="Z67" s="46">
        <v>10.3</v>
      </c>
      <c r="AA67" s="46">
        <v>10.3</v>
      </c>
      <c r="AB67" s="46">
        <v>10.3</v>
      </c>
      <c r="AC67" s="46">
        <v>10.3</v>
      </c>
      <c r="AD67" s="46">
        <v>10.3</v>
      </c>
      <c r="AE67" s="46">
        <v>10.3</v>
      </c>
      <c r="AF67" s="46">
        <v>10.3</v>
      </c>
      <c r="AG67" s="66">
        <v>30</v>
      </c>
      <c r="AH67" s="48">
        <f t="shared" si="8"/>
        <v>24.4</v>
      </c>
      <c r="AI67" s="49">
        <f t="shared" si="9"/>
        <v>10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2.2000000000000002</v>
      </c>
      <c r="K68" s="46">
        <v>4.5</v>
      </c>
      <c r="L68" s="76">
        <v>6.4</v>
      </c>
      <c r="M68" s="76">
        <v>10.3</v>
      </c>
      <c r="N68" s="76">
        <v>9</v>
      </c>
      <c r="O68" s="76">
        <v>15.9</v>
      </c>
      <c r="P68" s="76">
        <v>17.600000000000001</v>
      </c>
      <c r="Q68" s="76">
        <v>17.399999999999999</v>
      </c>
      <c r="R68" s="76">
        <v>15.6</v>
      </c>
      <c r="S68" s="76">
        <v>15.3</v>
      </c>
      <c r="T68" s="76">
        <v>6.9</v>
      </c>
      <c r="U68" s="76">
        <v>2.1</v>
      </c>
      <c r="V68" s="76">
        <v>3.1</v>
      </c>
      <c r="W68" s="46">
        <v>0.5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17.600000000000001</v>
      </c>
      <c r="AI68" s="49">
        <f t="shared" si="9"/>
        <v>0</v>
      </c>
      <c r="AK68" s="51"/>
      <c r="AY68" s="1" t="s">
        <v>86</v>
      </c>
      <c r="AZ68" s="82">
        <f>ROUND(C81,0)</f>
        <v>12</v>
      </c>
      <c r="BA68" s="81">
        <f t="shared" ref="BA68:BD72" si="35">D81</f>
        <v>10.5</v>
      </c>
      <c r="BB68" s="81">
        <f t="shared" si="35"/>
        <v>21.6</v>
      </c>
      <c r="BC68" s="81">
        <f t="shared" si="35"/>
        <v>20</v>
      </c>
      <c r="BD68" s="81">
        <f t="shared" si="35"/>
        <v>16</v>
      </c>
      <c r="BE68" s="82">
        <f>I81</f>
        <v>14.9</v>
      </c>
      <c r="BF68" s="82">
        <f>K81</f>
        <v>60</v>
      </c>
      <c r="BG68" s="82">
        <f t="shared" ref="BG68:BP72" si="36">M81</f>
        <v>55.1</v>
      </c>
      <c r="BH68" s="82">
        <f t="shared" si="36"/>
        <v>60.4</v>
      </c>
      <c r="BI68" s="82">
        <f t="shared" si="36"/>
        <v>64.3</v>
      </c>
      <c r="BJ68" s="82">
        <f t="shared" si="36"/>
        <v>71.099999999999994</v>
      </c>
      <c r="BK68" s="82">
        <f t="shared" si="36"/>
        <v>67.7</v>
      </c>
      <c r="BL68" s="82">
        <f t="shared" si="36"/>
        <v>73.3</v>
      </c>
      <c r="BM68" s="82">
        <f t="shared" si="36"/>
        <v>75</v>
      </c>
      <c r="BN68" s="82">
        <f t="shared" si="36"/>
        <v>65.8</v>
      </c>
      <c r="BO68" s="82">
        <f t="shared" si="36"/>
        <v>63.9</v>
      </c>
      <c r="BP68" s="82">
        <f t="shared" si="36"/>
        <v>65.599999999999994</v>
      </c>
      <c r="BQ68" s="82">
        <f>X81</f>
        <v>61.7</v>
      </c>
      <c r="BR68" s="82">
        <f>Z81</f>
        <v>0.7</v>
      </c>
      <c r="BS68" s="81">
        <f>AB81</f>
        <v>4.8</v>
      </c>
      <c r="BT68" s="81">
        <f t="shared" ref="BT68:BV72" si="37">AD81</f>
        <v>-2.7</v>
      </c>
      <c r="BU68" s="81">
        <f t="shared" si="37"/>
        <v>-1.3</v>
      </c>
      <c r="BV68" s="81">
        <f t="shared" si="37"/>
        <v>-1.4</v>
      </c>
      <c r="BW68" s="81">
        <f>B81</f>
        <v>8.5</v>
      </c>
    </row>
    <row r="69" spans="1:75" x14ac:dyDescent="0.25">
      <c r="A69" s="65" t="s">
        <v>87</v>
      </c>
      <c r="B69" s="76">
        <v>15.6</v>
      </c>
      <c r="C69" s="76">
        <v>15.6</v>
      </c>
      <c r="D69" s="76">
        <v>15.6</v>
      </c>
      <c r="E69" s="76">
        <v>15.6</v>
      </c>
      <c r="F69" s="76">
        <v>15.6</v>
      </c>
      <c r="G69" s="76">
        <v>15.6</v>
      </c>
      <c r="H69" s="76">
        <v>15.6</v>
      </c>
      <c r="I69" s="76">
        <v>15.6</v>
      </c>
      <c r="J69" s="76">
        <v>14.2</v>
      </c>
      <c r="K69" s="76">
        <v>16.399999999999999</v>
      </c>
      <c r="L69" s="76">
        <v>16.399999999999999</v>
      </c>
      <c r="M69" s="76">
        <v>16.399999999999999</v>
      </c>
      <c r="N69" s="76">
        <v>15.9</v>
      </c>
      <c r="O69" s="76">
        <v>15.9</v>
      </c>
      <c r="P69" s="76">
        <v>15.9</v>
      </c>
      <c r="Q69" s="76">
        <v>15.9</v>
      </c>
      <c r="R69" s="76">
        <v>13.5</v>
      </c>
      <c r="S69" s="76">
        <v>13.5</v>
      </c>
      <c r="T69" s="76">
        <v>13.5</v>
      </c>
      <c r="U69" s="76">
        <v>13.5</v>
      </c>
      <c r="V69" s="76">
        <v>13.5</v>
      </c>
      <c r="W69" s="76">
        <v>14.3</v>
      </c>
      <c r="X69" s="76">
        <v>14.3</v>
      </c>
      <c r="Y69" s="76">
        <v>14.3</v>
      </c>
      <c r="Z69" s="76">
        <v>14.3</v>
      </c>
      <c r="AA69" s="76">
        <v>14.3</v>
      </c>
      <c r="AB69" s="76">
        <v>14.3</v>
      </c>
      <c r="AC69" s="76">
        <v>14.3</v>
      </c>
      <c r="AD69" s="76">
        <v>14.3</v>
      </c>
      <c r="AE69" s="76">
        <v>14.3</v>
      </c>
      <c r="AF69" s="76">
        <v>14.3</v>
      </c>
      <c r="AG69" s="66">
        <v>24</v>
      </c>
      <c r="AH69" s="48">
        <f t="shared" si="8"/>
        <v>16.399999999999999</v>
      </c>
      <c r="AI69" s="49">
        <f t="shared" si="9"/>
        <v>13.5</v>
      </c>
      <c r="AK69" s="51"/>
      <c r="AY69" s="1" t="s">
        <v>88</v>
      </c>
      <c r="AZ69" s="82">
        <f>ROUND(C82,0)</f>
        <v>0</v>
      </c>
      <c r="BA69" s="81">
        <f t="shared" si="35"/>
        <v>0</v>
      </c>
      <c r="BB69" s="81">
        <f t="shared" si="35"/>
        <v>0</v>
      </c>
      <c r="BC69" s="81">
        <f t="shared" si="35"/>
        <v>0</v>
      </c>
      <c r="BD69" s="81">
        <f t="shared" si="35"/>
        <v>0</v>
      </c>
      <c r="BE69" s="82">
        <f>I82</f>
        <v>0</v>
      </c>
      <c r="BF69" s="82">
        <f>K82</f>
        <v>0</v>
      </c>
      <c r="BG69" s="82">
        <f t="shared" si="36"/>
        <v>0</v>
      </c>
      <c r="BH69" s="82">
        <f t="shared" si="36"/>
        <v>0</v>
      </c>
      <c r="BI69" s="82">
        <f t="shared" si="36"/>
        <v>0</v>
      </c>
      <c r="BJ69" s="82">
        <f t="shared" si="36"/>
        <v>0</v>
      </c>
      <c r="BK69" s="82">
        <f t="shared" si="36"/>
        <v>0</v>
      </c>
      <c r="BL69" s="82">
        <f t="shared" si="36"/>
        <v>0</v>
      </c>
      <c r="BM69" s="82">
        <f t="shared" si="36"/>
        <v>0</v>
      </c>
      <c r="BN69" s="82">
        <f t="shared" si="36"/>
        <v>0</v>
      </c>
      <c r="BO69" s="82">
        <f t="shared" si="36"/>
        <v>0</v>
      </c>
      <c r="BP69" s="82">
        <f t="shared" si="36"/>
        <v>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37"/>
        <v>0</v>
      </c>
      <c r="BU69" s="81">
        <f t="shared" si="37"/>
        <v>0</v>
      </c>
      <c r="BV69" s="81">
        <f t="shared" si="37"/>
        <v>0</v>
      </c>
      <c r="BW69" s="81">
        <f>B82</f>
        <v>0</v>
      </c>
    </row>
    <row r="70" spans="1:75" x14ac:dyDescent="0.25">
      <c r="A70" s="65" t="s">
        <v>89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2</v>
      </c>
      <c r="Q70" s="76">
        <v>2</v>
      </c>
      <c r="R70" s="76">
        <v>2</v>
      </c>
      <c r="S70" s="76">
        <v>2</v>
      </c>
      <c r="T70" s="76">
        <v>2</v>
      </c>
      <c r="U70" s="76">
        <v>2</v>
      </c>
      <c r="V70" s="76">
        <v>2</v>
      </c>
      <c r="W70" s="76">
        <v>2</v>
      </c>
      <c r="X70" s="76">
        <v>2</v>
      </c>
      <c r="Y70" s="76">
        <v>2</v>
      </c>
      <c r="Z70" s="76">
        <v>2</v>
      </c>
      <c r="AA70" s="76">
        <v>2</v>
      </c>
      <c r="AB70" s="76">
        <v>2</v>
      </c>
      <c r="AC70" s="76">
        <v>2</v>
      </c>
      <c r="AD70" s="76">
        <v>2</v>
      </c>
      <c r="AE70" s="76">
        <v>2</v>
      </c>
      <c r="AF70" s="76">
        <v>2</v>
      </c>
      <c r="AG70" s="66">
        <v>15</v>
      </c>
      <c r="AH70" s="48">
        <f t="shared" si="8"/>
        <v>2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-6</v>
      </c>
      <c r="BA70" s="81">
        <f t="shared" si="35"/>
        <v>0</v>
      </c>
      <c r="BB70" s="81">
        <f t="shared" si="35"/>
        <v>-7</v>
      </c>
      <c r="BC70" s="81">
        <f t="shared" si="35"/>
        <v>-28</v>
      </c>
      <c r="BD70" s="81">
        <f t="shared" si="35"/>
        <v>-70</v>
      </c>
      <c r="BE70" s="82">
        <f>I83</f>
        <v>-57.6</v>
      </c>
      <c r="BF70" s="82">
        <f>K83</f>
        <v>-84</v>
      </c>
      <c r="BG70" s="82">
        <f t="shared" si="36"/>
        <v>-80</v>
      </c>
      <c r="BH70" s="82">
        <f t="shared" si="36"/>
        <v>-88.8</v>
      </c>
      <c r="BI70" s="82">
        <f t="shared" si="36"/>
        <v>0</v>
      </c>
      <c r="BJ70" s="82">
        <f t="shared" si="36"/>
        <v>-128</v>
      </c>
      <c r="BK70" s="82">
        <f t="shared" si="36"/>
        <v>-80</v>
      </c>
      <c r="BL70" s="82">
        <f t="shared" si="36"/>
        <v>25</v>
      </c>
      <c r="BM70" s="82">
        <f t="shared" si="36"/>
        <v>55.2</v>
      </c>
      <c r="BN70" s="82">
        <f t="shared" si="36"/>
        <v>225.6</v>
      </c>
      <c r="BO70" s="82">
        <f t="shared" si="36"/>
        <v>206.7</v>
      </c>
      <c r="BP70" s="82">
        <f t="shared" si="36"/>
        <v>193.4</v>
      </c>
      <c r="BQ70" s="82">
        <f>X83</f>
        <v>108.3</v>
      </c>
      <c r="BR70" s="82">
        <f>Z83</f>
        <v>47.5</v>
      </c>
      <c r="BS70" s="81">
        <f>AB83</f>
        <v>-20</v>
      </c>
      <c r="BT70" s="81">
        <f t="shared" si="37"/>
        <v>3.6</v>
      </c>
      <c r="BU70" s="81">
        <f t="shared" si="37"/>
        <v>-329</v>
      </c>
      <c r="BV70" s="81">
        <f t="shared" si="37"/>
        <v>-331</v>
      </c>
      <c r="BW70" s="81">
        <f>B83</f>
        <v>0.8</v>
      </c>
    </row>
    <row r="71" spans="1:75" s="83" customFormat="1" x14ac:dyDescent="0.25">
      <c r="A71" s="65" t="s">
        <v>91</v>
      </c>
      <c r="B71" s="76">
        <v>13.8</v>
      </c>
      <c r="C71" s="76">
        <v>13.8</v>
      </c>
      <c r="D71" s="76">
        <v>13.8</v>
      </c>
      <c r="E71" s="76">
        <v>13.8</v>
      </c>
      <c r="F71" s="76">
        <v>13.8</v>
      </c>
      <c r="G71" s="76">
        <v>13.8</v>
      </c>
      <c r="H71" s="76">
        <v>13.8</v>
      </c>
      <c r="I71" s="76">
        <v>13.8</v>
      </c>
      <c r="J71" s="76">
        <v>11</v>
      </c>
      <c r="K71" s="76">
        <v>10.6</v>
      </c>
      <c r="L71" s="76">
        <v>10.6</v>
      </c>
      <c r="M71" s="76">
        <v>10.6</v>
      </c>
      <c r="N71" s="76">
        <v>10.6</v>
      </c>
      <c r="O71" s="76">
        <v>10.6</v>
      </c>
      <c r="P71" s="76">
        <v>10.6</v>
      </c>
      <c r="Q71" s="76">
        <v>10.6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14.1</v>
      </c>
      <c r="AH71" s="48">
        <f t="shared" si="8"/>
        <v>13.8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18</v>
      </c>
      <c r="BA71" s="81">
        <f t="shared" si="35"/>
        <v>17.5</v>
      </c>
      <c r="BB71" s="81">
        <f t="shared" si="35"/>
        <v>0</v>
      </c>
      <c r="BC71" s="81">
        <f t="shared" si="35"/>
        <v>0</v>
      </c>
      <c r="BD71" s="81">
        <f t="shared" si="35"/>
        <v>0</v>
      </c>
      <c r="BE71" s="82">
        <f>I84</f>
        <v>0</v>
      </c>
      <c r="BF71" s="82">
        <f>K84</f>
        <v>12.3</v>
      </c>
      <c r="BG71" s="82">
        <f t="shared" si="36"/>
        <v>11.7</v>
      </c>
      <c r="BH71" s="82">
        <f t="shared" si="36"/>
        <v>12.2</v>
      </c>
      <c r="BI71" s="82">
        <f t="shared" si="36"/>
        <v>47.7</v>
      </c>
      <c r="BJ71" s="82">
        <f t="shared" si="36"/>
        <v>56.7</v>
      </c>
      <c r="BK71" s="82">
        <f t="shared" si="36"/>
        <v>56.5</v>
      </c>
      <c r="BL71" s="82">
        <f t="shared" si="36"/>
        <v>52.4</v>
      </c>
      <c r="BM71" s="82">
        <f t="shared" si="36"/>
        <v>51.4</v>
      </c>
      <c r="BN71" s="82">
        <f t="shared" si="36"/>
        <v>52.2</v>
      </c>
      <c r="BO71" s="82">
        <f t="shared" si="36"/>
        <v>56</v>
      </c>
      <c r="BP71" s="82">
        <f t="shared" si="36"/>
        <v>51.9</v>
      </c>
      <c r="BQ71" s="82">
        <f>X84</f>
        <v>44.3</v>
      </c>
      <c r="BR71" s="82">
        <f>Z84</f>
        <v>0</v>
      </c>
      <c r="BS71" s="81">
        <f>AB84</f>
        <v>0</v>
      </c>
      <c r="BT71" s="81">
        <f t="shared" si="37"/>
        <v>0</v>
      </c>
      <c r="BU71" s="81">
        <f t="shared" si="37"/>
        <v>0</v>
      </c>
      <c r="BV71" s="81">
        <f t="shared" si="37"/>
        <v>0</v>
      </c>
      <c r="BW71" s="81">
        <f>B84</f>
        <v>18.2</v>
      </c>
    </row>
    <row r="72" spans="1:75" x14ac:dyDescent="0.25">
      <c r="A72" s="84" t="s">
        <v>93</v>
      </c>
      <c r="B72" s="76">
        <v>12.3</v>
      </c>
      <c r="C72" s="76">
        <v>12.3</v>
      </c>
      <c r="D72" s="76">
        <v>12.3</v>
      </c>
      <c r="E72" s="76">
        <v>12.3</v>
      </c>
      <c r="F72" s="76">
        <v>12.3</v>
      </c>
      <c r="G72" s="76">
        <v>12.3</v>
      </c>
      <c r="H72" s="76">
        <v>12.3</v>
      </c>
      <c r="I72" s="76">
        <v>12.3</v>
      </c>
      <c r="J72" s="76">
        <v>7.4</v>
      </c>
      <c r="K72" s="76">
        <v>0</v>
      </c>
      <c r="L72" s="76">
        <v>0</v>
      </c>
      <c r="M72" s="76">
        <v>12</v>
      </c>
      <c r="N72" s="76">
        <v>11</v>
      </c>
      <c r="O72" s="76">
        <v>10</v>
      </c>
      <c r="P72" s="76">
        <v>9</v>
      </c>
      <c r="Q72" s="76">
        <v>11.1</v>
      </c>
      <c r="R72" s="76">
        <v>10.9</v>
      </c>
      <c r="S72" s="76">
        <v>10.9</v>
      </c>
      <c r="T72" s="76">
        <v>10.9</v>
      </c>
      <c r="U72" s="76">
        <v>10.9</v>
      </c>
      <c r="V72" s="76">
        <v>10.9</v>
      </c>
      <c r="W72" s="76">
        <v>10.9</v>
      </c>
      <c r="X72" s="76">
        <v>10.9</v>
      </c>
      <c r="Y72" s="76">
        <v>10.9</v>
      </c>
      <c r="Z72" s="76">
        <v>10.9</v>
      </c>
      <c r="AA72" s="76">
        <v>10.9</v>
      </c>
      <c r="AB72" s="76">
        <v>10.9</v>
      </c>
      <c r="AC72" s="76">
        <v>10.9</v>
      </c>
      <c r="AD72" s="76">
        <v>10.9</v>
      </c>
      <c r="AE72" s="76">
        <v>10.9</v>
      </c>
      <c r="AF72" s="76">
        <v>10.9</v>
      </c>
      <c r="AG72" s="66">
        <v>14</v>
      </c>
      <c r="AH72" s="48">
        <f t="shared" si="8"/>
        <v>12.3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35"/>
        <v>0</v>
      </c>
      <c r="BB72" s="81">
        <f t="shared" si="35"/>
        <v>0</v>
      </c>
      <c r="BC72" s="81">
        <f t="shared" si="35"/>
        <v>0</v>
      </c>
      <c r="BD72" s="81">
        <f t="shared" si="35"/>
        <v>0</v>
      </c>
      <c r="BE72" s="82">
        <f>I85</f>
        <v>0</v>
      </c>
      <c r="BF72" s="82">
        <f>K85</f>
        <v>119</v>
      </c>
      <c r="BG72" s="82">
        <f t="shared" si="36"/>
        <v>110.7</v>
      </c>
      <c r="BH72" s="82">
        <f t="shared" si="36"/>
        <v>123.7</v>
      </c>
      <c r="BI72" s="82">
        <f t="shared" si="36"/>
        <v>129.1</v>
      </c>
      <c r="BJ72" s="82">
        <f t="shared" si="36"/>
        <v>111</v>
      </c>
      <c r="BK72" s="82">
        <f t="shared" si="36"/>
        <v>131</v>
      </c>
      <c r="BL72" s="82">
        <f t="shared" si="36"/>
        <v>133</v>
      </c>
      <c r="BM72" s="82">
        <f t="shared" si="36"/>
        <v>117.1</v>
      </c>
      <c r="BN72" s="82">
        <f t="shared" si="36"/>
        <v>111.4</v>
      </c>
      <c r="BO72" s="82">
        <f t="shared" si="36"/>
        <v>116.6</v>
      </c>
      <c r="BP72" s="82">
        <f t="shared" si="36"/>
        <v>114.2</v>
      </c>
      <c r="BQ72" s="82">
        <f>X85</f>
        <v>92.1</v>
      </c>
      <c r="BR72" s="82">
        <f>Z85</f>
        <v>0</v>
      </c>
      <c r="BS72" s="81">
        <f>AB85</f>
        <v>0</v>
      </c>
      <c r="BT72" s="81">
        <f t="shared" si="37"/>
        <v>0</v>
      </c>
      <c r="BU72" s="81">
        <f t="shared" si="37"/>
        <v>0</v>
      </c>
      <c r="BV72" s="81">
        <f t="shared" si="37"/>
        <v>0</v>
      </c>
      <c r="BW72" s="81">
        <f>B85</f>
        <v>0</v>
      </c>
    </row>
    <row r="73" spans="1:75" x14ac:dyDescent="0.25">
      <c r="A73" s="65" t="s">
        <v>95</v>
      </c>
      <c r="B73" s="76">
        <v>7.3</v>
      </c>
      <c r="C73" s="76">
        <v>7.3</v>
      </c>
      <c r="D73" s="76">
        <v>7.3</v>
      </c>
      <c r="E73" s="76">
        <v>7.3</v>
      </c>
      <c r="F73" s="76">
        <v>7.3</v>
      </c>
      <c r="G73" s="76">
        <v>7.3</v>
      </c>
      <c r="H73" s="76">
        <v>7.3</v>
      </c>
      <c r="I73" s="76">
        <v>7.3</v>
      </c>
      <c r="J73" s="76">
        <v>5.9</v>
      </c>
      <c r="K73" s="76">
        <v>5.9</v>
      </c>
      <c r="L73" s="76">
        <v>5.9</v>
      </c>
      <c r="M73" s="76">
        <v>5.9</v>
      </c>
      <c r="N73" s="76">
        <v>5.9</v>
      </c>
      <c r="O73" s="76">
        <v>5.9</v>
      </c>
      <c r="P73" s="76">
        <v>9</v>
      </c>
      <c r="Q73" s="76">
        <v>5.9</v>
      </c>
      <c r="R73" s="76">
        <v>6</v>
      </c>
      <c r="S73" s="76">
        <v>6</v>
      </c>
      <c r="T73" s="76">
        <v>6</v>
      </c>
      <c r="U73" s="76">
        <v>6</v>
      </c>
      <c r="V73" s="76">
        <v>6</v>
      </c>
      <c r="W73" s="76">
        <v>6</v>
      </c>
      <c r="X73" s="76">
        <v>6</v>
      </c>
      <c r="Y73" s="76">
        <v>6</v>
      </c>
      <c r="Z73" s="76">
        <v>6</v>
      </c>
      <c r="AA73" s="76">
        <v>6</v>
      </c>
      <c r="AB73" s="76">
        <v>6</v>
      </c>
      <c r="AC73" s="76">
        <v>6</v>
      </c>
      <c r="AD73" s="76">
        <v>6</v>
      </c>
      <c r="AE73" s="76">
        <v>6</v>
      </c>
      <c r="AF73" s="76">
        <v>6</v>
      </c>
      <c r="AG73" s="66">
        <v>10.050000000000001</v>
      </c>
      <c r="AH73" s="48">
        <f t="shared" si="8"/>
        <v>9</v>
      </c>
      <c r="AI73" s="49">
        <f t="shared" si="9"/>
        <v>5.9</v>
      </c>
      <c r="AK73" s="51"/>
      <c r="AY73" s="1" t="s">
        <v>96</v>
      </c>
      <c r="AZ73" s="82">
        <f>ROUND(C91,0)</f>
        <v>47</v>
      </c>
      <c r="BA73" s="82">
        <f>D91</f>
        <v>50.5</v>
      </c>
      <c r="BB73" s="82">
        <f>E91</f>
        <v>48.6</v>
      </c>
      <c r="BC73" s="82">
        <f>F91</f>
        <v>48.4</v>
      </c>
      <c r="BD73" s="82">
        <f>G91</f>
        <v>48.4</v>
      </c>
      <c r="BE73" s="82">
        <f>I91</f>
        <v>49.5</v>
      </c>
      <c r="BF73" s="82">
        <f>K91</f>
        <v>52.7</v>
      </c>
      <c r="BG73" s="82">
        <f t="shared" ref="BG73:BP73" si="38">M91</f>
        <v>54.1</v>
      </c>
      <c r="BH73" s="82">
        <f t="shared" si="38"/>
        <v>57.3</v>
      </c>
      <c r="BI73" s="82">
        <f t="shared" si="38"/>
        <v>0</v>
      </c>
      <c r="BJ73" s="82">
        <f t="shared" si="38"/>
        <v>0</v>
      </c>
      <c r="BK73" s="82">
        <f t="shared" si="38"/>
        <v>0</v>
      </c>
      <c r="BL73" s="82">
        <f t="shared" si="38"/>
        <v>0</v>
      </c>
      <c r="BM73" s="82">
        <f t="shared" si="38"/>
        <v>0</v>
      </c>
      <c r="BN73" s="82">
        <f t="shared" si="38"/>
        <v>0</v>
      </c>
      <c r="BO73" s="82">
        <f t="shared" si="38"/>
        <v>0</v>
      </c>
      <c r="BP73" s="82">
        <f t="shared" si="38"/>
        <v>0</v>
      </c>
      <c r="BQ73" s="82">
        <f>X91</f>
        <v>0</v>
      </c>
      <c r="BR73" s="82">
        <f>Z91</f>
        <v>40.6</v>
      </c>
      <c r="BS73" s="82">
        <f>AB91</f>
        <v>0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52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3.54</v>
      </c>
      <c r="Z75" s="85">
        <v>3.54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3.54</v>
      </c>
      <c r="AI75" s="49">
        <f t="shared" si="9"/>
        <v>3.54</v>
      </c>
      <c r="AK75" s="51"/>
      <c r="AZ75" s="82">
        <f t="shared" ref="AZ75:BW80" si="39">VALUE(AZ68)</f>
        <v>12</v>
      </c>
      <c r="BA75" s="82">
        <f t="shared" si="39"/>
        <v>10.5</v>
      </c>
      <c r="BB75" s="82">
        <f t="shared" si="39"/>
        <v>21.6</v>
      </c>
      <c r="BC75" s="82">
        <f t="shared" si="39"/>
        <v>20</v>
      </c>
      <c r="BD75" s="82">
        <f t="shared" si="39"/>
        <v>16</v>
      </c>
      <c r="BE75" s="82">
        <f t="shared" si="39"/>
        <v>14.9</v>
      </c>
      <c r="BF75" s="82">
        <f t="shared" si="39"/>
        <v>60</v>
      </c>
      <c r="BG75" s="82">
        <f t="shared" si="39"/>
        <v>55.1</v>
      </c>
      <c r="BH75" s="82">
        <f t="shared" si="39"/>
        <v>60.4</v>
      </c>
      <c r="BI75" s="82">
        <f t="shared" si="39"/>
        <v>64.3</v>
      </c>
      <c r="BJ75" s="82">
        <f t="shared" si="39"/>
        <v>71.099999999999994</v>
      </c>
      <c r="BK75" s="82">
        <f t="shared" si="39"/>
        <v>67.7</v>
      </c>
      <c r="BL75" s="82">
        <f t="shared" si="39"/>
        <v>73.3</v>
      </c>
      <c r="BM75" s="82">
        <f t="shared" si="39"/>
        <v>75</v>
      </c>
      <c r="BN75" s="82">
        <f t="shared" si="39"/>
        <v>65.8</v>
      </c>
      <c r="BO75" s="82">
        <f t="shared" si="39"/>
        <v>63.9</v>
      </c>
      <c r="BP75" s="82">
        <f t="shared" si="39"/>
        <v>65.599999999999994</v>
      </c>
      <c r="BQ75" s="82">
        <f t="shared" si="39"/>
        <v>61.7</v>
      </c>
      <c r="BR75" s="82">
        <f t="shared" si="39"/>
        <v>0.7</v>
      </c>
      <c r="BS75" s="82">
        <f t="shared" si="39"/>
        <v>4.8</v>
      </c>
      <c r="BT75" s="82">
        <f t="shared" si="39"/>
        <v>-2.7</v>
      </c>
      <c r="BU75" s="82">
        <f t="shared" si="39"/>
        <v>-1.3</v>
      </c>
      <c r="BV75" s="82">
        <f t="shared" si="39"/>
        <v>-1.4</v>
      </c>
      <c r="BW75" s="82">
        <f t="shared" si="39"/>
        <v>8.5</v>
      </c>
    </row>
    <row r="76" spans="1:75" ht="15.75" thickBot="1" x14ac:dyDescent="0.3">
      <c r="A76" s="87" t="s">
        <v>99</v>
      </c>
      <c r="B76" s="71">
        <f t="shared" ref="B76:AG76" si="40">SUM(B63:B75)</f>
        <v>412.84000000000003</v>
      </c>
      <c r="C76" s="71">
        <f t="shared" si="40"/>
        <v>412.54000000000008</v>
      </c>
      <c r="D76" s="71">
        <f t="shared" si="40"/>
        <v>412.54000000000008</v>
      </c>
      <c r="E76" s="71">
        <f t="shared" si="40"/>
        <v>403.04000000000008</v>
      </c>
      <c r="F76" s="71">
        <f t="shared" si="40"/>
        <v>403.04000000000008</v>
      </c>
      <c r="G76" s="71">
        <f t="shared" si="40"/>
        <v>55.54</v>
      </c>
      <c r="H76" s="71">
        <f t="shared" si="40"/>
        <v>373.94000000000011</v>
      </c>
      <c r="I76" s="71">
        <f t="shared" si="40"/>
        <v>368.6400000000001</v>
      </c>
      <c r="J76" s="71">
        <f t="shared" si="40"/>
        <v>395.34</v>
      </c>
      <c r="K76" s="71">
        <f t="shared" si="40"/>
        <v>400.84000000000003</v>
      </c>
      <c r="L76" s="71">
        <f t="shared" si="40"/>
        <v>401.74</v>
      </c>
      <c r="M76" s="71">
        <f t="shared" si="40"/>
        <v>422.44</v>
      </c>
      <c r="N76" s="71">
        <f t="shared" si="40"/>
        <v>419.74</v>
      </c>
      <c r="O76" s="71">
        <f t="shared" si="40"/>
        <v>424.64</v>
      </c>
      <c r="P76" s="71">
        <f t="shared" si="40"/>
        <v>430.94000000000005</v>
      </c>
      <c r="Q76" s="71">
        <f t="shared" si="40"/>
        <v>427.14</v>
      </c>
      <c r="R76" s="71">
        <f t="shared" si="40"/>
        <v>411.54</v>
      </c>
      <c r="S76" s="71">
        <f t="shared" ref="S76:T76" si="41">SUM(S63:S75)</f>
        <v>411.24</v>
      </c>
      <c r="T76" s="71">
        <f t="shared" si="41"/>
        <v>353.04</v>
      </c>
      <c r="U76" s="71">
        <f t="shared" ref="U76:V76" si="42">SUM(U63:U75)</f>
        <v>301.14000000000004</v>
      </c>
      <c r="V76" s="71">
        <f t="shared" si="42"/>
        <v>339.34000000000003</v>
      </c>
      <c r="W76" s="71">
        <f t="shared" si="40"/>
        <v>320.84000000000003</v>
      </c>
      <c r="X76" s="71">
        <f t="shared" ref="X76:Y76" si="43">SUM(X63:X75)</f>
        <v>320.94000000000005</v>
      </c>
      <c r="Y76" s="71">
        <f t="shared" si="43"/>
        <v>372.34000000000003</v>
      </c>
      <c r="Z76" s="71">
        <f t="shared" ref="Z76:AA76" si="44">SUM(Z63:Z75)</f>
        <v>386.34</v>
      </c>
      <c r="AA76" s="71">
        <f t="shared" si="44"/>
        <v>388.14</v>
      </c>
      <c r="AB76" s="71">
        <f t="shared" si="40"/>
        <v>388.14</v>
      </c>
      <c r="AC76" s="71">
        <f t="shared" si="40"/>
        <v>388.14</v>
      </c>
      <c r="AD76" s="71">
        <f t="shared" si="40"/>
        <v>328.84000000000003</v>
      </c>
      <c r="AE76" s="71">
        <f t="shared" si="40"/>
        <v>373.44</v>
      </c>
      <c r="AF76" s="71">
        <f t="shared" si="40"/>
        <v>373.44</v>
      </c>
      <c r="AG76" s="72">
        <f t="shared" si="40"/>
        <v>489.91</v>
      </c>
      <c r="AH76" s="48">
        <f t="shared" si="8"/>
        <v>430.94000000000005</v>
      </c>
      <c r="AI76" s="49">
        <f t="shared" si="9"/>
        <v>55.54</v>
      </c>
      <c r="AK76" s="51"/>
      <c r="AZ76" s="82">
        <f t="shared" si="39"/>
        <v>0</v>
      </c>
      <c r="BA76" s="82">
        <f t="shared" si="39"/>
        <v>0</v>
      </c>
      <c r="BB76" s="82">
        <f t="shared" si="39"/>
        <v>0</v>
      </c>
      <c r="BC76" s="82">
        <f t="shared" si="39"/>
        <v>0</v>
      </c>
      <c r="BD76" s="82">
        <f t="shared" si="39"/>
        <v>0</v>
      </c>
      <c r="BE76" s="82">
        <f t="shared" si="39"/>
        <v>0</v>
      </c>
      <c r="BF76" s="82">
        <f t="shared" si="39"/>
        <v>0</v>
      </c>
      <c r="BG76" s="82">
        <f t="shared" si="39"/>
        <v>0</v>
      </c>
      <c r="BH76" s="82">
        <f t="shared" si="39"/>
        <v>0</v>
      </c>
      <c r="BI76" s="82">
        <f t="shared" si="39"/>
        <v>0</v>
      </c>
      <c r="BJ76" s="82">
        <f t="shared" si="39"/>
        <v>0</v>
      </c>
      <c r="BK76" s="82">
        <f t="shared" si="39"/>
        <v>0</v>
      </c>
      <c r="BL76" s="82">
        <f t="shared" si="39"/>
        <v>0</v>
      </c>
      <c r="BM76" s="82">
        <f t="shared" si="39"/>
        <v>0</v>
      </c>
      <c r="BN76" s="82">
        <f t="shared" si="39"/>
        <v>0</v>
      </c>
      <c r="BO76" s="82">
        <f t="shared" si="39"/>
        <v>0</v>
      </c>
      <c r="BP76" s="82">
        <f t="shared" si="39"/>
        <v>0</v>
      </c>
      <c r="BQ76" s="82">
        <f t="shared" si="39"/>
        <v>0</v>
      </c>
      <c r="BR76" s="82">
        <f t="shared" si="39"/>
        <v>0</v>
      </c>
      <c r="BS76" s="82">
        <f t="shared" si="39"/>
        <v>0</v>
      </c>
      <c r="BT76" s="82">
        <f t="shared" si="39"/>
        <v>0</v>
      </c>
      <c r="BU76" s="82">
        <f t="shared" si="39"/>
        <v>0</v>
      </c>
      <c r="BV76" s="82">
        <f t="shared" si="39"/>
        <v>0</v>
      </c>
      <c r="BW76" s="82">
        <f t="shared" si="39"/>
        <v>0</v>
      </c>
    </row>
    <row r="77" spans="1:75" x14ac:dyDescent="0.25">
      <c r="A77" s="45" t="s">
        <v>100</v>
      </c>
      <c r="B77" s="46">
        <v>13.6</v>
      </c>
      <c r="C77" s="46">
        <v>0</v>
      </c>
      <c r="D77" s="46">
        <v>0</v>
      </c>
      <c r="E77" s="46">
        <v>0</v>
      </c>
      <c r="F77" s="46">
        <v>0</v>
      </c>
      <c r="G77" s="46">
        <v>0</v>
      </c>
      <c r="H77" s="46">
        <v>10</v>
      </c>
      <c r="I77" s="46">
        <v>10</v>
      </c>
      <c r="J77" s="46">
        <v>14</v>
      </c>
      <c r="K77" s="46">
        <v>0</v>
      </c>
      <c r="L77" s="46">
        <v>0</v>
      </c>
      <c r="M77" s="46"/>
      <c r="N77" s="46"/>
      <c r="O77" s="46"/>
      <c r="P77" s="46">
        <v>29.8</v>
      </c>
      <c r="Q77" s="46">
        <v>13</v>
      </c>
      <c r="R77" s="46">
        <v>13.8</v>
      </c>
      <c r="S77" s="46">
        <v>13.8</v>
      </c>
      <c r="T77" s="46">
        <v>13.8</v>
      </c>
      <c r="U77" s="46">
        <v>13.8</v>
      </c>
      <c r="V77" s="46">
        <v>24.8</v>
      </c>
      <c r="W77" s="46">
        <v>0</v>
      </c>
      <c r="X77" s="46">
        <v>0</v>
      </c>
      <c r="Y77" s="46">
        <v>0</v>
      </c>
      <c r="Z77" s="46">
        <v>0</v>
      </c>
      <c r="AA77" s="46">
        <v>0</v>
      </c>
      <c r="AB77" s="46"/>
      <c r="AC77" s="46"/>
      <c r="AD77" s="46"/>
      <c r="AE77" s="46"/>
      <c r="AF77" s="46"/>
      <c r="AG77" s="61">
        <v>60</v>
      </c>
      <c r="AH77" s="48">
        <f t="shared" si="8"/>
        <v>29.8</v>
      </c>
      <c r="AI77" s="49">
        <f t="shared" si="9"/>
        <v>0</v>
      </c>
      <c r="AK77" s="51"/>
      <c r="AZ77" s="82">
        <f t="shared" si="39"/>
        <v>-6</v>
      </c>
      <c r="BA77" s="82">
        <f t="shared" si="39"/>
        <v>0</v>
      </c>
      <c r="BB77" s="82">
        <f t="shared" si="39"/>
        <v>-7</v>
      </c>
      <c r="BC77" s="82">
        <f t="shared" si="39"/>
        <v>-28</v>
      </c>
      <c r="BD77" s="82">
        <f t="shared" si="39"/>
        <v>-70</v>
      </c>
      <c r="BE77" s="82">
        <f t="shared" si="39"/>
        <v>-57.6</v>
      </c>
      <c r="BF77" s="82">
        <f t="shared" si="39"/>
        <v>-84</v>
      </c>
      <c r="BG77" s="82">
        <f t="shared" si="39"/>
        <v>-80</v>
      </c>
      <c r="BH77" s="82">
        <f t="shared" si="39"/>
        <v>-88.8</v>
      </c>
      <c r="BI77" s="82">
        <f t="shared" si="39"/>
        <v>0</v>
      </c>
      <c r="BJ77" s="82">
        <f t="shared" si="39"/>
        <v>-128</v>
      </c>
      <c r="BK77" s="82">
        <f t="shared" si="39"/>
        <v>-80</v>
      </c>
      <c r="BL77" s="82">
        <f t="shared" si="39"/>
        <v>25</v>
      </c>
      <c r="BM77" s="82">
        <f t="shared" si="39"/>
        <v>55.2</v>
      </c>
      <c r="BN77" s="82">
        <f t="shared" si="39"/>
        <v>225.6</v>
      </c>
      <c r="BO77" s="82">
        <f t="shared" si="39"/>
        <v>206.7</v>
      </c>
      <c r="BP77" s="82">
        <f t="shared" si="39"/>
        <v>193.4</v>
      </c>
      <c r="BQ77" s="82">
        <f t="shared" si="39"/>
        <v>108.3</v>
      </c>
      <c r="BR77" s="82">
        <f t="shared" si="39"/>
        <v>47.5</v>
      </c>
      <c r="BS77" s="82">
        <f t="shared" si="39"/>
        <v>-20</v>
      </c>
      <c r="BT77" s="82">
        <f t="shared" si="39"/>
        <v>3.6</v>
      </c>
      <c r="BU77" s="82">
        <f t="shared" si="39"/>
        <v>-329</v>
      </c>
      <c r="BV77" s="82">
        <f t="shared" si="39"/>
        <v>-331</v>
      </c>
      <c r="BW77" s="82">
        <f t="shared" si="39"/>
        <v>0.8</v>
      </c>
    </row>
    <row r="78" spans="1:75" x14ac:dyDescent="0.25">
      <c r="A78" s="65" t="s">
        <v>101</v>
      </c>
      <c r="B78" s="76">
        <v>7</v>
      </c>
      <c r="C78" s="76">
        <v>5.7</v>
      </c>
      <c r="D78" s="76">
        <v>0</v>
      </c>
      <c r="E78" s="76">
        <v>0</v>
      </c>
      <c r="F78" s="76">
        <v>0</v>
      </c>
      <c r="G78" s="76">
        <v>0</v>
      </c>
      <c r="H78" s="76">
        <v>3.7</v>
      </c>
      <c r="I78" s="76">
        <v>3.7</v>
      </c>
      <c r="J78" s="76">
        <v>3.6</v>
      </c>
      <c r="K78" s="76">
        <v>0</v>
      </c>
      <c r="L78" s="76">
        <v>0</v>
      </c>
      <c r="M78" s="76"/>
      <c r="N78" s="76"/>
      <c r="O78" s="76"/>
      <c r="P78" s="76">
        <v>13.3</v>
      </c>
      <c r="Q78" s="76">
        <v>7.1</v>
      </c>
      <c r="R78" s="76">
        <v>5.3</v>
      </c>
      <c r="S78" s="76">
        <v>5.3</v>
      </c>
      <c r="T78" s="76">
        <v>5.4</v>
      </c>
      <c r="U78" s="76">
        <v>5.4</v>
      </c>
      <c r="V78" s="76">
        <v>11.5</v>
      </c>
      <c r="W78" s="76">
        <v>6.3</v>
      </c>
      <c r="X78" s="76">
        <v>0</v>
      </c>
      <c r="Y78" s="76">
        <v>0</v>
      </c>
      <c r="Z78" s="76">
        <v>0</v>
      </c>
      <c r="AA78" s="76">
        <v>0</v>
      </c>
      <c r="AB78" s="76"/>
      <c r="AC78" s="76"/>
      <c r="AD78" s="76"/>
      <c r="AE78" s="76"/>
      <c r="AF78" s="76"/>
      <c r="AG78" s="66">
        <v>32</v>
      </c>
      <c r="AH78" s="48">
        <f t="shared" si="8"/>
        <v>13.3</v>
      </c>
      <c r="AI78" s="49">
        <f t="shared" si="9"/>
        <v>0</v>
      </c>
      <c r="AK78" s="51"/>
      <c r="AZ78" s="82">
        <f t="shared" si="39"/>
        <v>18</v>
      </c>
      <c r="BA78" s="82">
        <f t="shared" si="39"/>
        <v>17.5</v>
      </c>
      <c r="BB78" s="82">
        <f t="shared" si="39"/>
        <v>0</v>
      </c>
      <c r="BC78" s="82">
        <f t="shared" si="39"/>
        <v>0</v>
      </c>
      <c r="BD78" s="82">
        <f t="shared" si="39"/>
        <v>0</v>
      </c>
      <c r="BE78" s="82">
        <f t="shared" si="39"/>
        <v>0</v>
      </c>
      <c r="BF78" s="82">
        <f t="shared" si="39"/>
        <v>12.3</v>
      </c>
      <c r="BG78" s="82">
        <f t="shared" si="39"/>
        <v>11.7</v>
      </c>
      <c r="BH78" s="82">
        <f t="shared" si="39"/>
        <v>12.2</v>
      </c>
      <c r="BI78" s="82">
        <f t="shared" si="39"/>
        <v>47.7</v>
      </c>
      <c r="BJ78" s="82">
        <f t="shared" si="39"/>
        <v>56.7</v>
      </c>
      <c r="BK78" s="82">
        <f t="shared" si="39"/>
        <v>56.5</v>
      </c>
      <c r="BL78" s="82">
        <f t="shared" si="39"/>
        <v>52.4</v>
      </c>
      <c r="BM78" s="82">
        <f t="shared" si="39"/>
        <v>51.4</v>
      </c>
      <c r="BN78" s="82">
        <f t="shared" si="39"/>
        <v>52.2</v>
      </c>
      <c r="BO78" s="82">
        <f t="shared" si="39"/>
        <v>56</v>
      </c>
      <c r="BP78" s="82">
        <f t="shared" si="39"/>
        <v>51.9</v>
      </c>
      <c r="BQ78" s="82">
        <f t="shared" si="39"/>
        <v>44.3</v>
      </c>
      <c r="BR78" s="82">
        <f t="shared" si="39"/>
        <v>0</v>
      </c>
      <c r="BS78" s="82">
        <f t="shared" si="39"/>
        <v>0</v>
      </c>
      <c r="BT78" s="82">
        <f t="shared" si="39"/>
        <v>0</v>
      </c>
      <c r="BU78" s="82">
        <f t="shared" si="39"/>
        <v>0</v>
      </c>
      <c r="BV78" s="82">
        <f t="shared" si="39"/>
        <v>0</v>
      </c>
      <c r="BW78" s="82">
        <f t="shared" si="39"/>
        <v>18.2</v>
      </c>
    </row>
    <row r="79" spans="1:75" ht="15.75" thickBot="1" x14ac:dyDescent="0.3">
      <c r="A79" s="84" t="s">
        <v>102</v>
      </c>
      <c r="B79" s="78">
        <v>2.6</v>
      </c>
      <c r="C79" s="78">
        <v>2.1</v>
      </c>
      <c r="D79" s="78">
        <v>0</v>
      </c>
      <c r="E79" s="78">
        <v>0</v>
      </c>
      <c r="F79" s="78">
        <v>0</v>
      </c>
      <c r="G79" s="78">
        <v>0</v>
      </c>
      <c r="H79" s="78">
        <v>1.4</v>
      </c>
      <c r="I79" s="78">
        <v>1.4</v>
      </c>
      <c r="J79" s="78">
        <v>1.3</v>
      </c>
      <c r="K79" s="78">
        <v>0</v>
      </c>
      <c r="L79" s="78">
        <v>0</v>
      </c>
      <c r="M79" s="78"/>
      <c r="N79" s="78"/>
      <c r="O79" s="78"/>
      <c r="P79" s="78">
        <v>4.9000000000000004</v>
      </c>
      <c r="Q79" s="78">
        <v>2.6</v>
      </c>
      <c r="R79" s="78">
        <v>1.9</v>
      </c>
      <c r="S79" s="78">
        <v>1.9</v>
      </c>
      <c r="T79" s="78">
        <v>2</v>
      </c>
      <c r="U79" s="78">
        <v>2</v>
      </c>
      <c r="V79" s="78">
        <v>4.2</v>
      </c>
      <c r="W79" s="78">
        <v>2.2999999999999998</v>
      </c>
      <c r="X79" s="78">
        <v>0</v>
      </c>
      <c r="Y79" s="78">
        <v>0</v>
      </c>
      <c r="Z79" s="78">
        <v>0</v>
      </c>
      <c r="AA79" s="78">
        <v>0</v>
      </c>
      <c r="AB79" s="78"/>
      <c r="AC79" s="78"/>
      <c r="AD79" s="78"/>
      <c r="AE79" s="78"/>
      <c r="AF79" s="78"/>
      <c r="AG79" s="79">
        <v>14</v>
      </c>
      <c r="AH79" s="48">
        <f t="shared" si="8"/>
        <v>4.9000000000000004</v>
      </c>
      <c r="AI79" s="49">
        <f t="shared" si="9"/>
        <v>0</v>
      </c>
      <c r="AK79" s="51"/>
      <c r="AZ79" s="82">
        <f t="shared" si="39"/>
        <v>0</v>
      </c>
      <c r="BA79" s="82">
        <f t="shared" si="39"/>
        <v>0</v>
      </c>
      <c r="BB79" s="82">
        <f t="shared" si="39"/>
        <v>0</v>
      </c>
      <c r="BC79" s="82">
        <f t="shared" si="39"/>
        <v>0</v>
      </c>
      <c r="BD79" s="82">
        <f t="shared" si="39"/>
        <v>0</v>
      </c>
      <c r="BE79" s="82">
        <f t="shared" si="39"/>
        <v>0</v>
      </c>
      <c r="BF79" s="82">
        <f t="shared" si="39"/>
        <v>119</v>
      </c>
      <c r="BG79" s="82">
        <f t="shared" si="39"/>
        <v>110.7</v>
      </c>
      <c r="BH79" s="82">
        <f t="shared" si="39"/>
        <v>123.7</v>
      </c>
      <c r="BI79" s="82">
        <f t="shared" si="39"/>
        <v>129.1</v>
      </c>
      <c r="BJ79" s="82">
        <f t="shared" si="39"/>
        <v>111</v>
      </c>
      <c r="BK79" s="82">
        <f t="shared" si="39"/>
        <v>131</v>
      </c>
      <c r="BL79" s="82">
        <f t="shared" si="39"/>
        <v>133</v>
      </c>
      <c r="BM79" s="82">
        <f t="shared" si="39"/>
        <v>117.1</v>
      </c>
      <c r="BN79" s="82">
        <f t="shared" si="39"/>
        <v>111.4</v>
      </c>
      <c r="BO79" s="82">
        <f t="shared" si="39"/>
        <v>116.6</v>
      </c>
      <c r="BP79" s="82">
        <f t="shared" si="39"/>
        <v>114.2</v>
      </c>
      <c r="BQ79" s="82">
        <f t="shared" si="39"/>
        <v>92.1</v>
      </c>
      <c r="BR79" s="82">
        <f t="shared" si="39"/>
        <v>0</v>
      </c>
      <c r="BS79" s="82">
        <f t="shared" si="39"/>
        <v>0</v>
      </c>
      <c r="BT79" s="82">
        <f t="shared" si="39"/>
        <v>0</v>
      </c>
      <c r="BU79" s="82">
        <f t="shared" si="39"/>
        <v>0</v>
      </c>
      <c r="BV79" s="82">
        <f t="shared" si="39"/>
        <v>0</v>
      </c>
      <c r="BW79" s="82">
        <f t="shared" si="39"/>
        <v>0</v>
      </c>
    </row>
    <row r="80" spans="1:75" ht="15.75" thickBot="1" x14ac:dyDescent="0.3">
      <c r="A80" s="87" t="s">
        <v>103</v>
      </c>
      <c r="B80" s="71">
        <f t="shared" ref="B80:AF80" si="45">B77+B78+B79</f>
        <v>23.200000000000003</v>
      </c>
      <c r="C80" s="71">
        <f t="shared" si="45"/>
        <v>7.8000000000000007</v>
      </c>
      <c r="D80" s="71">
        <f t="shared" si="45"/>
        <v>0</v>
      </c>
      <c r="E80" s="71">
        <f t="shared" si="45"/>
        <v>0</v>
      </c>
      <c r="F80" s="71">
        <f t="shared" si="45"/>
        <v>0</v>
      </c>
      <c r="G80" s="71">
        <f t="shared" si="45"/>
        <v>0</v>
      </c>
      <c r="H80" s="71">
        <f t="shared" si="45"/>
        <v>15.1</v>
      </c>
      <c r="I80" s="71">
        <f t="shared" si="45"/>
        <v>15.1</v>
      </c>
      <c r="J80" s="71">
        <f t="shared" si="45"/>
        <v>18.900000000000002</v>
      </c>
      <c r="K80" s="71">
        <f t="shared" si="45"/>
        <v>0</v>
      </c>
      <c r="L80" s="71">
        <f t="shared" si="45"/>
        <v>0</v>
      </c>
      <c r="M80" s="71">
        <f t="shared" si="45"/>
        <v>0</v>
      </c>
      <c r="N80" s="71">
        <f t="shared" si="45"/>
        <v>0</v>
      </c>
      <c r="O80" s="71">
        <f t="shared" si="45"/>
        <v>0</v>
      </c>
      <c r="P80" s="71">
        <f t="shared" si="45"/>
        <v>48</v>
      </c>
      <c r="Q80" s="71">
        <f t="shared" si="45"/>
        <v>22.700000000000003</v>
      </c>
      <c r="R80" s="71">
        <f t="shared" si="45"/>
        <v>21</v>
      </c>
      <c r="S80" s="71">
        <f t="shared" ref="S80:T80" si="46">S77+S78+S79</f>
        <v>21</v>
      </c>
      <c r="T80" s="71">
        <f t="shared" si="46"/>
        <v>21.200000000000003</v>
      </c>
      <c r="U80" s="71">
        <f t="shared" ref="U80:V80" si="47">U77+U78+U79</f>
        <v>21.200000000000003</v>
      </c>
      <c r="V80" s="71">
        <f t="shared" si="47"/>
        <v>40.5</v>
      </c>
      <c r="W80" s="71">
        <f t="shared" si="45"/>
        <v>8.6</v>
      </c>
      <c r="X80" s="71">
        <f t="shared" ref="X80:Y80" si="48">X77+X78+X79</f>
        <v>0</v>
      </c>
      <c r="Y80" s="71">
        <f t="shared" si="48"/>
        <v>0</v>
      </c>
      <c r="Z80" s="71">
        <f t="shared" ref="Z80:AA80" si="49">Z77+Z78+Z79</f>
        <v>0</v>
      </c>
      <c r="AA80" s="71">
        <f t="shared" si="49"/>
        <v>0</v>
      </c>
      <c r="AB80" s="71">
        <f t="shared" si="45"/>
        <v>0</v>
      </c>
      <c r="AC80" s="71">
        <f t="shared" si="45"/>
        <v>0</v>
      </c>
      <c r="AD80" s="71">
        <f t="shared" si="45"/>
        <v>0</v>
      </c>
      <c r="AE80" s="71">
        <f t="shared" si="45"/>
        <v>0</v>
      </c>
      <c r="AF80" s="71">
        <f t="shared" si="45"/>
        <v>0</v>
      </c>
      <c r="AG80" s="72">
        <f>SUM(AG77:AG79)</f>
        <v>106</v>
      </c>
      <c r="AH80" s="48">
        <f t="shared" si="8"/>
        <v>48</v>
      </c>
      <c r="AI80" s="49">
        <f t="shared" si="9"/>
        <v>0</v>
      </c>
      <c r="AK80" s="51"/>
      <c r="AZ80" s="82">
        <f t="shared" si="39"/>
        <v>47</v>
      </c>
      <c r="BA80" s="82">
        <f t="shared" si="39"/>
        <v>50.5</v>
      </c>
      <c r="BB80" s="82">
        <f t="shared" si="39"/>
        <v>48.6</v>
      </c>
      <c r="BC80" s="82">
        <f t="shared" si="39"/>
        <v>48.4</v>
      </c>
      <c r="BD80" s="82">
        <f t="shared" si="39"/>
        <v>48.4</v>
      </c>
      <c r="BE80" s="82">
        <f t="shared" si="39"/>
        <v>49.5</v>
      </c>
      <c r="BF80" s="82">
        <f t="shared" si="39"/>
        <v>52.7</v>
      </c>
      <c r="BG80" s="82">
        <f t="shared" si="39"/>
        <v>54.1</v>
      </c>
      <c r="BH80" s="82">
        <f t="shared" si="39"/>
        <v>57.3</v>
      </c>
      <c r="BI80" s="82">
        <f t="shared" si="39"/>
        <v>0</v>
      </c>
      <c r="BJ80" s="82">
        <f t="shared" si="39"/>
        <v>0</v>
      </c>
      <c r="BK80" s="82">
        <f t="shared" si="39"/>
        <v>0</v>
      </c>
      <c r="BL80" s="82">
        <f t="shared" si="39"/>
        <v>0</v>
      </c>
      <c r="BM80" s="82">
        <f t="shared" si="39"/>
        <v>0</v>
      </c>
      <c r="BN80" s="82">
        <f t="shared" si="39"/>
        <v>0</v>
      </c>
      <c r="BO80" s="82">
        <f t="shared" si="39"/>
        <v>0</v>
      </c>
      <c r="BP80" s="82">
        <f t="shared" si="39"/>
        <v>0</v>
      </c>
      <c r="BQ80" s="82">
        <f t="shared" si="39"/>
        <v>0</v>
      </c>
      <c r="BR80" s="82">
        <f t="shared" si="39"/>
        <v>40.6</v>
      </c>
      <c r="BS80" s="82">
        <f t="shared" si="39"/>
        <v>0</v>
      </c>
      <c r="BT80" s="82">
        <f t="shared" si="39"/>
        <v>0</v>
      </c>
      <c r="BU80" s="82">
        <f t="shared" si="39"/>
        <v>0</v>
      </c>
      <c r="BV80" s="82">
        <f t="shared" si="39"/>
        <v>0</v>
      </c>
      <c r="BW80" s="82">
        <f t="shared" si="39"/>
        <v>52</v>
      </c>
    </row>
    <row r="81" spans="1:64" x14ac:dyDescent="0.25">
      <c r="A81" s="45" t="s">
        <v>104</v>
      </c>
      <c r="B81" s="46">
        <v>8.5</v>
      </c>
      <c r="C81" s="46">
        <v>12</v>
      </c>
      <c r="D81" s="46">
        <v>10.5</v>
      </c>
      <c r="E81" s="46">
        <v>21.6</v>
      </c>
      <c r="F81" s="46">
        <v>20</v>
      </c>
      <c r="G81" s="46">
        <v>16</v>
      </c>
      <c r="H81" s="46">
        <v>44</v>
      </c>
      <c r="I81" s="46">
        <v>14.9</v>
      </c>
      <c r="J81" s="46">
        <v>69</v>
      </c>
      <c r="K81" s="46">
        <v>60</v>
      </c>
      <c r="L81" s="46">
        <v>62.9</v>
      </c>
      <c r="M81" s="46">
        <v>55.1</v>
      </c>
      <c r="N81" s="46">
        <v>60.4</v>
      </c>
      <c r="O81" s="46">
        <v>64.3</v>
      </c>
      <c r="P81" s="46">
        <v>71.099999999999994</v>
      </c>
      <c r="Q81" s="46">
        <v>67.7</v>
      </c>
      <c r="R81" s="46">
        <v>73.3</v>
      </c>
      <c r="S81" s="46">
        <v>75</v>
      </c>
      <c r="T81" s="46">
        <v>65.8</v>
      </c>
      <c r="U81" s="46">
        <v>63.9</v>
      </c>
      <c r="V81" s="46">
        <v>65.599999999999994</v>
      </c>
      <c r="W81" s="46">
        <v>51.4</v>
      </c>
      <c r="X81" s="46">
        <v>61.7</v>
      </c>
      <c r="Y81" s="46">
        <v>9.5</v>
      </c>
      <c r="Z81" s="46">
        <v>0.7</v>
      </c>
      <c r="AA81" s="46">
        <v>4.2</v>
      </c>
      <c r="AB81" s="46">
        <v>4.8</v>
      </c>
      <c r="AC81" s="46">
        <v>4.8</v>
      </c>
      <c r="AD81" s="46">
        <v>-2.7</v>
      </c>
      <c r="AE81" s="46">
        <v>-1.3</v>
      </c>
      <c r="AF81" s="46">
        <v>-1.4</v>
      </c>
      <c r="AG81" s="61"/>
      <c r="AH81" s="48">
        <f t="shared" si="8"/>
        <v>75</v>
      </c>
      <c r="AI81" s="49">
        <f t="shared" si="9"/>
        <v>-2.7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66"/>
      <c r="AH82" s="48">
        <f t="shared" ref="AH82:AH125" si="50">MAX(B82:AF82)</f>
        <v>0</v>
      </c>
      <c r="AI82" s="49">
        <f t="shared" ref="AI82:AI125" si="51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0.8</v>
      </c>
      <c r="C83" s="76">
        <v>-6</v>
      </c>
      <c r="D83" s="76">
        <v>0</v>
      </c>
      <c r="E83" s="76">
        <v>-7</v>
      </c>
      <c r="F83" s="76">
        <v>-28</v>
      </c>
      <c r="G83" s="76">
        <v>-70</v>
      </c>
      <c r="H83" s="76">
        <v>-75</v>
      </c>
      <c r="I83" s="76">
        <v>-57.6</v>
      </c>
      <c r="J83" s="76">
        <v>-101</v>
      </c>
      <c r="K83" s="76">
        <v>-84</v>
      </c>
      <c r="L83" s="76">
        <v>-81</v>
      </c>
      <c r="M83" s="76">
        <v>-80</v>
      </c>
      <c r="N83" s="76">
        <v>-88.8</v>
      </c>
      <c r="O83" s="76">
        <v>0</v>
      </c>
      <c r="P83" s="76">
        <v>-128</v>
      </c>
      <c r="Q83" s="76">
        <v>-80</v>
      </c>
      <c r="R83" s="76">
        <v>25</v>
      </c>
      <c r="S83" s="76">
        <v>55.2</v>
      </c>
      <c r="T83" s="76">
        <v>225.6</v>
      </c>
      <c r="U83" s="76">
        <v>206.7</v>
      </c>
      <c r="V83" s="76">
        <v>193.4</v>
      </c>
      <c r="W83" s="76">
        <v>164.3</v>
      </c>
      <c r="X83" s="76">
        <v>108.3</v>
      </c>
      <c r="Y83" s="76">
        <v>29.6</v>
      </c>
      <c r="Z83" s="76">
        <v>47.5</v>
      </c>
      <c r="AA83" s="76">
        <v>-1.4</v>
      </c>
      <c r="AB83" s="76">
        <v>-20</v>
      </c>
      <c r="AC83" s="76">
        <v>-20</v>
      </c>
      <c r="AD83" s="76">
        <v>3.6</v>
      </c>
      <c r="AE83" s="76">
        <v>-329</v>
      </c>
      <c r="AF83" s="76">
        <v>-331</v>
      </c>
      <c r="AG83" s="88"/>
      <c r="AH83" s="48">
        <f t="shared" si="50"/>
        <v>225.6</v>
      </c>
      <c r="AI83" s="49">
        <f t="shared" si="51"/>
        <v>-331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18.2</v>
      </c>
      <c r="C84" s="76">
        <v>17.8</v>
      </c>
      <c r="D84" s="76">
        <v>17.5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12.3</v>
      </c>
      <c r="L84" s="89">
        <v>13.2</v>
      </c>
      <c r="M84" s="89">
        <v>11.7</v>
      </c>
      <c r="N84" s="89">
        <v>12.2</v>
      </c>
      <c r="O84" s="89">
        <v>47.7</v>
      </c>
      <c r="P84" s="89">
        <v>56.7</v>
      </c>
      <c r="Q84" s="89">
        <v>56.5</v>
      </c>
      <c r="R84" s="89">
        <v>52.4</v>
      </c>
      <c r="S84" s="89">
        <v>51.4</v>
      </c>
      <c r="T84" s="89">
        <v>52.2</v>
      </c>
      <c r="U84" s="89">
        <v>56</v>
      </c>
      <c r="V84" s="89">
        <v>51.9</v>
      </c>
      <c r="W84" s="89">
        <v>53.8</v>
      </c>
      <c r="X84" s="89">
        <v>44.3</v>
      </c>
      <c r="Y84" s="89">
        <v>0</v>
      </c>
      <c r="Z84" s="89">
        <v>0</v>
      </c>
      <c r="AA84" s="89">
        <v>0</v>
      </c>
      <c r="AB84" s="89"/>
      <c r="AC84" s="89"/>
      <c r="AD84" s="89"/>
      <c r="AE84" s="89"/>
      <c r="AF84" s="89"/>
      <c r="AG84" s="88"/>
      <c r="AH84" s="48">
        <f t="shared" si="50"/>
        <v>56.7</v>
      </c>
      <c r="AI84" s="49">
        <f t="shared" si="51"/>
        <v>0</v>
      </c>
      <c r="AK84" s="51"/>
      <c r="AY84" s="82"/>
      <c r="BF84" s="81"/>
      <c r="BG84" s="82">
        <f t="array" ref="BG84:BL107">TRANSPOSE(AZ68:BW73)</f>
        <v>12</v>
      </c>
      <c r="BH84" s="82">
        <v>0</v>
      </c>
      <c r="BI84" s="82">
        <v>-6</v>
      </c>
      <c r="BJ84" s="82">
        <v>18</v>
      </c>
      <c r="BK84" s="82">
        <v>0</v>
      </c>
      <c r="BL84" s="82">
        <v>47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103.5</v>
      </c>
      <c r="K85" s="46">
        <v>119</v>
      </c>
      <c r="L85" s="46">
        <v>109</v>
      </c>
      <c r="M85" s="46">
        <v>110.7</v>
      </c>
      <c r="N85" s="46">
        <v>123.7</v>
      </c>
      <c r="O85" s="46">
        <v>129.1</v>
      </c>
      <c r="P85" s="46">
        <v>111</v>
      </c>
      <c r="Q85" s="46">
        <v>131</v>
      </c>
      <c r="R85" s="46">
        <v>133</v>
      </c>
      <c r="S85" s="46">
        <v>117.1</v>
      </c>
      <c r="T85" s="46">
        <v>111.4</v>
      </c>
      <c r="U85" s="46">
        <v>116.6</v>
      </c>
      <c r="V85" s="46">
        <v>114.2</v>
      </c>
      <c r="W85" s="46">
        <v>104</v>
      </c>
      <c r="X85" s="46">
        <v>92.1</v>
      </c>
      <c r="Y85" s="46">
        <v>0</v>
      </c>
      <c r="Z85" s="46">
        <v>0</v>
      </c>
      <c r="AA85" s="46">
        <v>0</v>
      </c>
      <c r="AB85" s="46"/>
      <c r="AC85" s="46"/>
      <c r="AD85" s="46"/>
      <c r="AE85" s="46"/>
      <c r="AF85" s="46"/>
      <c r="AG85" s="88"/>
      <c r="AH85" s="48">
        <f t="shared" si="50"/>
        <v>133</v>
      </c>
      <c r="AI85" s="49">
        <f t="shared" si="51"/>
        <v>0</v>
      </c>
      <c r="AK85" s="51"/>
      <c r="AY85" s="82"/>
      <c r="BF85" s="81"/>
      <c r="BG85" s="82">
        <v>10.5</v>
      </c>
      <c r="BH85" s="82">
        <v>0</v>
      </c>
      <c r="BI85" s="82">
        <v>0</v>
      </c>
      <c r="BJ85" s="82">
        <v>17.5</v>
      </c>
      <c r="BK85" s="82">
        <v>0</v>
      </c>
      <c r="BL85" s="82">
        <v>50.5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50"/>
        <v>0</v>
      </c>
      <c r="AI86" s="49">
        <f t="shared" si="51"/>
        <v>0</v>
      </c>
      <c r="AK86" s="51"/>
      <c r="AY86" s="82"/>
      <c r="BF86" s="81"/>
      <c r="BG86" s="82">
        <v>21.6</v>
      </c>
      <c r="BH86" s="82">
        <v>0</v>
      </c>
      <c r="BI86" s="82">
        <v>-7</v>
      </c>
      <c r="BJ86" s="82">
        <v>0</v>
      </c>
      <c r="BK86" s="82">
        <v>0</v>
      </c>
      <c r="BL86" s="82">
        <v>48.6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50"/>
        <v>0</v>
      </c>
      <c r="AI87" s="49">
        <f t="shared" si="51"/>
        <v>0</v>
      </c>
      <c r="AK87" s="51"/>
      <c r="AL87" s="91" t="s">
        <v>111</v>
      </c>
      <c r="AM87" s="91"/>
      <c r="AY87" s="82"/>
      <c r="BF87" s="82"/>
      <c r="BG87" s="82">
        <v>20</v>
      </c>
      <c r="BH87" s="82">
        <v>0</v>
      </c>
      <c r="BI87" s="82">
        <v>-28</v>
      </c>
      <c r="BJ87" s="82">
        <v>0</v>
      </c>
      <c r="BK87" s="82">
        <v>0</v>
      </c>
      <c r="BL87" s="82">
        <v>48.4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50"/>
        <v>0</v>
      </c>
      <c r="AI88" s="49">
        <f t="shared" si="51"/>
        <v>0</v>
      </c>
      <c r="AK88" s="92"/>
      <c r="AL88" s="93"/>
      <c r="AM88" s="93"/>
      <c r="AN88" s="94"/>
      <c r="AY88" s="82"/>
      <c r="BF88" s="82"/>
      <c r="BG88" s="82">
        <v>16</v>
      </c>
      <c r="BH88" s="82">
        <v>0</v>
      </c>
      <c r="BI88" s="82">
        <v>-70</v>
      </c>
      <c r="BJ88" s="82">
        <v>0</v>
      </c>
      <c r="BK88" s="82">
        <v>0</v>
      </c>
      <c r="BL88" s="82">
        <v>48.4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50"/>
        <v>0</v>
      </c>
      <c r="AI89" s="49">
        <f t="shared" si="51"/>
        <v>0</v>
      </c>
      <c r="AK89" s="95" t="s">
        <v>114</v>
      </c>
      <c r="AL89" s="76"/>
      <c r="AM89" s="89"/>
      <c r="AN89" s="96"/>
      <c r="AY89" s="82"/>
      <c r="BF89" s="82"/>
      <c r="BG89" s="82">
        <v>14.9</v>
      </c>
      <c r="BH89" s="82">
        <v>0</v>
      </c>
      <c r="BI89" s="82">
        <v>-57.6</v>
      </c>
      <c r="BJ89" s="82">
        <v>0</v>
      </c>
      <c r="BK89" s="82">
        <v>0</v>
      </c>
      <c r="BL89" s="82">
        <v>49.5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50"/>
        <v>0</v>
      </c>
      <c r="AI90" s="49">
        <f t="shared" si="51"/>
        <v>0</v>
      </c>
      <c r="AK90" s="95" t="s">
        <v>116</v>
      </c>
      <c r="AL90" s="89"/>
      <c r="AM90" s="89"/>
      <c r="AN90" s="96"/>
      <c r="AY90" s="82"/>
      <c r="BF90" s="82"/>
      <c r="BG90" s="82">
        <v>60</v>
      </c>
      <c r="BH90" s="82">
        <v>0</v>
      </c>
      <c r="BI90" s="82">
        <v>-84</v>
      </c>
      <c r="BJ90" s="82">
        <v>12.3</v>
      </c>
      <c r="BK90" s="82">
        <v>119</v>
      </c>
      <c r="BL90" s="82">
        <v>52.7</v>
      </c>
    </row>
    <row r="91" spans="1:64" ht="15.75" thickBot="1" x14ac:dyDescent="0.3">
      <c r="A91" s="97" t="s">
        <v>117</v>
      </c>
      <c r="B91" s="90">
        <v>52</v>
      </c>
      <c r="C91" s="90">
        <v>47.2</v>
      </c>
      <c r="D91" s="90">
        <v>50.5</v>
      </c>
      <c r="E91" s="90">
        <v>48.6</v>
      </c>
      <c r="F91" s="90">
        <v>48.4</v>
      </c>
      <c r="G91" s="90">
        <v>48.4</v>
      </c>
      <c r="H91" s="90">
        <v>48.4</v>
      </c>
      <c r="I91" s="90">
        <v>49.5</v>
      </c>
      <c r="J91" s="90">
        <v>48</v>
      </c>
      <c r="K91" s="90">
        <v>52.7</v>
      </c>
      <c r="L91" s="90">
        <v>54.4</v>
      </c>
      <c r="M91" s="90">
        <v>54.1</v>
      </c>
      <c r="N91" s="90">
        <v>57.3</v>
      </c>
      <c r="O91" s="90">
        <v>0</v>
      </c>
      <c r="P91" s="90"/>
      <c r="Q91" s="90"/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42.8</v>
      </c>
      <c r="Z91" s="90">
        <v>40.6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/>
      <c r="AG91" s="98"/>
      <c r="AH91" s="48">
        <f t="shared" si="50"/>
        <v>57.3</v>
      </c>
      <c r="AI91" s="49">
        <f t="shared" si="51"/>
        <v>0</v>
      </c>
      <c r="AK91" s="99"/>
      <c r="AL91" s="46"/>
      <c r="AM91" s="46"/>
      <c r="AN91" s="100"/>
      <c r="AY91" s="82"/>
      <c r="BF91" s="82"/>
      <c r="BG91" s="82">
        <v>55.1</v>
      </c>
      <c r="BH91" s="82">
        <v>0</v>
      </c>
      <c r="BI91" s="82">
        <v>-80</v>
      </c>
      <c r="BJ91" s="82">
        <v>11.7</v>
      </c>
      <c r="BK91" s="82">
        <v>110.7</v>
      </c>
      <c r="BL91" s="82">
        <v>54.1</v>
      </c>
    </row>
    <row r="92" spans="1:64" ht="15.75" thickBot="1" x14ac:dyDescent="0.3">
      <c r="A92" s="87" t="s">
        <v>118</v>
      </c>
      <c r="B92" s="71">
        <f t="shared" ref="B92:AF92" si="52">SUMIF(B81:B91,"&gt;0")</f>
        <v>79.5</v>
      </c>
      <c r="C92" s="71">
        <f t="shared" si="52"/>
        <v>77</v>
      </c>
      <c r="D92" s="71">
        <f t="shared" si="52"/>
        <v>78.5</v>
      </c>
      <c r="E92" s="71">
        <f t="shared" si="52"/>
        <v>70.2</v>
      </c>
      <c r="F92" s="71">
        <f t="shared" si="52"/>
        <v>68.400000000000006</v>
      </c>
      <c r="G92" s="71">
        <f t="shared" si="52"/>
        <v>64.400000000000006</v>
      </c>
      <c r="H92" s="71">
        <f t="shared" si="52"/>
        <v>92.4</v>
      </c>
      <c r="I92" s="71">
        <f t="shared" si="52"/>
        <v>64.400000000000006</v>
      </c>
      <c r="J92" s="71">
        <f t="shared" si="52"/>
        <v>220.5</v>
      </c>
      <c r="K92" s="71">
        <f t="shared" si="52"/>
        <v>244</v>
      </c>
      <c r="L92" s="71">
        <f t="shared" si="52"/>
        <v>239.5</v>
      </c>
      <c r="M92" s="71">
        <f t="shared" si="52"/>
        <v>231.6</v>
      </c>
      <c r="N92" s="71">
        <f t="shared" si="52"/>
        <v>253.60000000000002</v>
      </c>
      <c r="O92" s="71">
        <f t="shared" si="52"/>
        <v>241.1</v>
      </c>
      <c r="P92" s="71">
        <f t="shared" si="52"/>
        <v>238.8</v>
      </c>
      <c r="Q92" s="71">
        <f t="shared" si="52"/>
        <v>255.2</v>
      </c>
      <c r="R92" s="71">
        <f t="shared" si="52"/>
        <v>283.7</v>
      </c>
      <c r="S92" s="71">
        <f t="shared" ref="S92:T92" si="53">SUMIF(S81:S91,"&gt;0")</f>
        <v>298.7</v>
      </c>
      <c r="T92" s="71">
        <f t="shared" si="53"/>
        <v>455</v>
      </c>
      <c r="U92" s="71">
        <f t="shared" ref="U92:V92" si="54">SUMIF(U81:U91,"&gt;0")</f>
        <v>443.19999999999993</v>
      </c>
      <c r="V92" s="71">
        <f t="shared" si="54"/>
        <v>425.09999999999997</v>
      </c>
      <c r="W92" s="71">
        <f t="shared" si="52"/>
        <v>373.5</v>
      </c>
      <c r="X92" s="71">
        <f t="shared" ref="X92:Y92" si="55">SUMIF(X81:X91,"&gt;0")</f>
        <v>306.39999999999998</v>
      </c>
      <c r="Y92" s="71">
        <f t="shared" si="55"/>
        <v>81.900000000000006</v>
      </c>
      <c r="Z92" s="71">
        <f t="shared" ref="Z92:AA92" si="56">SUMIF(Z81:Z91,"&gt;0")</f>
        <v>88.800000000000011</v>
      </c>
      <c r="AA92" s="71">
        <f t="shared" si="56"/>
        <v>4.2</v>
      </c>
      <c r="AB92" s="71">
        <f t="shared" si="52"/>
        <v>4.8</v>
      </c>
      <c r="AC92" s="71">
        <f t="shared" si="52"/>
        <v>4.8</v>
      </c>
      <c r="AD92" s="71">
        <f t="shared" si="52"/>
        <v>3.6</v>
      </c>
      <c r="AE92" s="71">
        <f t="shared" si="52"/>
        <v>0</v>
      </c>
      <c r="AF92" s="71">
        <f t="shared" si="52"/>
        <v>0</v>
      </c>
      <c r="AG92" s="101">
        <f>SUM(AG81:AG91)</f>
        <v>0</v>
      </c>
      <c r="AH92" s="48">
        <f t="shared" si="50"/>
        <v>455</v>
      </c>
      <c r="AI92" s="49">
        <f t="shared" si="51"/>
        <v>0</v>
      </c>
      <c r="AK92" s="99"/>
      <c r="AL92" s="90"/>
      <c r="AM92" s="102"/>
      <c r="AN92" s="202"/>
      <c r="AY92" s="82"/>
      <c r="BF92" s="82"/>
      <c r="BG92" s="82">
        <v>60.4</v>
      </c>
      <c r="BH92" s="82">
        <v>0</v>
      </c>
      <c r="BI92" s="82">
        <v>-88.8</v>
      </c>
      <c r="BJ92" s="82">
        <v>12.2</v>
      </c>
      <c r="BK92" s="82">
        <v>123.7</v>
      </c>
      <c r="BL92" s="82">
        <v>57.3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50"/>
        <v>0</v>
      </c>
      <c r="AI93" s="49">
        <f t="shared" si="51"/>
        <v>0</v>
      </c>
      <c r="AK93" s="99"/>
      <c r="AL93" s="90"/>
      <c r="AM93" s="90"/>
      <c r="AN93" s="203"/>
      <c r="BF93" s="82"/>
      <c r="BG93" s="82">
        <v>64.3</v>
      </c>
      <c r="BH93" s="82">
        <v>0</v>
      </c>
      <c r="BI93" s="82">
        <v>0</v>
      </c>
      <c r="BJ93" s="82">
        <v>47.7</v>
      </c>
      <c r="BK93" s="82">
        <v>129.1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50"/>
        <v>0</v>
      </c>
      <c r="AI94" s="49">
        <f t="shared" si="51"/>
        <v>0</v>
      </c>
      <c r="AK94" s="104"/>
      <c r="AL94" s="105"/>
      <c r="AM94" s="105"/>
      <c r="AN94" s="106"/>
      <c r="BF94" s="82"/>
      <c r="BG94" s="82">
        <v>71.099999999999994</v>
      </c>
      <c r="BH94" s="82">
        <v>0</v>
      </c>
      <c r="BI94" s="82">
        <v>-128</v>
      </c>
      <c r="BJ94" s="82">
        <v>56.7</v>
      </c>
      <c r="BK94" s="82">
        <v>111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50"/>
        <v>0</v>
      </c>
      <c r="AI95" s="49">
        <f t="shared" si="51"/>
        <v>0</v>
      </c>
      <c r="BF95" s="82"/>
      <c r="BG95" s="82">
        <v>67.7</v>
      </c>
      <c r="BH95" s="82">
        <v>0</v>
      </c>
      <c r="BI95" s="82">
        <v>-80</v>
      </c>
      <c r="BJ95" s="82">
        <v>56.5</v>
      </c>
      <c r="BK95" s="82">
        <v>131</v>
      </c>
      <c r="BL95" s="82">
        <v>0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50"/>
        <v>0</v>
      </c>
      <c r="AI96" s="49">
        <f t="shared" si="51"/>
        <v>0</v>
      </c>
      <c r="BF96" s="82"/>
      <c r="BG96" s="82">
        <v>73.3</v>
      </c>
      <c r="BH96" s="82">
        <v>0</v>
      </c>
      <c r="BI96" s="82">
        <v>25</v>
      </c>
      <c r="BJ96" s="82">
        <v>52.4</v>
      </c>
      <c r="BK96" s="82">
        <v>133</v>
      </c>
      <c r="BL96" s="82">
        <v>0</v>
      </c>
    </row>
    <row r="97" spans="1:64" ht="15.75" thickBot="1" x14ac:dyDescent="0.3">
      <c r="A97" s="87" t="s">
        <v>123</v>
      </c>
      <c r="B97" s="108">
        <f t="shared" ref="B97:AG97" si="57">B58+B62+B80+B76+B92+B96</f>
        <v>1613.3399999999997</v>
      </c>
      <c r="C97" s="108">
        <f t="shared" si="57"/>
        <v>1574.2399999999998</v>
      </c>
      <c r="D97" s="108">
        <f t="shared" si="57"/>
        <v>1537.6399999999999</v>
      </c>
      <c r="E97" s="108">
        <f t="shared" si="57"/>
        <v>1479.94</v>
      </c>
      <c r="F97" s="108">
        <f t="shared" si="57"/>
        <v>1414.64</v>
      </c>
      <c r="G97" s="108">
        <f t="shared" si="57"/>
        <v>754.53999999999985</v>
      </c>
      <c r="H97" s="108">
        <f t="shared" si="57"/>
        <v>1480.8400000000001</v>
      </c>
      <c r="I97" s="108">
        <f t="shared" si="57"/>
        <v>1544.5400000000002</v>
      </c>
      <c r="J97" s="108">
        <f t="shared" si="57"/>
        <v>1721.54</v>
      </c>
      <c r="K97" s="108">
        <f t="shared" si="57"/>
        <v>1815.8400000000001</v>
      </c>
      <c r="L97" s="108">
        <f t="shared" si="57"/>
        <v>1884.04</v>
      </c>
      <c r="M97" s="108">
        <f t="shared" si="57"/>
        <v>1910.6399999999999</v>
      </c>
      <c r="N97" s="108">
        <f t="shared" si="57"/>
        <v>1934.94</v>
      </c>
      <c r="O97" s="108">
        <f t="shared" si="57"/>
        <v>1927.3399999999997</v>
      </c>
      <c r="P97" s="108">
        <f t="shared" si="57"/>
        <v>2067.1400000000003</v>
      </c>
      <c r="Q97" s="108">
        <f t="shared" si="57"/>
        <v>2001.4399999999998</v>
      </c>
      <c r="R97" s="108">
        <f t="shared" si="57"/>
        <v>1892.3700000000001</v>
      </c>
      <c r="S97" s="108">
        <f t="shared" ref="S97:T97" si="58">S58+S62+S80+S76+S92+S96</f>
        <v>1816.47</v>
      </c>
      <c r="T97" s="108">
        <f t="shared" si="58"/>
        <v>1785.27</v>
      </c>
      <c r="U97" s="108">
        <f t="shared" ref="U97:V97" si="59">U58+U62+U80+U76+U92+U96</f>
        <v>1747.17</v>
      </c>
      <c r="V97" s="108">
        <f t="shared" si="59"/>
        <v>1692.37</v>
      </c>
      <c r="W97" s="108">
        <f t="shared" si="57"/>
        <v>1565.17</v>
      </c>
      <c r="X97" s="108">
        <f t="shared" ref="X97:Y97" si="60">X58+X62+X80+X76+X92+X96</f>
        <v>1489.5700000000002</v>
      </c>
      <c r="Y97" s="108">
        <f t="shared" si="60"/>
        <v>1432.0700000000002</v>
      </c>
      <c r="Z97" s="108">
        <f t="shared" ref="Z97:AA97" si="61">Z58+Z62+Z80+Z76+Z92+Z96</f>
        <v>1465.9699999999998</v>
      </c>
      <c r="AA97" s="108">
        <f t="shared" si="61"/>
        <v>1533.8999999999999</v>
      </c>
      <c r="AB97" s="108">
        <f t="shared" si="57"/>
        <v>1463.8699999999997</v>
      </c>
      <c r="AC97" s="108">
        <f t="shared" si="57"/>
        <v>1463.8699999999997</v>
      </c>
      <c r="AD97" s="108">
        <f t="shared" si="57"/>
        <v>1403.37</v>
      </c>
      <c r="AE97" s="108">
        <f t="shared" si="57"/>
        <v>1614.37</v>
      </c>
      <c r="AF97" s="108">
        <f t="shared" si="57"/>
        <v>1606.97</v>
      </c>
      <c r="AG97" s="72">
        <f t="shared" si="57"/>
        <v>2231.81</v>
      </c>
      <c r="AH97" s="48">
        <f t="shared" si="50"/>
        <v>2067.1400000000003</v>
      </c>
      <c r="AI97" s="49">
        <f t="shared" si="51"/>
        <v>754.53999999999985</v>
      </c>
      <c r="BF97" s="82"/>
      <c r="BG97" s="82">
        <v>75</v>
      </c>
      <c r="BH97" s="82">
        <v>0</v>
      </c>
      <c r="BI97" s="82">
        <v>55.2</v>
      </c>
      <c r="BJ97" s="82">
        <v>51.4</v>
      </c>
      <c r="BK97" s="82">
        <v>117.1</v>
      </c>
      <c r="BL97" s="82">
        <v>0</v>
      </c>
    </row>
    <row r="98" spans="1:64" ht="15.75" thickBot="1" x14ac:dyDescent="0.3">
      <c r="A98" s="109" t="s">
        <v>124</v>
      </c>
      <c r="B98" s="110">
        <v>150</v>
      </c>
      <c r="C98" s="110">
        <v>150</v>
      </c>
      <c r="D98" s="110">
        <v>150</v>
      </c>
      <c r="E98" s="110">
        <v>150</v>
      </c>
      <c r="F98" s="110">
        <v>150</v>
      </c>
      <c r="G98" s="110">
        <v>150</v>
      </c>
      <c r="H98" s="110">
        <v>150</v>
      </c>
      <c r="I98" s="110">
        <v>150</v>
      </c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250</v>
      </c>
      <c r="Z98" s="110">
        <v>300</v>
      </c>
      <c r="AA98" s="110">
        <v>300</v>
      </c>
      <c r="AB98" s="110">
        <v>200</v>
      </c>
      <c r="AC98" s="110">
        <v>200</v>
      </c>
      <c r="AD98" s="110">
        <v>200</v>
      </c>
      <c r="AE98" s="110">
        <v>0</v>
      </c>
      <c r="AF98" s="110"/>
      <c r="AG98" s="101"/>
      <c r="AH98" s="48">
        <f t="shared" si="50"/>
        <v>300</v>
      </c>
      <c r="AI98" s="49">
        <f t="shared" si="51"/>
        <v>0</v>
      </c>
      <c r="BF98" s="82"/>
      <c r="BG98" s="82">
        <v>65.8</v>
      </c>
      <c r="BH98" s="82">
        <v>0</v>
      </c>
      <c r="BI98" s="82">
        <v>225.6</v>
      </c>
      <c r="BJ98" s="82">
        <v>52.2</v>
      </c>
      <c r="BK98" s="82">
        <v>111.4</v>
      </c>
      <c r="BL98" s="82">
        <v>0</v>
      </c>
    </row>
    <row r="99" spans="1:64" ht="15.75" thickBot="1" x14ac:dyDescent="0.3">
      <c r="A99" s="87" t="s">
        <v>125</v>
      </c>
      <c r="B99" s="108">
        <f t="shared" ref="B99:AF99" si="62">B97+B98</f>
        <v>1763.3399999999997</v>
      </c>
      <c r="C99" s="108">
        <f t="shared" si="62"/>
        <v>1724.2399999999998</v>
      </c>
      <c r="D99" s="108">
        <f t="shared" si="62"/>
        <v>1687.6399999999999</v>
      </c>
      <c r="E99" s="108">
        <f t="shared" si="62"/>
        <v>1629.94</v>
      </c>
      <c r="F99" s="108">
        <f t="shared" si="62"/>
        <v>1564.64</v>
      </c>
      <c r="G99" s="108">
        <f t="shared" si="62"/>
        <v>904.53999999999985</v>
      </c>
      <c r="H99" s="108">
        <f t="shared" si="62"/>
        <v>1630.8400000000001</v>
      </c>
      <c r="I99" s="108">
        <f t="shared" si="62"/>
        <v>1694.5400000000002</v>
      </c>
      <c r="J99" s="108">
        <f t="shared" si="62"/>
        <v>1721.54</v>
      </c>
      <c r="K99" s="108">
        <f t="shared" si="62"/>
        <v>1815.8400000000001</v>
      </c>
      <c r="L99" s="108">
        <f t="shared" si="62"/>
        <v>1884.04</v>
      </c>
      <c r="M99" s="108">
        <f t="shared" si="62"/>
        <v>1910.6399999999999</v>
      </c>
      <c r="N99" s="108">
        <f t="shared" si="62"/>
        <v>1934.94</v>
      </c>
      <c r="O99" s="108">
        <f t="shared" si="62"/>
        <v>1927.3399999999997</v>
      </c>
      <c r="P99" s="108">
        <f t="shared" si="62"/>
        <v>2067.1400000000003</v>
      </c>
      <c r="Q99" s="108">
        <f t="shared" si="62"/>
        <v>2001.4399999999998</v>
      </c>
      <c r="R99" s="108">
        <f t="shared" si="62"/>
        <v>1892.3700000000001</v>
      </c>
      <c r="S99" s="108">
        <f t="shared" ref="S99:T99" si="63">S97+S98</f>
        <v>1816.47</v>
      </c>
      <c r="T99" s="108">
        <f t="shared" si="63"/>
        <v>1785.27</v>
      </c>
      <c r="U99" s="108">
        <f t="shared" ref="U99:V99" si="64">U97+U98</f>
        <v>1747.17</v>
      </c>
      <c r="V99" s="108">
        <f t="shared" si="64"/>
        <v>1692.37</v>
      </c>
      <c r="W99" s="108">
        <f t="shared" si="62"/>
        <v>1565.17</v>
      </c>
      <c r="X99" s="108">
        <f t="shared" ref="X99:Y99" si="65">X97+X98</f>
        <v>1489.5700000000002</v>
      </c>
      <c r="Y99" s="108">
        <f t="shared" si="65"/>
        <v>1682.0700000000002</v>
      </c>
      <c r="Z99" s="108">
        <f t="shared" ref="Z99:AA99" si="66">Z97+Z98</f>
        <v>1765.9699999999998</v>
      </c>
      <c r="AA99" s="108">
        <f t="shared" si="66"/>
        <v>1833.8999999999999</v>
      </c>
      <c r="AB99" s="108">
        <f t="shared" si="62"/>
        <v>1663.8699999999997</v>
      </c>
      <c r="AC99" s="108">
        <f t="shared" si="62"/>
        <v>1663.8699999999997</v>
      </c>
      <c r="AD99" s="108">
        <f t="shared" si="62"/>
        <v>1603.37</v>
      </c>
      <c r="AE99" s="108">
        <f t="shared" si="62"/>
        <v>1614.37</v>
      </c>
      <c r="AF99" s="108">
        <f t="shared" si="62"/>
        <v>1606.97</v>
      </c>
      <c r="AG99" s="101">
        <f>AG96+AG92+AG80+AG76+AG58+AG98</f>
        <v>1693.71</v>
      </c>
      <c r="AH99" s="48">
        <f t="shared" si="50"/>
        <v>2067.1400000000003</v>
      </c>
      <c r="AI99" s="49">
        <f t="shared" si="51"/>
        <v>904.53999999999985</v>
      </c>
      <c r="BF99" s="82"/>
      <c r="BG99" s="82">
        <v>63.9</v>
      </c>
      <c r="BH99" s="82">
        <v>0</v>
      </c>
      <c r="BI99" s="82">
        <v>206.7</v>
      </c>
      <c r="BJ99" s="82">
        <v>56</v>
      </c>
      <c r="BK99" s="82">
        <v>116.6</v>
      </c>
      <c r="BL99" s="82">
        <v>0</v>
      </c>
    </row>
    <row r="100" spans="1:64" ht="15.75" thickBot="1" x14ac:dyDescent="0.3">
      <c r="A100" s="87" t="s">
        <v>126</v>
      </c>
      <c r="B100" s="108">
        <f t="shared" ref="B100:AF100" si="67">B99-(B107)</f>
        <v>1763.3399999999997</v>
      </c>
      <c r="C100" s="108">
        <f t="shared" si="67"/>
        <v>1718.2399999999998</v>
      </c>
      <c r="D100" s="108">
        <f t="shared" si="67"/>
        <v>1687.6399999999999</v>
      </c>
      <c r="E100" s="108">
        <f t="shared" si="67"/>
        <v>1622.94</v>
      </c>
      <c r="F100" s="108">
        <f t="shared" si="67"/>
        <v>1536.64</v>
      </c>
      <c r="G100" s="108">
        <f t="shared" si="67"/>
        <v>834.53999999999985</v>
      </c>
      <c r="H100" s="108">
        <f t="shared" si="67"/>
        <v>1555.8400000000001</v>
      </c>
      <c r="I100" s="108">
        <f t="shared" si="67"/>
        <v>1636.9400000000003</v>
      </c>
      <c r="J100" s="108">
        <f t="shared" si="67"/>
        <v>1620.54</v>
      </c>
      <c r="K100" s="108">
        <f t="shared" si="67"/>
        <v>1731.8400000000001</v>
      </c>
      <c r="L100" s="108">
        <f t="shared" si="67"/>
        <v>1803.04</v>
      </c>
      <c r="M100" s="108">
        <f t="shared" si="67"/>
        <v>1830.6399999999999</v>
      </c>
      <c r="N100" s="108">
        <f t="shared" si="67"/>
        <v>1846.14</v>
      </c>
      <c r="O100" s="108">
        <f t="shared" si="67"/>
        <v>1927.3399999999997</v>
      </c>
      <c r="P100" s="108">
        <f t="shared" si="67"/>
        <v>1939.1400000000003</v>
      </c>
      <c r="Q100" s="108">
        <f t="shared" si="67"/>
        <v>1921.4399999999998</v>
      </c>
      <c r="R100" s="108">
        <f t="shared" si="67"/>
        <v>1892.3700000000001</v>
      </c>
      <c r="S100" s="108">
        <f t="shared" ref="S100:T100" si="68">S99-(S107)</f>
        <v>1816.47</v>
      </c>
      <c r="T100" s="108">
        <f t="shared" si="68"/>
        <v>1785.27</v>
      </c>
      <c r="U100" s="108">
        <f t="shared" ref="U100:V100" si="69">U99-(U107)</f>
        <v>1747.17</v>
      </c>
      <c r="V100" s="108">
        <f t="shared" si="69"/>
        <v>1692.37</v>
      </c>
      <c r="W100" s="108">
        <f t="shared" si="67"/>
        <v>1565.17</v>
      </c>
      <c r="X100" s="108">
        <f t="shared" ref="X100:Y100" si="70">X99-(X107)</f>
        <v>1489.5700000000002</v>
      </c>
      <c r="Y100" s="108">
        <f t="shared" si="70"/>
        <v>1682.0700000000002</v>
      </c>
      <c r="Z100" s="108">
        <f t="shared" ref="Z100:AA100" si="71">Z99-(Z107)</f>
        <v>1765.9699999999998</v>
      </c>
      <c r="AA100" s="108">
        <f t="shared" si="71"/>
        <v>1830.4999999999998</v>
      </c>
      <c r="AB100" s="108">
        <f t="shared" si="67"/>
        <v>1643.8699999999997</v>
      </c>
      <c r="AC100" s="108">
        <f t="shared" si="67"/>
        <v>1643.8699999999997</v>
      </c>
      <c r="AD100" s="108">
        <f t="shared" si="67"/>
        <v>1600.6699999999998</v>
      </c>
      <c r="AE100" s="108">
        <f t="shared" si="67"/>
        <v>1284.07</v>
      </c>
      <c r="AF100" s="108">
        <f t="shared" si="67"/>
        <v>1274.5700000000002</v>
      </c>
      <c r="AG100" s="101"/>
      <c r="AH100" s="48">
        <f t="shared" si="50"/>
        <v>1939.1400000000003</v>
      </c>
      <c r="AI100" s="49">
        <f t="shared" si="51"/>
        <v>834.53999999999985</v>
      </c>
      <c r="BF100" s="82"/>
      <c r="BG100" s="82">
        <v>65.599999999999994</v>
      </c>
      <c r="BH100" s="82">
        <v>0</v>
      </c>
      <c r="BI100" s="82">
        <v>193.4</v>
      </c>
      <c r="BJ100" s="82">
        <v>51.9</v>
      </c>
      <c r="BK100" s="82">
        <v>114.2</v>
      </c>
      <c r="BL100" s="82">
        <v>0</v>
      </c>
    </row>
    <row r="101" spans="1:64" x14ac:dyDescent="0.25">
      <c r="A101" s="45" t="s">
        <v>107</v>
      </c>
      <c r="B101" s="89">
        <f t="shared" ref="B101:AF101" si="72">IF(B84&lt;0,B84*-1,0)</f>
        <v>0</v>
      </c>
      <c r="C101" s="89">
        <f t="shared" si="72"/>
        <v>0</v>
      </c>
      <c r="D101" s="89">
        <f t="shared" si="72"/>
        <v>0</v>
      </c>
      <c r="E101" s="89">
        <f t="shared" si="72"/>
        <v>0</v>
      </c>
      <c r="F101" s="89">
        <f t="shared" si="72"/>
        <v>0</v>
      </c>
      <c r="G101" s="89">
        <f t="shared" si="72"/>
        <v>0</v>
      </c>
      <c r="H101" s="89">
        <f t="shared" si="72"/>
        <v>0</v>
      </c>
      <c r="I101" s="89">
        <f t="shared" si="72"/>
        <v>0</v>
      </c>
      <c r="J101" s="89">
        <f t="shared" si="72"/>
        <v>0</v>
      </c>
      <c r="K101" s="89">
        <f t="shared" si="72"/>
        <v>0</v>
      </c>
      <c r="L101" s="89">
        <f t="shared" si="72"/>
        <v>0</v>
      </c>
      <c r="M101" s="89">
        <f t="shared" si="72"/>
        <v>0</v>
      </c>
      <c r="N101" s="89">
        <f t="shared" si="72"/>
        <v>0</v>
      </c>
      <c r="O101" s="89">
        <f t="shared" si="72"/>
        <v>0</v>
      </c>
      <c r="P101" s="89">
        <f t="shared" si="72"/>
        <v>0</v>
      </c>
      <c r="Q101" s="89">
        <f t="shared" si="72"/>
        <v>0</v>
      </c>
      <c r="R101" s="89">
        <f t="shared" si="72"/>
        <v>0</v>
      </c>
      <c r="S101" s="89">
        <f t="shared" ref="S101:T101" si="73">IF(S84&lt;0,S84*-1,0)</f>
        <v>0</v>
      </c>
      <c r="T101" s="89">
        <f t="shared" si="73"/>
        <v>0</v>
      </c>
      <c r="U101" s="89">
        <f t="shared" ref="U101:V101" si="74">IF(U84&lt;0,U84*-1,0)</f>
        <v>0</v>
      </c>
      <c r="V101" s="89">
        <f t="shared" si="74"/>
        <v>0</v>
      </c>
      <c r="W101" s="89">
        <f t="shared" si="72"/>
        <v>0</v>
      </c>
      <c r="X101" s="89">
        <f t="shared" ref="X101:Y101" si="75">IF(X84&lt;0,X84*-1,0)</f>
        <v>0</v>
      </c>
      <c r="Y101" s="89">
        <f t="shared" si="75"/>
        <v>0</v>
      </c>
      <c r="Z101" s="89">
        <f t="shared" ref="Z101:AA101" si="76">IF(Z84&lt;0,Z84*-1,0)</f>
        <v>0</v>
      </c>
      <c r="AA101" s="89">
        <f t="shared" si="76"/>
        <v>0</v>
      </c>
      <c r="AB101" s="89">
        <f t="shared" si="72"/>
        <v>0</v>
      </c>
      <c r="AC101" s="89">
        <f t="shared" si="72"/>
        <v>0</v>
      </c>
      <c r="AD101" s="89">
        <f t="shared" si="72"/>
        <v>0</v>
      </c>
      <c r="AE101" s="89">
        <f t="shared" si="72"/>
        <v>0</v>
      </c>
      <c r="AF101" s="89">
        <f t="shared" si="72"/>
        <v>0</v>
      </c>
      <c r="AG101" s="61"/>
      <c r="AH101" s="48">
        <f t="shared" si="50"/>
        <v>0</v>
      </c>
      <c r="AI101" s="49">
        <f t="shared" si="51"/>
        <v>0</v>
      </c>
      <c r="BF101" s="81"/>
      <c r="BG101" s="82">
        <v>61.7</v>
      </c>
      <c r="BH101" s="82">
        <v>0</v>
      </c>
      <c r="BI101" s="82">
        <v>108.3</v>
      </c>
      <c r="BJ101" s="82">
        <v>44.3</v>
      </c>
      <c r="BK101" s="82">
        <v>92.1</v>
      </c>
      <c r="BL101" s="82">
        <v>0</v>
      </c>
    </row>
    <row r="102" spans="1:64" x14ac:dyDescent="0.25">
      <c r="A102" s="65" t="s">
        <v>105</v>
      </c>
      <c r="B102" s="89">
        <f t="shared" ref="B102:AF102" si="77">IF(B82&lt;0,B82*-1,0)</f>
        <v>0</v>
      </c>
      <c r="C102" s="89">
        <f t="shared" si="77"/>
        <v>0</v>
      </c>
      <c r="D102" s="89">
        <f t="shared" si="77"/>
        <v>0</v>
      </c>
      <c r="E102" s="89">
        <f t="shared" si="77"/>
        <v>0</v>
      </c>
      <c r="F102" s="89">
        <f t="shared" si="77"/>
        <v>0</v>
      </c>
      <c r="G102" s="89">
        <f t="shared" si="77"/>
        <v>0</v>
      </c>
      <c r="H102" s="89">
        <f t="shared" si="77"/>
        <v>0</v>
      </c>
      <c r="I102" s="89">
        <f t="shared" si="77"/>
        <v>0</v>
      </c>
      <c r="J102" s="89">
        <f t="shared" si="77"/>
        <v>0</v>
      </c>
      <c r="K102" s="89">
        <f t="shared" si="77"/>
        <v>0</v>
      </c>
      <c r="L102" s="89">
        <f t="shared" si="77"/>
        <v>0</v>
      </c>
      <c r="M102" s="89">
        <f t="shared" si="77"/>
        <v>0</v>
      </c>
      <c r="N102" s="89">
        <f t="shared" si="77"/>
        <v>0</v>
      </c>
      <c r="O102" s="89">
        <f t="shared" si="77"/>
        <v>0</v>
      </c>
      <c r="P102" s="89">
        <f t="shared" si="77"/>
        <v>0</v>
      </c>
      <c r="Q102" s="89">
        <f t="shared" si="77"/>
        <v>0</v>
      </c>
      <c r="R102" s="89">
        <f t="shared" si="77"/>
        <v>0</v>
      </c>
      <c r="S102" s="89">
        <f t="shared" ref="S102:T102" si="78">IF(S82&lt;0,S82*-1,0)</f>
        <v>0</v>
      </c>
      <c r="T102" s="89">
        <f t="shared" si="78"/>
        <v>0</v>
      </c>
      <c r="U102" s="89">
        <f t="shared" ref="U102:V102" si="79">IF(U82&lt;0,U82*-1,0)</f>
        <v>0</v>
      </c>
      <c r="V102" s="89">
        <f t="shared" si="79"/>
        <v>0</v>
      </c>
      <c r="W102" s="89">
        <f t="shared" si="77"/>
        <v>0</v>
      </c>
      <c r="X102" s="89">
        <f t="shared" ref="X102:Y102" si="80">IF(X82&lt;0,X82*-1,0)</f>
        <v>0</v>
      </c>
      <c r="Y102" s="89">
        <f t="shared" si="80"/>
        <v>0</v>
      </c>
      <c r="Z102" s="89">
        <f t="shared" ref="Z102:AA102" si="81">IF(Z82&lt;0,Z82*-1,0)</f>
        <v>0</v>
      </c>
      <c r="AA102" s="89">
        <f t="shared" si="81"/>
        <v>0</v>
      </c>
      <c r="AB102" s="89">
        <f t="shared" si="77"/>
        <v>0</v>
      </c>
      <c r="AC102" s="89">
        <f t="shared" si="77"/>
        <v>0</v>
      </c>
      <c r="AD102" s="89">
        <f t="shared" si="77"/>
        <v>0</v>
      </c>
      <c r="AE102" s="89">
        <f t="shared" si="77"/>
        <v>0</v>
      </c>
      <c r="AF102" s="89">
        <f t="shared" si="77"/>
        <v>0</v>
      </c>
      <c r="AG102" s="66"/>
      <c r="AH102" s="48">
        <f t="shared" si="50"/>
        <v>0</v>
      </c>
      <c r="AI102" s="49">
        <f t="shared" si="51"/>
        <v>0</v>
      </c>
      <c r="BF102" s="81"/>
      <c r="BG102" s="82">
        <v>0.7</v>
      </c>
      <c r="BH102" s="82">
        <v>0</v>
      </c>
      <c r="BI102" s="82">
        <v>47.5</v>
      </c>
      <c r="BJ102" s="82">
        <v>0</v>
      </c>
      <c r="BK102" s="82">
        <v>0</v>
      </c>
      <c r="BL102" s="82">
        <v>40.6</v>
      </c>
    </row>
    <row r="103" spans="1:64" x14ac:dyDescent="0.25">
      <c r="A103" s="97" t="s">
        <v>127</v>
      </c>
      <c r="B103" s="89">
        <f t="shared" ref="B103:AF103" si="82">IF(B85&lt;0,B85*-1,0)</f>
        <v>0</v>
      </c>
      <c r="C103" s="89">
        <f t="shared" si="82"/>
        <v>0</v>
      </c>
      <c r="D103" s="89">
        <f t="shared" si="82"/>
        <v>0</v>
      </c>
      <c r="E103" s="89">
        <f t="shared" si="82"/>
        <v>0</v>
      </c>
      <c r="F103" s="89">
        <f t="shared" si="82"/>
        <v>0</v>
      </c>
      <c r="G103" s="89">
        <f t="shared" si="82"/>
        <v>0</v>
      </c>
      <c r="H103" s="89">
        <f t="shared" si="82"/>
        <v>0</v>
      </c>
      <c r="I103" s="89">
        <f t="shared" si="82"/>
        <v>0</v>
      </c>
      <c r="J103" s="89">
        <f t="shared" si="82"/>
        <v>0</v>
      </c>
      <c r="K103" s="89">
        <f t="shared" si="82"/>
        <v>0</v>
      </c>
      <c r="L103" s="89">
        <f t="shared" si="82"/>
        <v>0</v>
      </c>
      <c r="M103" s="89">
        <f t="shared" si="82"/>
        <v>0</v>
      </c>
      <c r="N103" s="89">
        <f t="shared" si="82"/>
        <v>0</v>
      </c>
      <c r="O103" s="89">
        <f t="shared" si="82"/>
        <v>0</v>
      </c>
      <c r="P103" s="89">
        <f t="shared" si="82"/>
        <v>0</v>
      </c>
      <c r="Q103" s="89">
        <f t="shared" si="82"/>
        <v>0</v>
      </c>
      <c r="R103" s="89">
        <f t="shared" si="82"/>
        <v>0</v>
      </c>
      <c r="S103" s="89">
        <f t="shared" ref="S103:T103" si="83">IF(S85&lt;0,S85*-1,0)</f>
        <v>0</v>
      </c>
      <c r="T103" s="89">
        <f t="shared" si="83"/>
        <v>0</v>
      </c>
      <c r="U103" s="89">
        <f t="shared" ref="U103:V103" si="84">IF(U85&lt;0,U85*-1,0)</f>
        <v>0</v>
      </c>
      <c r="V103" s="89">
        <f t="shared" si="84"/>
        <v>0</v>
      </c>
      <c r="W103" s="89">
        <f t="shared" si="82"/>
        <v>0</v>
      </c>
      <c r="X103" s="89">
        <f t="shared" ref="X103:Y103" si="85">IF(X85&lt;0,X85*-1,0)</f>
        <v>0</v>
      </c>
      <c r="Y103" s="89">
        <f t="shared" si="85"/>
        <v>0</v>
      </c>
      <c r="Z103" s="89">
        <f t="shared" ref="Z103:AA103" si="86">IF(Z85&lt;0,Z85*-1,0)</f>
        <v>0</v>
      </c>
      <c r="AA103" s="89">
        <f t="shared" si="86"/>
        <v>0</v>
      </c>
      <c r="AB103" s="89">
        <f t="shared" si="82"/>
        <v>0</v>
      </c>
      <c r="AC103" s="89">
        <f t="shared" si="82"/>
        <v>0</v>
      </c>
      <c r="AD103" s="89">
        <f t="shared" si="82"/>
        <v>0</v>
      </c>
      <c r="AE103" s="89">
        <f t="shared" si="82"/>
        <v>0</v>
      </c>
      <c r="AF103" s="89">
        <f t="shared" si="82"/>
        <v>0</v>
      </c>
      <c r="AG103" s="111"/>
      <c r="AH103" s="48">
        <f t="shared" si="50"/>
        <v>0</v>
      </c>
      <c r="AI103" s="49">
        <f t="shared" si="51"/>
        <v>0</v>
      </c>
      <c r="BF103" s="81"/>
      <c r="BG103" s="82">
        <v>4.8</v>
      </c>
      <c r="BH103" s="82">
        <v>0</v>
      </c>
      <c r="BI103" s="82">
        <v>-20</v>
      </c>
      <c r="BJ103" s="82">
        <v>0</v>
      </c>
      <c r="BK103" s="82">
        <v>0</v>
      </c>
      <c r="BL103" s="82">
        <v>0</v>
      </c>
    </row>
    <row r="104" spans="1:64" x14ac:dyDescent="0.25">
      <c r="A104" s="97" t="s">
        <v>128</v>
      </c>
      <c r="B104" s="89">
        <f t="shared" ref="B104:AF104" si="87">IF(B83&lt;0,B83*-1,0)</f>
        <v>0</v>
      </c>
      <c r="C104" s="89">
        <f t="shared" si="87"/>
        <v>6</v>
      </c>
      <c r="D104" s="89">
        <f t="shared" si="87"/>
        <v>0</v>
      </c>
      <c r="E104" s="89">
        <f t="shared" si="87"/>
        <v>7</v>
      </c>
      <c r="F104" s="89">
        <f t="shared" si="87"/>
        <v>28</v>
      </c>
      <c r="G104" s="89">
        <f t="shared" si="87"/>
        <v>70</v>
      </c>
      <c r="H104" s="89">
        <f t="shared" si="87"/>
        <v>75</v>
      </c>
      <c r="I104" s="89">
        <f t="shared" si="87"/>
        <v>57.6</v>
      </c>
      <c r="J104" s="89">
        <f t="shared" si="87"/>
        <v>101</v>
      </c>
      <c r="K104" s="89">
        <f t="shared" si="87"/>
        <v>84</v>
      </c>
      <c r="L104" s="89">
        <f t="shared" si="87"/>
        <v>81</v>
      </c>
      <c r="M104" s="89">
        <f t="shared" si="87"/>
        <v>80</v>
      </c>
      <c r="N104" s="89">
        <f t="shared" si="87"/>
        <v>88.8</v>
      </c>
      <c r="O104" s="89">
        <f t="shared" si="87"/>
        <v>0</v>
      </c>
      <c r="P104" s="89">
        <f t="shared" si="87"/>
        <v>128</v>
      </c>
      <c r="Q104" s="89">
        <f t="shared" si="87"/>
        <v>80</v>
      </c>
      <c r="R104" s="89">
        <f t="shared" si="87"/>
        <v>0</v>
      </c>
      <c r="S104" s="89">
        <f t="shared" ref="S104:T104" si="88">IF(S83&lt;0,S83*-1,0)</f>
        <v>0</v>
      </c>
      <c r="T104" s="89">
        <f t="shared" si="88"/>
        <v>0</v>
      </c>
      <c r="U104" s="89">
        <f t="shared" ref="U104:V104" si="89">IF(U83&lt;0,U83*-1,0)</f>
        <v>0</v>
      </c>
      <c r="V104" s="89">
        <f t="shared" si="89"/>
        <v>0</v>
      </c>
      <c r="W104" s="89">
        <f t="shared" si="87"/>
        <v>0</v>
      </c>
      <c r="X104" s="89">
        <f t="shared" ref="X104:Y104" si="90">IF(X83&lt;0,X83*-1,0)</f>
        <v>0</v>
      </c>
      <c r="Y104" s="89">
        <f t="shared" si="90"/>
        <v>0</v>
      </c>
      <c r="Z104" s="89">
        <f t="shared" ref="Z104:AA104" si="91">IF(Z83&lt;0,Z83*-1,0)</f>
        <v>0</v>
      </c>
      <c r="AA104" s="89">
        <f t="shared" si="91"/>
        <v>1.4</v>
      </c>
      <c r="AB104" s="89">
        <f t="shared" si="87"/>
        <v>20</v>
      </c>
      <c r="AC104" s="89">
        <f t="shared" si="87"/>
        <v>20</v>
      </c>
      <c r="AD104" s="89">
        <f t="shared" si="87"/>
        <v>0</v>
      </c>
      <c r="AE104" s="89">
        <f t="shared" si="87"/>
        <v>329</v>
      </c>
      <c r="AF104" s="89">
        <f t="shared" si="87"/>
        <v>331</v>
      </c>
      <c r="AG104" s="111"/>
      <c r="AH104" s="48">
        <f t="shared" si="50"/>
        <v>331</v>
      </c>
      <c r="AI104" s="49">
        <f t="shared" si="51"/>
        <v>0</v>
      </c>
      <c r="BF104" s="81"/>
      <c r="BG104" s="82">
        <v>-2.7</v>
      </c>
      <c r="BH104" s="82">
        <v>0</v>
      </c>
      <c r="BI104" s="82">
        <v>3.6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AF105" si="92">IF(B81&lt;0,B81*-1,0)</f>
        <v>0</v>
      </c>
      <c r="C105" s="89">
        <f t="shared" si="92"/>
        <v>0</v>
      </c>
      <c r="D105" s="89">
        <f t="shared" si="92"/>
        <v>0</v>
      </c>
      <c r="E105" s="89">
        <f t="shared" si="92"/>
        <v>0</v>
      </c>
      <c r="F105" s="89">
        <f t="shared" si="92"/>
        <v>0</v>
      </c>
      <c r="G105" s="89">
        <f t="shared" si="92"/>
        <v>0</v>
      </c>
      <c r="H105" s="89">
        <f t="shared" si="92"/>
        <v>0</v>
      </c>
      <c r="I105" s="89">
        <f t="shared" si="92"/>
        <v>0</v>
      </c>
      <c r="J105" s="89">
        <f t="shared" si="92"/>
        <v>0</v>
      </c>
      <c r="K105" s="89">
        <f t="shared" si="92"/>
        <v>0</v>
      </c>
      <c r="L105" s="89">
        <f t="shared" si="92"/>
        <v>0</v>
      </c>
      <c r="M105" s="89">
        <f t="shared" si="92"/>
        <v>0</v>
      </c>
      <c r="N105" s="89">
        <f t="shared" si="92"/>
        <v>0</v>
      </c>
      <c r="O105" s="89">
        <f t="shared" si="92"/>
        <v>0</v>
      </c>
      <c r="P105" s="89">
        <f t="shared" si="92"/>
        <v>0</v>
      </c>
      <c r="Q105" s="89">
        <f t="shared" si="92"/>
        <v>0</v>
      </c>
      <c r="R105" s="89">
        <f t="shared" si="92"/>
        <v>0</v>
      </c>
      <c r="S105" s="89">
        <f t="shared" ref="S105:T105" si="93">IF(S81&lt;0,S81*-1,0)</f>
        <v>0</v>
      </c>
      <c r="T105" s="89">
        <f t="shared" si="93"/>
        <v>0</v>
      </c>
      <c r="U105" s="89">
        <f t="shared" ref="U105:V105" si="94">IF(U81&lt;0,U81*-1,0)</f>
        <v>0</v>
      </c>
      <c r="V105" s="89">
        <f t="shared" si="94"/>
        <v>0</v>
      </c>
      <c r="W105" s="89">
        <f t="shared" si="92"/>
        <v>0</v>
      </c>
      <c r="X105" s="89">
        <f t="shared" ref="X105:Y105" si="95">IF(X81&lt;0,X81*-1,0)</f>
        <v>0</v>
      </c>
      <c r="Y105" s="89">
        <f t="shared" si="95"/>
        <v>0</v>
      </c>
      <c r="Z105" s="89">
        <f t="shared" ref="Z105:AA105" si="96">IF(Z81&lt;0,Z81*-1,0)</f>
        <v>0</v>
      </c>
      <c r="AA105" s="89">
        <f t="shared" si="96"/>
        <v>0</v>
      </c>
      <c r="AB105" s="89">
        <f t="shared" si="92"/>
        <v>0</v>
      </c>
      <c r="AC105" s="89">
        <f t="shared" si="92"/>
        <v>0</v>
      </c>
      <c r="AD105" s="89">
        <f t="shared" si="92"/>
        <v>2.7</v>
      </c>
      <c r="AE105" s="89">
        <f t="shared" si="92"/>
        <v>1.3</v>
      </c>
      <c r="AF105" s="89">
        <f t="shared" si="92"/>
        <v>1.4</v>
      </c>
      <c r="AG105" s="111"/>
      <c r="AH105" s="48">
        <f t="shared" si="50"/>
        <v>2.7</v>
      </c>
      <c r="AI105" s="49">
        <f t="shared" si="51"/>
        <v>0</v>
      </c>
      <c r="BF105" s="81"/>
      <c r="BG105" s="82">
        <v>-1.3</v>
      </c>
      <c r="BH105" s="82">
        <v>0</v>
      </c>
      <c r="BI105" s="82">
        <v>-329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2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50"/>
        <v>2</v>
      </c>
      <c r="AI106" s="49">
        <f t="shared" si="51"/>
        <v>0</v>
      </c>
      <c r="BG106" s="82">
        <v>-1.4</v>
      </c>
      <c r="BH106" s="82">
        <v>0</v>
      </c>
      <c r="BI106" s="82">
        <v>-331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AF107" si="97">SUM(B101:B106)</f>
        <v>0</v>
      </c>
      <c r="C107" s="71">
        <f t="shared" si="97"/>
        <v>6</v>
      </c>
      <c r="D107" s="71">
        <f t="shared" si="97"/>
        <v>0</v>
      </c>
      <c r="E107" s="71">
        <f t="shared" si="97"/>
        <v>7</v>
      </c>
      <c r="F107" s="71">
        <f t="shared" si="97"/>
        <v>28</v>
      </c>
      <c r="G107" s="71">
        <f t="shared" si="97"/>
        <v>70</v>
      </c>
      <c r="H107" s="71">
        <f t="shared" si="97"/>
        <v>75</v>
      </c>
      <c r="I107" s="71">
        <f t="shared" si="97"/>
        <v>57.6</v>
      </c>
      <c r="J107" s="71">
        <f t="shared" si="97"/>
        <v>101</v>
      </c>
      <c r="K107" s="71">
        <f t="shared" si="97"/>
        <v>84</v>
      </c>
      <c r="L107" s="71">
        <f t="shared" si="97"/>
        <v>81</v>
      </c>
      <c r="M107" s="71">
        <f t="shared" si="97"/>
        <v>80</v>
      </c>
      <c r="N107" s="71">
        <f t="shared" si="97"/>
        <v>88.8</v>
      </c>
      <c r="O107" s="71">
        <f t="shared" si="97"/>
        <v>0</v>
      </c>
      <c r="P107" s="71">
        <f t="shared" si="97"/>
        <v>128</v>
      </c>
      <c r="Q107" s="71">
        <f t="shared" si="97"/>
        <v>80</v>
      </c>
      <c r="R107" s="71">
        <f t="shared" si="97"/>
        <v>0</v>
      </c>
      <c r="S107" s="71">
        <f t="shared" ref="S107:T107" si="98">SUM(S101:S106)</f>
        <v>0</v>
      </c>
      <c r="T107" s="71">
        <f t="shared" si="98"/>
        <v>0</v>
      </c>
      <c r="U107" s="71">
        <f t="shared" ref="U107:V107" si="99">SUM(U101:U106)</f>
        <v>0</v>
      </c>
      <c r="V107" s="71">
        <f t="shared" si="99"/>
        <v>0</v>
      </c>
      <c r="W107" s="71">
        <f t="shared" si="97"/>
        <v>0</v>
      </c>
      <c r="X107" s="71">
        <f t="shared" ref="X107:Y107" si="100">SUM(X101:X106)</f>
        <v>0</v>
      </c>
      <c r="Y107" s="71">
        <f t="shared" si="100"/>
        <v>0</v>
      </c>
      <c r="Z107" s="71">
        <f t="shared" ref="Z107:AA107" si="101">SUM(Z101:Z106)</f>
        <v>0</v>
      </c>
      <c r="AA107" s="71">
        <f t="shared" si="101"/>
        <v>3.4</v>
      </c>
      <c r="AB107" s="71">
        <f t="shared" si="97"/>
        <v>20</v>
      </c>
      <c r="AC107" s="71">
        <f t="shared" si="97"/>
        <v>20</v>
      </c>
      <c r="AD107" s="71">
        <f t="shared" si="97"/>
        <v>2.7</v>
      </c>
      <c r="AE107" s="71">
        <f t="shared" si="97"/>
        <v>330.3</v>
      </c>
      <c r="AF107" s="71">
        <f t="shared" si="97"/>
        <v>332.4</v>
      </c>
      <c r="AG107" s="101"/>
      <c r="AH107" s="48">
        <f t="shared" si="50"/>
        <v>332.4</v>
      </c>
      <c r="AI107" s="49">
        <f t="shared" si="51"/>
        <v>0</v>
      </c>
      <c r="AK107" s="51"/>
      <c r="BG107" s="82">
        <v>8.5</v>
      </c>
      <c r="BH107" s="82">
        <v>0</v>
      </c>
      <c r="BI107" s="82">
        <v>0.8</v>
      </c>
      <c r="BJ107" s="82">
        <v>18.2</v>
      </c>
      <c r="BK107" s="82">
        <v>0</v>
      </c>
      <c r="BL107" s="82">
        <v>52</v>
      </c>
    </row>
    <row r="108" spans="1:64" ht="15.75" thickBot="1" x14ac:dyDescent="0.3">
      <c r="A108" s="87" t="s">
        <v>131</v>
      </c>
      <c r="B108" s="71">
        <f t="shared" ref="B108:AF108" si="102">B92-B107</f>
        <v>79.5</v>
      </c>
      <c r="C108" s="71">
        <f t="shared" si="102"/>
        <v>71</v>
      </c>
      <c r="D108" s="71">
        <f t="shared" si="102"/>
        <v>78.5</v>
      </c>
      <c r="E108" s="71">
        <f t="shared" si="102"/>
        <v>63.2</v>
      </c>
      <c r="F108" s="71">
        <f t="shared" si="102"/>
        <v>40.400000000000006</v>
      </c>
      <c r="G108" s="71">
        <f t="shared" si="102"/>
        <v>-5.5999999999999943</v>
      </c>
      <c r="H108" s="71">
        <f t="shared" si="102"/>
        <v>17.400000000000006</v>
      </c>
      <c r="I108" s="71">
        <f t="shared" si="102"/>
        <v>6.8000000000000043</v>
      </c>
      <c r="J108" s="71">
        <f t="shared" si="102"/>
        <v>119.5</v>
      </c>
      <c r="K108" s="71">
        <f t="shared" si="102"/>
        <v>160</v>
      </c>
      <c r="L108" s="71">
        <f t="shared" si="102"/>
        <v>158.5</v>
      </c>
      <c r="M108" s="71">
        <f t="shared" si="102"/>
        <v>151.6</v>
      </c>
      <c r="N108" s="71">
        <f t="shared" si="102"/>
        <v>164.8</v>
      </c>
      <c r="O108" s="71">
        <f t="shared" si="102"/>
        <v>241.1</v>
      </c>
      <c r="P108" s="71">
        <f t="shared" si="102"/>
        <v>110.80000000000001</v>
      </c>
      <c r="Q108" s="71">
        <f t="shared" si="102"/>
        <v>175.2</v>
      </c>
      <c r="R108" s="71">
        <f t="shared" si="102"/>
        <v>283.7</v>
      </c>
      <c r="S108" s="71">
        <f t="shared" ref="S108:T108" si="103">S92-S107</f>
        <v>298.7</v>
      </c>
      <c r="T108" s="71">
        <f t="shared" si="103"/>
        <v>455</v>
      </c>
      <c r="U108" s="71">
        <f t="shared" ref="U108:V108" si="104">U92-U107</f>
        <v>443.19999999999993</v>
      </c>
      <c r="V108" s="71">
        <f t="shared" si="104"/>
        <v>425.09999999999997</v>
      </c>
      <c r="W108" s="71">
        <f t="shared" si="102"/>
        <v>373.5</v>
      </c>
      <c r="X108" s="71">
        <f t="shared" ref="X108:Y108" si="105">X92-X107</f>
        <v>306.39999999999998</v>
      </c>
      <c r="Y108" s="71">
        <f t="shared" si="105"/>
        <v>81.900000000000006</v>
      </c>
      <c r="Z108" s="71">
        <f t="shared" ref="Z108:AA108" si="106">Z92-Z107</f>
        <v>88.800000000000011</v>
      </c>
      <c r="AA108" s="71">
        <f t="shared" si="106"/>
        <v>0.80000000000000027</v>
      </c>
      <c r="AB108" s="71">
        <f t="shared" si="102"/>
        <v>-15.2</v>
      </c>
      <c r="AC108" s="71">
        <f t="shared" si="102"/>
        <v>-15.2</v>
      </c>
      <c r="AD108" s="71">
        <f t="shared" si="102"/>
        <v>0.89999999999999991</v>
      </c>
      <c r="AE108" s="71">
        <f t="shared" si="102"/>
        <v>-330.3</v>
      </c>
      <c r="AF108" s="71">
        <f t="shared" si="102"/>
        <v>-332.4</v>
      </c>
      <c r="AG108" s="101"/>
      <c r="AH108" s="48">
        <f t="shared" si="50"/>
        <v>455</v>
      </c>
      <c r="AI108" s="49">
        <f t="shared" si="51"/>
        <v>-332.4</v>
      </c>
    </row>
    <row r="109" spans="1:64" x14ac:dyDescent="0.25">
      <c r="A109" s="113" t="s">
        <v>132</v>
      </c>
      <c r="B109" s="114">
        <v>50.048999999999999</v>
      </c>
      <c r="C109" s="114">
        <v>50.011000000000003</v>
      </c>
      <c r="D109" s="114">
        <v>50.073</v>
      </c>
      <c r="E109" s="114">
        <v>50</v>
      </c>
      <c r="F109" s="114">
        <v>49.976999999999997</v>
      </c>
      <c r="G109" s="114"/>
      <c r="H109" s="114">
        <v>50</v>
      </c>
      <c r="I109" s="114">
        <v>50</v>
      </c>
      <c r="J109" s="114">
        <v>50</v>
      </c>
      <c r="K109" s="114">
        <v>49.993000000000002</v>
      </c>
      <c r="L109" s="114">
        <v>49.994</v>
      </c>
      <c r="M109" s="114">
        <v>50.027000000000001</v>
      </c>
      <c r="N109" s="114">
        <v>50.067</v>
      </c>
      <c r="O109" s="114">
        <v>50.018999999999998</v>
      </c>
      <c r="P109" s="114">
        <v>50.037999999999997</v>
      </c>
      <c r="Q109" s="114">
        <v>49.994999999999997</v>
      </c>
      <c r="R109" s="114">
        <v>50</v>
      </c>
      <c r="S109" s="114">
        <v>50.03</v>
      </c>
      <c r="T109" s="114">
        <v>50</v>
      </c>
      <c r="U109" s="114">
        <v>49.84</v>
      </c>
      <c r="V109" s="114">
        <v>49.99</v>
      </c>
      <c r="W109" s="114">
        <v>50.012999999999998</v>
      </c>
      <c r="X109" s="114">
        <v>49.97</v>
      </c>
      <c r="Y109" s="114">
        <v>50.05</v>
      </c>
      <c r="Z109" s="114">
        <v>50</v>
      </c>
      <c r="AA109" s="114">
        <v>50.07</v>
      </c>
      <c r="AB109" s="114">
        <v>50.015999999999998</v>
      </c>
      <c r="AC109" s="114">
        <v>50.006</v>
      </c>
      <c r="AD109" s="114">
        <v>49.859000000000002</v>
      </c>
      <c r="AE109" s="114">
        <v>50.023000000000003</v>
      </c>
      <c r="AF109" s="114">
        <v>50.023000000000003</v>
      </c>
      <c r="AG109" s="115"/>
      <c r="AH109" s="48">
        <f t="shared" si="50"/>
        <v>50.073</v>
      </c>
      <c r="AI109" s="49">
        <f t="shared" si="51"/>
        <v>49.84</v>
      </c>
    </row>
    <row r="110" spans="1:64" x14ac:dyDescent="0.25">
      <c r="A110" s="116" t="s">
        <v>133</v>
      </c>
      <c r="B110" s="76">
        <v>123.8</v>
      </c>
      <c r="C110" s="76">
        <v>123.7</v>
      </c>
      <c r="D110" s="76">
        <v>122.7</v>
      </c>
      <c r="E110" s="76">
        <v>122.7</v>
      </c>
      <c r="F110" s="76">
        <v>125</v>
      </c>
      <c r="G110" s="76"/>
      <c r="H110" s="76">
        <v>125</v>
      </c>
      <c r="I110" s="76">
        <v>123</v>
      </c>
      <c r="J110" s="76">
        <v>126</v>
      </c>
      <c r="K110" s="76">
        <v>126</v>
      </c>
      <c r="L110" s="76">
        <v>120.5</v>
      </c>
      <c r="M110" s="76">
        <v>121.4</v>
      </c>
      <c r="N110" s="76">
        <v>120.2</v>
      </c>
      <c r="O110" s="76">
        <v>121.1</v>
      </c>
      <c r="P110" s="76">
        <v>124.2</v>
      </c>
      <c r="Q110" s="76">
        <v>122.5</v>
      </c>
      <c r="R110" s="76">
        <v>120.9</v>
      </c>
      <c r="S110" s="76">
        <v>121.5</v>
      </c>
      <c r="T110" s="76">
        <v>121.6</v>
      </c>
      <c r="U110" s="76">
        <v>123.5</v>
      </c>
      <c r="V110" s="76">
        <v>125.8</v>
      </c>
      <c r="W110" s="76">
        <v>126.2</v>
      </c>
      <c r="X110" s="76">
        <v>127.5</v>
      </c>
      <c r="Y110" s="76">
        <v>124.7</v>
      </c>
      <c r="Z110" s="76">
        <v>123</v>
      </c>
      <c r="AA110" s="76">
        <v>125.4</v>
      </c>
      <c r="AB110" s="76">
        <v>122.3</v>
      </c>
      <c r="AC110" s="76">
        <v>123.2</v>
      </c>
      <c r="AD110" s="76">
        <v>123.2</v>
      </c>
      <c r="AE110" s="76">
        <v>121.2</v>
      </c>
      <c r="AF110" s="76">
        <v>121.2</v>
      </c>
      <c r="AG110" s="117"/>
      <c r="AH110" s="48">
        <f t="shared" si="50"/>
        <v>127.5</v>
      </c>
      <c r="AI110" s="49">
        <f t="shared" si="51"/>
        <v>120.2</v>
      </c>
    </row>
    <row r="111" spans="1:64" x14ac:dyDescent="0.25">
      <c r="A111" s="116" t="s">
        <v>134</v>
      </c>
      <c r="B111" s="76">
        <v>128.69999999999999</v>
      </c>
      <c r="C111" s="76">
        <v>128.4</v>
      </c>
      <c r="D111" s="76">
        <v>128</v>
      </c>
      <c r="E111" s="76">
        <v>128</v>
      </c>
      <c r="F111" s="76">
        <v>129.69999999999999</v>
      </c>
      <c r="G111" s="76"/>
      <c r="H111" s="76">
        <v>129.69999999999999</v>
      </c>
      <c r="I111" s="76">
        <v>127.7</v>
      </c>
      <c r="J111" s="76">
        <v>129</v>
      </c>
      <c r="K111" s="76">
        <v>129</v>
      </c>
      <c r="L111" s="76">
        <v>124</v>
      </c>
      <c r="M111" s="76">
        <v>125.2</v>
      </c>
      <c r="N111" s="76">
        <v>123.8</v>
      </c>
      <c r="O111" s="76">
        <v>124.5</v>
      </c>
      <c r="P111" s="76">
        <v>126.7</v>
      </c>
      <c r="Q111" s="76">
        <v>125.9</v>
      </c>
      <c r="R111" s="76">
        <v>134.30000000000001</v>
      </c>
      <c r="S111" s="76">
        <v>124.9</v>
      </c>
      <c r="T111" s="76">
        <v>125.4</v>
      </c>
      <c r="U111" s="76">
        <v>126.8</v>
      </c>
      <c r="V111" s="76">
        <v>128</v>
      </c>
      <c r="W111" s="76">
        <v>128.69999999999999</v>
      </c>
      <c r="X111" s="76">
        <v>129.9</v>
      </c>
      <c r="Y111" s="76">
        <v>129.9</v>
      </c>
      <c r="Z111" s="76">
        <v>126.2</v>
      </c>
      <c r="AA111" s="76">
        <v>127.7</v>
      </c>
      <c r="AB111" s="76">
        <v>126.2</v>
      </c>
      <c r="AC111" s="76">
        <v>127</v>
      </c>
      <c r="AD111" s="76">
        <v>127.3</v>
      </c>
      <c r="AE111" s="76">
        <v>127.3</v>
      </c>
      <c r="AF111" s="76">
        <v>127.3</v>
      </c>
      <c r="AG111" s="117"/>
      <c r="AH111" s="48">
        <f t="shared" si="50"/>
        <v>134.30000000000001</v>
      </c>
      <c r="AI111" s="49">
        <f t="shared" si="51"/>
        <v>123.8</v>
      </c>
    </row>
    <row r="112" spans="1:64" x14ac:dyDescent="0.25">
      <c r="A112" s="116" t="s">
        <v>135</v>
      </c>
      <c r="B112" s="76">
        <v>125.6</v>
      </c>
      <c r="C112" s="76">
        <v>129.19999999999999</v>
      </c>
      <c r="D112" s="76">
        <v>129.19999999999999</v>
      </c>
      <c r="E112" s="76">
        <v>129.19999999999999</v>
      </c>
      <c r="F112" s="76">
        <v>131</v>
      </c>
      <c r="G112" s="76"/>
      <c r="H112" s="76">
        <v>131</v>
      </c>
      <c r="I112" s="76">
        <v>128</v>
      </c>
      <c r="J112" s="76">
        <v>127</v>
      </c>
      <c r="K112" s="76">
        <v>127</v>
      </c>
      <c r="L112" s="76">
        <v>126</v>
      </c>
      <c r="M112" s="76">
        <v>126.9</v>
      </c>
      <c r="N112" s="76">
        <v>125.5</v>
      </c>
      <c r="O112" s="76">
        <v>126.1</v>
      </c>
      <c r="P112" s="76">
        <v>123.2</v>
      </c>
      <c r="Q112" s="76">
        <v>124.3</v>
      </c>
      <c r="R112" s="76">
        <v>124.9</v>
      </c>
      <c r="S112" s="76">
        <v>124.8</v>
      </c>
      <c r="T112" s="76">
        <v>121.9</v>
      </c>
      <c r="U112" s="76">
        <v>127.7</v>
      </c>
      <c r="V112" s="76">
        <v>129.19999999999999</v>
      </c>
      <c r="W112" s="76">
        <v>130.9</v>
      </c>
      <c r="X112" s="76">
        <v>133.5</v>
      </c>
      <c r="Y112" s="76">
        <v>133.5</v>
      </c>
      <c r="Z112" s="76">
        <v>128.30000000000001</v>
      </c>
      <c r="AA112" s="76">
        <v>127.4</v>
      </c>
      <c r="AB112" s="76">
        <v>127</v>
      </c>
      <c r="AC112" s="76">
        <v>128.19999999999999</v>
      </c>
      <c r="AD112" s="76">
        <v>127.8</v>
      </c>
      <c r="AE112" s="76">
        <v>128</v>
      </c>
      <c r="AF112" s="76">
        <v>128</v>
      </c>
      <c r="AG112" s="117"/>
      <c r="AH112" s="48">
        <f t="shared" si="50"/>
        <v>133.5</v>
      </c>
      <c r="AI112" s="49">
        <f t="shared" si="51"/>
        <v>121.9</v>
      </c>
    </row>
    <row r="113" spans="1:35" x14ac:dyDescent="0.25">
      <c r="A113" s="118" t="s">
        <v>136</v>
      </c>
      <c r="B113" s="76">
        <v>129</v>
      </c>
      <c r="C113" s="76">
        <v>132.4</v>
      </c>
      <c r="D113" s="76">
        <v>131.6</v>
      </c>
      <c r="E113" s="76">
        <v>131.6</v>
      </c>
      <c r="F113" s="76">
        <v>133</v>
      </c>
      <c r="G113" s="76"/>
      <c r="H113" s="76">
        <v>133</v>
      </c>
      <c r="I113" s="76">
        <v>131</v>
      </c>
      <c r="J113" s="76">
        <v>130</v>
      </c>
      <c r="K113" s="76">
        <v>130</v>
      </c>
      <c r="L113" s="76">
        <v>130</v>
      </c>
      <c r="M113" s="76">
        <v>128.19999999999999</v>
      </c>
      <c r="N113" s="76">
        <v>128.1</v>
      </c>
      <c r="O113" s="76">
        <v>127.7</v>
      </c>
      <c r="P113" s="76">
        <v>124.9</v>
      </c>
      <c r="Q113" s="76">
        <v>127.9</v>
      </c>
      <c r="R113" s="76">
        <v>129.4</v>
      </c>
      <c r="S113" s="76">
        <v>129.80000000000001</v>
      </c>
      <c r="T113" s="76">
        <v>127.3</v>
      </c>
      <c r="U113" s="76">
        <v>127.3</v>
      </c>
      <c r="V113" s="76">
        <v>130.1</v>
      </c>
      <c r="W113" s="76">
        <v>131.19999999999999</v>
      </c>
      <c r="X113" s="76">
        <v>134.1</v>
      </c>
      <c r="Y113" s="76">
        <v>134.1</v>
      </c>
      <c r="Z113" s="76">
        <v>128.5</v>
      </c>
      <c r="AA113" s="76">
        <v>128.69999999999999</v>
      </c>
      <c r="AB113" s="76">
        <v>128.30000000000001</v>
      </c>
      <c r="AC113" s="76">
        <v>129.19999999999999</v>
      </c>
      <c r="AD113" s="76">
        <v>128.19999999999999</v>
      </c>
      <c r="AE113" s="76">
        <v>131.30000000000001</v>
      </c>
      <c r="AF113" s="76">
        <v>131.30000000000001</v>
      </c>
      <c r="AG113" s="117"/>
      <c r="AH113" s="48">
        <f t="shared" si="50"/>
        <v>134.1</v>
      </c>
      <c r="AI113" s="49">
        <f t="shared" si="51"/>
        <v>124.9</v>
      </c>
    </row>
    <row r="114" spans="1:35" x14ac:dyDescent="0.25">
      <c r="A114" s="118" t="s">
        <v>137</v>
      </c>
      <c r="B114" s="119">
        <v>131.5</v>
      </c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>
        <v>134.1</v>
      </c>
      <c r="AA114" s="119">
        <v>133</v>
      </c>
      <c r="AB114" s="119">
        <v>130</v>
      </c>
      <c r="AC114" s="119">
        <v>133.80000000000001</v>
      </c>
      <c r="AD114" s="119">
        <v>133.4</v>
      </c>
      <c r="AE114" s="119"/>
      <c r="AF114" s="119"/>
      <c r="AG114" s="120"/>
      <c r="AH114" s="48">
        <f t="shared" si="50"/>
        <v>134.1</v>
      </c>
      <c r="AI114" s="49">
        <f t="shared" si="51"/>
        <v>130</v>
      </c>
    </row>
    <row r="115" spans="1:35" x14ac:dyDescent="0.25">
      <c r="A115" s="116" t="s">
        <v>138</v>
      </c>
      <c r="B115" s="76">
        <v>116</v>
      </c>
      <c r="C115" s="76">
        <v>120.8</v>
      </c>
      <c r="D115" s="76">
        <v>120.9</v>
      </c>
      <c r="E115" s="76">
        <v>120.9</v>
      </c>
      <c r="F115" s="76">
        <v>124</v>
      </c>
      <c r="G115" s="76"/>
      <c r="H115" s="76">
        <v>124</v>
      </c>
      <c r="I115" s="76">
        <v>131</v>
      </c>
      <c r="J115" s="76">
        <v>126</v>
      </c>
      <c r="K115" s="76">
        <v>126</v>
      </c>
      <c r="L115" s="76">
        <v>122</v>
      </c>
      <c r="M115" s="76">
        <v>126.2</v>
      </c>
      <c r="N115" s="76">
        <v>124.2</v>
      </c>
      <c r="O115" s="76">
        <v>118.2</v>
      </c>
      <c r="P115" s="76">
        <v>117.8</v>
      </c>
      <c r="Q115" s="76">
        <v>121</v>
      </c>
      <c r="R115" s="76">
        <v>123.1</v>
      </c>
      <c r="S115" s="76">
        <v>126.9</v>
      </c>
      <c r="T115" s="76">
        <v>131.19999999999999</v>
      </c>
      <c r="U115" s="76">
        <v>131.19999999999999</v>
      </c>
      <c r="V115" s="76">
        <v>129.6</v>
      </c>
      <c r="W115" s="76">
        <v>130.1</v>
      </c>
      <c r="X115" s="76">
        <v>135.19999999999999</v>
      </c>
      <c r="Y115" s="76">
        <v>135.19999999999999</v>
      </c>
      <c r="Z115" s="76">
        <v>132.6</v>
      </c>
      <c r="AA115" s="76">
        <v>131.1</v>
      </c>
      <c r="AB115" s="76">
        <v>120.9</v>
      </c>
      <c r="AC115" s="76">
        <v>128.4</v>
      </c>
      <c r="AD115" s="76">
        <v>122.7</v>
      </c>
      <c r="AE115" s="76">
        <v>127.4</v>
      </c>
      <c r="AF115" s="76">
        <v>127.4</v>
      </c>
      <c r="AG115" s="117"/>
      <c r="AH115" s="48">
        <f t="shared" si="50"/>
        <v>135.19999999999999</v>
      </c>
      <c r="AI115" s="49">
        <f t="shared" si="51"/>
        <v>116</v>
      </c>
    </row>
    <row r="116" spans="1:35" ht="15.75" thickBot="1" x14ac:dyDescent="0.3">
      <c r="A116" s="116" t="s">
        <v>139</v>
      </c>
      <c r="B116" s="105">
        <v>64.8</v>
      </c>
      <c r="C116" s="105">
        <v>64.400000000000006</v>
      </c>
      <c r="D116" s="105">
        <v>64.400000000000006</v>
      </c>
      <c r="E116" s="105">
        <v>64.400000000000006</v>
      </c>
      <c r="F116" s="105">
        <v>65.400000000000006</v>
      </c>
      <c r="G116" s="105"/>
      <c r="H116" s="105">
        <v>65.400000000000006</v>
      </c>
      <c r="I116" s="105">
        <v>64.5</v>
      </c>
      <c r="J116" s="105">
        <v>65.3</v>
      </c>
      <c r="K116" s="105">
        <v>65.3</v>
      </c>
      <c r="L116" s="105">
        <v>62</v>
      </c>
      <c r="M116" s="105">
        <v>62.9</v>
      </c>
      <c r="N116" s="105">
        <v>62</v>
      </c>
      <c r="O116" s="105">
        <v>65.2</v>
      </c>
      <c r="P116" s="105">
        <v>63.7</v>
      </c>
      <c r="Q116" s="105">
        <v>63.2</v>
      </c>
      <c r="R116" s="105">
        <v>62.4</v>
      </c>
      <c r="S116" s="105">
        <v>62.9</v>
      </c>
      <c r="T116" s="105">
        <v>63.2</v>
      </c>
      <c r="U116" s="105">
        <v>63.2</v>
      </c>
      <c r="V116" s="105">
        <v>64.2</v>
      </c>
      <c r="W116" s="105">
        <v>65</v>
      </c>
      <c r="X116" s="105">
        <v>128.9</v>
      </c>
      <c r="Y116" s="105">
        <v>128.9</v>
      </c>
      <c r="Z116" s="105">
        <v>63.5</v>
      </c>
      <c r="AA116" s="105">
        <v>63.6</v>
      </c>
      <c r="AB116" s="105">
        <v>63.8</v>
      </c>
      <c r="AC116" s="105">
        <v>64.400000000000006</v>
      </c>
      <c r="AD116" s="105">
        <v>64.3</v>
      </c>
      <c r="AE116" s="105">
        <v>64.3</v>
      </c>
      <c r="AF116" s="105">
        <v>64.3</v>
      </c>
      <c r="AG116" s="121"/>
      <c r="AH116" s="48">
        <f t="shared" si="50"/>
        <v>128.9</v>
      </c>
      <c r="AI116" s="49">
        <f t="shared" si="51"/>
        <v>62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50"/>
        <v>0</v>
      </c>
      <c r="AI117" s="49">
        <f t="shared" si="51"/>
        <v>0</v>
      </c>
    </row>
    <row r="118" spans="1:35" ht="15.75" thickBot="1" x14ac:dyDescent="0.3">
      <c r="A118" s="123" t="s">
        <v>141</v>
      </c>
      <c r="B118" s="124">
        <f t="shared" ref="B118:O118" si="107">SUM(B22,B28,B31:B32,B66,B68:B69,B71,B73,B119:B123,B155,B161,B167,B176,B178,B190,B197,B200:B201,B208,B210,B212,B216:B218,B220:B222,B227,B233:B234,B236:B238,B246,B251)</f>
        <v>107.64000000000004</v>
      </c>
      <c r="C118" s="124">
        <f t="shared" si="107"/>
        <v>106.04</v>
      </c>
      <c r="D118" s="124">
        <f t="shared" si="107"/>
        <v>105.44000000000003</v>
      </c>
      <c r="E118" s="124">
        <f t="shared" si="107"/>
        <v>100.44000000000003</v>
      </c>
      <c r="F118" s="124">
        <f t="shared" si="107"/>
        <v>104.74000000000001</v>
      </c>
      <c r="G118" s="124">
        <f t="shared" si="107"/>
        <v>37.639999999999993</v>
      </c>
      <c r="H118" s="124">
        <f t="shared" si="107"/>
        <v>156.53999999999996</v>
      </c>
      <c r="I118" s="124">
        <f t="shared" si="107"/>
        <v>180.74</v>
      </c>
      <c r="J118" s="124">
        <f t="shared" si="107"/>
        <v>211.34</v>
      </c>
      <c r="K118" s="124">
        <f t="shared" si="107"/>
        <v>249.04000000000002</v>
      </c>
      <c r="L118" s="124">
        <f t="shared" si="107"/>
        <v>278.14</v>
      </c>
      <c r="M118" s="124">
        <f t="shared" si="107"/>
        <v>281.83999999999997</v>
      </c>
      <c r="N118" s="124">
        <f t="shared" si="107"/>
        <v>283.44</v>
      </c>
      <c r="O118" s="124">
        <f t="shared" si="107"/>
        <v>311.14000000000004</v>
      </c>
      <c r="P118" s="124">
        <v>42</v>
      </c>
      <c r="Q118" s="124">
        <f>SUM(Q22,Q28,Q31:Q32,Q66,Q68:Q69,Q71,Q73,Q119:Q123,Q155,Q161,Q167,Q176,Q178,Q190,Q197,Q200:Q201,Q208,Q210,Q212,Q216:Q218,Q220:Q222,Q227,Q233:Q234,Q236:Q238,Q246,Q251)</f>
        <v>305.14</v>
      </c>
      <c r="R118" s="124">
        <f t="shared" ref="R118:W118" si="108">SUM(R22,R28,R31:R32,R66,R68:R69,R71,R73,R119:R123,R155,R161,R167,R176,R178,R190,R197,R200:R201,R208,R210,R212,R216:R218,R220:R222,R227,R233:R234,R236:R238,R246,R251)</f>
        <v>285.14000000000004</v>
      </c>
      <c r="S118" s="124">
        <f t="shared" ref="S118:T118" si="109">SUM(S22,S28,S31:S32,S66,S68:S69,S71,S73,S119:S123,S155,S161,S167,S176,S178,S190,S197,S200:S201,S208,S210,S212,S216:S218,S220:S222,S227,S233:S234,S236:S238,S246,S251)</f>
        <v>280.33999999999997</v>
      </c>
      <c r="T118" s="124">
        <f t="shared" si="109"/>
        <v>271.94</v>
      </c>
      <c r="U118" s="124">
        <f t="shared" ref="U118:V118" si="110">SUM(U22,U28,U31:U32,U66,U68:U69,U71,U73,U119:U123,U155,U161,U167,U176,U178,U190,U197,U200:U201,U208,U210,U212,U216:U218,U220:U222,U227,U233:U234,U236:U238,U246,U251)</f>
        <v>253.03999999999996</v>
      </c>
      <c r="V118" s="124">
        <f t="shared" si="110"/>
        <v>258.94</v>
      </c>
      <c r="W118" s="124">
        <f t="shared" si="108"/>
        <v>247.23999999999998</v>
      </c>
      <c r="X118" s="124">
        <f t="shared" ref="X118:Y118" si="111">SUM(X22,X28,X31:X32,X66,X68:X69,X71,X73,X119:X123,X155,X161,X167,X176,X178,X190,X197,X200:X201,X208,X210,X212,X216:X218,X220:X222,X227,X233:X234,X236:X238,X246,X251)</f>
        <v>255.24</v>
      </c>
      <c r="Y118" s="124">
        <f t="shared" si="111"/>
        <v>246.23999999999995</v>
      </c>
      <c r="Z118" s="124">
        <f t="shared" ref="Z118:AA118" si="112">SUM(Z22,Z28,Z31:Z32,Z66,Z68:Z69,Z71,Z73,Z119:Z123,Z155,Z161,Z167,Z176,Z178,Z190,Z197,Z200:Z201,Z208,Z210,Z212,Z216:Z218,Z220:Z222,Z227,Z233:Z234,Z236:Z238,Z246,Z251)</f>
        <v>335.44</v>
      </c>
      <c r="AA118" s="124">
        <f t="shared" si="112"/>
        <v>319.33999999999997</v>
      </c>
      <c r="AB118" s="124">
        <f t="shared" ref="AB118:AF118" si="113">SUM(AB22,AB28,AB31:AB32,AB66,AB68:AB69,AB71,AB73,AB119:AB123,AB155,AB161,AB167,AB176,AB178,AB190,AB197,AB200:AB201,AB208,AB210,AB212,AB216:AB218,AB220:AB222,AB227,AB233:AB234,AB236:AB238,AB246,AB251)</f>
        <v>228.34000000000003</v>
      </c>
      <c r="AC118" s="124">
        <f t="shared" si="113"/>
        <v>211.83999999999997</v>
      </c>
      <c r="AD118" s="124">
        <f t="shared" si="113"/>
        <v>173.54000000000002</v>
      </c>
      <c r="AE118" s="124">
        <f t="shared" si="113"/>
        <v>81.339999999999975</v>
      </c>
      <c r="AF118" s="124">
        <f t="shared" si="113"/>
        <v>81.339999999999975</v>
      </c>
      <c r="AG118" s="125"/>
      <c r="AH118" s="48">
        <f t="shared" si="50"/>
        <v>335.44</v>
      </c>
      <c r="AI118" s="49">
        <f t="shared" si="51"/>
        <v>37.639999999999993</v>
      </c>
    </row>
    <row r="119" spans="1:35" x14ac:dyDescent="0.25">
      <c r="A119" s="126" t="s">
        <v>142</v>
      </c>
      <c r="B119" s="127">
        <v>58.2</v>
      </c>
      <c r="C119" s="127">
        <v>56.5</v>
      </c>
      <c r="D119" s="127">
        <v>56.2</v>
      </c>
      <c r="E119" s="127">
        <v>65.2</v>
      </c>
      <c r="F119" s="127">
        <v>52.1</v>
      </c>
      <c r="G119" s="127"/>
      <c r="H119" s="127">
        <v>55.2</v>
      </c>
      <c r="I119" s="127">
        <v>36.799999999999997</v>
      </c>
      <c r="J119" s="127">
        <v>55</v>
      </c>
      <c r="K119" s="127">
        <v>53.5</v>
      </c>
      <c r="L119" s="127">
        <v>59.3</v>
      </c>
      <c r="M119" s="127">
        <v>51.1</v>
      </c>
      <c r="N119" s="127">
        <v>54.4</v>
      </c>
      <c r="O119" s="127">
        <v>53.8</v>
      </c>
      <c r="P119" s="127">
        <v>36.799999999999997</v>
      </c>
      <c r="Q119" s="127">
        <v>43.6</v>
      </c>
      <c r="R119" s="127">
        <v>56.5</v>
      </c>
      <c r="S119" s="127">
        <v>65.900000000000006</v>
      </c>
      <c r="T119" s="127">
        <v>48.3</v>
      </c>
      <c r="U119" s="127">
        <v>39.799999999999997</v>
      </c>
      <c r="V119" s="127">
        <v>54.5</v>
      </c>
      <c r="W119" s="127">
        <v>61.7</v>
      </c>
      <c r="X119" s="127">
        <v>78.099999999999994</v>
      </c>
      <c r="Y119" s="127">
        <v>73.099999999999994</v>
      </c>
      <c r="Z119" s="127">
        <v>92.9</v>
      </c>
      <c r="AA119" s="127">
        <v>70.2</v>
      </c>
      <c r="AB119" s="127">
        <v>59.9</v>
      </c>
      <c r="AC119" s="127">
        <v>57</v>
      </c>
      <c r="AD119" s="127">
        <v>53.8</v>
      </c>
      <c r="AE119" s="127">
        <v>75.2</v>
      </c>
      <c r="AF119" s="127">
        <v>75.2</v>
      </c>
      <c r="AG119" s="128">
        <v>75</v>
      </c>
      <c r="AH119" s="48">
        <f t="shared" si="50"/>
        <v>92.9</v>
      </c>
      <c r="AI119" s="49">
        <f t="shared" si="51"/>
        <v>36.799999999999997</v>
      </c>
    </row>
    <row r="120" spans="1:35" x14ac:dyDescent="0.25">
      <c r="A120" s="129" t="s">
        <v>143</v>
      </c>
      <c r="B120" s="130">
        <v>91.8</v>
      </c>
      <c r="C120" s="130">
        <v>90.6</v>
      </c>
      <c r="D120" s="130">
        <v>90.3</v>
      </c>
      <c r="E120" s="130">
        <v>101</v>
      </c>
      <c r="F120" s="130">
        <v>84.3</v>
      </c>
      <c r="G120" s="130"/>
      <c r="H120" s="130">
        <v>82.5</v>
      </c>
      <c r="I120" s="130">
        <v>62.5</v>
      </c>
      <c r="J120" s="130">
        <v>80</v>
      </c>
      <c r="K120" s="130">
        <v>77.400000000000006</v>
      </c>
      <c r="L120" s="130">
        <v>82.4</v>
      </c>
      <c r="M120" s="130">
        <v>75.5</v>
      </c>
      <c r="N120" s="130">
        <v>79.5</v>
      </c>
      <c r="O120" s="130">
        <v>77</v>
      </c>
      <c r="P120" s="130">
        <v>60.1</v>
      </c>
      <c r="Q120" s="130">
        <v>66.5</v>
      </c>
      <c r="R120" s="130">
        <v>82</v>
      </c>
      <c r="S120" s="130">
        <v>92.5</v>
      </c>
      <c r="T120" s="130">
        <v>71.099999999999994</v>
      </c>
      <c r="U120" s="130">
        <v>61.4</v>
      </c>
      <c r="V120" s="130">
        <v>79.5</v>
      </c>
      <c r="W120" s="130">
        <v>89.7</v>
      </c>
      <c r="X120" s="130">
        <v>111.9</v>
      </c>
      <c r="Y120" s="130">
        <v>119.3</v>
      </c>
      <c r="Z120" s="130">
        <v>131.4</v>
      </c>
      <c r="AA120" s="130">
        <v>101.3</v>
      </c>
      <c r="AB120" s="130">
        <v>89</v>
      </c>
      <c r="AC120" s="130">
        <v>83</v>
      </c>
      <c r="AD120" s="130">
        <v>82.3</v>
      </c>
      <c r="AE120" s="130">
        <v>109</v>
      </c>
      <c r="AF120" s="130">
        <v>109</v>
      </c>
      <c r="AG120" s="128">
        <v>240</v>
      </c>
      <c r="AH120" s="48">
        <f t="shared" si="50"/>
        <v>131.4</v>
      </c>
      <c r="AI120" s="49">
        <f t="shared" si="51"/>
        <v>60.1</v>
      </c>
    </row>
    <row r="121" spans="1:35" x14ac:dyDescent="0.25">
      <c r="A121" s="129" t="s">
        <v>144</v>
      </c>
      <c r="B121" s="130">
        <v>-170</v>
      </c>
      <c r="C121" s="130">
        <v>-158</v>
      </c>
      <c r="D121" s="130">
        <v>-152</v>
      </c>
      <c r="E121" s="130">
        <v>-170</v>
      </c>
      <c r="F121" s="130">
        <v>-140</v>
      </c>
      <c r="G121" s="130"/>
      <c r="H121" s="130">
        <v>-120</v>
      </c>
      <c r="I121" s="130">
        <v>-98</v>
      </c>
      <c r="J121" s="130">
        <v>-100</v>
      </c>
      <c r="K121" s="130">
        <v>-90</v>
      </c>
      <c r="L121" s="130">
        <v>-84</v>
      </c>
      <c r="M121" s="130">
        <f>-37.6-41.3</f>
        <v>-78.900000000000006</v>
      </c>
      <c r="N121" s="130">
        <f>-39.3-41.1</f>
        <v>-80.400000000000006</v>
      </c>
      <c r="O121" s="130">
        <f>-33.1-36.9</f>
        <v>-70</v>
      </c>
      <c r="P121" s="130">
        <f>-25-32</f>
        <v>-57</v>
      </c>
      <c r="Q121" s="130">
        <f>-28.6-33</f>
        <v>-61.6</v>
      </c>
      <c r="R121" s="130">
        <f>-33.3-36.2</f>
        <v>-69.5</v>
      </c>
      <c r="S121" s="130">
        <v>-82.1</v>
      </c>
      <c r="T121" s="130">
        <v>-56.4</v>
      </c>
      <c r="U121" s="130">
        <v>-44.5</v>
      </c>
      <c r="V121" s="130">
        <v>-54</v>
      </c>
      <c r="W121" s="130">
        <f>-43.8-49.4</f>
        <v>-93.199999999999989</v>
      </c>
      <c r="X121" s="130">
        <v>-129</v>
      </c>
      <c r="Y121" s="130">
        <v>-140</v>
      </c>
      <c r="Z121" s="130">
        <v>-114.5</v>
      </c>
      <c r="AA121" s="130">
        <v>-106</v>
      </c>
      <c r="AB121" s="130">
        <v>-100</v>
      </c>
      <c r="AC121" s="130">
        <v>-100</v>
      </c>
      <c r="AD121" s="130">
        <v>-125</v>
      </c>
      <c r="AE121" s="130">
        <v>-170</v>
      </c>
      <c r="AF121" s="130">
        <v>-170</v>
      </c>
      <c r="AG121" s="128">
        <v>240</v>
      </c>
      <c r="AH121" s="48">
        <f t="shared" si="50"/>
        <v>-44.5</v>
      </c>
      <c r="AI121" s="49">
        <f t="shared" si="51"/>
        <v>-170</v>
      </c>
    </row>
    <row r="122" spans="1:35" ht="15.75" thickBot="1" x14ac:dyDescent="0.3">
      <c r="A122" s="129" t="s">
        <v>145</v>
      </c>
      <c r="B122" s="130">
        <v>-9.6</v>
      </c>
      <c r="C122" s="130">
        <v>-14.8</v>
      </c>
      <c r="D122" s="130">
        <v>-17</v>
      </c>
      <c r="E122" s="130">
        <v>-19.3</v>
      </c>
      <c r="F122" s="130">
        <v>-16.3</v>
      </c>
      <c r="G122" s="130"/>
      <c r="H122" s="130">
        <v>-15</v>
      </c>
      <c r="I122" s="130">
        <v>-14.2</v>
      </c>
      <c r="J122" s="130">
        <v>-9.9</v>
      </c>
      <c r="K122" s="130">
        <v>-14.5</v>
      </c>
      <c r="L122" s="130">
        <v>-14.8</v>
      </c>
      <c r="M122" s="130">
        <v>-10.199999999999999</v>
      </c>
      <c r="N122" s="130">
        <v>-12.1</v>
      </c>
      <c r="O122" s="130">
        <v>2.2000000000000002</v>
      </c>
      <c r="P122" s="130">
        <v>18.5</v>
      </c>
      <c r="Q122" s="130">
        <v>6.9</v>
      </c>
      <c r="R122" s="130">
        <v>-5.4</v>
      </c>
      <c r="S122" s="130">
        <v>-2.5</v>
      </c>
      <c r="T122" s="130">
        <v>0</v>
      </c>
      <c r="U122" s="130">
        <v>0</v>
      </c>
      <c r="V122" s="130">
        <v>13.3</v>
      </c>
      <c r="W122" s="130">
        <v>-0.9</v>
      </c>
      <c r="X122" s="130">
        <v>-0.6</v>
      </c>
      <c r="Y122" s="130">
        <v>-2.2999999999999998</v>
      </c>
      <c r="Z122" s="130">
        <v>0.7</v>
      </c>
      <c r="AA122" s="130">
        <v>12.2</v>
      </c>
      <c r="AB122" s="130">
        <v>0.8</v>
      </c>
      <c r="AC122" s="130">
        <v>0.2</v>
      </c>
      <c r="AD122" s="130">
        <v>-7.6</v>
      </c>
      <c r="AE122" s="130">
        <v>-17.5</v>
      </c>
      <c r="AF122" s="130">
        <v>-17.5</v>
      </c>
      <c r="AG122" s="128">
        <v>60</v>
      </c>
      <c r="AH122" s="48">
        <f t="shared" si="50"/>
        <v>18.5</v>
      </c>
      <c r="AI122" s="49">
        <f t="shared" si="51"/>
        <v>-19.3</v>
      </c>
    </row>
    <row r="123" spans="1:35" x14ac:dyDescent="0.25">
      <c r="A123" s="126" t="s">
        <v>146</v>
      </c>
      <c r="B123" s="131">
        <v>1.4</v>
      </c>
      <c r="C123" s="131">
        <v>-4.0999999999999996</v>
      </c>
      <c r="D123" s="131">
        <v>-7.9</v>
      </c>
      <c r="E123" s="131">
        <v>-12.3</v>
      </c>
      <c r="F123" s="131">
        <v>-11.2</v>
      </c>
      <c r="G123" s="131"/>
      <c r="H123" s="131">
        <v>48.2</v>
      </c>
      <c r="I123" s="131">
        <v>88</v>
      </c>
      <c r="J123" s="131">
        <v>54</v>
      </c>
      <c r="K123" s="131">
        <v>86.3</v>
      </c>
      <c r="L123" s="131">
        <v>97</v>
      </c>
      <c r="M123" s="131">
        <v>102.2</v>
      </c>
      <c r="N123" s="131">
        <v>101.7</v>
      </c>
      <c r="O123" s="131">
        <v>100.9</v>
      </c>
      <c r="P123" s="131">
        <v>96.1</v>
      </c>
      <c r="Q123" s="131">
        <v>102</v>
      </c>
      <c r="R123" s="131">
        <v>96.5</v>
      </c>
      <c r="S123" s="131">
        <v>81.8</v>
      </c>
      <c r="T123" s="131">
        <v>92.6</v>
      </c>
      <c r="U123" s="131">
        <v>84.8</v>
      </c>
      <c r="V123" s="131">
        <v>53.1</v>
      </c>
      <c r="W123" s="131">
        <v>79.5</v>
      </c>
      <c r="X123" s="131">
        <v>84.9</v>
      </c>
      <c r="Y123" s="131">
        <v>86.2</v>
      </c>
      <c r="Z123" s="131">
        <v>98</v>
      </c>
      <c r="AA123" s="131">
        <v>114</v>
      </c>
      <c r="AB123" s="131">
        <v>51</v>
      </c>
      <c r="AC123" s="131">
        <v>44</v>
      </c>
      <c r="AD123" s="131">
        <v>42.4</v>
      </c>
      <c r="AE123" s="131">
        <v>-43</v>
      </c>
      <c r="AF123" s="131">
        <v>-43</v>
      </c>
      <c r="AG123" s="132">
        <v>120</v>
      </c>
      <c r="AH123" s="48">
        <f t="shared" si="50"/>
        <v>114</v>
      </c>
      <c r="AI123" s="49">
        <f t="shared" si="51"/>
        <v>-43</v>
      </c>
    </row>
    <row r="124" spans="1:35" x14ac:dyDescent="0.25">
      <c r="A124" s="129" t="s">
        <v>147</v>
      </c>
      <c r="B124" s="131">
        <v>43.7</v>
      </c>
      <c r="C124" s="131">
        <v>39.1</v>
      </c>
      <c r="D124" s="131">
        <v>37.4</v>
      </c>
      <c r="E124" s="131">
        <v>36.4</v>
      </c>
      <c r="F124" s="131">
        <v>36</v>
      </c>
      <c r="G124" s="131"/>
      <c r="H124" s="131">
        <v>64.900000000000006</v>
      </c>
      <c r="I124" s="131">
        <v>85</v>
      </c>
      <c r="J124" s="131">
        <v>68.3</v>
      </c>
      <c r="K124" s="131">
        <v>84.7</v>
      </c>
      <c r="L124" s="131">
        <v>87</v>
      </c>
      <c r="M124" s="131">
        <v>90.7</v>
      </c>
      <c r="N124" s="131">
        <v>89.7</v>
      </c>
      <c r="O124" s="131">
        <v>90</v>
      </c>
      <c r="P124" s="131">
        <v>88.1</v>
      </c>
      <c r="Q124" s="131">
        <v>90.2</v>
      </c>
      <c r="R124" s="131">
        <v>87.2</v>
      </c>
      <c r="S124" s="131">
        <v>74.599999999999994</v>
      </c>
      <c r="T124" s="131">
        <v>77.5</v>
      </c>
      <c r="U124" s="131">
        <v>77.7</v>
      </c>
      <c r="V124" s="131">
        <v>61.1</v>
      </c>
      <c r="W124" s="131">
        <v>83.8</v>
      </c>
      <c r="X124" s="131">
        <v>80.599999999999994</v>
      </c>
      <c r="Y124" s="131">
        <v>84.9</v>
      </c>
      <c r="Z124" s="131">
        <v>91.1</v>
      </c>
      <c r="AA124" s="131">
        <v>93.1</v>
      </c>
      <c r="AB124" s="131">
        <v>84</v>
      </c>
      <c r="AC124" s="131">
        <v>81</v>
      </c>
      <c r="AD124" s="131">
        <v>85</v>
      </c>
      <c r="AE124" s="131">
        <v>45</v>
      </c>
      <c r="AF124" s="131">
        <v>45</v>
      </c>
      <c r="AG124" s="132"/>
      <c r="AH124" s="48">
        <f t="shared" si="50"/>
        <v>93.1</v>
      </c>
      <c r="AI124" s="49">
        <f t="shared" si="51"/>
        <v>36</v>
      </c>
    </row>
    <row r="125" spans="1:35" x14ac:dyDescent="0.25">
      <c r="A125" s="129" t="s">
        <v>148</v>
      </c>
      <c r="B125" s="131">
        <v>-7.8</v>
      </c>
      <c r="C125" s="131">
        <v>-8.1</v>
      </c>
      <c r="D125" s="131">
        <v>-7.8</v>
      </c>
      <c r="E125" s="131">
        <v>-7.8</v>
      </c>
      <c r="F125" s="131">
        <v>-7.8</v>
      </c>
      <c r="G125" s="131"/>
      <c r="H125" s="131">
        <v>9</v>
      </c>
      <c r="I125" s="131">
        <v>31.9</v>
      </c>
      <c r="J125" s="131">
        <v>-17</v>
      </c>
      <c r="K125" s="131">
        <v>-16.7</v>
      </c>
      <c r="L125" s="131">
        <v>-15</v>
      </c>
      <c r="M125" s="131">
        <v>-6.7</v>
      </c>
      <c r="N125" s="131">
        <v>-9.6999999999999993</v>
      </c>
      <c r="O125" s="131">
        <v>-7.2</v>
      </c>
      <c r="P125" s="131">
        <v>-0.9</v>
      </c>
      <c r="Q125" s="131">
        <v>-2.5</v>
      </c>
      <c r="R125" s="131">
        <v>-14.2</v>
      </c>
      <c r="S125" s="131">
        <v>-28.1</v>
      </c>
      <c r="T125" s="131">
        <v>-17.3</v>
      </c>
      <c r="U125" s="131">
        <v>-12.3</v>
      </c>
      <c r="V125" s="131">
        <v>-47.6</v>
      </c>
      <c r="W125" s="131">
        <v>-22.4</v>
      </c>
      <c r="X125" s="131">
        <v>-23.4</v>
      </c>
      <c r="Y125" s="131">
        <v>-23</v>
      </c>
      <c r="Z125" s="131">
        <v>-27.1</v>
      </c>
      <c r="AA125" s="131">
        <v>-22.1</v>
      </c>
      <c r="AB125" s="131">
        <v>-20</v>
      </c>
      <c r="AC125" s="131">
        <v>-19</v>
      </c>
      <c r="AD125" s="131">
        <v>8.5</v>
      </c>
      <c r="AE125" s="131">
        <v>-14</v>
      </c>
      <c r="AF125" s="131">
        <v>-14</v>
      </c>
      <c r="AG125" s="132"/>
      <c r="AH125" s="48">
        <f t="shared" si="50"/>
        <v>31.9</v>
      </c>
      <c r="AI125" s="49">
        <f t="shared" si="51"/>
        <v>-47.6</v>
      </c>
    </row>
    <row r="126" spans="1:35" ht="15.75" thickBot="1" x14ac:dyDescent="0.3">
      <c r="A126" s="129" t="s">
        <v>149</v>
      </c>
      <c r="B126" s="131">
        <v>37.4</v>
      </c>
      <c r="C126" s="131">
        <v>41.5</v>
      </c>
      <c r="D126" s="131">
        <v>54.1</v>
      </c>
      <c r="E126" s="131">
        <v>46.3</v>
      </c>
      <c r="F126" s="131">
        <v>57.1</v>
      </c>
      <c r="G126" s="131"/>
      <c r="H126" s="131">
        <v>63.5</v>
      </c>
      <c r="I126" s="131">
        <v>80.8</v>
      </c>
      <c r="J126" s="131">
        <v>45.2</v>
      </c>
      <c r="K126" s="131">
        <v>60</v>
      </c>
      <c r="L126" s="131">
        <v>65.599999999999994</v>
      </c>
      <c r="M126" s="131">
        <v>66.900000000000006</v>
      </c>
      <c r="N126" s="131">
        <v>67.900000000000006</v>
      </c>
      <c r="O126" s="131">
        <v>69.599999999999994</v>
      </c>
      <c r="P126" s="131">
        <v>54</v>
      </c>
      <c r="Q126" s="131">
        <v>63.7</v>
      </c>
      <c r="R126" s="131">
        <v>70.599999999999994</v>
      </c>
      <c r="S126" s="131">
        <v>57.8</v>
      </c>
      <c r="T126" s="131">
        <v>68.8</v>
      </c>
      <c r="U126" s="131">
        <v>68.2</v>
      </c>
      <c r="V126" s="131">
        <v>47.6</v>
      </c>
      <c r="W126" s="131">
        <v>32</v>
      </c>
      <c r="X126" s="131">
        <v>4.4000000000000004</v>
      </c>
      <c r="Y126" s="131">
        <v>13.7</v>
      </c>
      <c r="Z126" s="131">
        <v>28</v>
      </c>
      <c r="AA126" s="131">
        <v>54</v>
      </c>
      <c r="AB126" s="131">
        <v>63.2</v>
      </c>
      <c r="AC126" s="131">
        <v>63</v>
      </c>
      <c r="AD126" s="131">
        <v>-187</v>
      </c>
      <c r="AE126" s="131">
        <v>25</v>
      </c>
      <c r="AF126" s="131">
        <v>25</v>
      </c>
      <c r="AG126" s="128"/>
      <c r="AH126" s="48">
        <f>MAX(B126:AF126)</f>
        <v>80.8</v>
      </c>
      <c r="AI126" s="49">
        <f>MIN(B126:AF126)</f>
        <v>-187</v>
      </c>
    </row>
    <row r="127" spans="1:35" x14ac:dyDescent="0.25">
      <c r="A127" s="126" t="s">
        <v>150</v>
      </c>
      <c r="B127" s="131">
        <v>-189</v>
      </c>
      <c r="C127" s="131">
        <v>-183.4</v>
      </c>
      <c r="D127" s="131">
        <v>-173.4</v>
      </c>
      <c r="E127" s="131">
        <v>-154.6</v>
      </c>
      <c r="F127" s="131">
        <v>-126.6</v>
      </c>
      <c r="G127" s="131"/>
      <c r="H127" s="131">
        <v>-138.80000000000001</v>
      </c>
      <c r="I127" s="131">
        <v>-151.69999999999999</v>
      </c>
      <c r="J127" s="131">
        <v>-146.19999999999999</v>
      </c>
      <c r="K127" s="131">
        <v>-161</v>
      </c>
      <c r="L127" s="131">
        <v>-190.7</v>
      </c>
      <c r="M127" s="131">
        <v>-195</v>
      </c>
      <c r="N127" s="131">
        <v>-186.3</v>
      </c>
      <c r="O127" s="131">
        <v>-151.6</v>
      </c>
      <c r="P127" s="131">
        <v>-234</v>
      </c>
      <c r="Q127" s="131">
        <v>-215.2</v>
      </c>
      <c r="R127" s="131">
        <v>-154</v>
      </c>
      <c r="S127" s="131">
        <v>-141.1</v>
      </c>
      <c r="T127" s="131">
        <v>-79.2</v>
      </c>
      <c r="U127" s="131">
        <v>-61.7</v>
      </c>
      <c r="V127" s="131">
        <v>-40.5</v>
      </c>
      <c r="W127" s="131">
        <v>-32.9</v>
      </c>
      <c r="X127" s="131">
        <v>-27.9</v>
      </c>
      <c r="Y127" s="131">
        <v>-105.1</v>
      </c>
      <c r="Z127" s="131">
        <v>-117.8</v>
      </c>
      <c r="AA127" s="131">
        <v>-163.80000000000001</v>
      </c>
      <c r="AB127" s="131">
        <v>-185</v>
      </c>
      <c r="AC127" s="131">
        <v>-202</v>
      </c>
      <c r="AD127" s="131">
        <v>-187</v>
      </c>
      <c r="AE127" s="131">
        <v>-308</v>
      </c>
      <c r="AF127" s="131">
        <v>-308</v>
      </c>
      <c r="AG127" s="128"/>
      <c r="AH127" s="48">
        <f>MAX(B127:AF127)</f>
        <v>-27.9</v>
      </c>
      <c r="AI127" s="49">
        <f>MIN(B127:AF127)</f>
        <v>-308</v>
      </c>
    </row>
    <row r="128" spans="1:35" x14ac:dyDescent="0.25">
      <c r="A128" s="129" t="s">
        <v>151</v>
      </c>
      <c r="B128" s="119">
        <v>-28.8</v>
      </c>
      <c r="C128" s="119">
        <v>-22.4</v>
      </c>
      <c r="D128" s="119">
        <v>-15.3</v>
      </c>
      <c r="E128" s="119">
        <v>29.8</v>
      </c>
      <c r="F128" s="119">
        <v>48.7</v>
      </c>
      <c r="G128" s="119"/>
      <c r="H128" s="119">
        <v>35.4</v>
      </c>
      <c r="I128" s="119">
        <v>27.3</v>
      </c>
      <c r="J128" s="119">
        <v>24.9</v>
      </c>
      <c r="K128" s="119">
        <v>33.200000000000003</v>
      </c>
      <c r="L128" s="119">
        <v>4.3</v>
      </c>
      <c r="M128" s="119">
        <v>-5.6</v>
      </c>
      <c r="N128" s="119">
        <v>-15.5</v>
      </c>
      <c r="O128" s="119">
        <v>-14.2</v>
      </c>
      <c r="P128" s="119">
        <v>4.7</v>
      </c>
      <c r="Q128" s="119">
        <v>0.3</v>
      </c>
      <c r="R128" s="119">
        <v>4.5</v>
      </c>
      <c r="S128" s="119">
        <v>7</v>
      </c>
      <c r="T128" s="119">
        <v>13.5</v>
      </c>
      <c r="U128" s="119">
        <v>5.6</v>
      </c>
      <c r="V128" s="119">
        <v>-8</v>
      </c>
      <c r="W128" s="119">
        <v>-10</v>
      </c>
      <c r="X128" s="119">
        <v>2.8</v>
      </c>
      <c r="Y128" s="119">
        <v>-8.6999999999999993</v>
      </c>
      <c r="Z128" s="119">
        <v>-21</v>
      </c>
      <c r="AA128" s="119">
        <v>-23.7</v>
      </c>
      <c r="AB128" s="119">
        <v>-25</v>
      </c>
      <c r="AC128" s="119">
        <v>-25</v>
      </c>
      <c r="AD128" s="119">
        <v>-23.6</v>
      </c>
      <c r="AE128" s="119">
        <v>-10</v>
      </c>
      <c r="AF128" s="119">
        <v>-10</v>
      </c>
      <c r="AG128" s="128"/>
      <c r="AH128" s="48">
        <f>MAX(B128:AF128)</f>
        <v>48.7</v>
      </c>
      <c r="AI128" s="49">
        <f>MIN(B128:AF128)</f>
        <v>-28.8</v>
      </c>
    </row>
    <row r="129" spans="1:37" x14ac:dyDescent="0.25">
      <c r="A129" s="129" t="s">
        <v>152</v>
      </c>
      <c r="B129" s="119">
        <v>100.8</v>
      </c>
      <c r="C129" s="119">
        <v>84.6</v>
      </c>
      <c r="D129" s="119">
        <v>84.7</v>
      </c>
      <c r="E129" s="119">
        <v>50.4</v>
      </c>
      <c r="F129" s="119">
        <v>4</v>
      </c>
      <c r="G129" s="119"/>
      <c r="H129" s="119">
        <v>20.7</v>
      </c>
      <c r="I129" s="119">
        <v>5.4</v>
      </c>
      <c r="J129" s="119">
        <v>16.7</v>
      </c>
      <c r="K129" s="119">
        <v>22.8</v>
      </c>
      <c r="L129" s="119">
        <v>40.299999999999997</v>
      </c>
      <c r="M129" s="119">
        <v>59.5</v>
      </c>
      <c r="N129" s="119">
        <v>49.7</v>
      </c>
      <c r="O129" s="119">
        <v>54.6</v>
      </c>
      <c r="P129" s="119">
        <v>81.099999999999994</v>
      </c>
      <c r="Q129" s="119">
        <v>75.900000000000006</v>
      </c>
      <c r="R129" s="119">
        <v>79.7</v>
      </c>
      <c r="S129" s="119">
        <v>77.099999999999994</v>
      </c>
      <c r="T129" s="119">
        <v>70.8</v>
      </c>
      <c r="U129" s="119">
        <v>76.7</v>
      </c>
      <c r="V129" s="119">
        <v>58.5</v>
      </c>
      <c r="W129" s="119">
        <v>53.8</v>
      </c>
      <c r="X129" s="119">
        <v>42.3</v>
      </c>
      <c r="Y129" s="119">
        <v>34</v>
      </c>
      <c r="Z129" s="119">
        <v>46.4</v>
      </c>
      <c r="AA129" s="119">
        <v>68.900000000000006</v>
      </c>
      <c r="AB129" s="119">
        <v>74</v>
      </c>
      <c r="AC129" s="119">
        <v>79</v>
      </c>
      <c r="AD129" s="119">
        <v>83</v>
      </c>
      <c r="AE129" s="119">
        <v>68</v>
      </c>
      <c r="AF129" s="119">
        <v>68</v>
      </c>
      <c r="AG129" s="128"/>
      <c r="AH129" s="48">
        <f>MAX(B129:AF129)</f>
        <v>100.8</v>
      </c>
      <c r="AI129" s="49">
        <f>MIN(B129:AF129)</f>
        <v>4</v>
      </c>
    </row>
    <row r="130" spans="1:37" ht="15.75" thickBot="1" x14ac:dyDescent="0.3">
      <c r="A130" s="129" t="s">
        <v>153</v>
      </c>
      <c r="B130" s="119">
        <v>110.9</v>
      </c>
      <c r="C130" s="119">
        <v>98.9</v>
      </c>
      <c r="D130" s="119">
        <v>94.9</v>
      </c>
      <c r="E130" s="119">
        <v>74</v>
      </c>
      <c r="F130" s="119">
        <v>24.9</v>
      </c>
      <c r="G130" s="119"/>
      <c r="H130" s="119">
        <v>20.5</v>
      </c>
      <c r="I130" s="119">
        <v>27.2</v>
      </c>
      <c r="J130" s="119">
        <v>39.9</v>
      </c>
      <c r="K130" s="119">
        <v>54.2</v>
      </c>
      <c r="L130" s="119">
        <v>71.3</v>
      </c>
      <c r="M130" s="119">
        <v>93.3</v>
      </c>
      <c r="N130" s="119">
        <v>78.7</v>
      </c>
      <c r="O130" s="119">
        <v>85.5</v>
      </c>
      <c r="P130" s="119">
        <v>101.8</v>
      </c>
      <c r="Q130" s="119">
        <v>103.1</v>
      </c>
      <c r="R130" s="119">
        <v>105</v>
      </c>
      <c r="S130" s="119">
        <v>100.5</v>
      </c>
      <c r="T130" s="119">
        <v>72.099999999999994</v>
      </c>
      <c r="U130" s="119">
        <v>92.6</v>
      </c>
      <c r="V130" s="119">
        <v>80.2</v>
      </c>
      <c r="W130" s="119">
        <v>77</v>
      </c>
      <c r="X130" s="119">
        <v>59.4</v>
      </c>
      <c r="Y130" s="119">
        <v>61.3</v>
      </c>
      <c r="Z130" s="119">
        <v>74.400000000000006</v>
      </c>
      <c r="AA130" s="119">
        <v>84.7</v>
      </c>
      <c r="AB130" s="119">
        <v>90</v>
      </c>
      <c r="AC130" s="119">
        <v>96</v>
      </c>
      <c r="AD130" s="119">
        <v>96</v>
      </c>
      <c r="AE130" s="119">
        <v>91</v>
      </c>
      <c r="AF130" s="119">
        <v>91</v>
      </c>
      <c r="AG130" s="128"/>
      <c r="AH130" s="48">
        <f>MAX(B130:AF130)</f>
        <v>110.9</v>
      </c>
      <c r="AI130" s="49">
        <f>MIN(B130:AF130)</f>
        <v>20.5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1985.77</v>
      </c>
      <c r="C132" s="137">
        <v>1985.77</v>
      </c>
      <c r="D132" s="137">
        <v>1985.82</v>
      </c>
      <c r="E132" s="137">
        <v>1985.92</v>
      </c>
      <c r="F132" s="137">
        <v>1986.22</v>
      </c>
      <c r="G132" s="137">
        <v>1986.6</v>
      </c>
      <c r="H132" s="137"/>
      <c r="I132" s="137">
        <v>1986.6</v>
      </c>
      <c r="J132" s="137"/>
      <c r="K132" s="137">
        <v>1986.71</v>
      </c>
      <c r="L132" s="137"/>
      <c r="M132" s="137">
        <v>1986.6</v>
      </c>
      <c r="N132" s="137">
        <v>1986.3</v>
      </c>
      <c r="O132" s="137">
        <v>1986.1</v>
      </c>
      <c r="P132" s="137">
        <v>1985.55</v>
      </c>
      <c r="Q132" s="137">
        <v>1984.95</v>
      </c>
      <c r="R132" s="137">
        <v>1984.3</v>
      </c>
      <c r="S132" s="137">
        <v>1984.02</v>
      </c>
      <c r="T132" s="137">
        <v>1984.1</v>
      </c>
      <c r="U132" s="137">
        <v>1984.35</v>
      </c>
      <c r="V132" s="137">
        <v>1984.77</v>
      </c>
      <c r="W132" s="137"/>
      <c r="X132" s="137">
        <v>1985.41</v>
      </c>
      <c r="Y132" s="137"/>
      <c r="Z132" s="137">
        <v>1985.82</v>
      </c>
      <c r="AA132" s="137"/>
      <c r="AB132" s="137">
        <v>1985.9</v>
      </c>
      <c r="AC132" s="137"/>
      <c r="AD132" s="137">
        <v>1986.1</v>
      </c>
      <c r="AE132" s="137"/>
      <c r="AF132" s="138"/>
      <c r="AG132" s="139"/>
      <c r="AH132" s="48"/>
      <c r="AI132" s="49"/>
    </row>
    <row r="133" spans="1:37" x14ac:dyDescent="0.25">
      <c r="A133" s="136" t="s">
        <v>156</v>
      </c>
      <c r="B133" s="140">
        <v>523.41</v>
      </c>
      <c r="C133" s="140">
        <v>523.34</v>
      </c>
      <c r="D133" s="140"/>
      <c r="E133" s="140">
        <v>523.25</v>
      </c>
      <c r="F133" s="140"/>
      <c r="G133" s="140"/>
      <c r="H133" s="140"/>
      <c r="I133" s="140">
        <v>523.59</v>
      </c>
      <c r="J133" s="140"/>
      <c r="K133" s="140">
        <v>523.6</v>
      </c>
      <c r="L133" s="140"/>
      <c r="M133" s="140">
        <v>523.65</v>
      </c>
      <c r="N133" s="140">
        <v>523.67999999999995</v>
      </c>
      <c r="O133" s="140">
        <v>523.66</v>
      </c>
      <c r="P133" s="140">
        <v>523.62</v>
      </c>
      <c r="Q133" s="140">
        <v>523.61</v>
      </c>
      <c r="R133" s="140">
        <v>523.61</v>
      </c>
      <c r="S133" s="140">
        <v>523.58000000000004</v>
      </c>
      <c r="T133" s="140">
        <v>523.54</v>
      </c>
      <c r="U133" s="140">
        <v>523.58000000000004</v>
      </c>
      <c r="V133" s="140">
        <v>523.78</v>
      </c>
      <c r="W133" s="140"/>
      <c r="X133" s="140">
        <v>523.80999999999995</v>
      </c>
      <c r="Y133" s="140"/>
      <c r="Z133" s="140">
        <v>523.67999999999995</v>
      </c>
      <c r="AA133" s="140"/>
      <c r="AB133" s="140">
        <v>523.57000000000005</v>
      </c>
      <c r="AC133" s="140"/>
      <c r="AD133" s="140">
        <v>523.55999999999995</v>
      </c>
      <c r="AE133" s="140">
        <v>523.65</v>
      </c>
      <c r="AF133" s="141">
        <v>523.55999999999995</v>
      </c>
      <c r="AG133" s="139"/>
      <c r="AH133" s="48"/>
      <c r="AI133" s="49"/>
    </row>
    <row r="134" spans="1:37" x14ac:dyDescent="0.25">
      <c r="A134" s="136" t="s">
        <v>157</v>
      </c>
      <c r="B134" s="140">
        <v>624.5</v>
      </c>
      <c r="C134" s="140">
        <v>624.62</v>
      </c>
      <c r="D134" s="140">
        <v>624.73</v>
      </c>
      <c r="E134" s="140">
        <v>624.82000000000005</v>
      </c>
      <c r="F134" s="140">
        <v>624.92999999999995</v>
      </c>
      <c r="G134" s="140">
        <v>624.70000000000005</v>
      </c>
      <c r="H134" s="140"/>
      <c r="I134" s="140">
        <v>624.6</v>
      </c>
      <c r="J134" s="140"/>
      <c r="K134" s="140">
        <v>624.6</v>
      </c>
      <c r="L134" s="140"/>
      <c r="M134" s="140">
        <v>624.57000000000005</v>
      </c>
      <c r="N134" s="140">
        <v>624.38</v>
      </c>
      <c r="O134" s="140">
        <v>624.25</v>
      </c>
      <c r="P134" s="140">
        <v>624.14</v>
      </c>
      <c r="Q134" s="140">
        <v>624.04999999999995</v>
      </c>
      <c r="R134" s="140">
        <v>623.94000000000005</v>
      </c>
      <c r="S134" s="140">
        <v>623.83000000000004</v>
      </c>
      <c r="T134" s="140">
        <v>623.79999999999995</v>
      </c>
      <c r="U134" s="140">
        <v>624</v>
      </c>
      <c r="V134" s="140">
        <v>624</v>
      </c>
      <c r="W134" s="140">
        <v>624.04</v>
      </c>
      <c r="X134" s="140">
        <v>624.1</v>
      </c>
      <c r="Y134" s="140"/>
      <c r="Z134" s="140">
        <v>624.16999999999996</v>
      </c>
      <c r="AA134" s="140"/>
      <c r="AB134" s="140">
        <v>624.09</v>
      </c>
      <c r="AC134" s="140"/>
      <c r="AD134" s="140"/>
      <c r="AE134" s="140"/>
      <c r="AF134" s="141"/>
      <c r="AG134" s="139"/>
      <c r="AH134" s="48"/>
      <c r="AI134" s="49"/>
    </row>
    <row r="135" spans="1:37" x14ac:dyDescent="0.25">
      <c r="A135" s="136" t="s">
        <v>158</v>
      </c>
      <c r="B135" s="140">
        <v>337.49</v>
      </c>
      <c r="C135" s="140">
        <v>337.48</v>
      </c>
      <c r="D135" s="140">
        <v>337.47</v>
      </c>
      <c r="E135" s="140">
        <v>337.52</v>
      </c>
      <c r="F135" s="140"/>
      <c r="G135" s="140"/>
      <c r="H135" s="140"/>
      <c r="I135" s="140"/>
      <c r="J135" s="140"/>
      <c r="K135" s="140">
        <v>337.53</v>
      </c>
      <c r="L135" s="140"/>
      <c r="M135" s="140"/>
      <c r="N135" s="140">
        <v>337.49</v>
      </c>
      <c r="O135" s="140">
        <v>337.41</v>
      </c>
      <c r="P135" s="140">
        <v>337.46</v>
      </c>
      <c r="Q135" s="140"/>
      <c r="R135" s="140"/>
      <c r="S135" s="140">
        <v>337.68</v>
      </c>
      <c r="T135" s="140">
        <v>337.84</v>
      </c>
      <c r="U135" s="140">
        <v>337.8</v>
      </c>
      <c r="V135" s="140">
        <v>337.53</v>
      </c>
      <c r="W135" s="140"/>
      <c r="X135" s="140">
        <v>337.47</v>
      </c>
      <c r="Y135" s="140"/>
      <c r="Z135" s="140">
        <v>337.43</v>
      </c>
      <c r="AA135" s="140"/>
      <c r="AB135" s="140">
        <v>337.35</v>
      </c>
      <c r="AC135" s="140"/>
      <c r="AD135" s="140">
        <v>337.27</v>
      </c>
      <c r="AE135" s="140"/>
      <c r="AF135" s="141"/>
      <c r="AG135" s="139"/>
      <c r="AH135" s="48"/>
      <c r="AI135" s="49"/>
    </row>
    <row r="136" spans="1:37" x14ac:dyDescent="0.25">
      <c r="A136" s="136" t="s">
        <v>159</v>
      </c>
      <c r="B136" s="140">
        <v>886.2</v>
      </c>
      <c r="C136" s="140">
        <v>886</v>
      </c>
      <c r="D136" s="140">
        <v>885.7</v>
      </c>
      <c r="E136" s="140">
        <v>885.5</v>
      </c>
      <c r="F136" s="140"/>
      <c r="G136" s="140"/>
      <c r="H136" s="140"/>
      <c r="I136" s="140"/>
      <c r="J136" s="140"/>
      <c r="K136" s="140"/>
      <c r="L136" s="140"/>
      <c r="M136" s="140">
        <v>886.2</v>
      </c>
      <c r="N136" s="140">
        <v>886</v>
      </c>
      <c r="O136" s="140">
        <v>885.8</v>
      </c>
      <c r="P136" s="140">
        <v>885.3</v>
      </c>
      <c r="Q136" s="140">
        <v>884.7</v>
      </c>
      <c r="R136" s="140">
        <v>884.06</v>
      </c>
      <c r="S136" s="140">
        <v>883.2</v>
      </c>
      <c r="T136" s="140">
        <v>882.5</v>
      </c>
      <c r="U136" s="140">
        <v>883.1</v>
      </c>
      <c r="V136" s="140">
        <v>883.5</v>
      </c>
      <c r="W136" s="140"/>
      <c r="X136" s="140">
        <v>883.8</v>
      </c>
      <c r="Y136" s="140"/>
      <c r="Z136" s="140">
        <v>884.3</v>
      </c>
      <c r="AA136" s="140"/>
      <c r="AB136" s="140">
        <v>884.6</v>
      </c>
      <c r="AC136" s="140"/>
      <c r="AD136" s="140">
        <v>885</v>
      </c>
      <c r="AE136" s="140">
        <v>885.7</v>
      </c>
      <c r="AF136" s="141">
        <v>886.2</v>
      </c>
      <c r="AG136" s="139"/>
      <c r="AH136" s="48"/>
      <c r="AI136" s="49"/>
    </row>
    <row r="137" spans="1:37" ht="15.75" thickBot="1" x14ac:dyDescent="0.3">
      <c r="A137" s="136" t="s">
        <v>160</v>
      </c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>
        <v>1492.05</v>
      </c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114">SUM(B139:B243)</f>
        <v>0</v>
      </c>
      <c r="C244" s="161">
        <f t="shared" si="114"/>
        <v>0</v>
      </c>
      <c r="D244" s="161">
        <f t="shared" si="114"/>
        <v>0</v>
      </c>
      <c r="E244" s="161">
        <f t="shared" si="114"/>
        <v>0</v>
      </c>
      <c r="F244" s="161">
        <f t="shared" si="114"/>
        <v>0</v>
      </c>
      <c r="G244" s="161">
        <f t="shared" si="114"/>
        <v>0</v>
      </c>
      <c r="H244" s="161">
        <f t="shared" si="114"/>
        <v>0</v>
      </c>
      <c r="I244" s="161">
        <f t="shared" si="114"/>
        <v>0</v>
      </c>
      <c r="J244" s="161">
        <f t="shared" si="114"/>
        <v>0</v>
      </c>
      <c r="K244" s="161">
        <f t="shared" si="114"/>
        <v>0</v>
      </c>
      <c r="L244" s="161">
        <f t="shared" si="114"/>
        <v>0</v>
      </c>
      <c r="M244" s="161">
        <f t="shared" si="114"/>
        <v>0</v>
      </c>
      <c r="N244" s="161">
        <f t="shared" si="114"/>
        <v>0</v>
      </c>
      <c r="O244" s="161">
        <f t="shared" si="114"/>
        <v>0</v>
      </c>
      <c r="P244" s="161">
        <f t="shared" si="114"/>
        <v>0</v>
      </c>
      <c r="Q244" s="161">
        <f t="shared" si="114"/>
        <v>0</v>
      </c>
      <c r="R244" s="161">
        <f t="shared" si="114"/>
        <v>0</v>
      </c>
      <c r="S244" s="161">
        <f t="shared" si="114"/>
        <v>0</v>
      </c>
      <c r="T244" s="161">
        <f t="shared" si="114"/>
        <v>0</v>
      </c>
      <c r="U244" s="161">
        <f t="shared" si="114"/>
        <v>0</v>
      </c>
      <c r="V244" s="161">
        <f t="shared" si="114"/>
        <v>0</v>
      </c>
      <c r="W244" s="161">
        <f t="shared" si="114"/>
        <v>0</v>
      </c>
      <c r="X244" s="161">
        <f t="shared" si="114"/>
        <v>0</v>
      </c>
      <c r="Y244" s="161">
        <f t="shared" si="114"/>
        <v>0</v>
      </c>
      <c r="Z244" s="161">
        <f t="shared" si="114"/>
        <v>0</v>
      </c>
      <c r="AA244" s="161">
        <f t="shared" si="114"/>
        <v>0</v>
      </c>
      <c r="AB244" s="161">
        <f t="shared" si="114"/>
        <v>0</v>
      </c>
      <c r="AC244" s="161">
        <f t="shared" si="114"/>
        <v>0</v>
      </c>
      <c r="AD244" s="161">
        <f t="shared" si="114"/>
        <v>0</v>
      </c>
      <c r="AE244" s="161">
        <f t="shared" si="114"/>
        <v>0</v>
      </c>
      <c r="AF244" s="162">
        <f t="shared" si="114"/>
        <v>0</v>
      </c>
      <c r="AG244" s="163">
        <f t="shared" si="114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115">AF246</f>
        <v>0.3</v>
      </c>
      <c r="C246" s="166">
        <v>0.3</v>
      </c>
      <c r="D246" s="166">
        <f t="shared" ref="D246:S251" si="116">C246</f>
        <v>0.3</v>
      </c>
      <c r="E246" s="166">
        <f t="shared" si="116"/>
        <v>0.3</v>
      </c>
      <c r="F246" s="166">
        <f t="shared" si="116"/>
        <v>0.3</v>
      </c>
      <c r="G246" s="166">
        <f t="shared" si="116"/>
        <v>0.3</v>
      </c>
      <c r="H246" s="166">
        <f t="shared" si="116"/>
        <v>0.3</v>
      </c>
      <c r="I246" s="166">
        <f t="shared" si="116"/>
        <v>0.3</v>
      </c>
      <c r="J246" s="166">
        <f t="shared" si="116"/>
        <v>0.3</v>
      </c>
      <c r="K246" s="166">
        <f t="shared" si="116"/>
        <v>0.3</v>
      </c>
      <c r="L246" s="166">
        <f t="shared" si="116"/>
        <v>0.3</v>
      </c>
      <c r="M246" s="166">
        <f t="shared" si="116"/>
        <v>0.3</v>
      </c>
      <c r="N246" s="166">
        <f t="shared" si="116"/>
        <v>0.3</v>
      </c>
      <c r="O246" s="166">
        <f t="shared" si="116"/>
        <v>0.3</v>
      </c>
      <c r="P246" s="166">
        <f t="shared" si="116"/>
        <v>0.3</v>
      </c>
      <c r="Q246" s="166">
        <f t="shared" si="116"/>
        <v>0.3</v>
      </c>
      <c r="R246" s="166">
        <f t="shared" si="116"/>
        <v>0.3</v>
      </c>
      <c r="S246" s="166">
        <f t="shared" si="116"/>
        <v>0.3</v>
      </c>
      <c r="T246" s="166">
        <f t="shared" ref="T246:AF251" si="117">S246</f>
        <v>0.3</v>
      </c>
      <c r="U246" s="166">
        <f t="shared" si="117"/>
        <v>0.3</v>
      </c>
      <c r="V246" s="166">
        <f t="shared" si="117"/>
        <v>0.3</v>
      </c>
      <c r="W246" s="166">
        <f t="shared" si="117"/>
        <v>0.3</v>
      </c>
      <c r="X246" s="166">
        <f t="shared" si="117"/>
        <v>0.3</v>
      </c>
      <c r="Y246" s="166">
        <f t="shared" si="117"/>
        <v>0.3</v>
      </c>
      <c r="Z246" s="166">
        <f t="shared" si="117"/>
        <v>0.3</v>
      </c>
      <c r="AA246" s="166">
        <f t="shared" si="117"/>
        <v>0.3</v>
      </c>
      <c r="AB246" s="166">
        <f t="shared" si="117"/>
        <v>0.3</v>
      </c>
      <c r="AC246" s="166">
        <f t="shared" si="117"/>
        <v>0.3</v>
      </c>
      <c r="AD246" s="166">
        <f t="shared" si="117"/>
        <v>0.3</v>
      </c>
      <c r="AE246" s="166">
        <f t="shared" si="117"/>
        <v>0.3</v>
      </c>
      <c r="AF246" s="166">
        <f t="shared" si="117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115"/>
        <v>0.4</v>
      </c>
      <c r="C247" s="152">
        <v>0.4</v>
      </c>
      <c r="D247" s="152">
        <f t="shared" si="116"/>
        <v>0.4</v>
      </c>
      <c r="E247" s="152">
        <f t="shared" si="116"/>
        <v>0.4</v>
      </c>
      <c r="F247" s="152">
        <f t="shared" si="116"/>
        <v>0.4</v>
      </c>
      <c r="G247" s="152">
        <f t="shared" si="116"/>
        <v>0.4</v>
      </c>
      <c r="H247" s="152">
        <f t="shared" si="116"/>
        <v>0.4</v>
      </c>
      <c r="I247" s="152">
        <f t="shared" si="116"/>
        <v>0.4</v>
      </c>
      <c r="J247" s="152">
        <f t="shared" si="116"/>
        <v>0.4</v>
      </c>
      <c r="K247" s="152">
        <f t="shared" si="116"/>
        <v>0.4</v>
      </c>
      <c r="L247" s="152">
        <f t="shared" si="116"/>
        <v>0.4</v>
      </c>
      <c r="M247" s="152">
        <f t="shared" si="116"/>
        <v>0.4</v>
      </c>
      <c r="N247" s="152">
        <f t="shared" si="116"/>
        <v>0.4</v>
      </c>
      <c r="O247" s="152">
        <f t="shared" si="116"/>
        <v>0.4</v>
      </c>
      <c r="P247" s="152">
        <f t="shared" si="116"/>
        <v>0.4</v>
      </c>
      <c r="Q247" s="152">
        <f t="shared" si="116"/>
        <v>0.4</v>
      </c>
      <c r="R247" s="152">
        <f t="shared" si="116"/>
        <v>0.4</v>
      </c>
      <c r="S247" s="152">
        <f t="shared" si="116"/>
        <v>0.4</v>
      </c>
      <c r="T247" s="152">
        <f t="shared" si="117"/>
        <v>0.4</v>
      </c>
      <c r="U247" s="152">
        <f t="shared" si="117"/>
        <v>0.4</v>
      </c>
      <c r="V247" s="152">
        <f t="shared" si="117"/>
        <v>0.4</v>
      </c>
      <c r="W247" s="152">
        <f t="shared" si="117"/>
        <v>0.4</v>
      </c>
      <c r="X247" s="152">
        <f t="shared" si="117"/>
        <v>0.4</v>
      </c>
      <c r="Y247" s="152">
        <f t="shared" si="117"/>
        <v>0.4</v>
      </c>
      <c r="Z247" s="152">
        <f t="shared" si="117"/>
        <v>0.4</v>
      </c>
      <c r="AA247" s="152">
        <f t="shared" si="117"/>
        <v>0.4</v>
      </c>
      <c r="AB247" s="152">
        <f t="shared" si="117"/>
        <v>0.4</v>
      </c>
      <c r="AC247" s="152">
        <f t="shared" si="117"/>
        <v>0.4</v>
      </c>
      <c r="AD247" s="152">
        <f t="shared" si="117"/>
        <v>0.4</v>
      </c>
      <c r="AE247" s="152">
        <f t="shared" si="117"/>
        <v>0.4</v>
      </c>
      <c r="AF247" s="152">
        <f t="shared" si="117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115"/>
        <v>1.5</v>
      </c>
      <c r="C248" s="152">
        <v>1.5</v>
      </c>
      <c r="D248" s="152">
        <f t="shared" si="116"/>
        <v>1.5</v>
      </c>
      <c r="E248" s="152">
        <f t="shared" si="116"/>
        <v>1.5</v>
      </c>
      <c r="F248" s="152">
        <f t="shared" si="116"/>
        <v>1.5</v>
      </c>
      <c r="G248" s="152">
        <f t="shared" si="116"/>
        <v>1.5</v>
      </c>
      <c r="H248" s="152">
        <f t="shared" si="116"/>
        <v>1.5</v>
      </c>
      <c r="I248" s="152">
        <f t="shared" si="116"/>
        <v>1.5</v>
      </c>
      <c r="J248" s="152">
        <f t="shared" si="116"/>
        <v>1.5</v>
      </c>
      <c r="K248" s="152">
        <f t="shared" si="116"/>
        <v>1.5</v>
      </c>
      <c r="L248" s="152">
        <f t="shared" si="116"/>
        <v>1.5</v>
      </c>
      <c r="M248" s="152">
        <f t="shared" si="116"/>
        <v>1.5</v>
      </c>
      <c r="N248" s="152">
        <f t="shared" si="116"/>
        <v>1.5</v>
      </c>
      <c r="O248" s="152">
        <f t="shared" si="116"/>
        <v>1.5</v>
      </c>
      <c r="P248" s="152">
        <f t="shared" si="116"/>
        <v>1.5</v>
      </c>
      <c r="Q248" s="152">
        <f t="shared" si="116"/>
        <v>1.5</v>
      </c>
      <c r="R248" s="152">
        <f t="shared" si="116"/>
        <v>1.5</v>
      </c>
      <c r="S248" s="152">
        <f t="shared" si="116"/>
        <v>1.5</v>
      </c>
      <c r="T248" s="152">
        <f t="shared" si="117"/>
        <v>1.5</v>
      </c>
      <c r="U248" s="152">
        <f t="shared" si="117"/>
        <v>1.5</v>
      </c>
      <c r="V248" s="152">
        <f t="shared" si="117"/>
        <v>1.5</v>
      </c>
      <c r="W248" s="152">
        <f t="shared" si="117"/>
        <v>1.5</v>
      </c>
      <c r="X248" s="152">
        <f t="shared" si="117"/>
        <v>1.5</v>
      </c>
      <c r="Y248" s="152">
        <f t="shared" si="117"/>
        <v>1.5</v>
      </c>
      <c r="Z248" s="152">
        <f t="shared" si="117"/>
        <v>1.5</v>
      </c>
      <c r="AA248" s="152">
        <f t="shared" si="117"/>
        <v>1.5</v>
      </c>
      <c r="AB248" s="152">
        <f t="shared" si="117"/>
        <v>1.5</v>
      </c>
      <c r="AC248" s="152">
        <f t="shared" si="117"/>
        <v>1.5</v>
      </c>
      <c r="AD248" s="152">
        <f t="shared" si="117"/>
        <v>1.5</v>
      </c>
      <c r="AE248" s="152">
        <f t="shared" si="117"/>
        <v>1.5</v>
      </c>
      <c r="AF248" s="152">
        <f t="shared" si="117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115"/>
        <v>0.3</v>
      </c>
      <c r="C249" s="152">
        <v>0.3</v>
      </c>
      <c r="D249" s="152">
        <f t="shared" si="116"/>
        <v>0.3</v>
      </c>
      <c r="E249" s="152">
        <f t="shared" si="116"/>
        <v>0.3</v>
      </c>
      <c r="F249" s="152">
        <f t="shared" si="116"/>
        <v>0.3</v>
      </c>
      <c r="G249" s="152">
        <f t="shared" si="116"/>
        <v>0.3</v>
      </c>
      <c r="H249" s="152">
        <f t="shared" si="116"/>
        <v>0.3</v>
      </c>
      <c r="I249" s="152">
        <f t="shared" si="116"/>
        <v>0.3</v>
      </c>
      <c r="J249" s="152">
        <f t="shared" si="116"/>
        <v>0.3</v>
      </c>
      <c r="K249" s="152">
        <f t="shared" si="116"/>
        <v>0.3</v>
      </c>
      <c r="L249" s="152">
        <f t="shared" si="116"/>
        <v>0.3</v>
      </c>
      <c r="M249" s="152">
        <f t="shared" si="116"/>
        <v>0.3</v>
      </c>
      <c r="N249" s="152">
        <f t="shared" si="116"/>
        <v>0.3</v>
      </c>
      <c r="O249" s="152">
        <f t="shared" si="116"/>
        <v>0.3</v>
      </c>
      <c r="P249" s="152">
        <f t="shared" si="116"/>
        <v>0.3</v>
      </c>
      <c r="Q249" s="152">
        <f t="shared" si="116"/>
        <v>0.3</v>
      </c>
      <c r="R249" s="152">
        <f t="shared" si="116"/>
        <v>0.3</v>
      </c>
      <c r="S249" s="152">
        <f t="shared" si="116"/>
        <v>0.3</v>
      </c>
      <c r="T249" s="152">
        <f t="shared" si="117"/>
        <v>0.3</v>
      </c>
      <c r="U249" s="152">
        <f t="shared" si="117"/>
        <v>0.3</v>
      </c>
      <c r="V249" s="152">
        <f t="shared" si="117"/>
        <v>0.3</v>
      </c>
      <c r="W249" s="152">
        <f t="shared" si="117"/>
        <v>0.3</v>
      </c>
      <c r="X249" s="152">
        <f t="shared" si="117"/>
        <v>0.3</v>
      </c>
      <c r="Y249" s="152">
        <f t="shared" si="117"/>
        <v>0.3</v>
      </c>
      <c r="Z249" s="152">
        <f t="shared" si="117"/>
        <v>0.3</v>
      </c>
      <c r="AA249" s="152">
        <f t="shared" si="117"/>
        <v>0.3</v>
      </c>
      <c r="AB249" s="152">
        <f t="shared" si="117"/>
        <v>0.3</v>
      </c>
      <c r="AC249" s="152">
        <f t="shared" si="117"/>
        <v>0.3</v>
      </c>
      <c r="AD249" s="152">
        <f t="shared" si="117"/>
        <v>0.3</v>
      </c>
      <c r="AE249" s="152">
        <f t="shared" si="117"/>
        <v>0.3</v>
      </c>
      <c r="AF249" s="152">
        <f t="shared" si="117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115"/>
        <v>0.4</v>
      </c>
      <c r="C250" s="152">
        <v>0.4</v>
      </c>
      <c r="D250" s="152">
        <f t="shared" si="116"/>
        <v>0.4</v>
      </c>
      <c r="E250" s="152">
        <f t="shared" si="116"/>
        <v>0.4</v>
      </c>
      <c r="F250" s="152">
        <f t="shared" si="116"/>
        <v>0.4</v>
      </c>
      <c r="G250" s="152">
        <f t="shared" si="116"/>
        <v>0.4</v>
      </c>
      <c r="H250" s="152">
        <f t="shared" si="116"/>
        <v>0.4</v>
      </c>
      <c r="I250" s="152">
        <f t="shared" si="116"/>
        <v>0.4</v>
      </c>
      <c r="J250" s="152">
        <f t="shared" si="116"/>
        <v>0.4</v>
      </c>
      <c r="K250" s="152">
        <f t="shared" si="116"/>
        <v>0.4</v>
      </c>
      <c r="L250" s="152">
        <f t="shared" si="116"/>
        <v>0.4</v>
      </c>
      <c r="M250" s="152">
        <f t="shared" si="116"/>
        <v>0.4</v>
      </c>
      <c r="N250" s="152">
        <f t="shared" si="116"/>
        <v>0.4</v>
      </c>
      <c r="O250" s="152">
        <f t="shared" si="116"/>
        <v>0.4</v>
      </c>
      <c r="P250" s="152">
        <f t="shared" si="116"/>
        <v>0.4</v>
      </c>
      <c r="Q250" s="152">
        <f t="shared" si="116"/>
        <v>0.4</v>
      </c>
      <c r="R250" s="152">
        <f t="shared" si="116"/>
        <v>0.4</v>
      </c>
      <c r="S250" s="152">
        <f t="shared" si="116"/>
        <v>0.4</v>
      </c>
      <c r="T250" s="152">
        <f t="shared" si="117"/>
        <v>0.4</v>
      </c>
      <c r="U250" s="152">
        <f t="shared" si="117"/>
        <v>0.4</v>
      </c>
      <c r="V250" s="152">
        <f t="shared" si="117"/>
        <v>0.4</v>
      </c>
      <c r="W250" s="152">
        <f t="shared" si="117"/>
        <v>0.4</v>
      </c>
      <c r="X250" s="152">
        <f t="shared" si="117"/>
        <v>0.4</v>
      </c>
      <c r="Y250" s="152">
        <f t="shared" si="117"/>
        <v>0.4</v>
      </c>
      <c r="Z250" s="152">
        <f t="shared" si="117"/>
        <v>0.4</v>
      </c>
      <c r="AA250" s="152">
        <f t="shared" si="117"/>
        <v>0.4</v>
      </c>
      <c r="AB250" s="152">
        <f t="shared" si="117"/>
        <v>0.4</v>
      </c>
      <c r="AC250" s="152">
        <f t="shared" si="117"/>
        <v>0.4</v>
      </c>
      <c r="AD250" s="152">
        <f t="shared" si="117"/>
        <v>0.4</v>
      </c>
      <c r="AE250" s="152">
        <f t="shared" si="117"/>
        <v>0.4</v>
      </c>
      <c r="AF250" s="152">
        <f t="shared" si="117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115"/>
        <v>0.64</v>
      </c>
      <c r="C251" s="157">
        <v>0.64</v>
      </c>
      <c r="D251" s="157">
        <f t="shared" si="116"/>
        <v>0.64</v>
      </c>
      <c r="E251" s="157">
        <f t="shared" si="116"/>
        <v>0.64</v>
      </c>
      <c r="F251" s="157">
        <f t="shared" si="116"/>
        <v>0.64</v>
      </c>
      <c r="G251" s="157">
        <f t="shared" si="116"/>
        <v>0.64</v>
      </c>
      <c r="H251" s="157">
        <f t="shared" si="116"/>
        <v>0.64</v>
      </c>
      <c r="I251" s="157">
        <f t="shared" si="116"/>
        <v>0.64</v>
      </c>
      <c r="J251" s="157">
        <f t="shared" si="116"/>
        <v>0.64</v>
      </c>
      <c r="K251" s="157">
        <f t="shared" si="116"/>
        <v>0.64</v>
      </c>
      <c r="L251" s="157">
        <f t="shared" si="116"/>
        <v>0.64</v>
      </c>
      <c r="M251" s="157">
        <f t="shared" si="116"/>
        <v>0.64</v>
      </c>
      <c r="N251" s="157">
        <f t="shared" si="116"/>
        <v>0.64</v>
      </c>
      <c r="O251" s="157">
        <f t="shared" si="116"/>
        <v>0.64</v>
      </c>
      <c r="P251" s="157">
        <f t="shared" si="116"/>
        <v>0.64</v>
      </c>
      <c r="Q251" s="157">
        <f t="shared" si="116"/>
        <v>0.64</v>
      </c>
      <c r="R251" s="157">
        <f t="shared" si="116"/>
        <v>0.64</v>
      </c>
      <c r="S251" s="157">
        <f t="shared" si="116"/>
        <v>0.64</v>
      </c>
      <c r="T251" s="157">
        <f t="shared" si="117"/>
        <v>0.64</v>
      </c>
      <c r="U251" s="157">
        <f t="shared" si="117"/>
        <v>0.64</v>
      </c>
      <c r="V251" s="157">
        <f t="shared" si="117"/>
        <v>0.64</v>
      </c>
      <c r="W251" s="157">
        <f t="shared" si="117"/>
        <v>0.64</v>
      </c>
      <c r="X251" s="157">
        <f t="shared" si="117"/>
        <v>0.64</v>
      </c>
      <c r="Y251" s="157">
        <f t="shared" si="117"/>
        <v>0.64</v>
      </c>
      <c r="Z251" s="157">
        <f t="shared" si="117"/>
        <v>0.64</v>
      </c>
      <c r="AA251" s="157">
        <f t="shared" si="117"/>
        <v>0.64</v>
      </c>
      <c r="AB251" s="157">
        <f t="shared" si="117"/>
        <v>0.64</v>
      </c>
      <c r="AC251" s="157">
        <f t="shared" si="117"/>
        <v>0.64</v>
      </c>
      <c r="AD251" s="157">
        <f t="shared" si="117"/>
        <v>0.64</v>
      </c>
      <c r="AE251" s="157">
        <f t="shared" si="117"/>
        <v>0.64</v>
      </c>
      <c r="AF251" s="157">
        <f t="shared" si="117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118">SUM(B246:B251)</f>
        <v>3.54</v>
      </c>
      <c r="C252" s="161">
        <f t="shared" si="118"/>
        <v>3.54</v>
      </c>
      <c r="D252" s="161">
        <f t="shared" si="118"/>
        <v>3.54</v>
      </c>
      <c r="E252" s="161">
        <f t="shared" si="118"/>
        <v>3.54</v>
      </c>
      <c r="F252" s="161">
        <f t="shared" si="118"/>
        <v>3.54</v>
      </c>
      <c r="G252" s="161">
        <f t="shared" si="118"/>
        <v>3.54</v>
      </c>
      <c r="H252" s="161">
        <f t="shared" si="118"/>
        <v>3.54</v>
      </c>
      <c r="I252" s="161">
        <f t="shared" si="118"/>
        <v>3.54</v>
      </c>
      <c r="J252" s="161">
        <f t="shared" si="118"/>
        <v>3.54</v>
      </c>
      <c r="K252" s="161">
        <f t="shared" si="118"/>
        <v>3.54</v>
      </c>
      <c r="L252" s="161">
        <f t="shared" si="118"/>
        <v>3.54</v>
      </c>
      <c r="M252" s="161">
        <f t="shared" si="118"/>
        <v>3.54</v>
      </c>
      <c r="N252" s="161">
        <f t="shared" si="118"/>
        <v>3.54</v>
      </c>
      <c r="O252" s="161">
        <f t="shared" si="118"/>
        <v>3.54</v>
      </c>
      <c r="P252" s="161">
        <f t="shared" si="118"/>
        <v>3.54</v>
      </c>
      <c r="Q252" s="161">
        <f t="shared" si="118"/>
        <v>3.54</v>
      </c>
      <c r="R252" s="161">
        <f t="shared" si="118"/>
        <v>3.54</v>
      </c>
      <c r="S252" s="161">
        <f t="shared" si="118"/>
        <v>3.54</v>
      </c>
      <c r="T252" s="161">
        <f t="shared" si="118"/>
        <v>3.54</v>
      </c>
      <c r="U252" s="161">
        <f t="shared" si="118"/>
        <v>3.54</v>
      </c>
      <c r="V252" s="161">
        <f t="shared" si="118"/>
        <v>3.54</v>
      </c>
      <c r="W252" s="161">
        <f t="shared" si="118"/>
        <v>3.54</v>
      </c>
      <c r="X252" s="161">
        <f t="shared" si="118"/>
        <v>3.54</v>
      </c>
      <c r="Y252" s="161">
        <f t="shared" si="118"/>
        <v>3.54</v>
      </c>
      <c r="Z252" s="161">
        <f t="shared" si="118"/>
        <v>3.54</v>
      </c>
      <c r="AA252" s="161">
        <f t="shared" si="118"/>
        <v>3.54</v>
      </c>
      <c r="AB252" s="161">
        <f t="shared" si="118"/>
        <v>3.54</v>
      </c>
      <c r="AC252" s="161">
        <f t="shared" si="118"/>
        <v>3.54</v>
      </c>
      <c r="AD252" s="161">
        <f t="shared" si="118"/>
        <v>3.54</v>
      </c>
      <c r="AE252" s="161">
        <f t="shared" si="118"/>
        <v>3.54</v>
      </c>
      <c r="AF252" s="161">
        <f t="shared" si="118"/>
        <v>3.54</v>
      </c>
      <c r="AG252" s="171">
        <f t="shared" si="118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1934.94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2080/10/14)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900" priority="89">
      <formula>$AH11=0</formula>
    </cfRule>
  </conditionalFormatting>
  <conditionalFormatting sqref="A132:A253">
    <cfRule type="expression" dxfId="2899" priority="90">
      <formula>$AH132=0</formula>
    </cfRule>
  </conditionalFormatting>
  <conditionalFormatting sqref="B8">
    <cfRule type="expression" dxfId="2898" priority="144">
      <formula>AND(C$9&gt;=14/24,C$9&lt;20/24)</formula>
    </cfRule>
    <cfRule type="expression" dxfId="2897" priority="145">
      <formula>AND(C$9&gt;=8/24,C$9&lt;14/24)</formula>
    </cfRule>
    <cfRule type="expression" dxfId="2896" priority="146">
      <formula>C$9&lt;8/24</formula>
    </cfRule>
    <cfRule type="expression" dxfId="2895" priority="147">
      <formula>C$9&gt;=20/24</formula>
    </cfRule>
  </conditionalFormatting>
  <conditionalFormatting sqref="B11:H52 I12:Q12 I13:Z52 B59:D68 E63:F66 C63:D74 E68:I74 B69:AF74 B77:AF99 B9:AF10 B101:AF117 B119:AF137 B244:AF244 B246:B252">
    <cfRule type="expression" dxfId="2894" priority="41">
      <formula>B$9&gt;=20/24</formula>
    </cfRule>
  </conditionalFormatting>
  <conditionalFormatting sqref="B53:Z57">
    <cfRule type="expression" dxfId="2893" priority="53">
      <formula>B$9&lt;8/24</formula>
    </cfRule>
  </conditionalFormatting>
  <conditionalFormatting sqref="B9:AF10 B11:H52 I12:Q12 I13:Z52 B59:D68 E63:F66 C63:D74 E68:I74 B69:AF74 B77:AF99 B101:AF117 B119:AF137 B244:AF244 B246:B252">
    <cfRule type="expression" dxfId="2892" priority="42">
      <formula>AND(B$9&gt;=14/24,B$9&lt;20/24)</formula>
    </cfRule>
    <cfRule type="expression" dxfId="2891" priority="43">
      <formula>AND(B$9&gt;=8/24,B$9&lt;14/24)</formula>
    </cfRule>
    <cfRule type="expression" dxfId="2890" priority="44">
      <formula>B$9&lt;8/24</formula>
    </cfRule>
  </conditionalFormatting>
  <conditionalFormatting sqref="D246:AF252">
    <cfRule type="expression" dxfId="2889" priority="129">
      <formula>D$9&gt;=20/24</formula>
    </cfRule>
    <cfRule type="expression" dxfId="2888" priority="130">
      <formula>AND(D$9&gt;=14/24,D$9&lt;20/24)</formula>
    </cfRule>
    <cfRule type="expression" dxfId="2887" priority="131">
      <formula>AND(D$9&gt;=8/24,D$9&lt;14/24)</formula>
    </cfRule>
    <cfRule type="expression" dxfId="2886" priority="132">
      <formula>D$9&lt;8/24</formula>
    </cfRule>
  </conditionalFormatting>
  <conditionalFormatting sqref="E63:J67 K64:L65 K67">
    <cfRule type="expression" dxfId="2885" priority="54">
      <formula>E$9&gt;=20/24</formula>
    </cfRule>
    <cfRule type="expression" dxfId="2884" priority="55">
      <formula>AND(E$9&gt;=14/24,E$9&lt;20/24)</formula>
    </cfRule>
    <cfRule type="expression" dxfId="2883" priority="56">
      <formula>AND(E$9&gt;=8/24,E$9&lt;14/24)</formula>
    </cfRule>
    <cfRule type="expression" dxfId="2882" priority="57">
      <formula>E$9&lt;8/24</formula>
    </cfRule>
  </conditionalFormatting>
  <conditionalFormatting sqref="E11:Q11 R11:Z12 AA11:AF52">
    <cfRule type="expression" dxfId="2881" priority="58">
      <formula>E11&gt;$AG11</formula>
    </cfRule>
    <cfRule type="expression" dxfId="2880" priority="59">
      <formula>E$9&gt;=20/24</formula>
    </cfRule>
    <cfRule type="expression" dxfId="2879" priority="60">
      <formula>AND(E$9&gt;=14/24,E$9&lt;20/24)</formula>
    </cfRule>
    <cfRule type="expression" dxfId="2878" priority="61">
      <formula>AND(E$9&gt;=8/24,E$9&lt;14/24)</formula>
    </cfRule>
    <cfRule type="expression" dxfId="2877" priority="62">
      <formula>E$9&lt;8/24</formula>
    </cfRule>
  </conditionalFormatting>
  <conditionalFormatting sqref="E68:V68">
    <cfRule type="expression" dxfId="2876" priority="49">
      <formula>E$9&gt;=20/24</formula>
    </cfRule>
    <cfRule type="expression" dxfId="2875" priority="50">
      <formula>AND(E$9&gt;=14/24,E$9&lt;20/24)</formula>
    </cfRule>
    <cfRule type="expression" dxfId="2874" priority="51">
      <formula>AND(E$9&gt;=8/24,E$9&lt;14/24)</formula>
    </cfRule>
    <cfRule type="expression" dxfId="2873" priority="52">
      <formula>E$9&lt;8/24</formula>
    </cfRule>
  </conditionalFormatting>
  <conditionalFormatting sqref="E59:AF62">
    <cfRule type="expression" dxfId="2872" priority="67">
      <formula>E$9&gt;=20/24</formula>
    </cfRule>
    <cfRule type="expression" dxfId="2871" priority="68">
      <formula>AND(E$9&gt;=14/24,E$9&lt;20/24)</formula>
    </cfRule>
    <cfRule type="expression" dxfId="2870" priority="69">
      <formula>AND(E$9&gt;=8/24,E$9&lt;14/24)</formula>
    </cfRule>
    <cfRule type="expression" dxfId="2869" priority="70">
      <formula>E$9&lt;8/24</formula>
    </cfRule>
  </conditionalFormatting>
  <conditionalFormatting sqref="F11:H57 N13:N55 W13:Z55 E13:E57 I13:M57 B13:D61 O13:R74 S13:V80 M56:Z56 B11:E12 I12:Q12 U13:Y13 AA56:AF61 N57 W57:Z80 E58:N61 AA62:AG62 B62:N74 AA63:AF80 B75:R80 AG80">
    <cfRule type="expression" dxfId="2868" priority="40">
      <formula>B11&gt;$AG11</formula>
    </cfRule>
  </conditionalFormatting>
  <conditionalFormatting sqref="F63:L65">
    <cfRule type="expression" dxfId="2867" priority="81">
      <formula>F$9&gt;=20/24</formula>
    </cfRule>
    <cfRule type="expression" dxfId="2866" priority="82">
      <formula>AND(F$9&gt;=14/24,F$9&lt;20/24)</formula>
    </cfRule>
    <cfRule type="expression" dxfId="2865" priority="83">
      <formula>AND(F$9&gt;=8/24,F$9&lt;14/24)</formula>
    </cfRule>
    <cfRule type="expression" dxfId="2864" priority="84">
      <formula>F$9&lt;8/24</formula>
    </cfRule>
  </conditionalFormatting>
  <conditionalFormatting sqref="M8 S8 AB8">
    <cfRule type="expression" dxfId="2863" priority="136">
      <formula>AND(N$9&gt;=14/24,N$9&lt;20/24)</formula>
    </cfRule>
    <cfRule type="expression" dxfId="2862" priority="137">
      <formula>AND(N$9&gt;=8/24,N$9&lt;14/24)</formula>
    </cfRule>
    <cfRule type="expression" dxfId="2861" priority="138">
      <formula>N$9&lt;8/24</formula>
    </cfRule>
  </conditionalFormatting>
  <conditionalFormatting sqref="M63:V67">
    <cfRule type="expression" dxfId="2860" priority="85">
      <formula>M$9&gt;=20/24</formula>
    </cfRule>
    <cfRule type="expression" dxfId="2859" priority="86">
      <formula>AND(M$9&gt;=14/24,M$9&lt;20/24)</formula>
    </cfRule>
    <cfRule type="expression" dxfId="2858" priority="87">
      <formula>AND(M$9&gt;=8/24,M$9&lt;14/24)</formula>
    </cfRule>
    <cfRule type="expression" dxfId="2857" priority="88">
      <formula>M$9&lt;8/24</formula>
    </cfRule>
  </conditionalFormatting>
  <conditionalFormatting sqref="N56:Z57">
    <cfRule type="expression" dxfId="2856" priority="46">
      <formula>N$9&gt;=20/24</formula>
    </cfRule>
    <cfRule type="expression" dxfId="2855" priority="47">
      <formula>AND(N$9&gt;=14/24,N$9&lt;20/24)</formula>
    </cfRule>
    <cfRule type="expression" dxfId="2854" priority="48">
      <formula>AND(N$9&gt;=8/24,N$9&lt;14/24)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53" priority="135">
      <formula>N$9&gt;=20/24</formula>
    </cfRule>
  </conditionalFormatting>
  <conditionalFormatting sqref="S8">
    <cfRule type="expression" dxfId="2852" priority="122">
      <formula>U$9&gt;=20/24</formula>
    </cfRule>
    <cfRule type="expression" dxfId="2851" priority="123">
      <formula>AND(U$9&gt;=14/24,U$9&lt;20/24)</formula>
    </cfRule>
    <cfRule type="expression" dxfId="2850" priority="124">
      <formula>AND(U$9&gt;=8/24,U$9&lt;14/24)</formula>
    </cfRule>
    <cfRule type="expression" dxfId="2849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W63:AF68">
    <cfRule type="expression" dxfId="2848" priority="71">
      <formula>W$9&gt;=20/24</formula>
    </cfRule>
    <cfRule type="expression" dxfId="2847" priority="72">
      <formula>AND(W$9&gt;=14/24,W$9&lt;20/24)</formula>
    </cfRule>
    <cfRule type="expression" dxfId="2846" priority="73">
      <formula>AND(W$9&gt;=8/24,W$9&lt;14/24)</formula>
    </cfRule>
    <cfRule type="expression" dxfId="2845" priority="74">
      <formula>W$9&lt;8/24</formula>
    </cfRule>
  </conditionalFormatting>
  <conditionalFormatting sqref="AA53:AF54 N53:N55 W53:Z55 O53:V56 B53:M57 M56:N56">
    <cfRule type="expression" dxfId="2844" priority="37">
      <formula>B$9&gt;=20/24</formula>
    </cfRule>
    <cfRule type="expression" dxfId="2843" priority="38">
      <formula>AND(B$9&gt;=14/24,B$9&lt;20/24)</formula>
    </cfRule>
    <cfRule type="expression" dxfId="2842" priority="39">
      <formula>AND(B$9&gt;=8/24,B$9&lt;14/24)</formula>
    </cfRule>
  </conditionalFormatting>
  <conditionalFormatting sqref="AA53:AF55">
    <cfRule type="expression" dxfId="2841" priority="76">
      <formula>AA53&gt;$AG53</formula>
    </cfRule>
  </conditionalFormatting>
  <conditionalFormatting sqref="AA53:AF57">
    <cfRule type="expression" dxfId="2840" priority="75">
      <formula>AA$9&lt;8/24</formula>
    </cfRule>
  </conditionalFormatting>
  <conditionalFormatting sqref="AA55:AF57">
    <cfRule type="expression" dxfId="2839" priority="64">
      <formula>AA$9&gt;=20/24</formula>
    </cfRule>
    <cfRule type="expression" dxfId="2838" priority="65">
      <formula>AND(AA$9&gt;=14/24,AA$9&lt;20/24)</formula>
    </cfRule>
    <cfRule type="expression" dxfId="2837" priority="66">
      <formula>AND(AA$9&gt;=8/24,AA$9&lt;14/24)</formula>
    </cfRule>
  </conditionalFormatting>
  <conditionalFormatting sqref="AB8">
    <cfRule type="expression" dxfId="2836" priority="118">
      <formula>AD$9&gt;=20/24</formula>
    </cfRule>
    <cfRule type="expression" dxfId="2835" priority="119">
      <formula>AND(AD$9&gt;=14/24,AD$9&lt;20/24)</formula>
    </cfRule>
    <cfRule type="expression" dxfId="2834" priority="120">
      <formula>AND(AD$9&gt;=8/24,AD$9&lt;14/24)</formula>
    </cfRule>
    <cfRule type="expression" dxfId="2833" priority="121">
      <formula>AD$9&lt;8/24</formula>
    </cfRule>
  </conditionalFormatting>
  <conditionalFormatting sqref="AG58">
    <cfRule type="expression" dxfId="2832" priority="113">
      <formula>AG58&gt;$AG58</formula>
    </cfRule>
  </conditionalFormatting>
  <conditionalFormatting sqref="AG62">
    <cfRule type="expression" dxfId="2831" priority="96">
      <formula>AG$9&gt;=20/24</formula>
    </cfRule>
    <cfRule type="expression" dxfId="2830" priority="97">
      <formula>AND(AG$9&gt;=14/24,AG$9&lt;20/24)</formula>
    </cfRule>
    <cfRule type="expression" dxfId="2829" priority="98">
      <formula>AND(AG$9&gt;=8/24,AG$9&lt;14/24)</formula>
    </cfRule>
    <cfRule type="expression" dxfId="2828" priority="99">
      <formula>AG$9&lt;8/24</formula>
    </cfRule>
  </conditionalFormatting>
  <conditionalFormatting sqref="AG75:AG76">
    <cfRule type="expression" dxfId="2827" priority="91">
      <formula>AG75&gt;$AG75</formula>
    </cfRule>
  </conditionalFormatting>
  <conditionalFormatting sqref="AG80">
    <cfRule type="expression" dxfId="2826" priority="92">
      <formula>AG$9&gt;=20/24</formula>
    </cfRule>
    <cfRule type="expression" dxfId="2825" priority="93">
      <formula>AND(AG$9&gt;=14/24,AG$9&lt;20/24)</formula>
    </cfRule>
    <cfRule type="expression" dxfId="2824" priority="94">
      <formula>AND(AG$9&gt;=8/24,AG$9&lt;14/24)</formula>
    </cfRule>
    <cfRule type="expression" dxfId="2823" priority="95">
      <formula>AG$9&lt;8/24</formula>
    </cfRule>
  </conditionalFormatting>
  <conditionalFormatting sqref="AG97">
    <cfRule type="expression" dxfId="2822" priority="114">
      <formula>AG$9&gt;=20/24</formula>
    </cfRule>
    <cfRule type="expression" dxfId="2821" priority="115">
      <formula>AND(AG$9&gt;=14/24,AG$9&lt;20/24)</formula>
    </cfRule>
    <cfRule type="expression" dxfId="2820" priority="116">
      <formula>AND(AG$9&gt;=8/24,AG$9&lt;14/24)</formula>
    </cfRule>
    <cfRule type="expression" dxfId="2819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818" priority="139">
      <formula>AJ$9&gt;=20/24</formula>
    </cfRule>
    <cfRule type="expression" dxfId="2817" priority="140">
      <formula>AND(AJ$9&gt;=14/24,AJ$9&lt;20/24)</formula>
    </cfRule>
    <cfRule type="expression" dxfId="2816" priority="141">
      <formula>AND(AJ$9&gt;=8/24,AJ$9&lt;14/24)</formula>
    </cfRule>
    <cfRule type="expression" dxfId="2815" priority="142">
      <formula>AJ$9&lt;8/24</formula>
    </cfRule>
  </conditionalFormatting>
  <conditionalFormatting sqref="AL88:AN88 AL94:AN94">
    <cfRule type="expression" dxfId="2814" priority="106">
      <formula>AL$9&gt;=20/24</formula>
    </cfRule>
    <cfRule type="expression" dxfId="2813" priority="107">
      <formula>AND(AL$9&gt;=14/24,AL$9&lt;20/24)</formula>
    </cfRule>
    <cfRule type="expression" dxfId="2812" priority="108">
      <formula>AND(AL$9&gt;=8/24,AL$9&lt;14/24)</formula>
    </cfRule>
    <cfRule type="expression" dxfId="2811" priority="109">
      <formula>AL$9&lt;8/24</formula>
    </cfRule>
  </conditionalFormatting>
  <conditionalFormatting sqref="AM15:AM21 AN16:AR21">
    <cfRule type="expression" dxfId="2810" priority="13">
      <formula>AX$9&gt;=20/24</formula>
    </cfRule>
    <cfRule type="expression" dxfId="2809" priority="14">
      <formula>AND(AX$9&gt;=14/24,AX$9&lt;20/24)</formula>
    </cfRule>
    <cfRule type="expression" dxfId="2808" priority="15">
      <formula>AND(AX$9&gt;=8/24,AX$9&lt;14/24)</formula>
    </cfRule>
    <cfRule type="expression" dxfId="2807" priority="16">
      <formula>AX$9&lt;8/24</formula>
    </cfRule>
  </conditionalFormatting>
  <conditionalFormatting sqref="AN89:AN92">
    <cfRule type="expression" dxfId="2806" priority="102">
      <formula>AN$9&gt;=20/24</formula>
    </cfRule>
    <cfRule type="expression" dxfId="2805" priority="103">
      <formula>AND(AN$9&gt;=14/24,AN$9&lt;20/24)</formula>
    </cfRule>
    <cfRule type="expression" dxfId="2804" priority="104">
      <formula>AND(AN$9&gt;=8/24,AN$9&lt;14/24)</formula>
    </cfRule>
    <cfRule type="expression" dxfId="2803" priority="105">
      <formula>AN$9&lt;8/24</formula>
    </cfRule>
  </conditionalFormatting>
  <conditionalFormatting sqref="AN15:AR15">
    <cfRule type="expression" dxfId="2802" priority="1">
      <formula>U$9&gt;=20/24</formula>
    </cfRule>
    <cfRule type="expression" dxfId="2801" priority="2">
      <formula>AND(U$9&gt;=14/24,U$9&lt;20/24)</formula>
    </cfRule>
    <cfRule type="expression" dxfId="2800" priority="3">
      <formula>AND(U$9&gt;=8/24,U$9&lt;14/24)</formula>
    </cfRule>
    <cfRule type="expression" dxfId="2799" priority="4">
      <formula>U$9&lt;8/24</formula>
    </cfRule>
  </conditionalFormatting>
  <conditionalFormatting sqref="AS15">
    <cfRule type="expression" dxfId="2798" priority="9">
      <formula>AA$9&gt;=20/24</formula>
    </cfRule>
    <cfRule type="expression" dxfId="2797" priority="10">
      <formula>AND(AA$9&gt;=14/24,AA$9&lt;20/24)</formula>
    </cfRule>
    <cfRule type="expression" dxfId="2796" priority="11">
      <formula>AND(AA$9&gt;=8/24,AA$9&lt;14/24)</formula>
    </cfRule>
    <cfRule type="expression" dxfId="2795" priority="12">
      <formula>AA$9&lt;8/24</formula>
    </cfRule>
  </conditionalFormatting>
  <conditionalFormatting sqref="AS16:AS21">
    <cfRule type="expression" dxfId="2794" priority="17">
      <formula>BE$9&gt;=20/24</formula>
    </cfRule>
    <cfRule type="expression" dxfId="2793" priority="18">
      <formula>AND(BE$9&gt;=14/24,BE$9&lt;20/24)</formula>
    </cfRule>
    <cfRule type="expression" dxfId="2792" priority="19">
      <formula>AND(BE$9&gt;=8/24,BE$9&lt;14/24)</formula>
    </cfRule>
    <cfRule type="expression" dxfId="2791" priority="20">
      <formula>BE$9&lt;8/24</formula>
    </cfRule>
  </conditionalFormatting>
  <conditionalFormatting sqref="AT15 AX15:BJ15">
    <cfRule type="expression" dxfId="2790" priority="21">
      <formula>AC$9&gt;=20/24</formula>
    </cfRule>
    <cfRule type="expression" dxfId="2789" priority="22">
      <formula>AND(AC$9&gt;=14/24,AC$9&lt;20/24)</formula>
    </cfRule>
    <cfRule type="expression" dxfId="2788" priority="23">
      <formula>AND(AC$9&gt;=8/24,AC$9&lt;14/24)</formula>
    </cfRule>
    <cfRule type="expression" dxfId="2787" priority="24">
      <formula>AC$9&lt;8/24</formula>
    </cfRule>
  </conditionalFormatting>
  <conditionalFormatting sqref="AT16:AT21">
    <cfRule type="expression" dxfId="2786" priority="25">
      <formula>BG$9&gt;=20/24</formula>
    </cfRule>
    <cfRule type="expression" dxfId="2785" priority="26">
      <formula>AND(BG$9&gt;=14/24,BG$9&lt;20/24)</formula>
    </cfRule>
    <cfRule type="expression" dxfId="2784" priority="27">
      <formula>AND(BG$9&gt;=8/24,BG$9&lt;14/24)</formula>
    </cfRule>
    <cfRule type="expression" dxfId="2783" priority="28">
      <formula>BG$9&lt;8/24</formula>
    </cfRule>
  </conditionalFormatting>
  <conditionalFormatting sqref="AU15:AV15">
    <cfRule type="expression" dxfId="2782" priority="29">
      <formula>AE$9&gt;=20/24</formula>
    </cfRule>
    <cfRule type="expression" dxfId="2781" priority="30">
      <formula>AND(AE$9&gt;=14/24,AE$9&lt;20/24)</formula>
    </cfRule>
    <cfRule type="expression" dxfId="2780" priority="31">
      <formula>AND(AE$9&gt;=8/24,AE$9&lt;14/24)</formula>
    </cfRule>
    <cfRule type="expression" dxfId="2779" priority="32">
      <formula>AE$9&lt;8/24</formula>
    </cfRule>
  </conditionalFormatting>
  <conditionalFormatting sqref="AU16:BJ21">
    <cfRule type="expression" dxfId="2778" priority="33">
      <formula>BI$9&gt;=20/24</formula>
    </cfRule>
    <cfRule type="expression" dxfId="2777" priority="34">
      <formula>AND(BI$9&gt;=14/24,BI$9&lt;20/24)</formula>
    </cfRule>
    <cfRule type="expression" dxfId="2776" priority="35">
      <formula>AND(BI$9&gt;=8/24,BI$9&lt;14/24)</formula>
    </cfRule>
    <cfRule type="expression" dxfId="2775" priority="36">
      <formula>BI$9&lt;8/24</formula>
    </cfRule>
  </conditionalFormatting>
  <conditionalFormatting sqref="AW15">
    <cfRule type="expression" dxfId="2774" priority="5">
      <formula>B$9&gt;=20/24</formula>
    </cfRule>
    <cfRule type="expression" dxfId="2773" priority="6">
      <formula>AND(B$9&gt;=14/24,B$9&lt;20/24)</formula>
    </cfRule>
    <cfRule type="expression" dxfId="2772" priority="7">
      <formula>AND(B$9&gt;=8/24,B$9&lt;14/24)</formula>
    </cfRule>
    <cfRule type="expression" dxfId="277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F69C-E93F-4918-82EC-24FA4C864394}">
  <sheetPr codeName="Sheet15"/>
  <dimension ref="A1:CJ294"/>
  <sheetViews>
    <sheetView zoomScale="106" workbookViewId="0">
      <pane xSplit="1" ySplit="10" topLeftCell="B5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Z98" sqref="Z9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2" width="6.8554687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2080/10/15</v>
      </c>
      <c r="C4" s="187"/>
      <c r="D4" s="187"/>
      <c r="E4" s="188" t="str">
        <f ca="1">"2080/"&amp;"10/"&amp;INT(MID(CELL("filename",G6),FIND("]",CELL("filename",G6))+1,200))</f>
        <v>2080/10/15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32</v>
      </c>
      <c r="K5" s="30">
        <f t="shared" si="0"/>
        <v>35</v>
      </c>
      <c r="L5" s="30">
        <f t="shared" si="0"/>
        <v>126.8</v>
      </c>
      <c r="M5" s="30">
        <f t="shared" si="0"/>
        <v>135.69999999999999</v>
      </c>
      <c r="N5" s="30">
        <f t="shared" si="0"/>
        <v>223.8</v>
      </c>
      <c r="O5" s="30">
        <f t="shared" si="0"/>
        <v>257.89999999999998</v>
      </c>
      <c r="P5" s="30">
        <f t="shared" si="0"/>
        <v>166.5</v>
      </c>
      <c r="Q5" s="30">
        <f t="shared" si="0"/>
        <v>196.70000000000002</v>
      </c>
      <c r="R5" s="30">
        <f t="shared" si="0"/>
        <v>195.3</v>
      </c>
      <c r="S5" s="30">
        <f t="shared" si="0"/>
        <v>190</v>
      </c>
      <c r="T5" s="30">
        <f t="shared" si="0"/>
        <v>193.3</v>
      </c>
      <c r="U5" s="30">
        <f t="shared" si="0"/>
        <v>161.60000000000002</v>
      </c>
      <c r="V5" s="30">
        <f t="shared" si="0"/>
        <v>149.69999999999999</v>
      </c>
      <c r="W5" s="30">
        <f t="shared" si="0"/>
        <v>152.9</v>
      </c>
      <c r="X5" s="30">
        <f t="shared" si="0"/>
        <v>40.200000000000003</v>
      </c>
      <c r="Y5" s="30">
        <f t="shared" si="0"/>
        <v>21.400000000000002</v>
      </c>
      <c r="Z5" s="30">
        <f t="shared" si="0"/>
        <v>29.2</v>
      </c>
      <c r="AA5" s="30">
        <f t="shared" si="0"/>
        <v>27.6</v>
      </c>
      <c r="AB5" s="30">
        <f t="shared" si="0"/>
        <v>59.300000000000004</v>
      </c>
      <c r="AC5" s="30">
        <f t="shared" si="0"/>
        <v>32.1</v>
      </c>
      <c r="AD5" s="30">
        <f t="shared" si="0"/>
        <v>17.5</v>
      </c>
      <c r="AE5" s="30">
        <f t="shared" si="0"/>
        <v>17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1982MW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Load=907</v>
      </c>
      <c r="B7" s="35">
        <f t="shared" ref="B7:AF7" si="1">B100</f>
        <v>1312.97</v>
      </c>
      <c r="C7" s="35">
        <f t="shared" si="1"/>
        <v>1327.97</v>
      </c>
      <c r="D7" s="35">
        <f t="shared" si="1"/>
        <v>1253.97</v>
      </c>
      <c r="E7" s="35">
        <f t="shared" si="1"/>
        <v>1399.44</v>
      </c>
      <c r="F7" s="35">
        <f t="shared" si="1"/>
        <v>1395.44</v>
      </c>
      <c r="G7" s="35">
        <f t="shared" si="1"/>
        <v>1357.44</v>
      </c>
      <c r="H7" s="35">
        <f t="shared" si="1"/>
        <v>1357.44</v>
      </c>
      <c r="I7" s="35">
        <f t="shared" si="1"/>
        <v>1803.94</v>
      </c>
      <c r="J7" s="35">
        <f t="shared" si="1"/>
        <v>1684.44</v>
      </c>
      <c r="K7" s="35">
        <f t="shared" si="1"/>
        <v>906.74</v>
      </c>
      <c r="L7" s="35">
        <f t="shared" si="1"/>
        <v>1327.2399999999998</v>
      </c>
      <c r="M7" s="35">
        <f t="shared" si="1"/>
        <v>1551.34</v>
      </c>
      <c r="N7" s="35">
        <f t="shared" si="1"/>
        <v>1591.84</v>
      </c>
      <c r="O7" s="35">
        <f t="shared" si="1"/>
        <v>1670.54</v>
      </c>
      <c r="P7" s="35">
        <f t="shared" si="1"/>
        <v>1664.2400000000002</v>
      </c>
      <c r="Q7" s="35">
        <f t="shared" si="1"/>
        <v>1652.1399999999999</v>
      </c>
      <c r="R7" s="35">
        <f t="shared" si="1"/>
        <v>1687.5399999999997</v>
      </c>
      <c r="S7" s="35">
        <f t="shared" si="1"/>
        <v>1854.04</v>
      </c>
      <c r="T7" s="35">
        <f t="shared" si="1"/>
        <v>1793.7399999999998</v>
      </c>
      <c r="U7" s="35">
        <f t="shared" si="1"/>
        <v>1844.34</v>
      </c>
      <c r="V7" s="35">
        <f t="shared" si="1"/>
        <v>1715.1399999999999</v>
      </c>
      <c r="W7" s="35">
        <f t="shared" si="1"/>
        <v>1574.04</v>
      </c>
      <c r="X7" s="35">
        <f t="shared" si="1"/>
        <v>1533.54</v>
      </c>
      <c r="Y7" s="35">
        <f t="shared" si="1"/>
        <v>1598.6999999999998</v>
      </c>
      <c r="Z7" s="35">
        <f t="shared" si="1"/>
        <v>1677.5</v>
      </c>
      <c r="AA7" s="35">
        <f t="shared" si="1"/>
        <v>1830.5399999999997</v>
      </c>
      <c r="AB7" s="35">
        <f t="shared" si="1"/>
        <v>1786.6399999999999</v>
      </c>
      <c r="AC7" s="35">
        <f t="shared" si="1"/>
        <v>1723.2399999999998</v>
      </c>
      <c r="AD7" s="35">
        <f t="shared" si="1"/>
        <v>1771.8399999999997</v>
      </c>
      <c r="AE7" s="35">
        <f t="shared" si="1"/>
        <v>1688.9399999999996</v>
      </c>
      <c r="AF7" s="35">
        <f t="shared" si="1"/>
        <v>1594.2399999999998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2069.64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1854.04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28</v>
      </c>
      <c r="C11" s="46">
        <v>42</v>
      </c>
      <c r="D11" s="46">
        <v>42</v>
      </c>
      <c r="E11" s="46">
        <v>42</v>
      </c>
      <c r="F11" s="46">
        <v>42</v>
      </c>
      <c r="G11" s="46">
        <v>42</v>
      </c>
      <c r="H11" s="46">
        <v>42</v>
      </c>
      <c r="I11" s="46">
        <v>42</v>
      </c>
      <c r="J11" s="46">
        <v>42</v>
      </c>
      <c r="K11" s="46">
        <v>66</v>
      </c>
      <c r="L11" s="46">
        <v>44.5</v>
      </c>
      <c r="M11" s="46">
        <v>47.2</v>
      </c>
      <c r="N11" s="46">
        <v>47.2</v>
      </c>
      <c r="O11" s="46">
        <v>47.2</v>
      </c>
      <c r="P11" s="46">
        <v>44.5</v>
      </c>
      <c r="Q11" s="46">
        <v>47.2</v>
      </c>
      <c r="R11" s="46">
        <v>44.1</v>
      </c>
      <c r="S11" s="46">
        <v>44.1</v>
      </c>
      <c r="T11" s="46">
        <v>51.4</v>
      </c>
      <c r="U11" s="46">
        <v>51.4</v>
      </c>
      <c r="V11" s="46">
        <v>51.4</v>
      </c>
      <c r="W11" s="46">
        <v>35.9</v>
      </c>
      <c r="X11" s="46">
        <v>35.9</v>
      </c>
      <c r="Y11" s="46">
        <v>35.9</v>
      </c>
      <c r="Z11" s="46">
        <v>35.9</v>
      </c>
      <c r="AA11" s="46">
        <v>35.9</v>
      </c>
      <c r="AB11" s="46">
        <v>35.9</v>
      </c>
      <c r="AC11" s="46">
        <v>35.9</v>
      </c>
      <c r="AD11" s="46">
        <v>35.9</v>
      </c>
      <c r="AE11" s="46">
        <v>35.9</v>
      </c>
      <c r="AF11" s="46">
        <v>35.9</v>
      </c>
      <c r="AG11" s="47">
        <v>86</v>
      </c>
      <c r="AH11" s="48">
        <f t="shared" ref="AH11:AH16" si="2">MAX(B11:AF11)</f>
        <v>66</v>
      </c>
      <c r="AI11" s="49">
        <f t="shared" ref="AI11:AI16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45</v>
      </c>
      <c r="C12" s="46">
        <v>45</v>
      </c>
      <c r="D12" s="46">
        <v>45</v>
      </c>
      <c r="E12" s="46">
        <v>45</v>
      </c>
      <c r="F12" s="46">
        <v>45</v>
      </c>
      <c r="G12" s="46">
        <v>45</v>
      </c>
      <c r="H12" s="46">
        <v>45</v>
      </c>
      <c r="I12" s="46">
        <v>45</v>
      </c>
      <c r="J12" s="46">
        <v>45</v>
      </c>
      <c r="K12" s="46">
        <v>45</v>
      </c>
      <c r="L12" s="46">
        <v>45</v>
      </c>
      <c r="M12" s="46">
        <v>45</v>
      </c>
      <c r="N12" s="46">
        <v>45</v>
      </c>
      <c r="O12" s="46">
        <v>45</v>
      </c>
      <c r="P12" s="46">
        <v>45</v>
      </c>
      <c r="Q12" s="46">
        <v>45</v>
      </c>
      <c r="R12" s="46">
        <v>45</v>
      </c>
      <c r="S12" s="46">
        <v>45</v>
      </c>
      <c r="T12" s="46">
        <v>45</v>
      </c>
      <c r="U12" s="46">
        <v>45</v>
      </c>
      <c r="V12" s="46">
        <v>45</v>
      </c>
      <c r="W12" s="46">
        <v>45</v>
      </c>
      <c r="X12" s="46">
        <v>45</v>
      </c>
      <c r="Y12" s="46">
        <v>45</v>
      </c>
      <c r="Z12" s="46">
        <v>45</v>
      </c>
      <c r="AA12" s="46">
        <v>45</v>
      </c>
      <c r="AB12" s="46">
        <v>45</v>
      </c>
      <c r="AC12" s="46">
        <v>45</v>
      </c>
      <c r="AD12" s="46">
        <v>45</v>
      </c>
      <c r="AE12" s="46">
        <v>45</v>
      </c>
      <c r="AF12" s="46">
        <v>45</v>
      </c>
      <c r="AG12" s="50">
        <v>54</v>
      </c>
      <c r="AH12" s="48">
        <f t="shared" si="2"/>
        <v>45</v>
      </c>
      <c r="AI12" s="49">
        <f t="shared" si="3"/>
        <v>45</v>
      </c>
      <c r="AK12" s="51"/>
      <c r="AL12" s="52" t="str">
        <f ca="1">MID(CELL("filename",C7),FIND("]",CELL("filename",C7))+1,600)</f>
        <v>15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28.9</v>
      </c>
      <c r="C13" s="46">
        <v>28.9</v>
      </c>
      <c r="D13" s="46">
        <v>28.9</v>
      </c>
      <c r="E13" s="46">
        <v>28.9</v>
      </c>
      <c r="F13" s="46">
        <v>28.9</v>
      </c>
      <c r="G13" s="46">
        <v>28.9</v>
      </c>
      <c r="H13" s="46">
        <v>28.9</v>
      </c>
      <c r="I13" s="46">
        <v>28.9</v>
      </c>
      <c r="J13" s="46">
        <v>28.9</v>
      </c>
      <c r="K13" s="46">
        <v>0</v>
      </c>
      <c r="L13" s="46">
        <v>28.9</v>
      </c>
      <c r="M13" s="46">
        <v>28.9</v>
      </c>
      <c r="N13" s="46">
        <v>28.9</v>
      </c>
      <c r="O13" s="46">
        <v>28.9</v>
      </c>
      <c r="P13" s="46">
        <v>28.9</v>
      </c>
      <c r="Q13" s="46">
        <v>28.9</v>
      </c>
      <c r="R13" s="46">
        <v>28.9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27</v>
      </c>
      <c r="AF13" s="46">
        <v>27</v>
      </c>
      <c r="AG13" s="50">
        <v>54</v>
      </c>
      <c r="AH13" s="48">
        <f t="shared" si="2"/>
        <v>28.9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20</v>
      </c>
      <c r="V14" s="46">
        <v>20</v>
      </c>
      <c r="W14" s="46">
        <v>20</v>
      </c>
      <c r="X14" s="46">
        <v>20</v>
      </c>
      <c r="Y14" s="46">
        <v>20</v>
      </c>
      <c r="Z14" s="46">
        <v>20</v>
      </c>
      <c r="AA14" s="46">
        <v>20</v>
      </c>
      <c r="AB14" s="46">
        <v>20</v>
      </c>
      <c r="AC14" s="46">
        <v>20</v>
      </c>
      <c r="AD14" s="46">
        <v>20</v>
      </c>
      <c r="AE14" s="46">
        <v>20</v>
      </c>
      <c r="AF14" s="46">
        <v>20</v>
      </c>
      <c r="AG14" s="47">
        <v>52.4</v>
      </c>
      <c r="AH14" s="48">
        <f t="shared" si="2"/>
        <v>20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50.33</v>
      </c>
      <c r="C15" s="46">
        <v>50.33</v>
      </c>
      <c r="D15" s="46">
        <v>50.33</v>
      </c>
      <c r="E15" s="46">
        <v>50.3</v>
      </c>
      <c r="F15" s="46">
        <v>50.3</v>
      </c>
      <c r="G15" s="46">
        <v>50.3</v>
      </c>
      <c r="H15" s="46">
        <v>50.3</v>
      </c>
      <c r="I15" s="46">
        <v>50.3</v>
      </c>
      <c r="J15" s="46">
        <v>50.3</v>
      </c>
      <c r="K15" s="46">
        <v>0</v>
      </c>
      <c r="L15" s="46">
        <v>50.3</v>
      </c>
      <c r="M15" s="46">
        <v>50.3</v>
      </c>
      <c r="N15" s="46">
        <v>50.3</v>
      </c>
      <c r="O15" s="46">
        <v>50.3</v>
      </c>
      <c r="P15" s="46">
        <v>50.3</v>
      </c>
      <c r="Q15" s="46">
        <v>50.3</v>
      </c>
      <c r="R15" s="46">
        <v>50.3</v>
      </c>
      <c r="S15" s="46">
        <v>50.3</v>
      </c>
      <c r="T15" s="46">
        <v>25</v>
      </c>
      <c r="U15" s="46">
        <v>25</v>
      </c>
      <c r="V15" s="46">
        <v>50</v>
      </c>
      <c r="W15" s="46">
        <v>50</v>
      </c>
      <c r="X15" s="46">
        <v>50</v>
      </c>
      <c r="Y15" s="46">
        <v>50.3</v>
      </c>
      <c r="Z15" s="46">
        <v>50.3</v>
      </c>
      <c r="AA15" s="46">
        <v>50.3</v>
      </c>
      <c r="AB15" s="46">
        <v>50.3</v>
      </c>
      <c r="AC15" s="46">
        <v>50.3</v>
      </c>
      <c r="AD15" s="46">
        <v>50.3</v>
      </c>
      <c r="AE15" s="46">
        <v>50.3</v>
      </c>
      <c r="AF15" s="46">
        <v>50.3</v>
      </c>
      <c r="AG15" s="50">
        <v>50</v>
      </c>
      <c r="AH15" s="48">
        <f t="shared" si="2"/>
        <v>50.33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45</v>
      </c>
      <c r="C16" s="46">
        <v>45</v>
      </c>
      <c r="D16" s="46">
        <v>45</v>
      </c>
      <c r="E16" s="46">
        <v>45</v>
      </c>
      <c r="F16" s="46">
        <v>45</v>
      </c>
      <c r="G16" s="46">
        <v>45</v>
      </c>
      <c r="H16" s="46">
        <v>45</v>
      </c>
      <c r="I16" s="46">
        <v>45</v>
      </c>
      <c r="J16" s="46">
        <v>45</v>
      </c>
      <c r="K16" s="46">
        <v>0</v>
      </c>
      <c r="L16" s="46">
        <v>45</v>
      </c>
      <c r="M16" s="46">
        <v>45</v>
      </c>
      <c r="N16" s="46">
        <v>45</v>
      </c>
      <c r="O16" s="46">
        <v>45</v>
      </c>
      <c r="P16" s="46">
        <v>45</v>
      </c>
      <c r="Q16" s="46">
        <v>45</v>
      </c>
      <c r="R16" s="46">
        <v>45</v>
      </c>
      <c r="S16" s="46">
        <v>45</v>
      </c>
      <c r="T16" s="46">
        <v>45</v>
      </c>
      <c r="U16" s="46">
        <v>45</v>
      </c>
      <c r="V16" s="46">
        <v>45</v>
      </c>
      <c r="W16" s="46">
        <v>45</v>
      </c>
      <c r="X16" s="46">
        <v>45</v>
      </c>
      <c r="Y16" s="46">
        <v>45</v>
      </c>
      <c r="Z16" s="46">
        <v>45</v>
      </c>
      <c r="AA16" s="46">
        <v>45</v>
      </c>
      <c r="AB16" s="46">
        <v>45</v>
      </c>
      <c r="AC16" s="46">
        <v>45</v>
      </c>
      <c r="AD16" s="46">
        <v>45</v>
      </c>
      <c r="AE16" s="46">
        <v>45</v>
      </c>
      <c r="AF16" s="46">
        <v>45</v>
      </c>
      <c r="AG16" s="50">
        <v>45</v>
      </c>
      <c r="AH16" s="48">
        <f t="shared" si="2"/>
        <v>45</v>
      </c>
      <c r="AI16" s="49">
        <f t="shared" si="3"/>
        <v>0</v>
      </c>
      <c r="AK16" s="51"/>
      <c r="AL16" s="54" t="s">
        <v>7</v>
      </c>
      <c r="AM16" s="59">
        <f t="shared" ref="AM16:AR16" si="4">B58</f>
        <v>839.43</v>
      </c>
      <c r="AN16" s="59">
        <f t="shared" si="4"/>
        <v>853.43</v>
      </c>
      <c r="AO16" s="59">
        <f t="shared" si="4"/>
        <v>850.43</v>
      </c>
      <c r="AP16" s="59">
        <f t="shared" si="4"/>
        <v>940.59999999999991</v>
      </c>
      <c r="AQ16" s="59">
        <f t="shared" si="4"/>
        <v>940.59999999999991</v>
      </c>
      <c r="AR16" s="59">
        <f t="shared" si="4"/>
        <v>945.59999999999991</v>
      </c>
      <c r="AS16" s="59">
        <f>I58</f>
        <v>945.59999999999991</v>
      </c>
      <c r="AT16" s="59">
        <f>K58</f>
        <v>481.59999999999997</v>
      </c>
      <c r="AU16" s="59">
        <f t="shared" ref="AU16:BD16" si="5">M58</f>
        <v>846.0999999999998</v>
      </c>
      <c r="AV16" s="59">
        <f t="shared" si="5"/>
        <v>846.0999999999998</v>
      </c>
      <c r="AW16" s="59">
        <f t="shared" si="5"/>
        <v>846.0999999999998</v>
      </c>
      <c r="AX16" s="59">
        <f t="shared" si="5"/>
        <v>843.39999999999986</v>
      </c>
      <c r="AY16" s="59">
        <f t="shared" si="5"/>
        <v>846.0999999999998</v>
      </c>
      <c r="AZ16" s="59">
        <f t="shared" si="5"/>
        <v>822.09999999999991</v>
      </c>
      <c r="BA16" s="59">
        <f t="shared" si="5"/>
        <v>835.99999999999989</v>
      </c>
      <c r="BB16" s="59">
        <f t="shared" si="5"/>
        <v>817.99999999999989</v>
      </c>
      <c r="BC16" s="59">
        <f t="shared" si="5"/>
        <v>840.99999999999989</v>
      </c>
      <c r="BD16" s="59">
        <f t="shared" si="5"/>
        <v>869.99999999999989</v>
      </c>
      <c r="BE16" s="60">
        <f>X58</f>
        <v>864.49999999999989</v>
      </c>
      <c r="BF16" s="60">
        <f>Z58</f>
        <v>864.79999999999984</v>
      </c>
      <c r="BG16" s="60">
        <f>AB58</f>
        <v>864.79999999999984</v>
      </c>
      <c r="BH16" s="60">
        <f>AD58</f>
        <v>822.79999999999984</v>
      </c>
      <c r="BI16" s="60">
        <f>AE58</f>
        <v>849.79999999999984</v>
      </c>
      <c r="BJ16" s="60">
        <f>AF58</f>
        <v>849.79999999999984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42</v>
      </c>
      <c r="C17" s="46">
        <v>42</v>
      </c>
      <c r="D17" s="46">
        <v>42</v>
      </c>
      <c r="E17" s="46">
        <v>42</v>
      </c>
      <c r="F17" s="46">
        <v>42</v>
      </c>
      <c r="G17" s="46">
        <v>42</v>
      </c>
      <c r="H17" s="46">
        <v>42</v>
      </c>
      <c r="I17" s="46">
        <v>42</v>
      </c>
      <c r="J17" s="46">
        <v>42</v>
      </c>
      <c r="K17" s="46">
        <v>0</v>
      </c>
      <c r="L17" s="46">
        <v>42</v>
      </c>
      <c r="M17" s="46">
        <v>42</v>
      </c>
      <c r="N17" s="46">
        <v>42</v>
      </c>
      <c r="O17" s="46">
        <v>42</v>
      </c>
      <c r="P17" s="46">
        <v>42</v>
      </c>
      <c r="Q17" s="46">
        <v>42</v>
      </c>
      <c r="R17" s="46">
        <v>30</v>
      </c>
      <c r="S17" s="46">
        <v>30</v>
      </c>
      <c r="T17" s="46">
        <v>30</v>
      </c>
      <c r="U17" s="46">
        <v>30</v>
      </c>
      <c r="V17" s="46">
        <v>30</v>
      </c>
      <c r="W17" s="46">
        <v>30</v>
      </c>
      <c r="X17" s="46">
        <v>30</v>
      </c>
      <c r="Y17" s="46">
        <v>30</v>
      </c>
      <c r="Z17" s="46">
        <v>30</v>
      </c>
      <c r="AA17" s="46">
        <v>30</v>
      </c>
      <c r="AB17" s="46">
        <v>30</v>
      </c>
      <c r="AC17" s="46">
        <v>30</v>
      </c>
      <c r="AD17" s="46">
        <v>30</v>
      </c>
      <c r="AE17" s="46">
        <v>30</v>
      </c>
      <c r="AF17" s="46">
        <v>30</v>
      </c>
      <c r="AG17" s="50">
        <v>44</v>
      </c>
      <c r="AH17" s="48">
        <f>MAX(B17:AG17)</f>
        <v>44</v>
      </c>
      <c r="AI17" s="49">
        <f>MIN(B17:AG17)</f>
        <v>0</v>
      </c>
      <c r="AK17" s="51"/>
      <c r="AL17" s="54" t="s">
        <v>27</v>
      </c>
      <c r="AM17" s="59">
        <f t="shared" ref="AM17:AR17" si="6">B62</f>
        <v>440.1</v>
      </c>
      <c r="AN17" s="59">
        <f t="shared" si="6"/>
        <v>491.1</v>
      </c>
      <c r="AO17" s="59">
        <f t="shared" si="6"/>
        <v>461.1</v>
      </c>
      <c r="AP17" s="59">
        <f t="shared" si="6"/>
        <v>538.5</v>
      </c>
      <c r="AQ17" s="59">
        <f t="shared" si="6"/>
        <v>510.5</v>
      </c>
      <c r="AR17" s="59">
        <f t="shared" si="6"/>
        <v>510.5</v>
      </c>
      <c r="AS17" s="59">
        <f>I62</f>
        <v>488</v>
      </c>
      <c r="AT17" s="59">
        <f>K62</f>
        <v>510.5</v>
      </c>
      <c r="AU17" s="59">
        <f t="shared" ref="AU17:BD17" si="7">M62</f>
        <v>540.5</v>
      </c>
      <c r="AV17" s="59">
        <f t="shared" si="7"/>
        <v>540.5</v>
      </c>
      <c r="AW17" s="59">
        <f t="shared" si="7"/>
        <v>540.5</v>
      </c>
      <c r="AX17" s="59">
        <f t="shared" si="7"/>
        <v>427.6</v>
      </c>
      <c r="AY17" s="59">
        <f t="shared" si="7"/>
        <v>426.6</v>
      </c>
      <c r="AZ17" s="59">
        <f t="shared" si="7"/>
        <v>463.6</v>
      </c>
      <c r="BA17" s="59">
        <f t="shared" si="7"/>
        <v>523.5</v>
      </c>
      <c r="BB17" s="59">
        <f t="shared" si="7"/>
        <v>505.5</v>
      </c>
      <c r="BC17" s="59">
        <f t="shared" si="7"/>
        <v>535.5</v>
      </c>
      <c r="BD17" s="59">
        <f t="shared" si="7"/>
        <v>283.60000000000002</v>
      </c>
      <c r="BE17" s="60">
        <f>X62</f>
        <v>168.6</v>
      </c>
      <c r="BF17" s="60">
        <f>Z62</f>
        <v>283.60000000000002</v>
      </c>
      <c r="BG17" s="60">
        <f>AB62</f>
        <v>345.3</v>
      </c>
      <c r="BH17" s="60">
        <f>AD62</f>
        <v>314.60000000000002</v>
      </c>
      <c r="BI17" s="60">
        <f>AE62</f>
        <v>254.5</v>
      </c>
      <c r="BJ17" s="60">
        <f>AF62</f>
        <v>193.6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39</v>
      </c>
      <c r="C18" s="46">
        <v>39</v>
      </c>
      <c r="D18" s="46">
        <v>36</v>
      </c>
      <c r="E18" s="46">
        <v>34</v>
      </c>
      <c r="F18" s="46">
        <v>34</v>
      </c>
      <c r="G18" s="46">
        <v>34</v>
      </c>
      <c r="H18" s="46">
        <v>34</v>
      </c>
      <c r="I18" s="46">
        <v>34</v>
      </c>
      <c r="J18" s="46">
        <v>34</v>
      </c>
      <c r="K18" s="46">
        <v>0</v>
      </c>
      <c r="L18" s="46">
        <v>34</v>
      </c>
      <c r="M18" s="46">
        <v>34</v>
      </c>
      <c r="N18" s="46">
        <v>34</v>
      </c>
      <c r="O18" s="46">
        <v>34</v>
      </c>
      <c r="P18" s="46">
        <v>34</v>
      </c>
      <c r="Q18" s="46">
        <v>34</v>
      </c>
      <c r="R18" s="46">
        <v>30</v>
      </c>
      <c r="S18" s="46">
        <v>25</v>
      </c>
      <c r="T18" s="46">
        <v>25</v>
      </c>
      <c r="U18" s="46">
        <v>28</v>
      </c>
      <c r="V18" s="46">
        <v>32</v>
      </c>
      <c r="W18" s="46">
        <v>42</v>
      </c>
      <c r="X18" s="46">
        <v>42</v>
      </c>
      <c r="Y18" s="46">
        <v>42</v>
      </c>
      <c r="Z18" s="46">
        <v>42</v>
      </c>
      <c r="AA18" s="46">
        <v>42</v>
      </c>
      <c r="AB18" s="46">
        <v>42</v>
      </c>
      <c r="AC18" s="46">
        <v>0</v>
      </c>
      <c r="AD18" s="46">
        <v>0</v>
      </c>
      <c r="AE18" s="46">
        <v>0</v>
      </c>
      <c r="AF18" s="46">
        <v>0</v>
      </c>
      <c r="AG18" s="50">
        <v>42</v>
      </c>
      <c r="AH18" s="48">
        <f t="shared" ref="AH18:AH81" si="8">MAX(B18:AF18)</f>
        <v>42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345.44</v>
      </c>
      <c r="AN18" s="59">
        <f t="shared" si="10"/>
        <v>384.44</v>
      </c>
      <c r="AO18" s="59">
        <f t="shared" si="10"/>
        <v>345.44</v>
      </c>
      <c r="AP18" s="59">
        <f t="shared" si="10"/>
        <v>409.34000000000003</v>
      </c>
      <c r="AQ18" s="59">
        <f t="shared" si="10"/>
        <v>409.34000000000003</v>
      </c>
      <c r="AR18" s="59">
        <f t="shared" si="10"/>
        <v>370.34000000000003</v>
      </c>
      <c r="AS18" s="59">
        <f>I76</f>
        <v>370.34000000000003</v>
      </c>
      <c r="AT18" s="59">
        <f>K76</f>
        <v>80.64</v>
      </c>
      <c r="AU18" s="59">
        <f t="shared" ref="AU18:BD18" si="11">M76</f>
        <v>415.24</v>
      </c>
      <c r="AV18" s="59">
        <f t="shared" si="11"/>
        <v>414.84000000000003</v>
      </c>
      <c r="AW18" s="59">
        <f t="shared" si="11"/>
        <v>372.44</v>
      </c>
      <c r="AX18" s="59">
        <f t="shared" si="11"/>
        <v>420.04000000000008</v>
      </c>
      <c r="AY18" s="59">
        <f t="shared" si="11"/>
        <v>422.74000000000007</v>
      </c>
      <c r="AZ18" s="59">
        <f t="shared" si="11"/>
        <v>410.14</v>
      </c>
      <c r="BA18" s="59">
        <f t="shared" si="11"/>
        <v>421.53999999999996</v>
      </c>
      <c r="BB18" s="59">
        <f t="shared" si="11"/>
        <v>413.93999999999994</v>
      </c>
      <c r="BC18" s="59">
        <f t="shared" si="11"/>
        <v>409.83999999999992</v>
      </c>
      <c r="BD18" s="59">
        <f t="shared" si="11"/>
        <v>382.94</v>
      </c>
      <c r="BE18" s="60">
        <f>X76</f>
        <v>331.93999999999994</v>
      </c>
      <c r="BF18" s="60">
        <f>Z76</f>
        <v>359.7999999999999</v>
      </c>
      <c r="BG18" s="60">
        <f>AB76</f>
        <v>362.33999999999992</v>
      </c>
      <c r="BH18" s="60">
        <f>AD76</f>
        <v>407.14</v>
      </c>
      <c r="BI18" s="60">
        <f>AE76</f>
        <v>407.14</v>
      </c>
      <c r="BJ18" s="60">
        <f>AF76</f>
        <v>407.14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26.7</v>
      </c>
      <c r="C19" s="46">
        <v>26.7</v>
      </c>
      <c r="D19" s="46">
        <v>26.7</v>
      </c>
      <c r="E19" s="46">
        <v>36.4</v>
      </c>
      <c r="F19" s="46">
        <v>36.4</v>
      </c>
      <c r="G19" s="46">
        <v>36.4</v>
      </c>
      <c r="H19" s="46">
        <v>36.4</v>
      </c>
      <c r="I19" s="46">
        <v>36.4</v>
      </c>
      <c r="J19" s="46">
        <v>36.4</v>
      </c>
      <c r="K19" s="46">
        <v>36.4</v>
      </c>
      <c r="L19" s="46">
        <v>36.4</v>
      </c>
      <c r="M19" s="46">
        <v>36.4</v>
      </c>
      <c r="N19" s="46">
        <v>36.4</v>
      </c>
      <c r="O19" s="46">
        <v>36.4</v>
      </c>
      <c r="P19" s="46">
        <v>36.4</v>
      </c>
      <c r="Q19" s="46">
        <v>36.4</v>
      </c>
      <c r="R19" s="46">
        <v>30.3</v>
      </c>
      <c r="S19" s="46">
        <v>28.1</v>
      </c>
      <c r="T19" s="46">
        <v>28.1</v>
      </c>
      <c r="U19" s="46">
        <v>28.1</v>
      </c>
      <c r="V19" s="46">
        <v>28.1</v>
      </c>
      <c r="W19" s="46">
        <v>28.1</v>
      </c>
      <c r="X19" s="46">
        <v>28.1</v>
      </c>
      <c r="Y19" s="46">
        <v>28.1</v>
      </c>
      <c r="Z19" s="46">
        <v>28.1</v>
      </c>
      <c r="AA19" s="46">
        <v>28.1</v>
      </c>
      <c r="AB19" s="46">
        <v>28.1</v>
      </c>
      <c r="AC19" s="46">
        <v>28.1</v>
      </c>
      <c r="AD19" s="46">
        <v>28.1</v>
      </c>
      <c r="AE19" s="46">
        <v>28.1</v>
      </c>
      <c r="AF19" s="46">
        <v>28.1</v>
      </c>
      <c r="AG19" s="50">
        <v>38.46</v>
      </c>
      <c r="AH19" s="48">
        <f t="shared" si="8"/>
        <v>36.4</v>
      </c>
      <c r="AI19" s="49">
        <f t="shared" si="9"/>
        <v>26.7</v>
      </c>
      <c r="AK19" s="51"/>
      <c r="AL19" s="54" t="s">
        <v>31</v>
      </c>
      <c r="AM19" s="59">
        <f t="shared" ref="AM19:AR19" si="12">B92</f>
        <v>0</v>
      </c>
      <c r="AN19" s="59">
        <f t="shared" si="12"/>
        <v>0</v>
      </c>
      <c r="AO19" s="59">
        <f t="shared" si="12"/>
        <v>0</v>
      </c>
      <c r="AP19" s="59">
        <f t="shared" si="12"/>
        <v>0</v>
      </c>
      <c r="AQ19" s="59">
        <f t="shared" si="12"/>
        <v>0</v>
      </c>
      <c r="AR19" s="59">
        <f t="shared" si="12"/>
        <v>0</v>
      </c>
      <c r="AS19" s="59">
        <f>I92</f>
        <v>0</v>
      </c>
      <c r="AT19" s="59">
        <f>K92</f>
        <v>32</v>
      </c>
      <c r="AU19" s="59">
        <f t="shared" ref="AU19:BD19" si="13">M92</f>
        <v>126.8</v>
      </c>
      <c r="AV19" s="59">
        <f t="shared" si="13"/>
        <v>135.69999999999999</v>
      </c>
      <c r="AW19" s="59">
        <f t="shared" si="13"/>
        <v>223.8</v>
      </c>
      <c r="AX19" s="59">
        <f t="shared" si="13"/>
        <v>257.89999999999998</v>
      </c>
      <c r="AY19" s="59">
        <f t="shared" si="13"/>
        <v>166.5</v>
      </c>
      <c r="AZ19" s="59">
        <f t="shared" si="13"/>
        <v>196.70000000000002</v>
      </c>
      <c r="BA19" s="59">
        <f t="shared" si="13"/>
        <v>195.3</v>
      </c>
      <c r="BB19" s="59">
        <f t="shared" si="13"/>
        <v>190</v>
      </c>
      <c r="BC19" s="59">
        <f t="shared" si="13"/>
        <v>193.3</v>
      </c>
      <c r="BD19" s="59">
        <f t="shared" si="13"/>
        <v>161.60000000000002</v>
      </c>
      <c r="BE19" s="60">
        <f>X92</f>
        <v>152.9</v>
      </c>
      <c r="BF19" s="60">
        <f>Z92</f>
        <v>21.400000000000002</v>
      </c>
      <c r="BG19" s="60">
        <f>AB92</f>
        <v>27.6</v>
      </c>
      <c r="BH19" s="60">
        <f>AD92</f>
        <v>32.1</v>
      </c>
      <c r="BI19" s="60">
        <f>AE92</f>
        <v>17.5</v>
      </c>
      <c r="BJ19" s="60">
        <f>AF92</f>
        <v>17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17</v>
      </c>
      <c r="C20" s="46">
        <v>17</v>
      </c>
      <c r="D20" s="46">
        <v>17</v>
      </c>
      <c r="E20" s="46">
        <v>30</v>
      </c>
      <c r="F20" s="46">
        <v>30</v>
      </c>
      <c r="G20" s="46">
        <v>30</v>
      </c>
      <c r="H20" s="46">
        <v>30</v>
      </c>
      <c r="I20" s="46">
        <v>30</v>
      </c>
      <c r="J20" s="46">
        <v>30</v>
      </c>
      <c r="K20" s="46">
        <v>30</v>
      </c>
      <c r="L20" s="46">
        <v>30</v>
      </c>
      <c r="M20" s="46">
        <v>30</v>
      </c>
      <c r="N20" s="46">
        <v>30</v>
      </c>
      <c r="O20" s="46">
        <v>30</v>
      </c>
      <c r="P20" s="46">
        <v>30</v>
      </c>
      <c r="Q20" s="46">
        <v>30</v>
      </c>
      <c r="R20" s="46">
        <v>30</v>
      </c>
      <c r="S20" s="46">
        <v>30</v>
      </c>
      <c r="T20" s="46">
        <v>30</v>
      </c>
      <c r="U20" s="46">
        <v>30</v>
      </c>
      <c r="V20" s="46">
        <v>30</v>
      </c>
      <c r="W20" s="46">
        <v>30</v>
      </c>
      <c r="X20" s="46">
        <v>30</v>
      </c>
      <c r="Y20" s="46">
        <v>30</v>
      </c>
      <c r="Z20" s="46">
        <v>30</v>
      </c>
      <c r="AA20" s="46">
        <v>30</v>
      </c>
      <c r="AB20" s="46">
        <v>30</v>
      </c>
      <c r="AC20" s="46">
        <v>30</v>
      </c>
      <c r="AD20" s="46">
        <v>30</v>
      </c>
      <c r="AE20" s="46">
        <v>30</v>
      </c>
      <c r="AF20" s="46">
        <v>30</v>
      </c>
      <c r="AG20" s="50">
        <v>38.46</v>
      </c>
      <c r="AH20" s="48">
        <f t="shared" si="8"/>
        <v>30</v>
      </c>
      <c r="AI20" s="49">
        <f t="shared" si="9"/>
        <v>17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44.699999999999996</v>
      </c>
      <c r="AV20" s="59">
        <f t="shared" si="15"/>
        <v>44.699999999999996</v>
      </c>
      <c r="AW20" s="59">
        <f t="shared" si="15"/>
        <v>44.699999999999996</v>
      </c>
      <c r="AX20" s="59">
        <f t="shared" si="15"/>
        <v>31.3</v>
      </c>
      <c r="AY20" s="59">
        <f t="shared" si="15"/>
        <v>15.200000000000001</v>
      </c>
      <c r="AZ20" s="59">
        <f t="shared" si="15"/>
        <v>15</v>
      </c>
      <c r="BA20" s="59">
        <f t="shared" si="15"/>
        <v>47.699999999999996</v>
      </c>
      <c r="BB20" s="59">
        <f t="shared" si="15"/>
        <v>88.3</v>
      </c>
      <c r="BC20" s="59">
        <f t="shared" si="15"/>
        <v>90</v>
      </c>
      <c r="BD20" s="59">
        <f t="shared" si="15"/>
        <v>22</v>
      </c>
      <c r="BE20" s="60">
        <f>X80</f>
        <v>19.600000000000001</v>
      </c>
      <c r="BF20" s="60">
        <f>Z80</f>
        <v>47.9</v>
      </c>
      <c r="BG20" s="60">
        <f>AB80</f>
        <v>95.2</v>
      </c>
      <c r="BH20" s="60">
        <f>AD80</f>
        <v>95.2</v>
      </c>
      <c r="BI20" s="60">
        <f>AE80</f>
        <v>60</v>
      </c>
      <c r="BJ20" s="60">
        <f>AF80</f>
        <v>35.299999999999997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0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>
        <v>12</v>
      </c>
      <c r="T21" s="46">
        <v>12</v>
      </c>
      <c r="U21" s="46">
        <v>12</v>
      </c>
      <c r="V21" s="46">
        <v>12</v>
      </c>
      <c r="W21" s="46">
        <v>12</v>
      </c>
      <c r="X21" s="46">
        <v>12</v>
      </c>
      <c r="Y21" s="46">
        <v>12</v>
      </c>
      <c r="Z21" s="46">
        <v>12</v>
      </c>
      <c r="AA21" s="46">
        <v>12</v>
      </c>
      <c r="AB21" s="46">
        <v>12</v>
      </c>
      <c r="AC21" s="46">
        <v>12</v>
      </c>
      <c r="AD21" s="46">
        <v>12</v>
      </c>
      <c r="AE21" s="46">
        <v>12</v>
      </c>
      <c r="AF21" s="46">
        <v>12</v>
      </c>
      <c r="AG21" s="50">
        <v>36</v>
      </c>
      <c r="AH21" s="48">
        <f t="shared" si="8"/>
        <v>12</v>
      </c>
      <c r="AI21" s="49">
        <f t="shared" si="9"/>
        <v>0</v>
      </c>
      <c r="AK21" s="51"/>
      <c r="AL21" s="54" t="s">
        <v>35</v>
      </c>
      <c r="AM21" s="59">
        <f t="shared" ref="AM21:AR21" si="16">B98</f>
        <v>0</v>
      </c>
      <c r="AN21" s="59">
        <f t="shared" si="16"/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100</v>
      </c>
      <c r="BG21" s="60">
        <f>AB98</f>
        <v>100</v>
      </c>
      <c r="BH21" s="60">
        <f>AD98</f>
        <v>100</v>
      </c>
      <c r="BI21" s="60">
        <f>AE98</f>
        <v>100</v>
      </c>
      <c r="BJ21" s="60">
        <f>AF98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30</v>
      </c>
      <c r="C22" s="46">
        <v>30</v>
      </c>
      <c r="D22" s="46">
        <v>30</v>
      </c>
      <c r="E22" s="46">
        <v>30</v>
      </c>
      <c r="F22" s="46">
        <v>30</v>
      </c>
      <c r="G22" s="46">
        <v>30</v>
      </c>
      <c r="H22" s="46">
        <v>30</v>
      </c>
      <c r="I22" s="46">
        <v>30</v>
      </c>
      <c r="J22" s="46">
        <v>30</v>
      </c>
      <c r="K22" s="46">
        <v>0</v>
      </c>
      <c r="L22" s="46">
        <v>30</v>
      </c>
      <c r="M22" s="46">
        <v>30</v>
      </c>
      <c r="N22" s="46">
        <v>30</v>
      </c>
      <c r="O22" s="46">
        <v>30</v>
      </c>
      <c r="P22" s="46">
        <v>30</v>
      </c>
      <c r="Q22" s="46">
        <v>30</v>
      </c>
      <c r="R22" s="46">
        <v>30</v>
      </c>
      <c r="S22" s="46">
        <v>30</v>
      </c>
      <c r="T22" s="46">
        <v>30</v>
      </c>
      <c r="U22" s="46">
        <v>30</v>
      </c>
      <c r="V22" s="46">
        <v>30</v>
      </c>
      <c r="W22" s="46">
        <v>30</v>
      </c>
      <c r="X22" s="46">
        <v>30</v>
      </c>
      <c r="Y22" s="46">
        <v>30</v>
      </c>
      <c r="Z22" s="46">
        <v>30</v>
      </c>
      <c r="AA22" s="46">
        <v>30</v>
      </c>
      <c r="AB22" s="46">
        <v>30</v>
      </c>
      <c r="AC22" s="46">
        <v>30</v>
      </c>
      <c r="AD22" s="46">
        <v>30</v>
      </c>
      <c r="AE22" s="46">
        <v>30</v>
      </c>
      <c r="AF22" s="46">
        <v>30</v>
      </c>
      <c r="AG22" s="61">
        <v>30</v>
      </c>
      <c r="AH22" s="48">
        <f t="shared" si="8"/>
        <v>30</v>
      </c>
      <c r="AI22" s="49">
        <f t="shared" si="9"/>
        <v>0</v>
      </c>
      <c r="AK22" s="51"/>
      <c r="AL22" s="62" t="s">
        <v>37</v>
      </c>
      <c r="AM22" s="63">
        <f t="shared" ref="AM22:BJ22" si="18">SUM(AM16:AM21)</f>
        <v>1624.97</v>
      </c>
      <c r="AN22" s="63">
        <f t="shared" si="18"/>
        <v>1728.97</v>
      </c>
      <c r="AO22" s="63">
        <f t="shared" si="18"/>
        <v>1656.97</v>
      </c>
      <c r="AP22" s="63">
        <f t="shared" si="18"/>
        <v>1888.44</v>
      </c>
      <c r="AQ22" s="63">
        <f t="shared" si="18"/>
        <v>1860.44</v>
      </c>
      <c r="AR22" s="63">
        <f t="shared" si="18"/>
        <v>1826.44</v>
      </c>
      <c r="AS22" s="63">
        <f t="shared" si="18"/>
        <v>1803.94</v>
      </c>
      <c r="AT22" s="63">
        <f t="shared" si="18"/>
        <v>1104.74</v>
      </c>
      <c r="AU22" s="63">
        <f t="shared" si="18"/>
        <v>1973.34</v>
      </c>
      <c r="AV22" s="63">
        <f t="shared" si="18"/>
        <v>1981.8400000000001</v>
      </c>
      <c r="AW22" s="63">
        <f t="shared" si="18"/>
        <v>2027.54</v>
      </c>
      <c r="AX22" s="63">
        <f t="shared" si="18"/>
        <v>1980.24</v>
      </c>
      <c r="AY22" s="63">
        <f t="shared" si="18"/>
        <v>1877.1399999999999</v>
      </c>
      <c r="AZ22" s="63">
        <f t="shared" si="18"/>
        <v>1907.5399999999997</v>
      </c>
      <c r="BA22" s="63">
        <f t="shared" si="18"/>
        <v>2024.04</v>
      </c>
      <c r="BB22" s="63">
        <f t="shared" si="18"/>
        <v>2015.74</v>
      </c>
      <c r="BC22" s="63">
        <f t="shared" si="18"/>
        <v>2069.64</v>
      </c>
      <c r="BD22" s="63">
        <f t="shared" si="18"/>
        <v>1720.1399999999999</v>
      </c>
      <c r="BE22" s="63">
        <f t="shared" si="18"/>
        <v>1537.54</v>
      </c>
      <c r="BF22" s="63">
        <f t="shared" si="18"/>
        <v>1677.5</v>
      </c>
      <c r="BG22" s="63">
        <f t="shared" si="18"/>
        <v>1795.2399999999998</v>
      </c>
      <c r="BH22" s="63">
        <f t="shared" si="18"/>
        <v>1771.84</v>
      </c>
      <c r="BI22" s="63">
        <f t="shared" si="18"/>
        <v>1688.9399999999996</v>
      </c>
      <c r="BJ22" s="63">
        <f t="shared" si="18"/>
        <v>1602.84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15</v>
      </c>
      <c r="C23" s="46">
        <v>15</v>
      </c>
      <c r="D23" s="46">
        <v>15</v>
      </c>
      <c r="E23" s="46">
        <v>29</v>
      </c>
      <c r="F23" s="46">
        <v>29</v>
      </c>
      <c r="G23" s="46">
        <v>29</v>
      </c>
      <c r="H23" s="46">
        <v>29</v>
      </c>
      <c r="I23" s="46">
        <v>29</v>
      </c>
      <c r="J23" s="46">
        <v>29</v>
      </c>
      <c r="K23" s="46">
        <v>29</v>
      </c>
      <c r="L23" s="46">
        <v>29</v>
      </c>
      <c r="M23" s="46">
        <v>29</v>
      </c>
      <c r="N23" s="46">
        <v>29</v>
      </c>
      <c r="O23" s="46">
        <v>29</v>
      </c>
      <c r="P23" s="46">
        <v>29</v>
      </c>
      <c r="Q23" s="46">
        <v>29</v>
      </c>
      <c r="R23" s="46">
        <v>29</v>
      </c>
      <c r="S23" s="46">
        <v>29</v>
      </c>
      <c r="T23" s="46">
        <v>29</v>
      </c>
      <c r="U23" s="46">
        <v>29</v>
      </c>
      <c r="V23" s="46">
        <v>29</v>
      </c>
      <c r="W23" s="46">
        <v>29</v>
      </c>
      <c r="X23" s="46">
        <v>29</v>
      </c>
      <c r="Y23" s="46">
        <v>29</v>
      </c>
      <c r="Z23" s="46">
        <v>29</v>
      </c>
      <c r="AA23" s="46">
        <v>29</v>
      </c>
      <c r="AB23" s="46">
        <v>29</v>
      </c>
      <c r="AC23" s="46">
        <v>29</v>
      </c>
      <c r="AD23" s="46">
        <v>29</v>
      </c>
      <c r="AE23" s="46">
        <v>29</v>
      </c>
      <c r="AF23" s="46">
        <v>29</v>
      </c>
      <c r="AG23" s="50">
        <v>24.2</v>
      </c>
      <c r="AH23" s="48">
        <f t="shared" si="8"/>
        <v>29</v>
      </c>
      <c r="AI23" s="49">
        <f t="shared" si="9"/>
        <v>15</v>
      </c>
      <c r="AK23" s="51"/>
      <c r="AL23" s="62" t="s">
        <v>39</v>
      </c>
      <c r="AM23" s="63">
        <f t="shared" ref="AM23:AR23" si="19">B107*-1</f>
        <v>-312</v>
      </c>
      <c r="AN23" s="63">
        <f t="shared" si="19"/>
        <v>-401</v>
      </c>
      <c r="AO23" s="63">
        <f t="shared" si="19"/>
        <v>-403</v>
      </c>
      <c r="AP23" s="63">
        <f t="shared" si="19"/>
        <v>-489</v>
      </c>
      <c r="AQ23" s="63">
        <f t="shared" si="19"/>
        <v>-465</v>
      </c>
      <c r="AR23" s="63">
        <f t="shared" si="19"/>
        <v>-469</v>
      </c>
      <c r="AS23" s="63">
        <f>I107*-1</f>
        <v>0</v>
      </c>
      <c r="AT23" s="63">
        <f>K107*-1</f>
        <v>-198</v>
      </c>
      <c r="AU23" s="63">
        <f t="shared" ref="AU23:BD23" si="20">M107*-1</f>
        <v>-422</v>
      </c>
      <c r="AV23" s="63">
        <f t="shared" si="20"/>
        <v>-390</v>
      </c>
      <c r="AW23" s="63">
        <f t="shared" si="20"/>
        <v>-357</v>
      </c>
      <c r="AX23" s="63">
        <f t="shared" si="20"/>
        <v>-316</v>
      </c>
      <c r="AY23" s="63">
        <f t="shared" si="20"/>
        <v>-225</v>
      </c>
      <c r="AZ23" s="63">
        <f t="shared" si="20"/>
        <v>-220</v>
      </c>
      <c r="BA23" s="63">
        <f t="shared" si="20"/>
        <v>-170</v>
      </c>
      <c r="BB23" s="63">
        <f t="shared" si="20"/>
        <v>-222</v>
      </c>
      <c r="BC23" s="63">
        <f t="shared" si="20"/>
        <v>-225.3</v>
      </c>
      <c r="BD23" s="63">
        <f t="shared" si="20"/>
        <v>-5</v>
      </c>
      <c r="BE23" s="63">
        <f>X107*-1</f>
        <v>-4</v>
      </c>
      <c r="BF23" s="63">
        <f>Z107*-1</f>
        <v>0</v>
      </c>
      <c r="BG23" s="63">
        <f>AB107*-1</f>
        <v>-8.6</v>
      </c>
      <c r="BH23" s="63">
        <f>AD107*-1</f>
        <v>0</v>
      </c>
      <c r="BI23" s="63">
        <f>AE107*-1</f>
        <v>0</v>
      </c>
      <c r="BJ23" s="63">
        <f>AF107*-1</f>
        <v>-8.6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15</v>
      </c>
      <c r="C24" s="46">
        <v>15</v>
      </c>
      <c r="D24" s="46">
        <v>15</v>
      </c>
      <c r="E24" s="46">
        <v>27.4</v>
      </c>
      <c r="F24" s="46">
        <v>27.4</v>
      </c>
      <c r="G24" s="46">
        <v>27.4</v>
      </c>
      <c r="H24" s="46">
        <v>27.4</v>
      </c>
      <c r="I24" s="46">
        <v>27.4</v>
      </c>
      <c r="J24" s="46">
        <v>27.4</v>
      </c>
      <c r="K24" s="46">
        <v>27.4</v>
      </c>
      <c r="L24" s="46">
        <v>27.4</v>
      </c>
      <c r="M24" s="46">
        <v>27.4</v>
      </c>
      <c r="N24" s="46">
        <v>27.4</v>
      </c>
      <c r="O24" s="46">
        <v>27.4</v>
      </c>
      <c r="P24" s="46">
        <v>27.4</v>
      </c>
      <c r="Q24" s="46">
        <v>27.4</v>
      </c>
      <c r="R24" s="46">
        <v>23</v>
      </c>
      <c r="S24" s="46">
        <v>23</v>
      </c>
      <c r="T24" s="46">
        <v>23</v>
      </c>
      <c r="U24" s="46">
        <v>23</v>
      </c>
      <c r="V24" s="46">
        <v>23</v>
      </c>
      <c r="W24" s="46">
        <v>23</v>
      </c>
      <c r="X24" s="46">
        <v>23</v>
      </c>
      <c r="Y24" s="46">
        <v>23</v>
      </c>
      <c r="Z24" s="46">
        <v>23</v>
      </c>
      <c r="AA24" s="46">
        <v>23</v>
      </c>
      <c r="AB24" s="46">
        <v>23</v>
      </c>
      <c r="AC24" s="46">
        <v>23</v>
      </c>
      <c r="AD24" s="46">
        <v>23</v>
      </c>
      <c r="AE24" s="46">
        <v>23</v>
      </c>
      <c r="AF24" s="46">
        <v>23</v>
      </c>
      <c r="AG24" s="50">
        <v>28</v>
      </c>
      <c r="AH24" s="48">
        <f t="shared" si="8"/>
        <v>27.4</v>
      </c>
      <c r="AI24" s="49">
        <f t="shared" si="9"/>
        <v>15</v>
      </c>
      <c r="AK24" s="51"/>
      <c r="AL24" s="62" t="s">
        <v>41</v>
      </c>
      <c r="AM24" s="63">
        <f t="shared" ref="AM24:BJ24" si="21">AM22+AM23</f>
        <v>1312.97</v>
      </c>
      <c r="AN24" s="63">
        <f t="shared" si="21"/>
        <v>1327.97</v>
      </c>
      <c r="AO24" s="63">
        <f t="shared" si="21"/>
        <v>1253.97</v>
      </c>
      <c r="AP24" s="63">
        <f t="shared" si="21"/>
        <v>1399.44</v>
      </c>
      <c r="AQ24" s="63">
        <f t="shared" si="21"/>
        <v>1395.44</v>
      </c>
      <c r="AR24" s="63">
        <f t="shared" si="21"/>
        <v>1357.44</v>
      </c>
      <c r="AS24" s="63">
        <f t="shared" si="21"/>
        <v>1803.94</v>
      </c>
      <c r="AT24" s="63">
        <f t="shared" si="21"/>
        <v>906.74</v>
      </c>
      <c r="AU24" s="63">
        <f t="shared" si="21"/>
        <v>1551.34</v>
      </c>
      <c r="AV24" s="63">
        <f t="shared" si="21"/>
        <v>1591.8400000000001</v>
      </c>
      <c r="AW24" s="63">
        <f t="shared" si="21"/>
        <v>1670.54</v>
      </c>
      <c r="AX24" s="63">
        <f t="shared" si="21"/>
        <v>1664.24</v>
      </c>
      <c r="AY24" s="63">
        <f t="shared" si="21"/>
        <v>1652.1399999999999</v>
      </c>
      <c r="AZ24" s="63">
        <f t="shared" si="21"/>
        <v>1687.5399999999997</v>
      </c>
      <c r="BA24" s="63">
        <f t="shared" si="21"/>
        <v>1854.04</v>
      </c>
      <c r="BB24" s="63">
        <f t="shared" si="21"/>
        <v>1793.74</v>
      </c>
      <c r="BC24" s="63">
        <f t="shared" si="21"/>
        <v>1844.34</v>
      </c>
      <c r="BD24" s="63">
        <f t="shared" si="21"/>
        <v>1715.1399999999999</v>
      </c>
      <c r="BE24" s="63">
        <f t="shared" si="21"/>
        <v>1533.54</v>
      </c>
      <c r="BF24" s="63">
        <f t="shared" si="21"/>
        <v>1677.5</v>
      </c>
      <c r="BG24" s="63">
        <f t="shared" si="21"/>
        <v>1786.6399999999999</v>
      </c>
      <c r="BH24" s="63">
        <f t="shared" si="21"/>
        <v>1771.84</v>
      </c>
      <c r="BI24" s="63">
        <f t="shared" si="21"/>
        <v>1688.9399999999996</v>
      </c>
      <c r="BJ24" s="63">
        <f t="shared" si="21"/>
        <v>1594.24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15</v>
      </c>
      <c r="C25" s="46">
        <v>15</v>
      </c>
      <c r="D25" s="46">
        <v>15</v>
      </c>
      <c r="E25" s="46">
        <v>25</v>
      </c>
      <c r="F25" s="46">
        <v>25</v>
      </c>
      <c r="G25" s="46">
        <v>25</v>
      </c>
      <c r="H25" s="46">
        <v>25</v>
      </c>
      <c r="I25" s="46">
        <v>25</v>
      </c>
      <c r="J25" s="46">
        <v>25</v>
      </c>
      <c r="K25" s="46">
        <v>0</v>
      </c>
      <c r="L25" s="46">
        <v>25</v>
      </c>
      <c r="M25" s="46">
        <v>25</v>
      </c>
      <c r="N25" s="46">
        <v>25</v>
      </c>
      <c r="O25" s="46">
        <v>25</v>
      </c>
      <c r="P25" s="46">
        <v>25</v>
      </c>
      <c r="Q25" s="46">
        <v>25</v>
      </c>
      <c r="R25" s="46">
        <v>25</v>
      </c>
      <c r="S25" s="46">
        <v>25</v>
      </c>
      <c r="T25" s="46">
        <v>25</v>
      </c>
      <c r="U25" s="46">
        <v>25</v>
      </c>
      <c r="V25" s="46">
        <v>25</v>
      </c>
      <c r="W25" s="46">
        <v>25</v>
      </c>
      <c r="X25" s="46">
        <v>25</v>
      </c>
      <c r="Y25" s="46">
        <v>25</v>
      </c>
      <c r="Z25" s="46">
        <v>25</v>
      </c>
      <c r="AA25" s="46">
        <v>25</v>
      </c>
      <c r="AB25" s="46">
        <v>25</v>
      </c>
      <c r="AC25" s="46">
        <v>25</v>
      </c>
      <c r="AD25" s="46">
        <v>25</v>
      </c>
      <c r="AE25" s="46">
        <v>25</v>
      </c>
      <c r="AF25" s="46">
        <v>25</v>
      </c>
      <c r="AG25" s="61">
        <v>30</v>
      </c>
      <c r="AH25" s="48">
        <f t="shared" si="8"/>
        <v>25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15</v>
      </c>
      <c r="C26" s="46">
        <v>15</v>
      </c>
      <c r="D26" s="46">
        <v>15</v>
      </c>
      <c r="E26" s="46">
        <v>23</v>
      </c>
      <c r="F26" s="46">
        <v>23</v>
      </c>
      <c r="G26" s="46">
        <v>23</v>
      </c>
      <c r="H26" s="46">
        <v>23</v>
      </c>
      <c r="I26" s="46">
        <v>23</v>
      </c>
      <c r="J26" s="46">
        <v>23</v>
      </c>
      <c r="K26" s="46">
        <v>0</v>
      </c>
      <c r="L26" s="46">
        <v>23</v>
      </c>
      <c r="M26" s="46">
        <v>23</v>
      </c>
      <c r="N26" s="46">
        <v>23</v>
      </c>
      <c r="O26" s="46">
        <v>23</v>
      </c>
      <c r="P26" s="46">
        <v>23</v>
      </c>
      <c r="Q26" s="46">
        <v>23</v>
      </c>
      <c r="R26" s="46">
        <v>23</v>
      </c>
      <c r="S26" s="46">
        <v>23</v>
      </c>
      <c r="T26" s="46">
        <v>23</v>
      </c>
      <c r="U26" s="46">
        <v>23</v>
      </c>
      <c r="V26" s="46">
        <v>23</v>
      </c>
      <c r="W26" s="46">
        <v>23</v>
      </c>
      <c r="X26" s="46">
        <v>23</v>
      </c>
      <c r="Y26" s="46">
        <v>23</v>
      </c>
      <c r="Z26" s="46">
        <v>23</v>
      </c>
      <c r="AA26" s="46">
        <v>23</v>
      </c>
      <c r="AB26" s="46">
        <v>23</v>
      </c>
      <c r="AC26" s="46">
        <v>23</v>
      </c>
      <c r="AD26" s="46">
        <v>23</v>
      </c>
      <c r="AE26" s="46">
        <v>23</v>
      </c>
      <c r="AF26" s="46">
        <v>23</v>
      </c>
      <c r="AG26" s="50">
        <v>25</v>
      </c>
      <c r="AH26" s="48">
        <f t="shared" si="8"/>
        <v>23</v>
      </c>
      <c r="AI26" s="49">
        <f t="shared" si="9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>
        <v>18</v>
      </c>
      <c r="T27" s="46">
        <v>18</v>
      </c>
      <c r="U27" s="46">
        <v>18</v>
      </c>
      <c r="V27" s="46">
        <v>18</v>
      </c>
      <c r="W27" s="46">
        <v>18</v>
      </c>
      <c r="X27" s="46">
        <v>18</v>
      </c>
      <c r="Y27" s="46">
        <v>18</v>
      </c>
      <c r="Z27" s="46">
        <v>18</v>
      </c>
      <c r="AA27" s="46">
        <v>18</v>
      </c>
      <c r="AB27" s="46">
        <v>18</v>
      </c>
      <c r="AC27" s="46">
        <v>18</v>
      </c>
      <c r="AD27" s="46">
        <v>18</v>
      </c>
      <c r="AE27" s="46">
        <v>18</v>
      </c>
      <c r="AF27" s="46">
        <v>18</v>
      </c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0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>
        <v>7</v>
      </c>
      <c r="T28" s="46">
        <v>7</v>
      </c>
      <c r="U28" s="46">
        <v>7</v>
      </c>
      <c r="V28" s="46">
        <v>7</v>
      </c>
      <c r="W28" s="46">
        <v>7</v>
      </c>
      <c r="X28" s="46">
        <v>7</v>
      </c>
      <c r="Y28" s="46">
        <v>7</v>
      </c>
      <c r="Z28" s="46">
        <v>7</v>
      </c>
      <c r="AA28" s="46">
        <v>7</v>
      </c>
      <c r="AB28" s="46">
        <v>7</v>
      </c>
      <c r="AC28" s="46">
        <v>7</v>
      </c>
      <c r="AD28" s="46">
        <v>7</v>
      </c>
      <c r="AE28" s="46">
        <v>7</v>
      </c>
      <c r="AF28" s="46">
        <v>7</v>
      </c>
      <c r="AG28" s="50">
        <v>25</v>
      </c>
      <c r="AH28" s="48">
        <f t="shared" si="8"/>
        <v>7</v>
      </c>
      <c r="AI28" s="49">
        <f t="shared" si="9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17</v>
      </c>
      <c r="C29" s="46">
        <v>17</v>
      </c>
      <c r="D29" s="46">
        <v>17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0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>
        <v>25</v>
      </c>
      <c r="T29" s="46">
        <v>25</v>
      </c>
      <c r="U29" s="46">
        <v>25</v>
      </c>
      <c r="V29" s="46">
        <v>25</v>
      </c>
      <c r="W29" s="46">
        <v>25</v>
      </c>
      <c r="X29" s="46">
        <v>25</v>
      </c>
      <c r="Y29" s="46">
        <v>25</v>
      </c>
      <c r="Z29" s="46">
        <v>25</v>
      </c>
      <c r="AA29" s="46">
        <v>25</v>
      </c>
      <c r="AB29" s="46">
        <v>25</v>
      </c>
      <c r="AC29" s="46">
        <v>25</v>
      </c>
      <c r="AD29" s="46">
        <v>25</v>
      </c>
      <c r="AE29" s="46">
        <v>25</v>
      </c>
      <c r="AF29" s="46">
        <v>25</v>
      </c>
      <c r="AG29" s="50">
        <v>25</v>
      </c>
      <c r="AH29" s="48">
        <f t="shared" si="8"/>
        <v>25</v>
      </c>
      <c r="AI29" s="49">
        <f t="shared" si="9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11.1</v>
      </c>
      <c r="C30" s="46">
        <v>11.1</v>
      </c>
      <c r="D30" s="46">
        <v>11.1</v>
      </c>
      <c r="E30" s="46">
        <v>18.7</v>
      </c>
      <c r="F30" s="46">
        <v>18.7</v>
      </c>
      <c r="G30" s="46">
        <v>18.7</v>
      </c>
      <c r="H30" s="46">
        <v>18.7</v>
      </c>
      <c r="I30" s="46">
        <v>18.7</v>
      </c>
      <c r="J30" s="46">
        <v>18.7</v>
      </c>
      <c r="K30" s="46">
        <v>14</v>
      </c>
      <c r="L30" s="46">
        <v>14</v>
      </c>
      <c r="M30" s="46">
        <v>14</v>
      </c>
      <c r="N30" s="46">
        <v>14</v>
      </c>
      <c r="O30" s="46">
        <v>14</v>
      </c>
      <c r="P30" s="46">
        <v>14</v>
      </c>
      <c r="Q30" s="46">
        <v>14</v>
      </c>
      <c r="R30" s="46">
        <v>14</v>
      </c>
      <c r="S30" s="46">
        <v>14</v>
      </c>
      <c r="T30" s="46">
        <v>14</v>
      </c>
      <c r="U30" s="46">
        <v>14</v>
      </c>
      <c r="V30" s="46">
        <v>14</v>
      </c>
      <c r="W30" s="46">
        <v>14</v>
      </c>
      <c r="X30" s="46">
        <v>14</v>
      </c>
      <c r="Y30" s="46">
        <v>14</v>
      </c>
      <c r="Z30" s="46">
        <v>14</v>
      </c>
      <c r="AA30" s="46">
        <v>14</v>
      </c>
      <c r="AB30" s="46">
        <v>14</v>
      </c>
      <c r="AC30" s="46">
        <v>14</v>
      </c>
      <c r="AD30" s="46">
        <v>14</v>
      </c>
      <c r="AE30" s="46">
        <v>14</v>
      </c>
      <c r="AF30" s="46">
        <v>14</v>
      </c>
      <c r="AG30" s="50">
        <v>23.5</v>
      </c>
      <c r="AH30" s="48">
        <f t="shared" si="8"/>
        <v>18.7</v>
      </c>
      <c r="AI30" s="49">
        <f t="shared" si="9"/>
        <v>11.1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>
        <v>4</v>
      </c>
      <c r="T31" s="46">
        <v>4</v>
      </c>
      <c r="U31" s="46">
        <v>4</v>
      </c>
      <c r="V31" s="46">
        <v>4</v>
      </c>
      <c r="W31" s="46">
        <v>4</v>
      </c>
      <c r="X31" s="46">
        <v>4</v>
      </c>
      <c r="Y31" s="46">
        <v>4</v>
      </c>
      <c r="Z31" s="46">
        <v>4</v>
      </c>
      <c r="AA31" s="46">
        <v>4</v>
      </c>
      <c r="AB31" s="46">
        <v>4</v>
      </c>
      <c r="AC31" s="46">
        <v>4</v>
      </c>
      <c r="AD31" s="46">
        <v>4</v>
      </c>
      <c r="AE31" s="46">
        <v>4</v>
      </c>
      <c r="AF31" s="46">
        <v>4</v>
      </c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>
        <v>5</v>
      </c>
      <c r="T32" s="46">
        <v>5</v>
      </c>
      <c r="U32" s="46">
        <v>5</v>
      </c>
      <c r="V32" s="46">
        <v>5</v>
      </c>
      <c r="W32" s="46">
        <v>5</v>
      </c>
      <c r="X32" s="46">
        <v>5</v>
      </c>
      <c r="Y32" s="46">
        <v>5</v>
      </c>
      <c r="Z32" s="46">
        <v>5</v>
      </c>
      <c r="AA32" s="46">
        <v>5</v>
      </c>
      <c r="AB32" s="46">
        <v>5</v>
      </c>
      <c r="AC32" s="46">
        <v>5</v>
      </c>
      <c r="AD32" s="46">
        <v>5</v>
      </c>
      <c r="AE32" s="46">
        <v>5</v>
      </c>
      <c r="AF32" s="46">
        <v>5</v>
      </c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>
        <v>11</v>
      </c>
      <c r="T33" s="46">
        <v>11</v>
      </c>
      <c r="U33" s="46">
        <v>11</v>
      </c>
      <c r="V33" s="46">
        <v>11</v>
      </c>
      <c r="W33" s="46">
        <v>11</v>
      </c>
      <c r="X33" s="46">
        <v>11</v>
      </c>
      <c r="Y33" s="46">
        <v>11</v>
      </c>
      <c r="Z33" s="46">
        <v>11</v>
      </c>
      <c r="AA33" s="46">
        <v>11</v>
      </c>
      <c r="AB33" s="46">
        <v>11</v>
      </c>
      <c r="AC33" s="46">
        <v>11</v>
      </c>
      <c r="AD33" s="46">
        <v>11</v>
      </c>
      <c r="AE33" s="46">
        <v>11</v>
      </c>
      <c r="AF33" s="46">
        <v>11</v>
      </c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7.1</v>
      </c>
      <c r="C34" s="46">
        <v>7.1</v>
      </c>
      <c r="D34" s="46">
        <v>7.1</v>
      </c>
      <c r="E34" s="46">
        <v>11.8</v>
      </c>
      <c r="F34" s="46">
        <v>11.8</v>
      </c>
      <c r="G34" s="46">
        <v>11.8</v>
      </c>
      <c r="H34" s="46">
        <v>11.8</v>
      </c>
      <c r="I34" s="46">
        <v>11.8</v>
      </c>
      <c r="J34" s="46">
        <v>11.8</v>
      </c>
      <c r="K34" s="46">
        <v>0</v>
      </c>
      <c r="L34" s="46">
        <v>11.8</v>
      </c>
      <c r="M34" s="46">
        <v>11.8</v>
      </c>
      <c r="N34" s="46">
        <v>11.8</v>
      </c>
      <c r="O34" s="46">
        <v>11.8</v>
      </c>
      <c r="P34" s="46">
        <v>11.8</v>
      </c>
      <c r="Q34" s="46">
        <v>11.8</v>
      </c>
      <c r="R34" s="46">
        <v>14.9</v>
      </c>
      <c r="S34" s="46">
        <v>14.9</v>
      </c>
      <c r="T34" s="46">
        <v>14.9</v>
      </c>
      <c r="U34" s="46">
        <v>14.9</v>
      </c>
      <c r="V34" s="46">
        <v>14.9</v>
      </c>
      <c r="W34" s="46">
        <v>14.9</v>
      </c>
      <c r="X34" s="46">
        <v>14.9</v>
      </c>
      <c r="Y34" s="46">
        <v>14.9</v>
      </c>
      <c r="Z34" s="46">
        <v>14.9</v>
      </c>
      <c r="AA34" s="46">
        <v>14.9</v>
      </c>
      <c r="AB34" s="46">
        <v>14.9</v>
      </c>
      <c r="AC34" s="46">
        <v>14.9</v>
      </c>
      <c r="AD34" s="46">
        <v>14.9</v>
      </c>
      <c r="AE34" s="46">
        <v>14.9</v>
      </c>
      <c r="AF34" s="46">
        <v>14.9</v>
      </c>
      <c r="AG34" s="50">
        <v>22</v>
      </c>
      <c r="AH34" s="48">
        <f t="shared" si="8"/>
        <v>14.9</v>
      </c>
      <c r="AI34" s="49">
        <f t="shared" si="9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12.7</v>
      </c>
      <c r="C35" s="46">
        <v>12.7</v>
      </c>
      <c r="D35" s="46">
        <v>12.7</v>
      </c>
      <c r="E35" s="46">
        <v>18</v>
      </c>
      <c r="F35" s="46">
        <v>18</v>
      </c>
      <c r="G35" s="46">
        <v>18</v>
      </c>
      <c r="H35" s="46">
        <v>18</v>
      </c>
      <c r="I35" s="46">
        <v>18</v>
      </c>
      <c r="J35" s="46">
        <v>18</v>
      </c>
      <c r="K35" s="46">
        <v>0</v>
      </c>
      <c r="L35" s="46">
        <v>18</v>
      </c>
      <c r="M35" s="46">
        <v>18</v>
      </c>
      <c r="N35" s="46">
        <v>18</v>
      </c>
      <c r="O35" s="46">
        <v>18</v>
      </c>
      <c r="P35" s="46">
        <v>18</v>
      </c>
      <c r="Q35" s="46">
        <v>18</v>
      </c>
      <c r="R35" s="46">
        <v>18.8</v>
      </c>
      <c r="S35" s="46">
        <v>18.8</v>
      </c>
      <c r="T35" s="46">
        <v>18.8</v>
      </c>
      <c r="U35" s="46">
        <v>18.8</v>
      </c>
      <c r="V35" s="46">
        <v>18.8</v>
      </c>
      <c r="W35" s="46">
        <v>18.8</v>
      </c>
      <c r="X35" s="46">
        <v>18.8</v>
      </c>
      <c r="Y35" s="46">
        <v>18.8</v>
      </c>
      <c r="Z35" s="46">
        <v>18.8</v>
      </c>
      <c r="AA35" s="46">
        <v>18.8</v>
      </c>
      <c r="AB35" s="46">
        <v>18.8</v>
      </c>
      <c r="AC35" s="46">
        <v>18.8</v>
      </c>
      <c r="AD35" s="46">
        <v>18.8</v>
      </c>
      <c r="AE35" s="46">
        <v>18.8</v>
      </c>
      <c r="AF35" s="46">
        <v>18.8</v>
      </c>
      <c r="AG35" s="50">
        <v>20</v>
      </c>
      <c r="AH35" s="48">
        <f t="shared" si="8"/>
        <v>18.8</v>
      </c>
      <c r="AI35" s="49">
        <f t="shared" si="9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>
        <v>6</v>
      </c>
      <c r="T36" s="46">
        <v>6</v>
      </c>
      <c r="U36" s="46">
        <v>6</v>
      </c>
      <c r="V36" s="46">
        <v>6</v>
      </c>
      <c r="W36" s="46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10.5</v>
      </c>
      <c r="C37" s="46">
        <v>10.5</v>
      </c>
      <c r="D37" s="46">
        <v>10.5</v>
      </c>
      <c r="E37" s="46">
        <v>10</v>
      </c>
      <c r="F37" s="46">
        <v>10</v>
      </c>
      <c r="G37" s="46">
        <v>10</v>
      </c>
      <c r="H37" s="46">
        <v>10</v>
      </c>
      <c r="I37" s="46">
        <v>10</v>
      </c>
      <c r="J37" s="46">
        <v>10</v>
      </c>
      <c r="K37" s="46">
        <v>0</v>
      </c>
      <c r="L37" s="46">
        <v>10</v>
      </c>
      <c r="M37" s="46">
        <v>10</v>
      </c>
      <c r="N37" s="46">
        <v>10</v>
      </c>
      <c r="O37" s="46">
        <v>10</v>
      </c>
      <c r="P37" s="46">
        <v>10</v>
      </c>
      <c r="Q37" s="46">
        <v>10</v>
      </c>
      <c r="R37" s="46">
        <v>11.7</v>
      </c>
      <c r="S37" s="46">
        <v>11.7</v>
      </c>
      <c r="T37" s="46">
        <v>11.7</v>
      </c>
      <c r="U37" s="46">
        <v>11.7</v>
      </c>
      <c r="V37" s="46">
        <v>11.7</v>
      </c>
      <c r="W37" s="46">
        <v>11.7</v>
      </c>
      <c r="X37" s="46">
        <v>11.7</v>
      </c>
      <c r="Y37" s="46">
        <v>11.7</v>
      </c>
      <c r="Z37" s="46">
        <v>11.7</v>
      </c>
      <c r="AA37" s="46">
        <v>11.7</v>
      </c>
      <c r="AB37" s="46">
        <v>11.7</v>
      </c>
      <c r="AC37" s="46">
        <v>11.7</v>
      </c>
      <c r="AD37" s="46">
        <v>11.7</v>
      </c>
      <c r="AE37" s="46">
        <v>11.7</v>
      </c>
      <c r="AF37" s="46">
        <v>11.7</v>
      </c>
      <c r="AG37" s="50">
        <v>18</v>
      </c>
      <c r="AH37" s="48">
        <f t="shared" si="8"/>
        <v>11.7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>
        <v>6.8</v>
      </c>
      <c r="H38" s="46">
        <v>6.8</v>
      </c>
      <c r="I38" s="46">
        <v>6.8</v>
      </c>
      <c r="J38" s="46">
        <v>6.8</v>
      </c>
      <c r="K38" s="46">
        <v>7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>
        <v>6.8</v>
      </c>
      <c r="T38" s="46">
        <v>6.8</v>
      </c>
      <c r="U38" s="46">
        <v>6.8</v>
      </c>
      <c r="V38" s="46">
        <v>6.8</v>
      </c>
      <c r="W38" s="46">
        <v>6.8</v>
      </c>
      <c r="X38" s="46">
        <v>6.8</v>
      </c>
      <c r="Y38" s="46">
        <v>6.8</v>
      </c>
      <c r="Z38" s="46">
        <v>6.8</v>
      </c>
      <c r="AA38" s="46">
        <v>6.8</v>
      </c>
      <c r="AB38" s="46">
        <v>6.8</v>
      </c>
      <c r="AC38" s="46">
        <v>6.8</v>
      </c>
      <c r="AD38" s="46">
        <v>6.8</v>
      </c>
      <c r="AE38" s="46">
        <v>6.8</v>
      </c>
      <c r="AF38" s="46">
        <v>6.8</v>
      </c>
      <c r="AG38" s="50">
        <v>14.9</v>
      </c>
      <c r="AH38" s="48">
        <f t="shared" si="8"/>
        <v>7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>
        <v>5</v>
      </c>
      <c r="T40" s="46">
        <v>5</v>
      </c>
      <c r="U40" s="46">
        <v>5</v>
      </c>
      <c r="V40" s="46">
        <v>5</v>
      </c>
      <c r="W40" s="46">
        <v>5</v>
      </c>
      <c r="X40" s="46">
        <v>5</v>
      </c>
      <c r="Y40" s="46">
        <v>5</v>
      </c>
      <c r="Z40" s="46">
        <v>5</v>
      </c>
      <c r="AA40" s="46">
        <v>5</v>
      </c>
      <c r="AB40" s="46">
        <v>5</v>
      </c>
      <c r="AC40" s="46">
        <v>5</v>
      </c>
      <c r="AD40" s="46">
        <v>5</v>
      </c>
      <c r="AE40" s="46">
        <v>5</v>
      </c>
      <c r="AF40" s="46">
        <v>5</v>
      </c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2.7</v>
      </c>
      <c r="C41" s="46">
        <v>2.7</v>
      </c>
      <c r="D41" s="46">
        <v>2.7</v>
      </c>
      <c r="E41" s="46">
        <v>2.7</v>
      </c>
      <c r="F41" s="46">
        <v>2.7</v>
      </c>
      <c r="G41" s="46">
        <v>2.7</v>
      </c>
      <c r="H41" s="46">
        <v>2.7</v>
      </c>
      <c r="I41" s="46">
        <v>2.7</v>
      </c>
      <c r="J41" s="46">
        <v>2.7</v>
      </c>
      <c r="K41" s="46">
        <v>0</v>
      </c>
      <c r="L41" s="46">
        <v>2.7</v>
      </c>
      <c r="M41" s="46">
        <v>2.7</v>
      </c>
      <c r="N41" s="46">
        <v>2.7</v>
      </c>
      <c r="O41" s="46">
        <v>2.7</v>
      </c>
      <c r="P41" s="46">
        <v>2.7</v>
      </c>
      <c r="Q41" s="46">
        <v>2.7</v>
      </c>
      <c r="R41" s="46">
        <v>2.7</v>
      </c>
      <c r="S41" s="46">
        <v>2.7</v>
      </c>
      <c r="T41" s="46">
        <v>2.7</v>
      </c>
      <c r="U41" s="46">
        <v>2.7</v>
      </c>
      <c r="V41" s="46">
        <v>2.7</v>
      </c>
      <c r="W41" s="46">
        <v>2.7</v>
      </c>
      <c r="X41" s="46">
        <v>2.7</v>
      </c>
      <c r="Y41" s="46">
        <v>2.7</v>
      </c>
      <c r="Z41" s="46">
        <v>2.7</v>
      </c>
      <c r="AA41" s="46">
        <v>2.7</v>
      </c>
      <c r="AB41" s="46">
        <v>2.7</v>
      </c>
      <c r="AC41" s="46">
        <v>2.7</v>
      </c>
      <c r="AD41" s="46">
        <v>2.7</v>
      </c>
      <c r="AE41" s="46">
        <v>2.7</v>
      </c>
      <c r="AF41" s="46">
        <v>2.7</v>
      </c>
      <c r="AG41" s="50">
        <v>14.9</v>
      </c>
      <c r="AH41" s="48">
        <f t="shared" si="8"/>
        <v>2.7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0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>
        <v>5</v>
      </c>
      <c r="T42" s="46">
        <v>5</v>
      </c>
      <c r="U42" s="46">
        <v>5</v>
      </c>
      <c r="V42" s="46">
        <v>5</v>
      </c>
      <c r="W42" s="46">
        <v>5</v>
      </c>
      <c r="X42" s="46">
        <v>5</v>
      </c>
      <c r="Y42" s="46">
        <v>5</v>
      </c>
      <c r="Z42" s="46">
        <v>5</v>
      </c>
      <c r="AA42" s="46">
        <v>5</v>
      </c>
      <c r="AB42" s="46">
        <v>5</v>
      </c>
      <c r="AC42" s="46">
        <v>5</v>
      </c>
      <c r="AD42" s="46">
        <v>5</v>
      </c>
      <c r="AE42" s="46">
        <v>5</v>
      </c>
      <c r="AF42" s="46">
        <v>5</v>
      </c>
      <c r="AG42" s="50">
        <v>13.6</v>
      </c>
      <c r="AH42" s="48">
        <f t="shared" si="8"/>
        <v>5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0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>
        <v>2</v>
      </c>
      <c r="T43" s="46">
        <v>2</v>
      </c>
      <c r="U43" s="46">
        <v>2</v>
      </c>
      <c r="V43" s="46">
        <v>2</v>
      </c>
      <c r="W43" s="46">
        <v>2</v>
      </c>
      <c r="X43" s="46">
        <v>2</v>
      </c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>
        <v>2</v>
      </c>
      <c r="AF43" s="46">
        <v>2</v>
      </c>
      <c r="AG43" s="50">
        <v>13</v>
      </c>
      <c r="AH43" s="48">
        <f t="shared" si="8"/>
        <v>2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8.8000000000000007</v>
      </c>
      <c r="C44" s="46">
        <v>8.8000000000000007</v>
      </c>
      <c r="D44" s="46">
        <v>8.8000000000000007</v>
      </c>
      <c r="E44" s="46">
        <v>8.8000000000000007</v>
      </c>
      <c r="F44" s="46">
        <v>8.8000000000000007</v>
      </c>
      <c r="G44" s="46">
        <v>8.8000000000000007</v>
      </c>
      <c r="H44" s="46">
        <v>8.8000000000000007</v>
      </c>
      <c r="I44" s="46">
        <v>8.8000000000000007</v>
      </c>
      <c r="J44" s="46">
        <v>8.8000000000000007</v>
      </c>
      <c r="K44" s="46">
        <v>0</v>
      </c>
      <c r="L44" s="46">
        <v>8.8000000000000007</v>
      </c>
      <c r="M44" s="46">
        <v>8.8000000000000007</v>
      </c>
      <c r="N44" s="46">
        <v>8.8000000000000007</v>
      </c>
      <c r="O44" s="46">
        <v>8.8000000000000007</v>
      </c>
      <c r="P44" s="46">
        <v>8.8000000000000007</v>
      </c>
      <c r="Q44" s="46">
        <v>8.8000000000000007</v>
      </c>
      <c r="R44" s="46">
        <v>8.8000000000000007</v>
      </c>
      <c r="S44" s="46">
        <v>8.8000000000000007</v>
      </c>
      <c r="T44" s="46">
        <v>8.8000000000000007</v>
      </c>
      <c r="U44" s="46">
        <v>8.8000000000000007</v>
      </c>
      <c r="V44" s="46">
        <v>8.8000000000000007</v>
      </c>
      <c r="W44" s="46">
        <v>8.8000000000000007</v>
      </c>
      <c r="X44" s="46">
        <v>8.8000000000000007</v>
      </c>
      <c r="Y44" s="46">
        <v>8.8000000000000007</v>
      </c>
      <c r="Z44" s="46">
        <v>8.8000000000000007</v>
      </c>
      <c r="AA44" s="46">
        <v>8.8000000000000007</v>
      </c>
      <c r="AB44" s="46">
        <v>8.8000000000000007</v>
      </c>
      <c r="AC44" s="46">
        <v>8.8000000000000007</v>
      </c>
      <c r="AD44" s="46">
        <v>8.8000000000000007</v>
      </c>
      <c r="AE44" s="46">
        <v>8.8000000000000007</v>
      </c>
      <c r="AF44" s="46">
        <v>8.8000000000000007</v>
      </c>
      <c r="AG44" s="50">
        <v>12</v>
      </c>
      <c r="AH44" s="48">
        <f t="shared" si="8"/>
        <v>8.8000000000000007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7</v>
      </c>
      <c r="C45" s="46">
        <v>7</v>
      </c>
      <c r="D45" s="46">
        <v>7</v>
      </c>
      <c r="E45" s="46">
        <v>7</v>
      </c>
      <c r="F45" s="46">
        <v>7</v>
      </c>
      <c r="G45" s="46">
        <v>12</v>
      </c>
      <c r="H45" s="46">
        <v>12</v>
      </c>
      <c r="I45" s="46">
        <v>12</v>
      </c>
      <c r="J45" s="46">
        <v>12</v>
      </c>
      <c r="K45" s="46">
        <v>0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>
        <v>12</v>
      </c>
      <c r="T45" s="46">
        <v>12</v>
      </c>
      <c r="U45" s="46">
        <v>12</v>
      </c>
      <c r="V45" s="46">
        <v>12</v>
      </c>
      <c r="W45" s="46">
        <v>12</v>
      </c>
      <c r="X45" s="46">
        <v>12</v>
      </c>
      <c r="Y45" s="46">
        <v>12</v>
      </c>
      <c r="Z45" s="46">
        <v>12</v>
      </c>
      <c r="AA45" s="46">
        <v>12</v>
      </c>
      <c r="AB45" s="46">
        <v>12</v>
      </c>
      <c r="AC45" s="46">
        <v>12</v>
      </c>
      <c r="AD45" s="46">
        <v>12</v>
      </c>
      <c r="AE45" s="46">
        <v>12</v>
      </c>
      <c r="AF45" s="46">
        <v>12</v>
      </c>
      <c r="AG45" s="50">
        <v>12</v>
      </c>
      <c r="AH45" s="48">
        <f t="shared" si="8"/>
        <v>12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>
        <v>3</v>
      </c>
      <c r="T46" s="46">
        <v>3</v>
      </c>
      <c r="U46" s="46">
        <v>3</v>
      </c>
      <c r="V46" s="46">
        <v>3</v>
      </c>
      <c r="W46" s="46">
        <v>3</v>
      </c>
      <c r="X46" s="46">
        <v>3</v>
      </c>
      <c r="Y46" s="46">
        <v>3</v>
      </c>
      <c r="Z46" s="46">
        <v>3</v>
      </c>
      <c r="AA46" s="46">
        <v>3</v>
      </c>
      <c r="AB46" s="46">
        <v>3</v>
      </c>
      <c r="AC46" s="46">
        <v>3</v>
      </c>
      <c r="AD46" s="46">
        <v>3</v>
      </c>
      <c r="AE46" s="46">
        <v>3</v>
      </c>
      <c r="AF46" s="46">
        <v>3</v>
      </c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>
        <v>4</v>
      </c>
      <c r="T47" s="46">
        <v>4</v>
      </c>
      <c r="U47" s="46">
        <v>4</v>
      </c>
      <c r="V47" s="46">
        <v>4</v>
      </c>
      <c r="W47" s="46">
        <v>4</v>
      </c>
      <c r="X47" s="46">
        <v>4</v>
      </c>
      <c r="Y47" s="46">
        <v>4</v>
      </c>
      <c r="Z47" s="46">
        <v>4</v>
      </c>
      <c r="AA47" s="46">
        <v>4</v>
      </c>
      <c r="AB47" s="46">
        <v>4</v>
      </c>
      <c r="AC47" s="46">
        <v>4</v>
      </c>
      <c r="AD47" s="46">
        <v>4</v>
      </c>
      <c r="AE47" s="46">
        <v>4</v>
      </c>
      <c r="AF47" s="46">
        <v>4</v>
      </c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>
        <v>3</v>
      </c>
      <c r="T49" s="46">
        <v>3</v>
      </c>
      <c r="U49" s="46">
        <v>3</v>
      </c>
      <c r="V49" s="46">
        <v>3</v>
      </c>
      <c r="W49" s="46">
        <v>3</v>
      </c>
      <c r="X49" s="46">
        <v>3</v>
      </c>
      <c r="Y49" s="46">
        <v>3</v>
      </c>
      <c r="Z49" s="46">
        <v>3</v>
      </c>
      <c r="AA49" s="46">
        <v>3</v>
      </c>
      <c r="AB49" s="46">
        <v>3</v>
      </c>
      <c r="AC49" s="46">
        <v>3</v>
      </c>
      <c r="AD49" s="46">
        <v>3</v>
      </c>
      <c r="AE49" s="46">
        <v>3</v>
      </c>
      <c r="AF49" s="46">
        <v>3</v>
      </c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>
        <v>1.9</v>
      </c>
      <c r="T50" s="46">
        <v>1.9</v>
      </c>
      <c r="U50" s="46">
        <v>1.9</v>
      </c>
      <c r="V50" s="46">
        <v>1.9</v>
      </c>
      <c r="W50" s="46">
        <v>1.9</v>
      </c>
      <c r="X50" s="46">
        <v>1.9</v>
      </c>
      <c r="Y50" s="46">
        <v>1.9</v>
      </c>
      <c r="Z50" s="46">
        <v>1.9</v>
      </c>
      <c r="AA50" s="46">
        <v>1.9</v>
      </c>
      <c r="AB50" s="46">
        <v>1.9</v>
      </c>
      <c r="AC50" s="46">
        <v>1.9</v>
      </c>
      <c r="AD50" s="46">
        <v>1.9</v>
      </c>
      <c r="AE50" s="46">
        <v>1.9</v>
      </c>
      <c r="AF50" s="46">
        <v>1.9</v>
      </c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>
        <v>1.9</v>
      </c>
      <c r="T51" s="46">
        <v>1.9</v>
      </c>
      <c r="U51" s="46">
        <v>1.9</v>
      </c>
      <c r="V51" s="46">
        <v>1.9</v>
      </c>
      <c r="W51" s="46">
        <v>1.9</v>
      </c>
      <c r="X51" s="46">
        <v>1.9</v>
      </c>
      <c r="Y51" s="46">
        <v>1.9</v>
      </c>
      <c r="Z51" s="46">
        <v>1.9</v>
      </c>
      <c r="AA51" s="46">
        <v>1.9</v>
      </c>
      <c r="AB51" s="46">
        <v>1.9</v>
      </c>
      <c r="AC51" s="46">
        <v>1.9</v>
      </c>
      <c r="AD51" s="46">
        <v>1.9</v>
      </c>
      <c r="AE51" s="46">
        <v>1.9</v>
      </c>
      <c r="AF51" s="46">
        <v>1.9</v>
      </c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9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6">
        <v>0</v>
      </c>
      <c r="U52" s="46">
        <v>0</v>
      </c>
      <c r="V52" s="46">
        <v>0</v>
      </c>
      <c r="W52" s="46">
        <v>0</v>
      </c>
      <c r="X52" s="46">
        <v>0</v>
      </c>
      <c r="Y52" s="46">
        <v>0</v>
      </c>
      <c r="Z52" s="46">
        <v>0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6">
        <v>0</v>
      </c>
      <c r="AG52" s="66">
        <v>10</v>
      </c>
      <c r="AH52" s="48">
        <f t="shared" si="8"/>
        <v>9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>
        <v>5</v>
      </c>
      <c r="T53" s="46">
        <v>5</v>
      </c>
      <c r="U53" s="46">
        <v>5</v>
      </c>
      <c r="V53" s="46">
        <v>5</v>
      </c>
      <c r="W53" s="46">
        <v>5</v>
      </c>
      <c r="X53" s="46">
        <v>5</v>
      </c>
      <c r="Y53" s="46">
        <v>5</v>
      </c>
      <c r="Z53" s="46">
        <v>5</v>
      </c>
      <c r="AA53" s="46">
        <v>5</v>
      </c>
      <c r="AB53" s="46">
        <v>5</v>
      </c>
      <c r="AC53" s="46">
        <v>5</v>
      </c>
      <c r="AD53" s="46">
        <v>5</v>
      </c>
      <c r="AE53" s="46">
        <v>5</v>
      </c>
      <c r="AF53" s="46">
        <v>5</v>
      </c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250</v>
      </c>
      <c r="C56" s="68">
        <v>250</v>
      </c>
      <c r="D56" s="68">
        <v>250</v>
      </c>
      <c r="E56" s="68">
        <v>250</v>
      </c>
      <c r="F56" s="68">
        <v>250</v>
      </c>
      <c r="G56" s="68">
        <v>250</v>
      </c>
      <c r="H56" s="68">
        <v>250</v>
      </c>
      <c r="I56" s="68">
        <v>250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200</v>
      </c>
      <c r="T56" s="68">
        <v>200</v>
      </c>
      <c r="U56" s="68">
        <v>200</v>
      </c>
      <c r="V56" s="68">
        <v>200</v>
      </c>
      <c r="W56" s="68">
        <v>200</v>
      </c>
      <c r="X56" s="68">
        <v>200</v>
      </c>
      <c r="Y56" s="68">
        <v>200</v>
      </c>
      <c r="Z56" s="68">
        <v>200</v>
      </c>
      <c r="AA56" s="68">
        <v>200</v>
      </c>
      <c r="AB56" s="68">
        <v>200</v>
      </c>
      <c r="AC56" s="68">
        <v>200</v>
      </c>
      <c r="AD56" s="68">
        <v>200</v>
      </c>
      <c r="AE56" s="68">
        <v>200</v>
      </c>
      <c r="AF56" s="68">
        <v>200</v>
      </c>
      <c r="AG56" s="66">
        <v>85</v>
      </c>
      <c r="AH56" s="48">
        <f t="shared" si="8"/>
        <v>250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>
        <v>72.900000000000006</v>
      </c>
      <c r="C57" s="68">
        <v>72.900000000000006</v>
      </c>
      <c r="D57" s="68">
        <v>72.900000000000006</v>
      </c>
      <c r="E57" s="68">
        <v>80</v>
      </c>
      <c r="F57" s="68">
        <v>71.900000000000006</v>
      </c>
      <c r="G57" s="68">
        <v>71.900000000000006</v>
      </c>
      <c r="H57" s="68">
        <v>71.900000000000006</v>
      </c>
      <c r="I57" s="68">
        <v>71.900000000000006</v>
      </c>
      <c r="J57" s="68">
        <v>72</v>
      </c>
      <c r="K57" s="53">
        <v>72</v>
      </c>
      <c r="L57" s="53">
        <v>74.7</v>
      </c>
      <c r="M57" s="53">
        <f>42.9+26.7</f>
        <v>69.599999999999994</v>
      </c>
      <c r="N57" s="53">
        <f>42.9+26.7</f>
        <v>69.599999999999994</v>
      </c>
      <c r="O57" s="53">
        <f>41+25.9</f>
        <v>66.900000000000006</v>
      </c>
      <c r="P57" s="53">
        <f>40+25.4</f>
        <v>65.400000000000006</v>
      </c>
      <c r="Q57" s="53">
        <f>42+27.1</f>
        <v>69.099999999999994</v>
      </c>
      <c r="R57" s="53">
        <f>22.9+36.3</f>
        <v>59.199999999999996</v>
      </c>
      <c r="S57" s="53">
        <f>22.9+36.3</f>
        <v>59.199999999999996</v>
      </c>
      <c r="T57" s="53">
        <v>66</v>
      </c>
      <c r="U57" s="53">
        <v>66</v>
      </c>
      <c r="V57" s="53">
        <v>66</v>
      </c>
      <c r="W57" s="53">
        <v>66</v>
      </c>
      <c r="X57" s="53">
        <v>54</v>
      </c>
      <c r="Y57" s="53">
        <v>54</v>
      </c>
      <c r="Z57" s="53">
        <v>54</v>
      </c>
      <c r="AA57" s="53">
        <v>59</v>
      </c>
      <c r="AB57" s="53">
        <v>60</v>
      </c>
      <c r="AC57" s="53">
        <v>60</v>
      </c>
      <c r="AD57" s="53">
        <v>75.3</v>
      </c>
      <c r="AE57" s="53">
        <v>91</v>
      </c>
      <c r="AF57" s="53">
        <v>88</v>
      </c>
      <c r="AG57" s="66">
        <v>240</v>
      </c>
      <c r="AH57" s="48">
        <f t="shared" si="8"/>
        <v>91</v>
      </c>
      <c r="AI57" s="49">
        <f t="shared" si="9"/>
        <v>54</v>
      </c>
      <c r="AK57" s="51"/>
    </row>
    <row r="58" spans="1:88" ht="15.75" thickBot="1" x14ac:dyDescent="0.3">
      <c r="A58" s="70" t="s">
        <v>75</v>
      </c>
      <c r="B58" s="71">
        <f t="shared" ref="B58:AA58" si="22">SUM(B11:B56)</f>
        <v>839.43</v>
      </c>
      <c r="C58" s="71">
        <f t="shared" si="22"/>
        <v>853.43</v>
      </c>
      <c r="D58" s="71">
        <f t="shared" si="22"/>
        <v>850.43</v>
      </c>
      <c r="E58" s="71">
        <f t="shared" si="22"/>
        <v>940.59999999999991</v>
      </c>
      <c r="F58" s="71">
        <f t="shared" si="22"/>
        <v>940.59999999999991</v>
      </c>
      <c r="G58" s="71">
        <f t="shared" si="22"/>
        <v>945.59999999999991</v>
      </c>
      <c r="H58" s="71">
        <f t="shared" si="22"/>
        <v>945.59999999999991</v>
      </c>
      <c r="I58" s="71">
        <f t="shared" si="22"/>
        <v>945.59999999999991</v>
      </c>
      <c r="J58" s="71">
        <f t="shared" si="22"/>
        <v>845.59999999999991</v>
      </c>
      <c r="K58" s="71">
        <f t="shared" si="22"/>
        <v>481.59999999999997</v>
      </c>
      <c r="L58" s="71">
        <f t="shared" si="22"/>
        <v>843.39999999999986</v>
      </c>
      <c r="M58" s="71">
        <f t="shared" si="22"/>
        <v>846.0999999999998</v>
      </c>
      <c r="N58" s="71">
        <f t="shared" si="22"/>
        <v>846.0999999999998</v>
      </c>
      <c r="O58" s="71">
        <f t="shared" si="22"/>
        <v>846.0999999999998</v>
      </c>
      <c r="P58" s="71">
        <f t="shared" si="22"/>
        <v>843.39999999999986</v>
      </c>
      <c r="Q58" s="71">
        <f t="shared" si="22"/>
        <v>846.0999999999998</v>
      </c>
      <c r="R58" s="71">
        <f t="shared" ref="R58" si="23">SUM(R11:R56)</f>
        <v>822.09999999999991</v>
      </c>
      <c r="S58" s="71">
        <f t="shared" si="22"/>
        <v>835.99999999999989</v>
      </c>
      <c r="T58" s="71">
        <f t="shared" si="22"/>
        <v>817.99999999999989</v>
      </c>
      <c r="U58" s="71">
        <f t="shared" si="22"/>
        <v>840.99999999999989</v>
      </c>
      <c r="V58" s="71">
        <f t="shared" si="22"/>
        <v>869.99999999999989</v>
      </c>
      <c r="W58" s="71">
        <f t="shared" si="22"/>
        <v>864.49999999999989</v>
      </c>
      <c r="X58" s="71">
        <f t="shared" si="22"/>
        <v>864.49999999999989</v>
      </c>
      <c r="Y58" s="71">
        <f t="shared" si="22"/>
        <v>864.79999999999984</v>
      </c>
      <c r="Z58" s="71">
        <f t="shared" si="22"/>
        <v>864.79999999999984</v>
      </c>
      <c r="AA58" s="71">
        <f t="shared" si="22"/>
        <v>864.79999999999984</v>
      </c>
      <c r="AB58" s="71">
        <f t="shared" ref="AB58:AC58" si="24">SUM(AB11:AB56)</f>
        <v>864.79999999999984</v>
      </c>
      <c r="AC58" s="71">
        <f t="shared" si="24"/>
        <v>822.79999999999984</v>
      </c>
      <c r="AD58" s="71">
        <f t="shared" ref="AD58:AE58" si="25">SUM(AD11:AD56)</f>
        <v>822.79999999999984</v>
      </c>
      <c r="AE58" s="71">
        <f t="shared" si="25"/>
        <v>849.79999999999984</v>
      </c>
      <c r="AF58" s="71">
        <f t="shared" ref="AF58" si="26">SUM(AF11:AF56)</f>
        <v>849.79999999999984</v>
      </c>
      <c r="AG58" s="72">
        <f>SUM(AG14:AG56)</f>
        <v>1042.4000000000001</v>
      </c>
      <c r="AH58" s="48">
        <f t="shared" si="8"/>
        <v>945.59999999999991</v>
      </c>
      <c r="AI58" s="49">
        <f t="shared" si="9"/>
        <v>481.59999999999997</v>
      </c>
      <c r="AK58" s="51"/>
    </row>
    <row r="59" spans="1:88" x14ac:dyDescent="0.25">
      <c r="A59" s="73" t="s">
        <v>76</v>
      </c>
      <c r="B59" s="46">
        <v>379</v>
      </c>
      <c r="C59" s="46">
        <v>430</v>
      </c>
      <c r="D59" s="46">
        <v>400</v>
      </c>
      <c r="E59" s="46">
        <v>456</v>
      </c>
      <c r="F59" s="46">
        <v>428</v>
      </c>
      <c r="G59" s="46">
        <v>428</v>
      </c>
      <c r="H59" s="46">
        <v>428</v>
      </c>
      <c r="I59" s="46">
        <v>428</v>
      </c>
      <c r="J59" s="46">
        <v>428</v>
      </c>
      <c r="K59" s="46">
        <v>428</v>
      </c>
      <c r="L59" s="46">
        <v>456</v>
      </c>
      <c r="M59" s="46">
        <v>458</v>
      </c>
      <c r="N59" s="46">
        <v>458</v>
      </c>
      <c r="O59" s="46">
        <v>458</v>
      </c>
      <c r="P59" s="74">
        <v>345</v>
      </c>
      <c r="Q59" s="74">
        <v>344</v>
      </c>
      <c r="R59" s="74">
        <v>380</v>
      </c>
      <c r="S59" s="74">
        <v>440</v>
      </c>
      <c r="T59" s="74">
        <v>422</v>
      </c>
      <c r="U59" s="74">
        <v>451.9</v>
      </c>
      <c r="V59" s="74">
        <v>200</v>
      </c>
      <c r="W59" s="46">
        <v>120.8</v>
      </c>
      <c r="X59" s="46">
        <v>85</v>
      </c>
      <c r="Y59" s="46">
        <v>132.80000000000001</v>
      </c>
      <c r="Z59" s="46">
        <v>200</v>
      </c>
      <c r="AA59" s="46">
        <v>311.7</v>
      </c>
      <c r="AB59" s="46">
        <v>261.7</v>
      </c>
      <c r="AC59" s="46">
        <v>200</v>
      </c>
      <c r="AD59" s="46">
        <v>231</v>
      </c>
      <c r="AE59" s="46">
        <v>170.9</v>
      </c>
      <c r="AF59" s="46">
        <v>110</v>
      </c>
      <c r="AG59" s="61">
        <v>456</v>
      </c>
      <c r="AH59" s="48">
        <f t="shared" si="8"/>
        <v>458</v>
      </c>
      <c r="AI59" s="49">
        <f t="shared" si="9"/>
        <v>85</v>
      </c>
      <c r="AK59" s="51"/>
    </row>
    <row r="60" spans="1:88" x14ac:dyDescent="0.25">
      <c r="A60" s="75" t="s">
        <v>77</v>
      </c>
      <c r="B60" s="76">
        <v>38.6</v>
      </c>
      <c r="C60" s="76">
        <v>38.6</v>
      </c>
      <c r="D60" s="76">
        <v>38.6</v>
      </c>
      <c r="E60" s="76">
        <v>60</v>
      </c>
      <c r="F60" s="76">
        <v>60</v>
      </c>
      <c r="G60" s="76">
        <v>60</v>
      </c>
      <c r="H60" s="76">
        <v>60</v>
      </c>
      <c r="I60" s="76">
        <v>60</v>
      </c>
      <c r="J60" s="76">
        <v>60</v>
      </c>
      <c r="K60" s="76">
        <v>60</v>
      </c>
      <c r="L60" s="76">
        <v>60</v>
      </c>
      <c r="M60" s="76">
        <v>60</v>
      </c>
      <c r="N60" s="76">
        <v>60</v>
      </c>
      <c r="O60" s="76">
        <v>60</v>
      </c>
      <c r="P60" s="76">
        <v>60</v>
      </c>
      <c r="Q60" s="76">
        <v>60</v>
      </c>
      <c r="R60" s="76">
        <v>61</v>
      </c>
      <c r="S60" s="76">
        <v>60.9</v>
      </c>
      <c r="T60" s="76">
        <v>60.9</v>
      </c>
      <c r="U60" s="76">
        <v>61</v>
      </c>
      <c r="V60" s="76">
        <v>61</v>
      </c>
      <c r="W60" s="76">
        <v>61</v>
      </c>
      <c r="X60" s="76">
        <v>61</v>
      </c>
      <c r="Y60" s="76">
        <v>61</v>
      </c>
      <c r="Z60" s="76">
        <v>61</v>
      </c>
      <c r="AA60" s="76">
        <v>61</v>
      </c>
      <c r="AB60" s="76">
        <v>61</v>
      </c>
      <c r="AC60" s="76">
        <v>61</v>
      </c>
      <c r="AD60" s="76">
        <v>61</v>
      </c>
      <c r="AE60" s="76">
        <v>61</v>
      </c>
      <c r="AF60" s="76">
        <v>61</v>
      </c>
      <c r="AG60" s="66">
        <v>60</v>
      </c>
      <c r="AH60" s="48">
        <f t="shared" si="8"/>
        <v>61</v>
      </c>
      <c r="AI60" s="49">
        <f t="shared" si="9"/>
        <v>38.6</v>
      </c>
      <c r="AK60" s="51"/>
    </row>
    <row r="61" spans="1:88" ht="15.75" thickBot="1" x14ac:dyDescent="0.3">
      <c r="A61" s="77" t="s">
        <v>78</v>
      </c>
      <c r="B61" s="78">
        <v>22.5</v>
      </c>
      <c r="C61" s="78">
        <v>22.5</v>
      </c>
      <c r="D61" s="78">
        <v>22.5</v>
      </c>
      <c r="E61" s="78">
        <v>22.5</v>
      </c>
      <c r="F61" s="78">
        <v>22.5</v>
      </c>
      <c r="G61" s="78">
        <v>22.5</v>
      </c>
      <c r="H61" s="78">
        <v>22.5</v>
      </c>
      <c r="I61" s="78">
        <v>0</v>
      </c>
      <c r="J61" s="78">
        <v>22.5</v>
      </c>
      <c r="K61" s="78">
        <v>22.5</v>
      </c>
      <c r="L61" s="78">
        <v>22.5</v>
      </c>
      <c r="M61" s="78">
        <v>22.5</v>
      </c>
      <c r="N61" s="78">
        <v>22.5</v>
      </c>
      <c r="O61" s="78">
        <v>22.5</v>
      </c>
      <c r="P61" s="78">
        <v>22.6</v>
      </c>
      <c r="Q61" s="78">
        <v>22.6</v>
      </c>
      <c r="R61" s="78">
        <v>22.6</v>
      </c>
      <c r="S61" s="78">
        <v>22.6</v>
      </c>
      <c r="T61" s="78">
        <v>22.6</v>
      </c>
      <c r="U61" s="78">
        <v>22.6</v>
      </c>
      <c r="V61" s="78">
        <v>22.6</v>
      </c>
      <c r="W61" s="78">
        <v>22.6</v>
      </c>
      <c r="X61" s="78">
        <v>22.6</v>
      </c>
      <c r="Y61" s="78">
        <v>22.6</v>
      </c>
      <c r="Z61" s="78">
        <v>22.6</v>
      </c>
      <c r="AA61" s="78">
        <v>22.6</v>
      </c>
      <c r="AB61" s="78">
        <v>22.6</v>
      </c>
      <c r="AC61" s="78">
        <v>22.6</v>
      </c>
      <c r="AD61" s="78">
        <v>22.6</v>
      </c>
      <c r="AE61" s="78">
        <v>22.6</v>
      </c>
      <c r="AF61" s="78">
        <v>22.6</v>
      </c>
      <c r="AG61" s="79">
        <v>22.1</v>
      </c>
      <c r="AH61" s="48">
        <f t="shared" si="8"/>
        <v>22.6</v>
      </c>
      <c r="AI61" s="49">
        <f t="shared" si="9"/>
        <v>0</v>
      </c>
      <c r="AK61" s="51"/>
    </row>
    <row r="62" spans="1:88" ht="15.75" thickBot="1" x14ac:dyDescent="0.3">
      <c r="A62" s="80" t="s">
        <v>79</v>
      </c>
      <c r="B62" s="71">
        <f t="shared" ref="B62:AG62" si="27">SUM(B59:B61)</f>
        <v>440.1</v>
      </c>
      <c r="C62" s="71">
        <f t="shared" si="27"/>
        <v>491.1</v>
      </c>
      <c r="D62" s="71">
        <f t="shared" si="27"/>
        <v>461.1</v>
      </c>
      <c r="E62" s="71">
        <f t="shared" si="27"/>
        <v>538.5</v>
      </c>
      <c r="F62" s="71">
        <f t="shared" si="27"/>
        <v>510.5</v>
      </c>
      <c r="G62" s="71">
        <f t="shared" si="27"/>
        <v>510.5</v>
      </c>
      <c r="H62" s="71">
        <f t="shared" si="27"/>
        <v>510.5</v>
      </c>
      <c r="I62" s="71">
        <f t="shared" si="27"/>
        <v>488</v>
      </c>
      <c r="J62" s="71">
        <f t="shared" si="27"/>
        <v>510.5</v>
      </c>
      <c r="K62" s="71">
        <f t="shared" si="27"/>
        <v>510.5</v>
      </c>
      <c r="L62" s="71">
        <f t="shared" si="27"/>
        <v>538.5</v>
      </c>
      <c r="M62" s="71">
        <f t="shared" si="27"/>
        <v>540.5</v>
      </c>
      <c r="N62" s="71">
        <f t="shared" si="27"/>
        <v>540.5</v>
      </c>
      <c r="O62" s="71">
        <f t="shared" si="27"/>
        <v>540.5</v>
      </c>
      <c r="P62" s="71">
        <f t="shared" si="27"/>
        <v>427.6</v>
      </c>
      <c r="Q62" s="71">
        <f t="shared" si="27"/>
        <v>426.6</v>
      </c>
      <c r="R62" s="71">
        <f t="shared" ref="R62" si="28">SUM(R59:R61)</f>
        <v>463.6</v>
      </c>
      <c r="S62" s="71">
        <f t="shared" si="27"/>
        <v>523.5</v>
      </c>
      <c r="T62" s="71">
        <f t="shared" si="27"/>
        <v>505.5</v>
      </c>
      <c r="U62" s="71">
        <f t="shared" si="27"/>
        <v>535.5</v>
      </c>
      <c r="V62" s="71">
        <f t="shared" si="27"/>
        <v>283.60000000000002</v>
      </c>
      <c r="W62" s="71">
        <f t="shared" si="27"/>
        <v>204.4</v>
      </c>
      <c r="X62" s="71">
        <f t="shared" si="27"/>
        <v>168.6</v>
      </c>
      <c r="Y62" s="71">
        <f t="shared" si="27"/>
        <v>216.4</v>
      </c>
      <c r="Z62" s="71">
        <f t="shared" si="27"/>
        <v>283.60000000000002</v>
      </c>
      <c r="AA62" s="71">
        <f t="shared" si="27"/>
        <v>395.3</v>
      </c>
      <c r="AB62" s="71">
        <f t="shared" ref="AB62:AC62" si="29">SUM(AB59:AB61)</f>
        <v>345.3</v>
      </c>
      <c r="AC62" s="71">
        <f t="shared" si="29"/>
        <v>283.60000000000002</v>
      </c>
      <c r="AD62" s="71">
        <f t="shared" ref="AD62:AE62" si="30">SUM(AD59:AD61)</f>
        <v>314.60000000000002</v>
      </c>
      <c r="AE62" s="71">
        <f t="shared" si="30"/>
        <v>254.5</v>
      </c>
      <c r="AF62" s="71">
        <f t="shared" ref="AF62" si="31">SUM(AF59:AF61)</f>
        <v>193.6</v>
      </c>
      <c r="AG62" s="72">
        <f t="shared" si="27"/>
        <v>538.1</v>
      </c>
      <c r="AH62" s="48">
        <f t="shared" si="8"/>
        <v>540.5</v>
      </c>
      <c r="AI62" s="49">
        <f t="shared" si="9"/>
        <v>168.6</v>
      </c>
      <c r="AK62" s="51"/>
    </row>
    <row r="63" spans="1:88" x14ac:dyDescent="0.25">
      <c r="A63" s="45" t="s">
        <v>80</v>
      </c>
      <c r="B63" s="46">
        <v>91</v>
      </c>
      <c r="C63" s="46">
        <v>130</v>
      </c>
      <c r="D63" s="46">
        <v>91</v>
      </c>
      <c r="E63" s="46">
        <v>135</v>
      </c>
      <c r="F63" s="46">
        <v>135</v>
      </c>
      <c r="G63" s="46">
        <v>96</v>
      </c>
      <c r="H63" s="46">
        <v>96</v>
      </c>
      <c r="I63" s="46">
        <v>96</v>
      </c>
      <c r="J63" s="46">
        <v>96</v>
      </c>
      <c r="K63" s="46">
        <v>0</v>
      </c>
      <c r="L63" s="46">
        <v>96</v>
      </c>
      <c r="M63" s="46">
        <v>143</v>
      </c>
      <c r="N63" s="46">
        <v>143</v>
      </c>
      <c r="O63" s="46">
        <v>96</v>
      </c>
      <c r="P63" s="46">
        <v>143</v>
      </c>
      <c r="Q63" s="46">
        <v>143</v>
      </c>
      <c r="R63" s="46">
        <v>143</v>
      </c>
      <c r="S63" s="46">
        <v>140</v>
      </c>
      <c r="T63" s="46">
        <v>144</v>
      </c>
      <c r="U63" s="46">
        <v>144</v>
      </c>
      <c r="V63" s="46">
        <v>144</v>
      </c>
      <c r="W63" s="46">
        <v>94</v>
      </c>
      <c r="X63" s="46">
        <v>96</v>
      </c>
      <c r="Y63" s="46">
        <v>47</v>
      </c>
      <c r="Z63" s="46">
        <v>96</v>
      </c>
      <c r="AA63" s="46">
        <v>96</v>
      </c>
      <c r="AB63" s="46">
        <v>99.8</v>
      </c>
      <c r="AC63" s="46">
        <v>99.8</v>
      </c>
      <c r="AD63" s="46">
        <v>143.5</v>
      </c>
      <c r="AE63" s="46">
        <v>143.5</v>
      </c>
      <c r="AF63" s="46">
        <v>143.5</v>
      </c>
      <c r="AG63" s="61">
        <v>144</v>
      </c>
      <c r="AH63" s="48">
        <f t="shared" si="8"/>
        <v>144</v>
      </c>
      <c r="AI63" s="49">
        <f t="shared" si="9"/>
        <v>0</v>
      </c>
      <c r="AK63" s="51"/>
    </row>
    <row r="64" spans="1:88" x14ac:dyDescent="0.25">
      <c r="A64" s="65" t="s">
        <v>81</v>
      </c>
      <c r="B64" s="76">
        <v>65</v>
      </c>
      <c r="C64" s="76">
        <v>65</v>
      </c>
      <c r="D64" s="76">
        <v>65</v>
      </c>
      <c r="E64" s="76">
        <v>65</v>
      </c>
      <c r="F64" s="76">
        <v>65</v>
      </c>
      <c r="G64" s="76">
        <v>65</v>
      </c>
      <c r="H64" s="76">
        <v>65</v>
      </c>
      <c r="I64" s="76">
        <v>65</v>
      </c>
      <c r="J64" s="76">
        <v>65</v>
      </c>
      <c r="K64" s="76">
        <v>0</v>
      </c>
      <c r="L64" s="76">
        <v>65</v>
      </c>
      <c r="M64" s="76">
        <v>58.6</v>
      </c>
      <c r="N64" s="76">
        <v>58.6</v>
      </c>
      <c r="O64" s="76">
        <v>58.6</v>
      </c>
      <c r="P64" s="76">
        <v>60.6</v>
      </c>
      <c r="Q64" s="76">
        <v>60.6</v>
      </c>
      <c r="R64" s="76">
        <v>60.6</v>
      </c>
      <c r="S64" s="76">
        <v>60</v>
      </c>
      <c r="T64" s="76">
        <v>57</v>
      </c>
      <c r="U64" s="76">
        <v>57</v>
      </c>
      <c r="V64" s="76">
        <v>56.4</v>
      </c>
      <c r="W64" s="76">
        <v>56.4</v>
      </c>
      <c r="X64" s="46">
        <v>57</v>
      </c>
      <c r="Y64" s="46">
        <v>59.2</v>
      </c>
      <c r="Z64" s="46">
        <v>59.2</v>
      </c>
      <c r="AA64" s="46">
        <v>59.2</v>
      </c>
      <c r="AB64" s="46">
        <v>59.2</v>
      </c>
      <c r="AC64" s="46">
        <v>59.2</v>
      </c>
      <c r="AD64" s="46">
        <v>60.1</v>
      </c>
      <c r="AE64" s="46">
        <v>60.1</v>
      </c>
      <c r="AF64" s="46">
        <v>60.1</v>
      </c>
      <c r="AG64" s="66">
        <v>70</v>
      </c>
      <c r="AH64" s="48">
        <f t="shared" si="8"/>
        <v>65</v>
      </c>
      <c r="AI64" s="49">
        <f t="shared" si="9"/>
        <v>0</v>
      </c>
      <c r="AK64" s="51"/>
    </row>
    <row r="65" spans="1:75" x14ac:dyDescent="0.25">
      <c r="A65" s="65" t="s">
        <v>82</v>
      </c>
      <c r="B65" s="76">
        <v>69</v>
      </c>
      <c r="C65" s="76">
        <v>69</v>
      </c>
      <c r="D65" s="76">
        <v>69</v>
      </c>
      <c r="E65" s="76">
        <v>69</v>
      </c>
      <c r="F65" s="76">
        <v>69</v>
      </c>
      <c r="G65" s="76">
        <v>69</v>
      </c>
      <c r="H65" s="76">
        <v>69</v>
      </c>
      <c r="I65" s="76">
        <v>69</v>
      </c>
      <c r="J65" s="76">
        <v>69</v>
      </c>
      <c r="K65" s="76">
        <v>0</v>
      </c>
      <c r="L65" s="76">
        <v>69</v>
      </c>
      <c r="M65" s="76">
        <v>70.8</v>
      </c>
      <c r="N65" s="76">
        <v>70.8</v>
      </c>
      <c r="O65" s="76">
        <v>70.8</v>
      </c>
      <c r="P65" s="76">
        <v>71.599999999999994</v>
      </c>
      <c r="Q65" s="76">
        <v>71.599999999999994</v>
      </c>
      <c r="R65" s="76">
        <v>69.7</v>
      </c>
      <c r="S65" s="76">
        <v>69.7</v>
      </c>
      <c r="T65" s="76">
        <v>69.7</v>
      </c>
      <c r="U65" s="76">
        <v>69.7</v>
      </c>
      <c r="V65" s="76">
        <v>69.7</v>
      </c>
      <c r="W65" s="76">
        <v>69.7</v>
      </c>
      <c r="X65" s="46">
        <v>69</v>
      </c>
      <c r="Y65" s="46">
        <v>70</v>
      </c>
      <c r="Z65" s="46">
        <v>70</v>
      </c>
      <c r="AA65" s="46">
        <v>70</v>
      </c>
      <c r="AB65" s="46">
        <v>70.5</v>
      </c>
      <c r="AC65" s="46">
        <v>70.5</v>
      </c>
      <c r="AD65" s="46">
        <v>70.5</v>
      </c>
      <c r="AE65" s="46">
        <v>70.5</v>
      </c>
      <c r="AF65" s="46">
        <v>70.5</v>
      </c>
      <c r="AG65" s="66">
        <v>69</v>
      </c>
      <c r="AH65" s="48">
        <f t="shared" si="8"/>
        <v>71.599999999999994</v>
      </c>
      <c r="AI65" s="49">
        <f t="shared" si="9"/>
        <v>0</v>
      </c>
      <c r="AK65" s="51"/>
    </row>
    <row r="66" spans="1:75" x14ac:dyDescent="0.25">
      <c r="A66" s="65" t="s">
        <v>83</v>
      </c>
      <c r="B66" s="76">
        <v>60.4</v>
      </c>
      <c r="C66" s="76">
        <v>60.4</v>
      </c>
      <c r="D66" s="76">
        <v>60.4</v>
      </c>
      <c r="E66" s="76">
        <v>60.5</v>
      </c>
      <c r="F66" s="76">
        <v>60.5</v>
      </c>
      <c r="G66" s="76">
        <v>60.5</v>
      </c>
      <c r="H66" s="76">
        <v>60.5</v>
      </c>
      <c r="I66" s="76">
        <v>60.5</v>
      </c>
      <c r="J66" s="76">
        <v>60.5</v>
      </c>
      <c r="K66" s="76">
        <v>0</v>
      </c>
      <c r="L66" s="76">
        <v>60.5</v>
      </c>
      <c r="M66" s="76">
        <v>58.5</v>
      </c>
      <c r="N66" s="76">
        <v>58.5</v>
      </c>
      <c r="O66" s="76">
        <v>58.5</v>
      </c>
      <c r="P66" s="76">
        <v>58</v>
      </c>
      <c r="Q66" s="76">
        <v>58</v>
      </c>
      <c r="R66" s="76">
        <v>56.2</v>
      </c>
      <c r="S66" s="76">
        <v>60.7</v>
      </c>
      <c r="T66" s="76">
        <v>60.7</v>
      </c>
      <c r="U66" s="76">
        <v>60.7</v>
      </c>
      <c r="V66" s="76">
        <v>60.7</v>
      </c>
      <c r="W66" s="76">
        <v>60.7</v>
      </c>
      <c r="X66" s="46">
        <v>60.9</v>
      </c>
      <c r="Y66" s="46">
        <v>60.9</v>
      </c>
      <c r="Z66" s="46">
        <v>60.9</v>
      </c>
      <c r="AA66" s="46">
        <v>60.9</v>
      </c>
      <c r="AB66" s="46">
        <v>60.9</v>
      </c>
      <c r="AC66" s="46">
        <v>60.9</v>
      </c>
      <c r="AD66" s="46">
        <v>60.9</v>
      </c>
      <c r="AE66" s="46">
        <v>60.9</v>
      </c>
      <c r="AF66" s="46">
        <v>60.9</v>
      </c>
      <c r="AG66" s="66">
        <v>60</v>
      </c>
      <c r="AH66" s="48">
        <f t="shared" si="8"/>
        <v>60.9</v>
      </c>
      <c r="AI66" s="49">
        <f t="shared" si="9"/>
        <v>0</v>
      </c>
      <c r="AK66" s="51"/>
    </row>
    <row r="67" spans="1:75" x14ac:dyDescent="0.25">
      <c r="A67" s="65" t="s">
        <v>84</v>
      </c>
      <c r="B67" s="46">
        <v>10.3</v>
      </c>
      <c r="C67" s="46">
        <v>10.3</v>
      </c>
      <c r="D67" s="46">
        <v>10.3</v>
      </c>
      <c r="E67" s="76">
        <v>29.2</v>
      </c>
      <c r="F67" s="76">
        <v>29.2</v>
      </c>
      <c r="G67" s="76">
        <v>29.2</v>
      </c>
      <c r="H67" s="76">
        <v>29.2</v>
      </c>
      <c r="I67" s="76">
        <v>29.2</v>
      </c>
      <c r="J67" s="76">
        <v>29.2</v>
      </c>
      <c r="K67" s="76">
        <v>30</v>
      </c>
      <c r="L67" s="76">
        <v>29.2</v>
      </c>
      <c r="M67" s="76">
        <v>23.2</v>
      </c>
      <c r="N67" s="76">
        <v>23.2</v>
      </c>
      <c r="O67" s="76">
        <v>23.2</v>
      </c>
      <c r="P67" s="76">
        <v>28.1</v>
      </c>
      <c r="Q67" s="76">
        <v>28.1</v>
      </c>
      <c r="R67" s="76">
        <v>23.3</v>
      </c>
      <c r="S67" s="76">
        <v>27.9</v>
      </c>
      <c r="T67" s="76">
        <v>22</v>
      </c>
      <c r="U67" s="76">
        <v>22</v>
      </c>
      <c r="V67" s="76">
        <v>0</v>
      </c>
      <c r="W67" s="76">
        <v>0</v>
      </c>
      <c r="X67" s="76">
        <v>0</v>
      </c>
      <c r="Y67" s="46">
        <v>22.7</v>
      </c>
      <c r="Z67" s="46">
        <v>22.7</v>
      </c>
      <c r="AA67" s="46">
        <v>22.7</v>
      </c>
      <c r="AB67" s="46">
        <v>22.9</v>
      </c>
      <c r="AC67" s="46">
        <v>22.9</v>
      </c>
      <c r="AD67" s="46">
        <v>23.1</v>
      </c>
      <c r="AE67" s="46">
        <v>23.1</v>
      </c>
      <c r="AF67" s="46">
        <v>23.1</v>
      </c>
      <c r="AG67" s="66">
        <v>30</v>
      </c>
      <c r="AH67" s="48">
        <f t="shared" si="8"/>
        <v>30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2.1</v>
      </c>
      <c r="K68" s="46">
        <v>0</v>
      </c>
      <c r="L68" s="46">
        <v>5</v>
      </c>
      <c r="M68" s="76">
        <v>10.5</v>
      </c>
      <c r="N68" s="76">
        <v>10.1</v>
      </c>
      <c r="O68" s="76">
        <v>14.7</v>
      </c>
      <c r="P68" s="76">
        <v>8.1</v>
      </c>
      <c r="Q68" s="76">
        <v>10.8</v>
      </c>
      <c r="R68" s="76">
        <v>12</v>
      </c>
      <c r="S68" s="76">
        <v>14.1</v>
      </c>
      <c r="T68" s="76">
        <v>11.4</v>
      </c>
      <c r="U68" s="76">
        <v>7.4</v>
      </c>
      <c r="V68" s="76">
        <v>3.1</v>
      </c>
      <c r="W68" s="76">
        <v>1</v>
      </c>
      <c r="X68" s="7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66">
        <v>25</v>
      </c>
      <c r="AH68" s="48">
        <f t="shared" si="8"/>
        <v>14.7</v>
      </c>
      <c r="AI68" s="49">
        <f t="shared" si="9"/>
        <v>0</v>
      </c>
      <c r="AK68" s="51"/>
      <c r="AY68" s="1" t="s">
        <v>86</v>
      </c>
      <c r="AZ68" s="82">
        <f>ROUND(C81,0)</f>
        <v>-12</v>
      </c>
      <c r="BA68" s="81">
        <f t="shared" ref="BA68:BD72" si="32">D81</f>
        <v>-10</v>
      </c>
      <c r="BB68" s="81">
        <f t="shared" si="32"/>
        <v>-20</v>
      </c>
      <c r="BC68" s="81">
        <f t="shared" si="32"/>
        <v>-12</v>
      </c>
      <c r="BD68" s="81">
        <f t="shared" si="32"/>
        <v>-23</v>
      </c>
      <c r="BE68" s="82">
        <f>I81</f>
        <v>0</v>
      </c>
      <c r="BF68" s="82">
        <f>K81</f>
        <v>32</v>
      </c>
      <c r="BG68" s="82">
        <f t="shared" ref="BG68:BP72" si="33">M81</f>
        <v>38.799999999999997</v>
      </c>
      <c r="BH68" s="82">
        <f t="shared" si="33"/>
        <v>47.6</v>
      </c>
      <c r="BI68" s="82">
        <f t="shared" si="33"/>
        <v>42</v>
      </c>
      <c r="BJ68" s="82">
        <f t="shared" si="33"/>
        <v>55.8</v>
      </c>
      <c r="BK68" s="82">
        <f t="shared" si="33"/>
        <v>58.7</v>
      </c>
      <c r="BL68" s="82">
        <f t="shared" si="33"/>
        <v>63.9</v>
      </c>
      <c r="BM68" s="82">
        <f t="shared" si="33"/>
        <v>69.599999999999994</v>
      </c>
      <c r="BN68" s="82">
        <f t="shared" si="33"/>
        <v>60</v>
      </c>
      <c r="BO68" s="82">
        <f t="shared" si="33"/>
        <v>64</v>
      </c>
      <c r="BP68" s="82">
        <f t="shared" si="33"/>
        <v>61.7</v>
      </c>
      <c r="BQ68" s="82">
        <f>X81</f>
        <v>54</v>
      </c>
      <c r="BR68" s="82">
        <f>Z81</f>
        <v>21.1</v>
      </c>
      <c r="BS68" s="81">
        <f>AB81</f>
        <v>27.6</v>
      </c>
      <c r="BT68" s="81">
        <f t="shared" ref="BT68:BV72" si="34">AD81</f>
        <v>32.1</v>
      </c>
      <c r="BU68" s="81">
        <f t="shared" si="34"/>
        <v>17.5</v>
      </c>
      <c r="BV68" s="81">
        <f t="shared" si="34"/>
        <v>17</v>
      </c>
      <c r="BW68" s="81">
        <f>B81</f>
        <v>-8</v>
      </c>
    </row>
    <row r="69" spans="1:75" x14ac:dyDescent="0.25">
      <c r="A69" s="65" t="s">
        <v>87</v>
      </c>
      <c r="B69" s="76">
        <v>14.3</v>
      </c>
      <c r="C69" s="76">
        <v>14.3</v>
      </c>
      <c r="D69" s="76">
        <v>14.3</v>
      </c>
      <c r="E69" s="76">
        <v>12.6</v>
      </c>
      <c r="F69" s="76">
        <v>12.6</v>
      </c>
      <c r="G69" s="76">
        <v>12.6</v>
      </c>
      <c r="H69" s="76">
        <v>12.6</v>
      </c>
      <c r="I69" s="76">
        <v>12.6</v>
      </c>
      <c r="J69" s="76">
        <v>0</v>
      </c>
      <c r="K69" s="76">
        <v>12.6</v>
      </c>
      <c r="L69" s="76">
        <v>12.6</v>
      </c>
      <c r="M69" s="76">
        <v>12.6</v>
      </c>
      <c r="N69" s="76">
        <v>12.6</v>
      </c>
      <c r="O69" s="76">
        <v>12.6</v>
      </c>
      <c r="P69" s="76">
        <v>12.6</v>
      </c>
      <c r="Q69" s="76">
        <v>12.6</v>
      </c>
      <c r="R69" s="76">
        <v>12.9</v>
      </c>
      <c r="S69" s="76">
        <v>13</v>
      </c>
      <c r="T69" s="76">
        <v>13</v>
      </c>
      <c r="U69" s="76">
        <v>12.9</v>
      </c>
      <c r="V69" s="76">
        <v>12.9</v>
      </c>
      <c r="W69" s="76">
        <v>12.9</v>
      </c>
      <c r="X69" s="76">
        <v>12.9</v>
      </c>
      <c r="Y69" s="76">
        <v>12.9</v>
      </c>
      <c r="Z69" s="76">
        <v>12.9</v>
      </c>
      <c r="AA69" s="76">
        <v>12.9</v>
      </c>
      <c r="AB69" s="76">
        <v>12.9</v>
      </c>
      <c r="AC69" s="76">
        <v>12.9</v>
      </c>
      <c r="AD69" s="76">
        <v>12.9</v>
      </c>
      <c r="AE69" s="76">
        <v>12.9</v>
      </c>
      <c r="AF69" s="76">
        <v>12.9</v>
      </c>
      <c r="AG69" s="66">
        <v>24</v>
      </c>
      <c r="AH69" s="48">
        <f t="shared" si="8"/>
        <v>14.3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32"/>
        <v>0</v>
      </c>
      <c r="BB69" s="81">
        <f t="shared" si="32"/>
        <v>0</v>
      </c>
      <c r="BC69" s="81">
        <f t="shared" si="32"/>
        <v>0</v>
      </c>
      <c r="BD69" s="81">
        <f t="shared" si="32"/>
        <v>0</v>
      </c>
      <c r="BE69" s="82">
        <f>I82</f>
        <v>0</v>
      </c>
      <c r="BF69" s="82">
        <f>K82</f>
        <v>0</v>
      </c>
      <c r="BG69" s="82">
        <f t="shared" si="33"/>
        <v>0</v>
      </c>
      <c r="BH69" s="82">
        <f t="shared" si="33"/>
        <v>0</v>
      </c>
      <c r="BI69" s="82">
        <f t="shared" si="33"/>
        <v>56.1</v>
      </c>
      <c r="BJ69" s="82">
        <f t="shared" si="33"/>
        <v>65.7</v>
      </c>
      <c r="BK69" s="82">
        <f t="shared" si="33"/>
        <v>0</v>
      </c>
      <c r="BL69" s="82">
        <f t="shared" si="33"/>
        <v>0</v>
      </c>
      <c r="BM69" s="82">
        <f t="shared" si="33"/>
        <v>0</v>
      </c>
      <c r="BN69" s="82">
        <f t="shared" si="33"/>
        <v>0</v>
      </c>
      <c r="BO69" s="82">
        <f t="shared" si="33"/>
        <v>0</v>
      </c>
      <c r="BP69" s="82">
        <f t="shared" si="33"/>
        <v>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34"/>
        <v>0</v>
      </c>
      <c r="BU69" s="81">
        <f t="shared" si="34"/>
        <v>0</v>
      </c>
      <c r="BV69" s="81">
        <f t="shared" si="34"/>
        <v>0</v>
      </c>
      <c r="BW69" s="81">
        <f>B82</f>
        <v>0</v>
      </c>
    </row>
    <row r="70" spans="1:75" x14ac:dyDescent="0.25">
      <c r="A70" s="65" t="s">
        <v>89</v>
      </c>
      <c r="B70" s="76">
        <v>2</v>
      </c>
      <c r="C70" s="76">
        <v>2</v>
      </c>
      <c r="D70" s="76">
        <v>2</v>
      </c>
      <c r="E70" s="76">
        <v>2</v>
      </c>
      <c r="F70" s="76">
        <v>2</v>
      </c>
      <c r="G70" s="76">
        <v>2</v>
      </c>
      <c r="H70" s="76">
        <v>2</v>
      </c>
      <c r="I70" s="76">
        <v>2</v>
      </c>
      <c r="J70" s="76">
        <v>0</v>
      </c>
      <c r="K70" s="76">
        <v>2</v>
      </c>
      <c r="L70" s="76">
        <v>2</v>
      </c>
      <c r="M70" s="76">
        <v>2</v>
      </c>
      <c r="N70" s="76">
        <v>2</v>
      </c>
      <c r="O70" s="76">
        <v>2</v>
      </c>
      <c r="P70" s="76">
        <v>2</v>
      </c>
      <c r="Q70" s="76">
        <v>2</v>
      </c>
      <c r="R70" s="76">
        <v>2</v>
      </c>
      <c r="S70" s="76">
        <v>2</v>
      </c>
      <c r="T70" s="76">
        <v>2</v>
      </c>
      <c r="U70" s="76">
        <v>2</v>
      </c>
      <c r="V70" s="76">
        <v>2</v>
      </c>
      <c r="W70" s="76">
        <v>2</v>
      </c>
      <c r="X70" s="76">
        <v>2</v>
      </c>
      <c r="Y70" s="76">
        <v>2</v>
      </c>
      <c r="Z70" s="76">
        <v>2</v>
      </c>
      <c r="AA70" s="76">
        <v>2</v>
      </c>
      <c r="AB70" s="76">
        <v>2</v>
      </c>
      <c r="AC70" s="76">
        <v>2</v>
      </c>
      <c r="AD70" s="76">
        <v>2</v>
      </c>
      <c r="AE70" s="76">
        <v>2</v>
      </c>
      <c r="AF70" s="76">
        <v>2</v>
      </c>
      <c r="AG70" s="66">
        <v>15</v>
      </c>
      <c r="AH70" s="48">
        <f t="shared" si="8"/>
        <v>2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-389</v>
      </c>
      <c r="BA70" s="81">
        <f t="shared" si="32"/>
        <v>-393</v>
      </c>
      <c r="BB70" s="81">
        <f t="shared" si="32"/>
        <v>-469</v>
      </c>
      <c r="BC70" s="81">
        <f t="shared" si="32"/>
        <v>-453</v>
      </c>
      <c r="BD70" s="81">
        <f t="shared" si="32"/>
        <v>-446</v>
      </c>
      <c r="BE70" s="82">
        <f>I83</f>
        <v>0</v>
      </c>
      <c r="BF70" s="82">
        <f>K83</f>
        <v>-198</v>
      </c>
      <c r="BG70" s="82">
        <f t="shared" si="33"/>
        <v>-422</v>
      </c>
      <c r="BH70" s="82">
        <f t="shared" si="33"/>
        <v>-390</v>
      </c>
      <c r="BI70" s="82">
        <f t="shared" si="33"/>
        <v>-357</v>
      </c>
      <c r="BJ70" s="82">
        <f t="shared" si="33"/>
        <v>-316</v>
      </c>
      <c r="BK70" s="82">
        <f t="shared" si="33"/>
        <v>-225</v>
      </c>
      <c r="BL70" s="82">
        <f t="shared" si="33"/>
        <v>-220</v>
      </c>
      <c r="BM70" s="82">
        <f t="shared" si="33"/>
        <v>-170</v>
      </c>
      <c r="BN70" s="82">
        <f t="shared" si="33"/>
        <v>-222</v>
      </c>
      <c r="BO70" s="82">
        <f t="shared" si="33"/>
        <v>-225.3</v>
      </c>
      <c r="BP70" s="82">
        <f t="shared" si="33"/>
        <v>-5</v>
      </c>
      <c r="BQ70" s="82">
        <f>X83</f>
        <v>-4</v>
      </c>
      <c r="BR70" s="82">
        <f>Z83</f>
        <v>0.3</v>
      </c>
      <c r="BS70" s="81">
        <f>AB83</f>
        <v>-8.6</v>
      </c>
      <c r="BT70" s="81">
        <f t="shared" si="34"/>
        <v>0</v>
      </c>
      <c r="BU70" s="81">
        <f t="shared" si="34"/>
        <v>0</v>
      </c>
      <c r="BV70" s="81">
        <f t="shared" si="34"/>
        <v>-8.6</v>
      </c>
      <c r="BW70" s="81">
        <f>B83</f>
        <v>-304</v>
      </c>
    </row>
    <row r="71" spans="1:75" s="83" customFormat="1" x14ac:dyDescent="0.25">
      <c r="A71" s="65" t="s">
        <v>91</v>
      </c>
      <c r="B71" s="76">
        <v>10</v>
      </c>
      <c r="C71" s="76">
        <v>10</v>
      </c>
      <c r="D71" s="76">
        <v>10</v>
      </c>
      <c r="E71" s="76">
        <v>10</v>
      </c>
      <c r="F71" s="76">
        <v>10</v>
      </c>
      <c r="G71" s="76">
        <v>10</v>
      </c>
      <c r="H71" s="76">
        <v>10</v>
      </c>
      <c r="I71" s="76">
        <v>10</v>
      </c>
      <c r="J71" s="76">
        <v>0</v>
      </c>
      <c r="K71" s="76">
        <v>10</v>
      </c>
      <c r="L71" s="76">
        <v>10</v>
      </c>
      <c r="M71" s="76">
        <v>10</v>
      </c>
      <c r="N71" s="76">
        <v>10</v>
      </c>
      <c r="O71" s="76">
        <v>10</v>
      </c>
      <c r="P71" s="76">
        <v>10</v>
      </c>
      <c r="Q71" s="76">
        <v>10</v>
      </c>
      <c r="R71" s="76">
        <v>10.199999999999999</v>
      </c>
      <c r="S71" s="76">
        <v>11.7</v>
      </c>
      <c r="T71" s="76">
        <v>11.7</v>
      </c>
      <c r="U71" s="76">
        <v>11.7</v>
      </c>
      <c r="V71" s="76">
        <v>11.7</v>
      </c>
      <c r="W71" s="76">
        <v>11.7</v>
      </c>
      <c r="X71" s="76">
        <v>11.7</v>
      </c>
      <c r="Y71" s="76">
        <v>11.7</v>
      </c>
      <c r="Z71" s="76">
        <v>11.7</v>
      </c>
      <c r="AA71" s="76">
        <v>11.7</v>
      </c>
      <c r="AB71" s="76">
        <v>11.7</v>
      </c>
      <c r="AC71" s="76">
        <v>11.7</v>
      </c>
      <c r="AD71" s="76">
        <v>11.7</v>
      </c>
      <c r="AE71" s="76">
        <v>11.7</v>
      </c>
      <c r="AF71" s="76">
        <v>11.7</v>
      </c>
      <c r="AG71" s="66">
        <v>14.1</v>
      </c>
      <c r="AH71" s="48">
        <f t="shared" si="8"/>
        <v>11.7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32"/>
        <v>0</v>
      </c>
      <c r="BB71" s="81">
        <f t="shared" si="32"/>
        <v>0</v>
      </c>
      <c r="BC71" s="81">
        <f t="shared" si="32"/>
        <v>0</v>
      </c>
      <c r="BD71" s="81">
        <f t="shared" si="32"/>
        <v>0</v>
      </c>
      <c r="BE71" s="82">
        <f>I84</f>
        <v>0</v>
      </c>
      <c r="BF71" s="82">
        <f>K84</f>
        <v>0</v>
      </c>
      <c r="BG71" s="82">
        <f t="shared" si="33"/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10</v>
      </c>
      <c r="BO71" s="82">
        <f t="shared" si="33"/>
        <v>0</v>
      </c>
      <c r="BP71" s="82">
        <f t="shared" si="33"/>
        <v>0</v>
      </c>
      <c r="BQ71" s="82">
        <f>X84</f>
        <v>0</v>
      </c>
      <c r="BR71" s="82">
        <f>Z84</f>
        <v>0</v>
      </c>
      <c r="BS71" s="81">
        <f>AB84</f>
        <v>0</v>
      </c>
      <c r="BT71" s="81">
        <f t="shared" si="34"/>
        <v>0</v>
      </c>
      <c r="BU71" s="81">
        <f t="shared" si="34"/>
        <v>0</v>
      </c>
      <c r="BV71" s="81">
        <f t="shared" si="34"/>
        <v>0</v>
      </c>
      <c r="BW71" s="81">
        <f>B84</f>
        <v>0</v>
      </c>
    </row>
    <row r="72" spans="1:75" x14ac:dyDescent="0.25">
      <c r="A72" s="84" t="s">
        <v>93</v>
      </c>
      <c r="B72" s="76">
        <v>10.9</v>
      </c>
      <c r="C72" s="76">
        <v>10.9</v>
      </c>
      <c r="D72" s="76">
        <v>10.9</v>
      </c>
      <c r="E72" s="76">
        <v>13.5</v>
      </c>
      <c r="F72" s="76">
        <v>13.5</v>
      </c>
      <c r="G72" s="76">
        <v>13.5</v>
      </c>
      <c r="H72" s="76">
        <v>13.5</v>
      </c>
      <c r="I72" s="76">
        <v>13.5</v>
      </c>
      <c r="J72" s="76">
        <v>0</v>
      </c>
      <c r="K72" s="76">
        <v>13.5</v>
      </c>
      <c r="L72" s="76">
        <v>13.5</v>
      </c>
      <c r="M72" s="76">
        <v>13.5</v>
      </c>
      <c r="N72" s="76">
        <v>13.5</v>
      </c>
      <c r="O72" s="76">
        <v>13.5</v>
      </c>
      <c r="P72" s="76">
        <v>13.5</v>
      </c>
      <c r="Q72" s="76">
        <v>13.5</v>
      </c>
      <c r="R72" s="76">
        <v>7.7</v>
      </c>
      <c r="S72" s="76">
        <v>7.4</v>
      </c>
      <c r="T72" s="76">
        <v>7.4</v>
      </c>
      <c r="U72" s="76">
        <v>7.4</v>
      </c>
      <c r="V72" s="76">
        <v>7.4</v>
      </c>
      <c r="W72" s="76">
        <v>7.4</v>
      </c>
      <c r="X72" s="76">
        <v>7.4</v>
      </c>
      <c r="Y72" s="76">
        <v>7.4</v>
      </c>
      <c r="Z72" s="76">
        <v>7.4</v>
      </c>
      <c r="AA72" s="76">
        <v>7.4</v>
      </c>
      <c r="AB72" s="76">
        <v>7.4</v>
      </c>
      <c r="AC72" s="76">
        <v>7.4</v>
      </c>
      <c r="AD72" s="76">
        <v>7.4</v>
      </c>
      <c r="AE72" s="76">
        <v>7.4</v>
      </c>
      <c r="AF72" s="76">
        <v>7.4</v>
      </c>
      <c r="AG72" s="66">
        <v>14</v>
      </c>
      <c r="AH72" s="48">
        <f t="shared" si="8"/>
        <v>13.5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32"/>
        <v>0</v>
      </c>
      <c r="BB72" s="81">
        <f t="shared" si="32"/>
        <v>0</v>
      </c>
      <c r="BC72" s="81">
        <f t="shared" si="32"/>
        <v>0</v>
      </c>
      <c r="BD72" s="81">
        <f t="shared" si="32"/>
        <v>0</v>
      </c>
      <c r="BE72" s="82">
        <f>I85</f>
        <v>0</v>
      </c>
      <c r="BF72" s="82">
        <f>K85</f>
        <v>0</v>
      </c>
      <c r="BG72" s="82">
        <f t="shared" si="33"/>
        <v>88</v>
      </c>
      <c r="BH72" s="82">
        <f t="shared" si="33"/>
        <v>88.1</v>
      </c>
      <c r="BI72" s="82">
        <f t="shared" si="33"/>
        <v>125.7</v>
      </c>
      <c r="BJ72" s="82">
        <f t="shared" si="33"/>
        <v>136.4</v>
      </c>
      <c r="BK72" s="82">
        <f t="shared" si="33"/>
        <v>107.8</v>
      </c>
      <c r="BL72" s="82">
        <f t="shared" si="33"/>
        <v>132.80000000000001</v>
      </c>
      <c r="BM72" s="82">
        <f t="shared" si="33"/>
        <v>125.7</v>
      </c>
      <c r="BN72" s="82">
        <f t="shared" si="33"/>
        <v>120</v>
      </c>
      <c r="BO72" s="82">
        <f t="shared" si="33"/>
        <v>129.30000000000001</v>
      </c>
      <c r="BP72" s="82">
        <f t="shared" si="33"/>
        <v>99.9</v>
      </c>
      <c r="BQ72" s="82">
        <f>X85</f>
        <v>98.9</v>
      </c>
      <c r="BR72" s="82">
        <f>Z85</f>
        <v>0</v>
      </c>
      <c r="BS72" s="81">
        <f>AB85</f>
        <v>0</v>
      </c>
      <c r="BT72" s="81">
        <f t="shared" si="34"/>
        <v>0</v>
      </c>
      <c r="BU72" s="81">
        <f t="shared" si="34"/>
        <v>0</v>
      </c>
      <c r="BV72" s="81">
        <f t="shared" si="34"/>
        <v>0</v>
      </c>
      <c r="BW72" s="81">
        <f>B85</f>
        <v>0</v>
      </c>
    </row>
    <row r="73" spans="1:75" x14ac:dyDescent="0.25">
      <c r="A73" s="65" t="s">
        <v>95</v>
      </c>
      <c r="B73" s="76">
        <v>6</v>
      </c>
      <c r="C73" s="76">
        <v>6</v>
      </c>
      <c r="D73" s="76">
        <v>6</v>
      </c>
      <c r="E73" s="76">
        <v>6</v>
      </c>
      <c r="F73" s="76">
        <v>6</v>
      </c>
      <c r="G73" s="76">
        <v>6</v>
      </c>
      <c r="H73" s="76">
        <v>6</v>
      </c>
      <c r="I73" s="76">
        <v>6</v>
      </c>
      <c r="J73" s="76">
        <v>0</v>
      </c>
      <c r="K73" s="76">
        <v>6</v>
      </c>
      <c r="L73" s="76">
        <v>6</v>
      </c>
      <c r="M73" s="76">
        <v>6</v>
      </c>
      <c r="N73" s="76">
        <v>6</v>
      </c>
      <c r="O73" s="76">
        <v>6</v>
      </c>
      <c r="P73" s="76">
        <v>6</v>
      </c>
      <c r="Q73" s="76">
        <v>6</v>
      </c>
      <c r="R73" s="76">
        <v>6</v>
      </c>
      <c r="S73" s="76">
        <v>8.5</v>
      </c>
      <c r="T73" s="76">
        <v>8.5</v>
      </c>
      <c r="U73" s="76">
        <v>8.5</v>
      </c>
      <c r="V73" s="76">
        <v>8.5</v>
      </c>
      <c r="W73" s="76">
        <v>8.5</v>
      </c>
      <c r="X73" s="76">
        <v>8.5</v>
      </c>
      <c r="Y73" s="76">
        <v>8.5</v>
      </c>
      <c r="Z73" s="76">
        <v>8.5</v>
      </c>
      <c r="AA73" s="76">
        <v>8.5</v>
      </c>
      <c r="AB73" s="76">
        <v>8.5</v>
      </c>
      <c r="AC73" s="76">
        <v>8.5</v>
      </c>
      <c r="AD73" s="76">
        <v>8.5</v>
      </c>
      <c r="AE73" s="76">
        <v>8.5</v>
      </c>
      <c r="AF73" s="76">
        <v>8.5</v>
      </c>
      <c r="AG73" s="66">
        <v>10.050000000000001</v>
      </c>
      <c r="AH73" s="48">
        <f t="shared" si="8"/>
        <v>8.5</v>
      </c>
      <c r="AI73" s="49">
        <f t="shared" si="9"/>
        <v>0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0</v>
      </c>
      <c r="BC73" s="82">
        <f>F91</f>
        <v>0</v>
      </c>
      <c r="BD73" s="82">
        <f>G91</f>
        <v>0</v>
      </c>
      <c r="BE73" s="82">
        <f>I91</f>
        <v>0</v>
      </c>
      <c r="BF73" s="82">
        <f>K91</f>
        <v>0</v>
      </c>
      <c r="BG73" s="82">
        <f t="shared" ref="BG73:BP73" si="35">M91</f>
        <v>0</v>
      </c>
      <c r="BH73" s="82">
        <f t="shared" si="35"/>
        <v>0</v>
      </c>
      <c r="BI73" s="82">
        <f t="shared" si="35"/>
        <v>0</v>
      </c>
      <c r="BJ73" s="82">
        <f t="shared" si="35"/>
        <v>0</v>
      </c>
      <c r="BK73" s="82">
        <f t="shared" si="35"/>
        <v>0</v>
      </c>
      <c r="BL73" s="82">
        <f t="shared" si="35"/>
        <v>0</v>
      </c>
      <c r="BM73" s="82">
        <f t="shared" si="35"/>
        <v>0</v>
      </c>
      <c r="BN73" s="82">
        <f t="shared" si="35"/>
        <v>0</v>
      </c>
      <c r="BO73" s="82">
        <f t="shared" si="35"/>
        <v>0</v>
      </c>
      <c r="BP73" s="82">
        <f t="shared" si="35"/>
        <v>0</v>
      </c>
      <c r="BQ73" s="82">
        <f>X91</f>
        <v>0</v>
      </c>
      <c r="BR73" s="82">
        <f>Z91</f>
        <v>0</v>
      </c>
      <c r="BS73" s="82">
        <f>AB91</f>
        <v>0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0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>
        <v>3</v>
      </c>
      <c r="T74" s="76">
        <v>3</v>
      </c>
      <c r="U74" s="76">
        <v>3</v>
      </c>
      <c r="V74" s="76">
        <v>3</v>
      </c>
      <c r="W74" s="76">
        <v>3</v>
      </c>
      <c r="X74" s="76">
        <v>3</v>
      </c>
      <c r="Y74" s="76">
        <v>3</v>
      </c>
      <c r="Z74" s="76">
        <v>3</v>
      </c>
      <c r="AA74" s="76">
        <v>3</v>
      </c>
      <c r="AB74" s="76">
        <v>3</v>
      </c>
      <c r="AC74" s="76">
        <v>3</v>
      </c>
      <c r="AD74" s="76">
        <v>3</v>
      </c>
      <c r="AE74" s="76">
        <v>3</v>
      </c>
      <c r="AF74" s="76">
        <v>3</v>
      </c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6">VALUE(AZ68)</f>
        <v>-12</v>
      </c>
      <c r="BA75" s="82">
        <f t="shared" si="36"/>
        <v>-10</v>
      </c>
      <c r="BB75" s="82">
        <f t="shared" si="36"/>
        <v>-20</v>
      </c>
      <c r="BC75" s="82">
        <f t="shared" si="36"/>
        <v>-12</v>
      </c>
      <c r="BD75" s="82">
        <f t="shared" si="36"/>
        <v>-23</v>
      </c>
      <c r="BE75" s="82">
        <f t="shared" si="36"/>
        <v>0</v>
      </c>
      <c r="BF75" s="82">
        <f t="shared" si="36"/>
        <v>32</v>
      </c>
      <c r="BG75" s="82">
        <f t="shared" si="36"/>
        <v>38.799999999999997</v>
      </c>
      <c r="BH75" s="82">
        <f t="shared" si="36"/>
        <v>47.6</v>
      </c>
      <c r="BI75" s="82">
        <f t="shared" si="36"/>
        <v>42</v>
      </c>
      <c r="BJ75" s="82">
        <f t="shared" si="36"/>
        <v>55.8</v>
      </c>
      <c r="BK75" s="82">
        <f t="shared" si="36"/>
        <v>58.7</v>
      </c>
      <c r="BL75" s="82">
        <f t="shared" si="36"/>
        <v>63.9</v>
      </c>
      <c r="BM75" s="82">
        <f t="shared" si="36"/>
        <v>69.599999999999994</v>
      </c>
      <c r="BN75" s="82">
        <f t="shared" si="36"/>
        <v>60</v>
      </c>
      <c r="BO75" s="82">
        <f t="shared" si="36"/>
        <v>64</v>
      </c>
      <c r="BP75" s="82">
        <f t="shared" si="36"/>
        <v>61.7</v>
      </c>
      <c r="BQ75" s="82">
        <f t="shared" si="36"/>
        <v>54</v>
      </c>
      <c r="BR75" s="82">
        <f t="shared" si="36"/>
        <v>21.1</v>
      </c>
      <c r="BS75" s="82">
        <f t="shared" si="36"/>
        <v>27.6</v>
      </c>
      <c r="BT75" s="82">
        <f t="shared" si="36"/>
        <v>32.1</v>
      </c>
      <c r="BU75" s="82">
        <f t="shared" si="36"/>
        <v>17.5</v>
      </c>
      <c r="BV75" s="82">
        <f t="shared" si="36"/>
        <v>17</v>
      </c>
      <c r="BW75" s="82">
        <f t="shared" si="36"/>
        <v>-8</v>
      </c>
    </row>
    <row r="76" spans="1:75" ht="15.75" thickBot="1" x14ac:dyDescent="0.3">
      <c r="A76" s="87" t="s">
        <v>99</v>
      </c>
      <c r="B76" s="71">
        <f t="shared" ref="B76:AG76" si="37">SUM(B63:B75)</f>
        <v>345.44</v>
      </c>
      <c r="C76" s="71">
        <f t="shared" si="37"/>
        <v>384.44</v>
      </c>
      <c r="D76" s="71">
        <f t="shared" si="37"/>
        <v>345.44</v>
      </c>
      <c r="E76" s="71">
        <f t="shared" si="37"/>
        <v>409.34000000000003</v>
      </c>
      <c r="F76" s="71">
        <f t="shared" si="37"/>
        <v>409.34000000000003</v>
      </c>
      <c r="G76" s="71">
        <f t="shared" si="37"/>
        <v>370.34000000000003</v>
      </c>
      <c r="H76" s="71">
        <f t="shared" si="37"/>
        <v>370.34000000000003</v>
      </c>
      <c r="I76" s="71">
        <f t="shared" si="37"/>
        <v>370.34000000000003</v>
      </c>
      <c r="J76" s="71">
        <f t="shared" si="37"/>
        <v>328.34000000000003</v>
      </c>
      <c r="K76" s="71">
        <f t="shared" si="37"/>
        <v>80.64</v>
      </c>
      <c r="L76" s="71">
        <f t="shared" si="37"/>
        <v>375.34000000000003</v>
      </c>
      <c r="M76" s="71">
        <f t="shared" si="37"/>
        <v>415.24</v>
      </c>
      <c r="N76" s="71">
        <f t="shared" si="37"/>
        <v>414.84000000000003</v>
      </c>
      <c r="O76" s="71">
        <f t="shared" si="37"/>
        <v>372.44</v>
      </c>
      <c r="P76" s="71">
        <f t="shared" si="37"/>
        <v>420.04000000000008</v>
      </c>
      <c r="Q76" s="71">
        <f t="shared" si="37"/>
        <v>422.74000000000007</v>
      </c>
      <c r="R76" s="71">
        <f t="shared" ref="R76" si="38">SUM(R63:R75)</f>
        <v>410.14</v>
      </c>
      <c r="S76" s="71">
        <f t="shared" si="37"/>
        <v>421.53999999999996</v>
      </c>
      <c r="T76" s="71">
        <f t="shared" si="37"/>
        <v>413.93999999999994</v>
      </c>
      <c r="U76" s="71">
        <f t="shared" si="37"/>
        <v>409.83999999999992</v>
      </c>
      <c r="V76" s="71">
        <f t="shared" si="37"/>
        <v>382.94</v>
      </c>
      <c r="W76" s="71">
        <f t="shared" si="37"/>
        <v>330.84</v>
      </c>
      <c r="X76" s="71">
        <f t="shared" si="37"/>
        <v>331.93999999999994</v>
      </c>
      <c r="Y76" s="71">
        <f t="shared" si="37"/>
        <v>308.79999999999995</v>
      </c>
      <c r="Z76" s="71">
        <f t="shared" si="37"/>
        <v>359.7999999999999</v>
      </c>
      <c r="AA76" s="71">
        <f t="shared" si="37"/>
        <v>357.83999999999992</v>
      </c>
      <c r="AB76" s="71">
        <f t="shared" ref="AB76:AC76" si="39">SUM(AB63:AB75)</f>
        <v>362.33999999999992</v>
      </c>
      <c r="AC76" s="71">
        <f t="shared" si="39"/>
        <v>362.33999999999992</v>
      </c>
      <c r="AD76" s="71">
        <f t="shared" ref="AD76:AE76" si="40">SUM(AD63:AD75)</f>
        <v>407.14</v>
      </c>
      <c r="AE76" s="71">
        <f t="shared" si="40"/>
        <v>407.14</v>
      </c>
      <c r="AF76" s="71">
        <f t="shared" ref="AF76" si="41">SUM(AF63:AF75)</f>
        <v>407.14</v>
      </c>
      <c r="AG76" s="72">
        <f t="shared" si="37"/>
        <v>489.91</v>
      </c>
      <c r="AH76" s="48">
        <f t="shared" si="8"/>
        <v>422.74000000000007</v>
      </c>
      <c r="AI76" s="49">
        <f t="shared" si="9"/>
        <v>80.64</v>
      </c>
      <c r="AK76" s="51"/>
      <c r="AZ76" s="82">
        <f t="shared" si="36"/>
        <v>0</v>
      </c>
      <c r="BA76" s="82">
        <f t="shared" si="36"/>
        <v>0</v>
      </c>
      <c r="BB76" s="82">
        <f t="shared" si="36"/>
        <v>0</v>
      </c>
      <c r="BC76" s="82">
        <f t="shared" si="36"/>
        <v>0</v>
      </c>
      <c r="BD76" s="82">
        <f t="shared" si="36"/>
        <v>0</v>
      </c>
      <c r="BE76" s="82">
        <f t="shared" si="36"/>
        <v>0</v>
      </c>
      <c r="BF76" s="82">
        <f t="shared" si="36"/>
        <v>0</v>
      </c>
      <c r="BG76" s="82">
        <f t="shared" si="36"/>
        <v>0</v>
      </c>
      <c r="BH76" s="82">
        <f t="shared" si="36"/>
        <v>0</v>
      </c>
      <c r="BI76" s="82">
        <f t="shared" si="36"/>
        <v>56.1</v>
      </c>
      <c r="BJ76" s="82">
        <f t="shared" si="36"/>
        <v>65.7</v>
      </c>
      <c r="BK76" s="82">
        <f t="shared" si="36"/>
        <v>0</v>
      </c>
      <c r="BL76" s="82">
        <f t="shared" si="36"/>
        <v>0</v>
      </c>
      <c r="BM76" s="82">
        <f t="shared" si="36"/>
        <v>0</v>
      </c>
      <c r="BN76" s="82">
        <f t="shared" si="36"/>
        <v>0</v>
      </c>
      <c r="BO76" s="82">
        <f t="shared" si="36"/>
        <v>0</v>
      </c>
      <c r="BP76" s="82">
        <f t="shared" si="36"/>
        <v>0</v>
      </c>
      <c r="BQ76" s="82">
        <f t="shared" si="36"/>
        <v>0</v>
      </c>
      <c r="BR76" s="82">
        <f t="shared" si="36"/>
        <v>0</v>
      </c>
      <c r="BS76" s="82">
        <f t="shared" si="36"/>
        <v>0</v>
      </c>
      <c r="BT76" s="82">
        <f t="shared" si="36"/>
        <v>0</v>
      </c>
      <c r="BU76" s="82">
        <f t="shared" si="36"/>
        <v>0</v>
      </c>
      <c r="BV76" s="82">
        <f t="shared" si="36"/>
        <v>0</v>
      </c>
      <c r="BW76" s="82">
        <f t="shared" si="36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>
        <v>0</v>
      </c>
      <c r="K77" s="46"/>
      <c r="L77" s="46"/>
      <c r="M77" s="46">
        <v>30.4</v>
      </c>
      <c r="N77" s="46">
        <v>30.4</v>
      </c>
      <c r="O77" s="46">
        <v>30.4</v>
      </c>
      <c r="P77" s="46">
        <v>13.8</v>
      </c>
      <c r="Q77" s="46">
        <v>10</v>
      </c>
      <c r="R77" s="46">
        <v>10.1</v>
      </c>
      <c r="S77" s="46">
        <v>29.8</v>
      </c>
      <c r="T77" s="46">
        <v>59</v>
      </c>
      <c r="U77" s="46">
        <v>60.2</v>
      </c>
      <c r="V77" s="46">
        <v>13.9</v>
      </c>
      <c r="W77" s="46">
        <v>13.5</v>
      </c>
      <c r="X77" s="46">
        <v>13.5</v>
      </c>
      <c r="Y77" s="46">
        <v>13.8</v>
      </c>
      <c r="Z77" s="46">
        <v>29.2</v>
      </c>
      <c r="AA77" s="46">
        <v>59.6</v>
      </c>
      <c r="AB77" s="46">
        <v>59.6</v>
      </c>
      <c r="AC77" s="46">
        <v>59.6</v>
      </c>
      <c r="AD77" s="46">
        <v>59.6</v>
      </c>
      <c r="AE77" s="46">
        <v>39.4</v>
      </c>
      <c r="AF77" s="46">
        <v>23</v>
      </c>
      <c r="AG77" s="61">
        <v>60</v>
      </c>
      <c r="AH77" s="48">
        <f t="shared" si="8"/>
        <v>60.2</v>
      </c>
      <c r="AI77" s="49">
        <f t="shared" si="9"/>
        <v>0</v>
      </c>
      <c r="AK77" s="51"/>
      <c r="AZ77" s="82">
        <f t="shared" si="36"/>
        <v>-389</v>
      </c>
      <c r="BA77" s="82">
        <f t="shared" si="36"/>
        <v>-393</v>
      </c>
      <c r="BB77" s="82">
        <f t="shared" si="36"/>
        <v>-469</v>
      </c>
      <c r="BC77" s="82">
        <f t="shared" si="36"/>
        <v>-453</v>
      </c>
      <c r="BD77" s="82">
        <f t="shared" si="36"/>
        <v>-446</v>
      </c>
      <c r="BE77" s="82">
        <f t="shared" si="36"/>
        <v>0</v>
      </c>
      <c r="BF77" s="82">
        <f t="shared" si="36"/>
        <v>-198</v>
      </c>
      <c r="BG77" s="82">
        <f t="shared" si="36"/>
        <v>-422</v>
      </c>
      <c r="BH77" s="82">
        <f t="shared" si="36"/>
        <v>-390</v>
      </c>
      <c r="BI77" s="82">
        <f t="shared" si="36"/>
        <v>-357</v>
      </c>
      <c r="BJ77" s="82">
        <f t="shared" si="36"/>
        <v>-316</v>
      </c>
      <c r="BK77" s="82">
        <f t="shared" si="36"/>
        <v>-225</v>
      </c>
      <c r="BL77" s="82">
        <f t="shared" si="36"/>
        <v>-220</v>
      </c>
      <c r="BM77" s="82">
        <f t="shared" si="36"/>
        <v>-170</v>
      </c>
      <c r="BN77" s="82">
        <f t="shared" si="36"/>
        <v>-222</v>
      </c>
      <c r="BO77" s="82">
        <f t="shared" si="36"/>
        <v>-225.3</v>
      </c>
      <c r="BP77" s="82">
        <f t="shared" si="36"/>
        <v>-5</v>
      </c>
      <c r="BQ77" s="82">
        <f t="shared" si="36"/>
        <v>-4</v>
      </c>
      <c r="BR77" s="82">
        <f t="shared" si="36"/>
        <v>0.3</v>
      </c>
      <c r="BS77" s="82">
        <f t="shared" si="36"/>
        <v>-8.6</v>
      </c>
      <c r="BT77" s="82">
        <f t="shared" si="36"/>
        <v>0</v>
      </c>
      <c r="BU77" s="82">
        <f t="shared" si="36"/>
        <v>0</v>
      </c>
      <c r="BV77" s="82">
        <f t="shared" si="36"/>
        <v>-8.6</v>
      </c>
      <c r="BW77" s="82">
        <f t="shared" si="36"/>
        <v>-304</v>
      </c>
    </row>
    <row r="78" spans="1:75" x14ac:dyDescent="0.25">
      <c r="A78" s="65" t="s">
        <v>101</v>
      </c>
      <c r="B78" s="76"/>
      <c r="C78" s="76"/>
      <c r="D78" s="76"/>
      <c r="E78" s="76"/>
      <c r="F78" s="76"/>
      <c r="G78" s="76"/>
      <c r="H78" s="76"/>
      <c r="I78" s="76"/>
      <c r="J78" s="76">
        <v>0</v>
      </c>
      <c r="K78" s="76"/>
      <c r="L78" s="76"/>
      <c r="M78" s="76">
        <v>10.5</v>
      </c>
      <c r="N78" s="76">
        <v>10.5</v>
      </c>
      <c r="O78" s="76">
        <v>10.5</v>
      </c>
      <c r="P78" s="76">
        <v>12.8</v>
      </c>
      <c r="Q78" s="76">
        <v>3.8</v>
      </c>
      <c r="R78" s="76">
        <v>3.6</v>
      </c>
      <c r="S78" s="76">
        <v>13.1</v>
      </c>
      <c r="T78" s="76">
        <v>21.5</v>
      </c>
      <c r="U78" s="76">
        <v>21.8</v>
      </c>
      <c r="V78" s="76">
        <v>5.9</v>
      </c>
      <c r="W78" s="76">
        <v>12</v>
      </c>
      <c r="X78" s="76">
        <v>4.5</v>
      </c>
      <c r="Y78" s="76">
        <v>3.4</v>
      </c>
      <c r="Z78" s="76">
        <v>13.7</v>
      </c>
      <c r="AA78" s="76">
        <v>24.7</v>
      </c>
      <c r="AB78" s="76">
        <v>24.7</v>
      </c>
      <c r="AC78" s="76">
        <v>24.7</v>
      </c>
      <c r="AD78" s="76">
        <v>24.7</v>
      </c>
      <c r="AE78" s="76">
        <v>15.3</v>
      </c>
      <c r="AF78" s="76">
        <v>9</v>
      </c>
      <c r="AG78" s="66">
        <v>32</v>
      </c>
      <c r="AH78" s="48">
        <f t="shared" si="8"/>
        <v>24.7</v>
      </c>
      <c r="AI78" s="49">
        <f t="shared" si="9"/>
        <v>0</v>
      </c>
      <c r="AK78" s="51"/>
      <c r="AZ78" s="82">
        <f t="shared" si="36"/>
        <v>0</v>
      </c>
      <c r="BA78" s="82">
        <f t="shared" si="36"/>
        <v>0</v>
      </c>
      <c r="BB78" s="82">
        <f t="shared" si="36"/>
        <v>0</v>
      </c>
      <c r="BC78" s="82">
        <f t="shared" si="36"/>
        <v>0</v>
      </c>
      <c r="BD78" s="82">
        <f t="shared" si="36"/>
        <v>0</v>
      </c>
      <c r="BE78" s="82">
        <f t="shared" si="36"/>
        <v>0</v>
      </c>
      <c r="BF78" s="82">
        <f t="shared" si="36"/>
        <v>0</v>
      </c>
      <c r="BG78" s="82">
        <f t="shared" si="36"/>
        <v>0</v>
      </c>
      <c r="BH78" s="82">
        <f t="shared" si="36"/>
        <v>0</v>
      </c>
      <c r="BI78" s="82">
        <f t="shared" si="36"/>
        <v>0</v>
      </c>
      <c r="BJ78" s="82">
        <f t="shared" si="36"/>
        <v>0</v>
      </c>
      <c r="BK78" s="82">
        <f t="shared" si="36"/>
        <v>0</v>
      </c>
      <c r="BL78" s="82">
        <f t="shared" si="36"/>
        <v>0</v>
      </c>
      <c r="BM78" s="82">
        <f t="shared" si="36"/>
        <v>0</v>
      </c>
      <c r="BN78" s="82">
        <f t="shared" si="36"/>
        <v>10</v>
      </c>
      <c r="BO78" s="82">
        <f t="shared" si="36"/>
        <v>0</v>
      </c>
      <c r="BP78" s="82">
        <f t="shared" si="36"/>
        <v>0</v>
      </c>
      <c r="BQ78" s="82">
        <f t="shared" si="36"/>
        <v>0</v>
      </c>
      <c r="BR78" s="82">
        <f t="shared" si="36"/>
        <v>0</v>
      </c>
      <c r="BS78" s="82">
        <f t="shared" si="36"/>
        <v>0</v>
      </c>
      <c r="BT78" s="82">
        <f t="shared" si="36"/>
        <v>0</v>
      </c>
      <c r="BU78" s="82">
        <f t="shared" si="36"/>
        <v>0</v>
      </c>
      <c r="BV78" s="82">
        <f t="shared" si="36"/>
        <v>0</v>
      </c>
      <c r="BW78" s="82">
        <f t="shared" si="36"/>
        <v>0</v>
      </c>
    </row>
    <row r="79" spans="1:75" ht="15.75" thickBot="1" x14ac:dyDescent="0.3">
      <c r="A79" s="84" t="s">
        <v>102</v>
      </c>
      <c r="B79" s="78"/>
      <c r="C79" s="78"/>
      <c r="D79" s="78"/>
      <c r="E79" s="78"/>
      <c r="F79" s="78"/>
      <c r="G79" s="78"/>
      <c r="H79" s="78"/>
      <c r="I79" s="78"/>
      <c r="J79" s="78">
        <v>0</v>
      </c>
      <c r="K79" s="78"/>
      <c r="L79" s="78"/>
      <c r="M79" s="78">
        <v>3.8</v>
      </c>
      <c r="N79" s="78">
        <v>3.8</v>
      </c>
      <c r="O79" s="78">
        <v>3.8</v>
      </c>
      <c r="P79" s="78">
        <v>4.7</v>
      </c>
      <c r="Q79" s="78">
        <v>1.4</v>
      </c>
      <c r="R79" s="78">
        <v>1.3</v>
      </c>
      <c r="S79" s="78">
        <v>4.8</v>
      </c>
      <c r="T79" s="78">
        <v>7.8</v>
      </c>
      <c r="U79" s="78">
        <v>8</v>
      </c>
      <c r="V79" s="78">
        <v>2.2000000000000002</v>
      </c>
      <c r="W79" s="78">
        <v>4.4000000000000004</v>
      </c>
      <c r="X79" s="78">
        <v>1.6</v>
      </c>
      <c r="Y79" s="78">
        <v>1.3</v>
      </c>
      <c r="Z79" s="78">
        <v>5</v>
      </c>
      <c r="AA79" s="78">
        <v>9</v>
      </c>
      <c r="AB79" s="78">
        <v>10.9</v>
      </c>
      <c r="AC79" s="78">
        <v>10.9</v>
      </c>
      <c r="AD79" s="78">
        <v>10.9</v>
      </c>
      <c r="AE79" s="78">
        <v>5.3</v>
      </c>
      <c r="AF79" s="78">
        <v>3.3</v>
      </c>
      <c r="AG79" s="79">
        <v>14</v>
      </c>
      <c r="AH79" s="48">
        <f t="shared" si="8"/>
        <v>10.9</v>
      </c>
      <c r="AI79" s="49">
        <f t="shared" si="9"/>
        <v>0</v>
      </c>
      <c r="AK79" s="51"/>
      <c r="AZ79" s="82">
        <f t="shared" si="36"/>
        <v>0</v>
      </c>
      <c r="BA79" s="82">
        <f t="shared" si="36"/>
        <v>0</v>
      </c>
      <c r="BB79" s="82">
        <f t="shared" si="36"/>
        <v>0</v>
      </c>
      <c r="BC79" s="82">
        <f t="shared" si="36"/>
        <v>0</v>
      </c>
      <c r="BD79" s="82">
        <f t="shared" si="36"/>
        <v>0</v>
      </c>
      <c r="BE79" s="82">
        <f t="shared" si="36"/>
        <v>0</v>
      </c>
      <c r="BF79" s="82">
        <f t="shared" si="36"/>
        <v>0</v>
      </c>
      <c r="BG79" s="82">
        <f t="shared" si="36"/>
        <v>88</v>
      </c>
      <c r="BH79" s="82">
        <f t="shared" si="36"/>
        <v>88.1</v>
      </c>
      <c r="BI79" s="82">
        <f t="shared" si="36"/>
        <v>125.7</v>
      </c>
      <c r="BJ79" s="82">
        <f t="shared" si="36"/>
        <v>136.4</v>
      </c>
      <c r="BK79" s="82">
        <f t="shared" si="36"/>
        <v>107.8</v>
      </c>
      <c r="BL79" s="82">
        <f t="shared" si="36"/>
        <v>132.80000000000001</v>
      </c>
      <c r="BM79" s="82">
        <f t="shared" si="36"/>
        <v>125.7</v>
      </c>
      <c r="BN79" s="82">
        <f t="shared" si="36"/>
        <v>120</v>
      </c>
      <c r="BO79" s="82">
        <f t="shared" si="36"/>
        <v>129.30000000000001</v>
      </c>
      <c r="BP79" s="82">
        <f t="shared" si="36"/>
        <v>99.9</v>
      </c>
      <c r="BQ79" s="82">
        <f t="shared" si="36"/>
        <v>98.9</v>
      </c>
      <c r="BR79" s="82">
        <f t="shared" si="36"/>
        <v>0</v>
      </c>
      <c r="BS79" s="82">
        <f t="shared" si="36"/>
        <v>0</v>
      </c>
      <c r="BT79" s="82">
        <f t="shared" si="36"/>
        <v>0</v>
      </c>
      <c r="BU79" s="82">
        <f t="shared" si="36"/>
        <v>0</v>
      </c>
      <c r="BV79" s="82">
        <f t="shared" si="36"/>
        <v>0</v>
      </c>
      <c r="BW79" s="82">
        <f t="shared" si="36"/>
        <v>0</v>
      </c>
    </row>
    <row r="80" spans="1:75" ht="15.75" thickBot="1" x14ac:dyDescent="0.3">
      <c r="A80" s="87" t="s">
        <v>103</v>
      </c>
      <c r="B80" s="71">
        <f t="shared" ref="B80:AA80" si="42">B77+B78+B79</f>
        <v>0</v>
      </c>
      <c r="C80" s="71">
        <f t="shared" si="42"/>
        <v>0</v>
      </c>
      <c r="D80" s="71">
        <f t="shared" si="42"/>
        <v>0</v>
      </c>
      <c r="E80" s="71">
        <f t="shared" si="42"/>
        <v>0</v>
      </c>
      <c r="F80" s="71">
        <f t="shared" si="42"/>
        <v>0</v>
      </c>
      <c r="G80" s="71">
        <f t="shared" si="42"/>
        <v>0</v>
      </c>
      <c r="H80" s="71">
        <f t="shared" si="42"/>
        <v>0</v>
      </c>
      <c r="I80" s="71">
        <f t="shared" si="42"/>
        <v>0</v>
      </c>
      <c r="J80" s="71">
        <f t="shared" si="42"/>
        <v>0</v>
      </c>
      <c r="K80" s="71">
        <f t="shared" si="42"/>
        <v>0</v>
      </c>
      <c r="L80" s="71">
        <f t="shared" si="42"/>
        <v>0</v>
      </c>
      <c r="M80" s="71">
        <f t="shared" si="42"/>
        <v>44.699999999999996</v>
      </c>
      <c r="N80" s="71">
        <f t="shared" si="42"/>
        <v>44.699999999999996</v>
      </c>
      <c r="O80" s="71">
        <f t="shared" si="42"/>
        <v>44.699999999999996</v>
      </c>
      <c r="P80" s="71">
        <f t="shared" si="42"/>
        <v>31.3</v>
      </c>
      <c r="Q80" s="71">
        <f t="shared" si="42"/>
        <v>15.200000000000001</v>
      </c>
      <c r="R80" s="71">
        <f t="shared" ref="R80" si="43">R77+R78+R79</f>
        <v>15</v>
      </c>
      <c r="S80" s="71">
        <f t="shared" si="42"/>
        <v>47.699999999999996</v>
      </c>
      <c r="T80" s="71">
        <f t="shared" si="42"/>
        <v>88.3</v>
      </c>
      <c r="U80" s="71">
        <f t="shared" si="42"/>
        <v>90</v>
      </c>
      <c r="V80" s="71">
        <f t="shared" si="42"/>
        <v>22</v>
      </c>
      <c r="W80" s="71">
        <f t="shared" si="42"/>
        <v>29.9</v>
      </c>
      <c r="X80" s="71">
        <f t="shared" si="42"/>
        <v>19.600000000000001</v>
      </c>
      <c r="Y80" s="71">
        <f t="shared" si="42"/>
        <v>18.5</v>
      </c>
      <c r="Z80" s="71">
        <f t="shared" si="42"/>
        <v>47.9</v>
      </c>
      <c r="AA80" s="71">
        <f t="shared" si="42"/>
        <v>93.3</v>
      </c>
      <c r="AB80" s="71">
        <f t="shared" ref="AB80:AC80" si="44">AB77+AB78+AB79</f>
        <v>95.2</v>
      </c>
      <c r="AC80" s="71">
        <f t="shared" si="44"/>
        <v>95.2</v>
      </c>
      <c r="AD80" s="71">
        <f t="shared" ref="AD80:AE80" si="45">AD77+AD78+AD79</f>
        <v>95.2</v>
      </c>
      <c r="AE80" s="71">
        <f t="shared" si="45"/>
        <v>60</v>
      </c>
      <c r="AF80" s="71">
        <f t="shared" ref="AF80" si="46">AF77+AF78+AF79</f>
        <v>35.299999999999997</v>
      </c>
      <c r="AG80" s="72">
        <f>SUM(AG77:AG79)</f>
        <v>106</v>
      </c>
      <c r="AH80" s="48">
        <f t="shared" si="8"/>
        <v>95.2</v>
      </c>
      <c r="AI80" s="49">
        <f t="shared" si="9"/>
        <v>0</v>
      </c>
      <c r="AK80" s="51"/>
      <c r="AZ80" s="82">
        <f t="shared" si="36"/>
        <v>0</v>
      </c>
      <c r="BA80" s="82">
        <f t="shared" si="36"/>
        <v>0</v>
      </c>
      <c r="BB80" s="82">
        <f t="shared" si="36"/>
        <v>0</v>
      </c>
      <c r="BC80" s="82">
        <f t="shared" si="36"/>
        <v>0</v>
      </c>
      <c r="BD80" s="82">
        <f t="shared" si="36"/>
        <v>0</v>
      </c>
      <c r="BE80" s="82">
        <f t="shared" si="36"/>
        <v>0</v>
      </c>
      <c r="BF80" s="82">
        <f t="shared" si="36"/>
        <v>0</v>
      </c>
      <c r="BG80" s="82">
        <f t="shared" si="36"/>
        <v>0</v>
      </c>
      <c r="BH80" s="82">
        <f t="shared" si="36"/>
        <v>0</v>
      </c>
      <c r="BI80" s="82">
        <f t="shared" si="36"/>
        <v>0</v>
      </c>
      <c r="BJ80" s="82">
        <f t="shared" si="36"/>
        <v>0</v>
      </c>
      <c r="BK80" s="82">
        <f t="shared" si="36"/>
        <v>0</v>
      </c>
      <c r="BL80" s="82">
        <f t="shared" si="36"/>
        <v>0</v>
      </c>
      <c r="BM80" s="82">
        <f t="shared" si="36"/>
        <v>0</v>
      </c>
      <c r="BN80" s="82">
        <f t="shared" si="36"/>
        <v>0</v>
      </c>
      <c r="BO80" s="82">
        <f t="shared" si="36"/>
        <v>0</v>
      </c>
      <c r="BP80" s="82">
        <f t="shared" si="36"/>
        <v>0</v>
      </c>
      <c r="BQ80" s="82">
        <f t="shared" si="36"/>
        <v>0</v>
      </c>
      <c r="BR80" s="82">
        <f t="shared" si="36"/>
        <v>0</v>
      </c>
      <c r="BS80" s="82">
        <f t="shared" si="36"/>
        <v>0</v>
      </c>
      <c r="BT80" s="82">
        <f t="shared" si="36"/>
        <v>0</v>
      </c>
      <c r="BU80" s="82">
        <f t="shared" si="36"/>
        <v>0</v>
      </c>
      <c r="BV80" s="82">
        <f t="shared" si="36"/>
        <v>0</v>
      </c>
      <c r="BW80" s="82">
        <f t="shared" si="36"/>
        <v>0</v>
      </c>
    </row>
    <row r="81" spans="1:64" x14ac:dyDescent="0.25">
      <c r="A81" s="45" t="s">
        <v>104</v>
      </c>
      <c r="B81" s="46">
        <v>-8</v>
      </c>
      <c r="C81" s="46">
        <v>-12</v>
      </c>
      <c r="D81" s="46">
        <v>-10</v>
      </c>
      <c r="E81" s="46">
        <v>-20</v>
      </c>
      <c r="F81" s="46">
        <v>-12</v>
      </c>
      <c r="G81" s="46">
        <v>-23</v>
      </c>
      <c r="H81" s="46">
        <v>-23</v>
      </c>
      <c r="I81" s="46"/>
      <c r="J81" s="46"/>
      <c r="K81" s="46">
        <v>32</v>
      </c>
      <c r="L81" s="46">
        <v>35</v>
      </c>
      <c r="M81" s="46">
        <v>38.799999999999997</v>
      </c>
      <c r="N81" s="46">
        <v>47.6</v>
      </c>
      <c r="O81" s="46">
        <v>42</v>
      </c>
      <c r="P81" s="46">
        <v>55.8</v>
      </c>
      <c r="Q81" s="46">
        <v>58.7</v>
      </c>
      <c r="R81" s="46">
        <v>63.9</v>
      </c>
      <c r="S81" s="46">
        <v>69.599999999999994</v>
      </c>
      <c r="T81" s="46">
        <v>60</v>
      </c>
      <c r="U81" s="46">
        <v>64</v>
      </c>
      <c r="V81" s="46">
        <v>61.7</v>
      </c>
      <c r="W81" s="46">
        <v>48.2</v>
      </c>
      <c r="X81" s="46">
        <v>54</v>
      </c>
      <c r="Y81" s="46">
        <v>22</v>
      </c>
      <c r="Z81" s="46">
        <v>21.1</v>
      </c>
      <c r="AA81" s="46">
        <v>29.2</v>
      </c>
      <c r="AB81" s="46">
        <v>27.6</v>
      </c>
      <c r="AC81" s="46">
        <v>25.6</v>
      </c>
      <c r="AD81" s="46">
        <v>32.1</v>
      </c>
      <c r="AE81" s="46">
        <v>17.5</v>
      </c>
      <c r="AF81" s="46">
        <v>17</v>
      </c>
      <c r="AG81" s="61"/>
      <c r="AH81" s="48">
        <f t="shared" si="8"/>
        <v>69.599999999999994</v>
      </c>
      <c r="AI81" s="49">
        <f t="shared" si="9"/>
        <v>-23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>
        <v>56.1</v>
      </c>
      <c r="P82" s="76">
        <v>65.7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66"/>
      <c r="AH82" s="48">
        <f t="shared" ref="AH82:AH125" si="47">MAX(B82:AF82)</f>
        <v>65.7</v>
      </c>
      <c r="AI82" s="49">
        <f t="shared" ref="AI82:AI125" si="48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-304</v>
      </c>
      <c r="C83" s="76">
        <v>-389</v>
      </c>
      <c r="D83" s="76">
        <v>-393</v>
      </c>
      <c r="E83" s="76">
        <v>-469</v>
      </c>
      <c r="F83" s="76">
        <v>-453</v>
      </c>
      <c r="G83" s="76">
        <v>-446</v>
      </c>
      <c r="H83" s="76">
        <v>-446</v>
      </c>
      <c r="I83" s="76"/>
      <c r="J83" s="76"/>
      <c r="K83" s="76">
        <v>-198</v>
      </c>
      <c r="L83" s="76">
        <v>-465</v>
      </c>
      <c r="M83" s="76">
        <v>-422</v>
      </c>
      <c r="N83" s="76">
        <v>-390</v>
      </c>
      <c r="O83" s="76">
        <v>-357</v>
      </c>
      <c r="P83" s="76">
        <v>-316</v>
      </c>
      <c r="Q83" s="76">
        <v>-225</v>
      </c>
      <c r="R83" s="76">
        <v>-220</v>
      </c>
      <c r="S83" s="76">
        <v>-170</v>
      </c>
      <c r="T83" s="76">
        <v>-222</v>
      </c>
      <c r="U83" s="76">
        <v>-225.3</v>
      </c>
      <c r="V83" s="76">
        <v>-5</v>
      </c>
      <c r="W83" s="76">
        <v>-5.3</v>
      </c>
      <c r="X83" s="76">
        <v>-4</v>
      </c>
      <c r="Y83" s="76">
        <v>18.2</v>
      </c>
      <c r="Z83" s="76">
        <v>0.3</v>
      </c>
      <c r="AA83" s="76">
        <v>-9.9</v>
      </c>
      <c r="AB83" s="76">
        <v>-8.6</v>
      </c>
      <c r="AC83" s="76">
        <v>33.700000000000003</v>
      </c>
      <c r="AD83" s="76">
        <v>0</v>
      </c>
      <c r="AE83" s="76">
        <v>0</v>
      </c>
      <c r="AF83" s="76">
        <v>-8.6</v>
      </c>
      <c r="AG83" s="88"/>
      <c r="AH83" s="48">
        <f t="shared" si="47"/>
        <v>33.700000000000003</v>
      </c>
      <c r="AI83" s="49">
        <f t="shared" si="48"/>
        <v>-469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/>
      <c r="C84" s="76"/>
      <c r="D84" s="76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>
        <v>10</v>
      </c>
      <c r="U84" s="89">
        <v>0</v>
      </c>
      <c r="V84" s="89">
        <v>0</v>
      </c>
      <c r="W84" s="89">
        <v>0</v>
      </c>
      <c r="X84" s="89">
        <v>0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8"/>
      <c r="AH84" s="48">
        <f t="shared" si="47"/>
        <v>10</v>
      </c>
      <c r="AI84" s="49">
        <f t="shared" si="48"/>
        <v>0</v>
      </c>
      <c r="AK84" s="51"/>
      <c r="AY84" s="82"/>
      <c r="BF84" s="81"/>
      <c r="BG84" s="82">
        <f t="array" ref="BG84:BL107">TRANSPOSE(AZ68:BW73)</f>
        <v>-12</v>
      </c>
      <c r="BH84" s="82">
        <v>0</v>
      </c>
      <c r="BI84" s="82">
        <v>-389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>
        <v>88</v>
      </c>
      <c r="N85" s="46">
        <v>88.1</v>
      </c>
      <c r="O85" s="46">
        <v>125.7</v>
      </c>
      <c r="P85" s="46">
        <v>136.4</v>
      </c>
      <c r="Q85" s="46">
        <v>107.8</v>
      </c>
      <c r="R85" s="46">
        <v>132.80000000000001</v>
      </c>
      <c r="S85" s="46">
        <v>125.7</v>
      </c>
      <c r="T85" s="46">
        <v>120</v>
      </c>
      <c r="U85" s="46">
        <v>129.30000000000001</v>
      </c>
      <c r="V85" s="46">
        <v>99.9</v>
      </c>
      <c r="W85" s="46">
        <v>101.5</v>
      </c>
      <c r="X85" s="46">
        <v>98.9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0</v>
      </c>
      <c r="AE85" s="46">
        <v>0</v>
      </c>
      <c r="AF85" s="46">
        <v>0</v>
      </c>
      <c r="AG85" s="88"/>
      <c r="AH85" s="48">
        <f t="shared" si="47"/>
        <v>136.4</v>
      </c>
      <c r="AI85" s="49">
        <f t="shared" si="48"/>
        <v>0</v>
      </c>
      <c r="AK85" s="51"/>
      <c r="AY85" s="82"/>
      <c r="BF85" s="81"/>
      <c r="BG85" s="82">
        <v>-10</v>
      </c>
      <c r="BH85" s="82">
        <v>0</v>
      </c>
      <c r="BI85" s="82">
        <v>-393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47"/>
        <v>0</v>
      </c>
      <c r="AI86" s="49">
        <f t="shared" si="48"/>
        <v>0</v>
      </c>
      <c r="AK86" s="51"/>
      <c r="AY86" s="82"/>
      <c r="BF86" s="81"/>
      <c r="BG86" s="82">
        <v>-20</v>
      </c>
      <c r="BH86" s="82">
        <v>0</v>
      </c>
      <c r="BI86" s="82">
        <v>-469</v>
      </c>
      <c r="BJ86" s="82">
        <v>0</v>
      </c>
      <c r="BK86" s="82">
        <v>0</v>
      </c>
      <c r="BL86" s="82">
        <v>0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47"/>
        <v>0</v>
      </c>
      <c r="AI87" s="49">
        <f t="shared" si="48"/>
        <v>0</v>
      </c>
      <c r="AK87" s="51"/>
      <c r="AL87" s="91" t="s">
        <v>111</v>
      </c>
      <c r="AM87" s="91"/>
      <c r="AY87" s="82"/>
      <c r="BF87" s="82"/>
      <c r="BG87" s="82">
        <v>-12</v>
      </c>
      <c r="BH87" s="82">
        <v>0</v>
      </c>
      <c r="BI87" s="82">
        <v>-453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47"/>
        <v>0</v>
      </c>
      <c r="AI88" s="49">
        <f t="shared" si="48"/>
        <v>0</v>
      </c>
      <c r="AK88" s="92"/>
      <c r="AL88" s="93"/>
      <c r="AM88" s="93"/>
      <c r="AN88" s="94"/>
      <c r="AY88" s="82"/>
      <c r="BF88" s="82"/>
      <c r="BG88" s="82">
        <v>-23</v>
      </c>
      <c r="BH88" s="82">
        <v>0</v>
      </c>
      <c r="BI88" s="82">
        <v>-446</v>
      </c>
      <c r="BJ88" s="82">
        <v>0</v>
      </c>
      <c r="BK88" s="82">
        <v>0</v>
      </c>
      <c r="BL88" s="82">
        <v>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47"/>
        <v>0</v>
      </c>
      <c r="AI89" s="49">
        <f t="shared" si="48"/>
        <v>0</v>
      </c>
      <c r="AK89" s="95" t="s">
        <v>114</v>
      </c>
      <c r="AL89" s="76"/>
      <c r="AM89" s="89"/>
      <c r="AN89" s="96"/>
      <c r="AY89" s="82"/>
      <c r="BF89" s="82"/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47"/>
        <v>0</v>
      </c>
      <c r="AI90" s="49">
        <f t="shared" si="48"/>
        <v>0</v>
      </c>
      <c r="AK90" s="95" t="s">
        <v>116</v>
      </c>
      <c r="AL90" s="89"/>
      <c r="AM90" s="89"/>
      <c r="AN90" s="96"/>
      <c r="AY90" s="82"/>
      <c r="BF90" s="82"/>
      <c r="BG90" s="82">
        <v>32</v>
      </c>
      <c r="BH90" s="82">
        <v>0</v>
      </c>
      <c r="BI90" s="82">
        <v>-198</v>
      </c>
      <c r="BJ90" s="82">
        <v>0</v>
      </c>
      <c r="BK90" s="82">
        <v>0</v>
      </c>
      <c r="BL90" s="82">
        <v>0</v>
      </c>
    </row>
    <row r="91" spans="1:64" ht="15.75" thickBot="1" x14ac:dyDescent="0.3">
      <c r="A91" s="97" t="s">
        <v>117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>
        <v>0</v>
      </c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8"/>
      <c r="AH91" s="48">
        <f t="shared" si="47"/>
        <v>0</v>
      </c>
      <c r="AI91" s="49">
        <f t="shared" si="48"/>
        <v>0</v>
      </c>
      <c r="AK91" s="99"/>
      <c r="AL91" s="46"/>
      <c r="AM91" s="46"/>
      <c r="AN91" s="100"/>
      <c r="AY91" s="82"/>
      <c r="BF91" s="82"/>
      <c r="BG91" s="82">
        <v>38.799999999999997</v>
      </c>
      <c r="BH91" s="82">
        <v>0</v>
      </c>
      <c r="BI91" s="82">
        <v>-422</v>
      </c>
      <c r="BJ91" s="82">
        <v>0</v>
      </c>
      <c r="BK91" s="82">
        <v>88</v>
      </c>
      <c r="BL91" s="82">
        <v>0</v>
      </c>
    </row>
    <row r="92" spans="1:64" ht="15.75" thickBot="1" x14ac:dyDescent="0.3">
      <c r="A92" s="87" t="s">
        <v>118</v>
      </c>
      <c r="B92" s="71">
        <f t="shared" ref="B92:AA92" si="49">SUMIF(B81:B91,"&gt;0")</f>
        <v>0</v>
      </c>
      <c r="C92" s="71">
        <f t="shared" si="49"/>
        <v>0</v>
      </c>
      <c r="D92" s="71">
        <f t="shared" si="49"/>
        <v>0</v>
      </c>
      <c r="E92" s="71">
        <f t="shared" si="49"/>
        <v>0</v>
      </c>
      <c r="F92" s="71">
        <f t="shared" si="49"/>
        <v>0</v>
      </c>
      <c r="G92" s="71">
        <f t="shared" si="49"/>
        <v>0</v>
      </c>
      <c r="H92" s="71">
        <f t="shared" si="49"/>
        <v>0</v>
      </c>
      <c r="I92" s="71">
        <f t="shared" si="49"/>
        <v>0</v>
      </c>
      <c r="J92" s="71">
        <f t="shared" si="49"/>
        <v>0</v>
      </c>
      <c r="K92" s="71">
        <f t="shared" si="49"/>
        <v>32</v>
      </c>
      <c r="L92" s="71">
        <f t="shared" si="49"/>
        <v>35</v>
      </c>
      <c r="M92" s="71">
        <f t="shared" si="49"/>
        <v>126.8</v>
      </c>
      <c r="N92" s="71">
        <f t="shared" si="49"/>
        <v>135.69999999999999</v>
      </c>
      <c r="O92" s="71">
        <f t="shared" si="49"/>
        <v>223.8</v>
      </c>
      <c r="P92" s="71">
        <f t="shared" si="49"/>
        <v>257.89999999999998</v>
      </c>
      <c r="Q92" s="71">
        <f t="shared" si="49"/>
        <v>166.5</v>
      </c>
      <c r="R92" s="71">
        <f t="shared" ref="R92" si="50">SUMIF(R81:R91,"&gt;0")</f>
        <v>196.70000000000002</v>
      </c>
      <c r="S92" s="71">
        <f t="shared" si="49"/>
        <v>195.3</v>
      </c>
      <c r="T92" s="71">
        <f t="shared" si="49"/>
        <v>190</v>
      </c>
      <c r="U92" s="71">
        <f t="shared" si="49"/>
        <v>193.3</v>
      </c>
      <c r="V92" s="71">
        <f t="shared" si="49"/>
        <v>161.60000000000002</v>
      </c>
      <c r="W92" s="71">
        <f t="shared" si="49"/>
        <v>149.69999999999999</v>
      </c>
      <c r="X92" s="71">
        <f t="shared" si="49"/>
        <v>152.9</v>
      </c>
      <c r="Y92" s="71">
        <f t="shared" si="49"/>
        <v>40.200000000000003</v>
      </c>
      <c r="Z92" s="71">
        <f t="shared" si="49"/>
        <v>21.400000000000002</v>
      </c>
      <c r="AA92" s="71">
        <f t="shared" si="49"/>
        <v>29.2</v>
      </c>
      <c r="AB92" s="71">
        <f t="shared" ref="AB92:AC92" si="51">SUMIF(AB81:AB91,"&gt;0")</f>
        <v>27.6</v>
      </c>
      <c r="AC92" s="71">
        <f t="shared" si="51"/>
        <v>59.300000000000004</v>
      </c>
      <c r="AD92" s="71">
        <f t="shared" ref="AD92:AE92" si="52">SUMIF(AD81:AD91,"&gt;0")</f>
        <v>32.1</v>
      </c>
      <c r="AE92" s="71">
        <f t="shared" si="52"/>
        <v>17.5</v>
      </c>
      <c r="AF92" s="71">
        <f t="shared" ref="AF92" si="53">SUMIF(AF81:AF91,"&gt;0")</f>
        <v>17</v>
      </c>
      <c r="AG92" s="101">
        <f>SUM(AG81:AG91)</f>
        <v>0</v>
      </c>
      <c r="AH92" s="48">
        <f t="shared" si="47"/>
        <v>257.89999999999998</v>
      </c>
      <c r="AI92" s="49">
        <f t="shared" si="48"/>
        <v>0</v>
      </c>
      <c r="AK92" s="99"/>
      <c r="AL92" s="90"/>
      <c r="AM92" s="102"/>
      <c r="AN92" s="202"/>
      <c r="AY92" s="82"/>
      <c r="BF92" s="82"/>
      <c r="BG92" s="82">
        <v>47.6</v>
      </c>
      <c r="BH92" s="82">
        <v>0</v>
      </c>
      <c r="BI92" s="82">
        <v>-390</v>
      </c>
      <c r="BJ92" s="82">
        <v>0</v>
      </c>
      <c r="BK92" s="82">
        <v>88.1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47"/>
        <v>0</v>
      </c>
      <c r="AI93" s="49">
        <f t="shared" si="48"/>
        <v>0</v>
      </c>
      <c r="AK93" s="99"/>
      <c r="AL93" s="90"/>
      <c r="AM93" s="90"/>
      <c r="AN93" s="203"/>
      <c r="BF93" s="82"/>
      <c r="BG93" s="82">
        <v>42</v>
      </c>
      <c r="BH93" s="82">
        <v>56.1</v>
      </c>
      <c r="BI93" s="82">
        <v>-357</v>
      </c>
      <c r="BJ93" s="82">
        <v>0</v>
      </c>
      <c r="BK93" s="82">
        <v>125.7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47"/>
        <v>0</v>
      </c>
      <c r="AI94" s="49">
        <f t="shared" si="48"/>
        <v>0</v>
      </c>
      <c r="AK94" s="104"/>
      <c r="AL94" s="105"/>
      <c r="AM94" s="105"/>
      <c r="AN94" s="106"/>
      <c r="BF94" s="82"/>
      <c r="BG94" s="82">
        <v>55.8</v>
      </c>
      <c r="BH94" s="82">
        <v>65.7</v>
      </c>
      <c r="BI94" s="82">
        <v>-316</v>
      </c>
      <c r="BJ94" s="82">
        <v>0</v>
      </c>
      <c r="BK94" s="82">
        <v>136.4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47"/>
        <v>0</v>
      </c>
      <c r="AI95" s="49">
        <f t="shared" si="48"/>
        <v>0</v>
      </c>
      <c r="BF95" s="82"/>
      <c r="BG95" s="82">
        <v>58.7</v>
      </c>
      <c r="BH95" s="82">
        <v>0</v>
      </c>
      <c r="BI95" s="82">
        <v>-225</v>
      </c>
      <c r="BJ95" s="82">
        <v>0</v>
      </c>
      <c r="BK95" s="82">
        <v>107.8</v>
      </c>
      <c r="BL95" s="82">
        <v>0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47"/>
        <v>0</v>
      </c>
      <c r="AI96" s="49">
        <f t="shared" si="48"/>
        <v>0</v>
      </c>
      <c r="BF96" s="82"/>
      <c r="BG96" s="82">
        <v>63.9</v>
      </c>
      <c r="BH96" s="82">
        <v>0</v>
      </c>
      <c r="BI96" s="82">
        <v>-220</v>
      </c>
      <c r="BJ96" s="82">
        <v>0</v>
      </c>
      <c r="BK96" s="82">
        <v>132.80000000000001</v>
      </c>
      <c r="BL96" s="82">
        <v>0</v>
      </c>
    </row>
    <row r="97" spans="1:64" ht="15.75" thickBot="1" x14ac:dyDescent="0.3">
      <c r="A97" s="87" t="s">
        <v>123</v>
      </c>
      <c r="B97" s="108">
        <f t="shared" ref="B97:AG97" si="54">B58+B62+B80+B76+B92+B96</f>
        <v>1624.97</v>
      </c>
      <c r="C97" s="108">
        <f t="shared" si="54"/>
        <v>1728.97</v>
      </c>
      <c r="D97" s="108">
        <f t="shared" si="54"/>
        <v>1656.97</v>
      </c>
      <c r="E97" s="108">
        <f t="shared" si="54"/>
        <v>1888.44</v>
      </c>
      <c r="F97" s="108">
        <f t="shared" si="54"/>
        <v>1860.44</v>
      </c>
      <c r="G97" s="108">
        <f t="shared" si="54"/>
        <v>1826.44</v>
      </c>
      <c r="H97" s="108">
        <f t="shared" si="54"/>
        <v>1826.44</v>
      </c>
      <c r="I97" s="108">
        <f t="shared" si="54"/>
        <v>1803.94</v>
      </c>
      <c r="J97" s="108">
        <f t="shared" si="54"/>
        <v>1684.44</v>
      </c>
      <c r="K97" s="108">
        <f t="shared" si="54"/>
        <v>1104.74</v>
      </c>
      <c r="L97" s="108">
        <f t="shared" si="54"/>
        <v>1792.2399999999998</v>
      </c>
      <c r="M97" s="108">
        <f t="shared" si="54"/>
        <v>1973.34</v>
      </c>
      <c r="N97" s="108">
        <f t="shared" si="54"/>
        <v>1981.84</v>
      </c>
      <c r="O97" s="108">
        <f t="shared" si="54"/>
        <v>2027.54</v>
      </c>
      <c r="P97" s="108">
        <f t="shared" si="54"/>
        <v>1980.2400000000002</v>
      </c>
      <c r="Q97" s="108">
        <f t="shared" si="54"/>
        <v>1877.1399999999999</v>
      </c>
      <c r="R97" s="108">
        <f t="shared" ref="R97" si="55">R58+R62+R80+R76+R92+R96</f>
        <v>1907.5399999999997</v>
      </c>
      <c r="S97" s="108">
        <f t="shared" si="54"/>
        <v>2024.04</v>
      </c>
      <c r="T97" s="108">
        <f t="shared" si="54"/>
        <v>2015.7399999999998</v>
      </c>
      <c r="U97" s="108">
        <f t="shared" si="54"/>
        <v>2069.64</v>
      </c>
      <c r="V97" s="108">
        <f t="shared" si="54"/>
        <v>1720.1399999999999</v>
      </c>
      <c r="W97" s="108">
        <f t="shared" si="54"/>
        <v>1579.34</v>
      </c>
      <c r="X97" s="108">
        <f t="shared" si="54"/>
        <v>1537.54</v>
      </c>
      <c r="Y97" s="108">
        <f t="shared" si="54"/>
        <v>1448.6999999999998</v>
      </c>
      <c r="Z97" s="108">
        <f t="shared" si="54"/>
        <v>1577.5</v>
      </c>
      <c r="AA97" s="108">
        <f t="shared" si="54"/>
        <v>1740.4399999999998</v>
      </c>
      <c r="AB97" s="108">
        <f t="shared" ref="AB97:AC97" si="56">AB58+AB62+AB80+AB76+AB92+AB96</f>
        <v>1695.2399999999998</v>
      </c>
      <c r="AC97" s="108">
        <f t="shared" si="56"/>
        <v>1623.2399999999998</v>
      </c>
      <c r="AD97" s="108">
        <f t="shared" ref="AD97:AE97" si="57">AD58+AD62+AD80+AD76+AD92+AD96</f>
        <v>1671.8399999999997</v>
      </c>
      <c r="AE97" s="108">
        <f t="shared" si="57"/>
        <v>1588.9399999999996</v>
      </c>
      <c r="AF97" s="108">
        <f t="shared" ref="AF97" si="58">AF58+AF62+AF80+AF76+AF92+AF96</f>
        <v>1502.8399999999997</v>
      </c>
      <c r="AG97" s="72">
        <f t="shared" si="54"/>
        <v>2231.81</v>
      </c>
      <c r="AH97" s="48">
        <f t="shared" si="47"/>
        <v>2069.64</v>
      </c>
      <c r="AI97" s="49">
        <f t="shared" si="48"/>
        <v>1104.74</v>
      </c>
      <c r="BF97" s="82"/>
      <c r="BG97" s="82">
        <v>69.599999999999994</v>
      </c>
      <c r="BH97" s="82">
        <v>0</v>
      </c>
      <c r="BI97" s="82">
        <v>-170</v>
      </c>
      <c r="BJ97" s="82">
        <v>0</v>
      </c>
      <c r="BK97" s="82">
        <v>125.7</v>
      </c>
      <c r="BL97" s="82">
        <v>0</v>
      </c>
    </row>
    <row r="98" spans="1:64" ht="15.75" thickBot="1" x14ac:dyDescent="0.3">
      <c r="A98" s="109" t="s">
        <v>124</v>
      </c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>
        <v>150</v>
      </c>
      <c r="Z98" s="110">
        <v>100</v>
      </c>
      <c r="AA98" s="110">
        <v>100</v>
      </c>
      <c r="AB98" s="110">
        <v>100</v>
      </c>
      <c r="AC98" s="110">
        <v>100</v>
      </c>
      <c r="AD98" s="110">
        <v>100</v>
      </c>
      <c r="AE98" s="110">
        <v>100</v>
      </c>
      <c r="AF98" s="110">
        <v>100</v>
      </c>
      <c r="AG98" s="101"/>
      <c r="AH98" s="48">
        <f t="shared" si="47"/>
        <v>150</v>
      </c>
      <c r="AI98" s="49">
        <f t="shared" si="48"/>
        <v>100</v>
      </c>
      <c r="BF98" s="82"/>
      <c r="BG98" s="82">
        <v>60</v>
      </c>
      <c r="BH98" s="82">
        <v>0</v>
      </c>
      <c r="BI98" s="82">
        <v>-222</v>
      </c>
      <c r="BJ98" s="82">
        <v>10</v>
      </c>
      <c r="BK98" s="82">
        <v>120</v>
      </c>
      <c r="BL98" s="82">
        <v>0</v>
      </c>
    </row>
    <row r="99" spans="1:64" ht="15.75" thickBot="1" x14ac:dyDescent="0.3">
      <c r="A99" s="87" t="s">
        <v>125</v>
      </c>
      <c r="B99" s="108">
        <f t="shared" ref="B99:AA99" si="59">B97+B98</f>
        <v>1624.97</v>
      </c>
      <c r="C99" s="108">
        <f t="shared" si="59"/>
        <v>1728.97</v>
      </c>
      <c r="D99" s="108">
        <f t="shared" si="59"/>
        <v>1656.97</v>
      </c>
      <c r="E99" s="108">
        <f t="shared" si="59"/>
        <v>1888.44</v>
      </c>
      <c r="F99" s="108">
        <f t="shared" si="59"/>
        <v>1860.44</v>
      </c>
      <c r="G99" s="108">
        <f t="shared" si="59"/>
        <v>1826.44</v>
      </c>
      <c r="H99" s="108">
        <f t="shared" si="59"/>
        <v>1826.44</v>
      </c>
      <c r="I99" s="108">
        <f t="shared" si="59"/>
        <v>1803.94</v>
      </c>
      <c r="J99" s="108">
        <f t="shared" si="59"/>
        <v>1684.44</v>
      </c>
      <c r="K99" s="108">
        <f t="shared" si="59"/>
        <v>1104.74</v>
      </c>
      <c r="L99" s="108">
        <f t="shared" si="59"/>
        <v>1792.2399999999998</v>
      </c>
      <c r="M99" s="108">
        <f t="shared" si="59"/>
        <v>1973.34</v>
      </c>
      <c r="N99" s="108">
        <f t="shared" si="59"/>
        <v>1981.84</v>
      </c>
      <c r="O99" s="108">
        <f t="shared" si="59"/>
        <v>2027.54</v>
      </c>
      <c r="P99" s="108">
        <f t="shared" si="59"/>
        <v>1980.2400000000002</v>
      </c>
      <c r="Q99" s="108">
        <f t="shared" si="59"/>
        <v>1877.1399999999999</v>
      </c>
      <c r="R99" s="108">
        <f t="shared" ref="R99" si="60">R97+R98</f>
        <v>1907.5399999999997</v>
      </c>
      <c r="S99" s="108">
        <f t="shared" si="59"/>
        <v>2024.04</v>
      </c>
      <c r="T99" s="108">
        <f t="shared" si="59"/>
        <v>2015.7399999999998</v>
      </c>
      <c r="U99" s="108">
        <f t="shared" si="59"/>
        <v>2069.64</v>
      </c>
      <c r="V99" s="108">
        <f t="shared" si="59"/>
        <v>1720.1399999999999</v>
      </c>
      <c r="W99" s="108">
        <f t="shared" si="59"/>
        <v>1579.34</v>
      </c>
      <c r="X99" s="108">
        <f t="shared" si="59"/>
        <v>1537.54</v>
      </c>
      <c r="Y99" s="108">
        <f t="shared" si="59"/>
        <v>1598.6999999999998</v>
      </c>
      <c r="Z99" s="108">
        <f t="shared" si="59"/>
        <v>1677.5</v>
      </c>
      <c r="AA99" s="108">
        <f t="shared" si="59"/>
        <v>1840.4399999999998</v>
      </c>
      <c r="AB99" s="108">
        <f t="shared" ref="AB99:AC99" si="61">AB97+AB98</f>
        <v>1795.2399999999998</v>
      </c>
      <c r="AC99" s="108">
        <f t="shared" si="61"/>
        <v>1723.2399999999998</v>
      </c>
      <c r="AD99" s="108">
        <f t="shared" ref="AD99:AE99" si="62">AD97+AD98</f>
        <v>1771.8399999999997</v>
      </c>
      <c r="AE99" s="108">
        <f t="shared" si="62"/>
        <v>1688.9399999999996</v>
      </c>
      <c r="AF99" s="108">
        <f t="shared" ref="AF99" si="63">AF97+AF98</f>
        <v>1602.8399999999997</v>
      </c>
      <c r="AG99" s="101">
        <f>AG96+AG92+AG80+AG76+AG58+AG98</f>
        <v>1693.71</v>
      </c>
      <c r="AH99" s="48">
        <f t="shared" si="47"/>
        <v>2069.64</v>
      </c>
      <c r="AI99" s="49">
        <f t="shared" si="48"/>
        <v>1104.74</v>
      </c>
      <c r="BF99" s="82"/>
      <c r="BG99" s="82">
        <v>64</v>
      </c>
      <c r="BH99" s="82">
        <v>0</v>
      </c>
      <c r="BI99" s="82">
        <v>-225.3</v>
      </c>
      <c r="BJ99" s="82">
        <v>0</v>
      </c>
      <c r="BK99" s="82">
        <v>129.30000000000001</v>
      </c>
      <c r="BL99" s="82">
        <v>0</v>
      </c>
    </row>
    <row r="100" spans="1:64" ht="15.75" thickBot="1" x14ac:dyDescent="0.3">
      <c r="A100" s="87" t="s">
        <v>126</v>
      </c>
      <c r="B100" s="108">
        <f t="shared" ref="B100:AA100" si="64">B99-(B107)</f>
        <v>1312.97</v>
      </c>
      <c r="C100" s="108">
        <f t="shared" si="64"/>
        <v>1327.97</v>
      </c>
      <c r="D100" s="108">
        <f t="shared" si="64"/>
        <v>1253.97</v>
      </c>
      <c r="E100" s="108">
        <f t="shared" si="64"/>
        <v>1399.44</v>
      </c>
      <c r="F100" s="108">
        <f t="shared" si="64"/>
        <v>1395.44</v>
      </c>
      <c r="G100" s="108">
        <f t="shared" si="64"/>
        <v>1357.44</v>
      </c>
      <c r="H100" s="108">
        <f t="shared" si="64"/>
        <v>1357.44</v>
      </c>
      <c r="I100" s="108">
        <f t="shared" si="64"/>
        <v>1803.94</v>
      </c>
      <c r="J100" s="108">
        <f t="shared" si="64"/>
        <v>1684.44</v>
      </c>
      <c r="K100" s="108">
        <f t="shared" si="64"/>
        <v>906.74</v>
      </c>
      <c r="L100" s="108">
        <f t="shared" si="64"/>
        <v>1327.2399999999998</v>
      </c>
      <c r="M100" s="108">
        <f t="shared" si="64"/>
        <v>1551.34</v>
      </c>
      <c r="N100" s="108">
        <f t="shared" si="64"/>
        <v>1591.84</v>
      </c>
      <c r="O100" s="108">
        <f t="shared" si="64"/>
        <v>1670.54</v>
      </c>
      <c r="P100" s="108">
        <f t="shared" si="64"/>
        <v>1664.2400000000002</v>
      </c>
      <c r="Q100" s="108">
        <f t="shared" si="64"/>
        <v>1652.1399999999999</v>
      </c>
      <c r="R100" s="108">
        <f t="shared" ref="R100" si="65">R99-(R107)</f>
        <v>1687.5399999999997</v>
      </c>
      <c r="S100" s="108">
        <f t="shared" si="64"/>
        <v>1854.04</v>
      </c>
      <c r="T100" s="108">
        <f t="shared" si="64"/>
        <v>1793.7399999999998</v>
      </c>
      <c r="U100" s="108">
        <f t="shared" si="64"/>
        <v>1844.34</v>
      </c>
      <c r="V100" s="108">
        <f t="shared" si="64"/>
        <v>1715.1399999999999</v>
      </c>
      <c r="W100" s="108">
        <f t="shared" si="64"/>
        <v>1574.04</v>
      </c>
      <c r="X100" s="108">
        <f t="shared" si="64"/>
        <v>1533.54</v>
      </c>
      <c r="Y100" s="108">
        <f t="shared" si="64"/>
        <v>1598.6999999999998</v>
      </c>
      <c r="Z100" s="108">
        <f t="shared" si="64"/>
        <v>1677.5</v>
      </c>
      <c r="AA100" s="108">
        <f t="shared" si="64"/>
        <v>1830.5399999999997</v>
      </c>
      <c r="AB100" s="108">
        <f t="shared" ref="AB100:AC100" si="66">AB99-(AB107)</f>
        <v>1786.6399999999999</v>
      </c>
      <c r="AC100" s="108">
        <f t="shared" si="66"/>
        <v>1723.2399999999998</v>
      </c>
      <c r="AD100" s="108">
        <f t="shared" ref="AD100:AE100" si="67">AD99-(AD107)</f>
        <v>1771.8399999999997</v>
      </c>
      <c r="AE100" s="108">
        <f t="shared" si="67"/>
        <v>1688.9399999999996</v>
      </c>
      <c r="AF100" s="108">
        <f t="shared" ref="AF100" si="68">AF99-(AF107)</f>
        <v>1594.2399999999998</v>
      </c>
      <c r="AG100" s="101"/>
      <c r="AH100" s="48">
        <f t="shared" si="47"/>
        <v>1854.04</v>
      </c>
      <c r="AI100" s="49">
        <f t="shared" si="48"/>
        <v>906.74</v>
      </c>
      <c r="BF100" s="82"/>
      <c r="BG100" s="82">
        <v>61.7</v>
      </c>
      <c r="BH100" s="82">
        <v>0</v>
      </c>
      <c r="BI100" s="82">
        <v>-5</v>
      </c>
      <c r="BJ100" s="82">
        <v>0</v>
      </c>
      <c r="BK100" s="82">
        <v>99.9</v>
      </c>
      <c r="BL100" s="82">
        <v>0</v>
      </c>
    </row>
    <row r="101" spans="1:64" x14ac:dyDescent="0.25">
      <c r="A101" s="45" t="s">
        <v>107</v>
      </c>
      <c r="B101" s="89">
        <f t="shared" ref="B101:AA101" si="69">IF(B84&lt;0,B84*-1,0)</f>
        <v>0</v>
      </c>
      <c r="C101" s="89">
        <f t="shared" si="69"/>
        <v>0</v>
      </c>
      <c r="D101" s="89">
        <f t="shared" si="69"/>
        <v>0</v>
      </c>
      <c r="E101" s="89">
        <f t="shared" si="69"/>
        <v>0</v>
      </c>
      <c r="F101" s="89">
        <f t="shared" si="69"/>
        <v>0</v>
      </c>
      <c r="G101" s="89">
        <f t="shared" si="69"/>
        <v>0</v>
      </c>
      <c r="H101" s="89">
        <f t="shared" si="69"/>
        <v>0</v>
      </c>
      <c r="I101" s="89">
        <f t="shared" si="69"/>
        <v>0</v>
      </c>
      <c r="J101" s="89">
        <f t="shared" si="69"/>
        <v>0</v>
      </c>
      <c r="K101" s="89">
        <f t="shared" si="69"/>
        <v>0</v>
      </c>
      <c r="L101" s="89">
        <f t="shared" si="69"/>
        <v>0</v>
      </c>
      <c r="M101" s="89">
        <f t="shared" si="69"/>
        <v>0</v>
      </c>
      <c r="N101" s="89">
        <f t="shared" si="69"/>
        <v>0</v>
      </c>
      <c r="O101" s="89">
        <f t="shared" si="69"/>
        <v>0</v>
      </c>
      <c r="P101" s="89">
        <f t="shared" si="69"/>
        <v>0</v>
      </c>
      <c r="Q101" s="89">
        <f t="shared" si="69"/>
        <v>0</v>
      </c>
      <c r="R101" s="89">
        <f t="shared" ref="R101" si="70">IF(R84&lt;0,R84*-1,0)</f>
        <v>0</v>
      </c>
      <c r="S101" s="89">
        <f t="shared" si="69"/>
        <v>0</v>
      </c>
      <c r="T101" s="89">
        <f t="shared" si="69"/>
        <v>0</v>
      </c>
      <c r="U101" s="89">
        <f t="shared" si="69"/>
        <v>0</v>
      </c>
      <c r="V101" s="89">
        <f t="shared" si="69"/>
        <v>0</v>
      </c>
      <c r="W101" s="89">
        <f t="shared" si="69"/>
        <v>0</v>
      </c>
      <c r="X101" s="89">
        <f t="shared" si="69"/>
        <v>0</v>
      </c>
      <c r="Y101" s="89">
        <f t="shared" si="69"/>
        <v>0</v>
      </c>
      <c r="Z101" s="89">
        <f t="shared" si="69"/>
        <v>0</v>
      </c>
      <c r="AA101" s="89">
        <f t="shared" si="69"/>
        <v>0</v>
      </c>
      <c r="AB101" s="89">
        <f t="shared" ref="AB101:AC101" si="71">IF(AB84&lt;0,AB84*-1,0)</f>
        <v>0</v>
      </c>
      <c r="AC101" s="89">
        <f t="shared" si="71"/>
        <v>0</v>
      </c>
      <c r="AD101" s="89">
        <f t="shared" ref="AD101:AE101" si="72">IF(AD84&lt;0,AD84*-1,0)</f>
        <v>0</v>
      </c>
      <c r="AE101" s="89">
        <f t="shared" si="72"/>
        <v>0</v>
      </c>
      <c r="AF101" s="89">
        <f t="shared" ref="AF101" si="73">IF(AF84&lt;0,AF84*-1,0)</f>
        <v>0</v>
      </c>
      <c r="AG101" s="61"/>
      <c r="AH101" s="48">
        <f t="shared" si="47"/>
        <v>0</v>
      </c>
      <c r="AI101" s="49">
        <f t="shared" si="48"/>
        <v>0</v>
      </c>
      <c r="BF101" s="81"/>
      <c r="BG101" s="82">
        <v>54</v>
      </c>
      <c r="BH101" s="82">
        <v>0</v>
      </c>
      <c r="BI101" s="82">
        <v>-4</v>
      </c>
      <c r="BJ101" s="82">
        <v>0</v>
      </c>
      <c r="BK101" s="82">
        <v>98.9</v>
      </c>
      <c r="BL101" s="82">
        <v>0</v>
      </c>
    </row>
    <row r="102" spans="1:64" x14ac:dyDescent="0.25">
      <c r="A102" s="65" t="s">
        <v>105</v>
      </c>
      <c r="B102" s="89">
        <f t="shared" ref="B102:AA102" si="74">IF(B82&lt;0,B82*-1,0)</f>
        <v>0</v>
      </c>
      <c r="C102" s="89">
        <f t="shared" si="74"/>
        <v>0</v>
      </c>
      <c r="D102" s="89">
        <f t="shared" si="74"/>
        <v>0</v>
      </c>
      <c r="E102" s="89">
        <f t="shared" si="74"/>
        <v>0</v>
      </c>
      <c r="F102" s="89">
        <f t="shared" si="74"/>
        <v>0</v>
      </c>
      <c r="G102" s="89">
        <f t="shared" si="74"/>
        <v>0</v>
      </c>
      <c r="H102" s="89">
        <f t="shared" si="74"/>
        <v>0</v>
      </c>
      <c r="I102" s="89">
        <f t="shared" si="74"/>
        <v>0</v>
      </c>
      <c r="J102" s="89">
        <f t="shared" si="74"/>
        <v>0</v>
      </c>
      <c r="K102" s="89">
        <f t="shared" si="74"/>
        <v>0</v>
      </c>
      <c r="L102" s="89">
        <f t="shared" si="74"/>
        <v>0</v>
      </c>
      <c r="M102" s="89">
        <f t="shared" si="74"/>
        <v>0</v>
      </c>
      <c r="N102" s="89">
        <f t="shared" si="74"/>
        <v>0</v>
      </c>
      <c r="O102" s="89">
        <f t="shared" si="74"/>
        <v>0</v>
      </c>
      <c r="P102" s="89">
        <f t="shared" si="74"/>
        <v>0</v>
      </c>
      <c r="Q102" s="89">
        <f t="shared" si="74"/>
        <v>0</v>
      </c>
      <c r="R102" s="89">
        <f t="shared" ref="R102" si="75">IF(R82&lt;0,R82*-1,0)</f>
        <v>0</v>
      </c>
      <c r="S102" s="89">
        <f t="shared" si="74"/>
        <v>0</v>
      </c>
      <c r="T102" s="89">
        <f t="shared" si="74"/>
        <v>0</v>
      </c>
      <c r="U102" s="89">
        <f t="shared" si="74"/>
        <v>0</v>
      </c>
      <c r="V102" s="89">
        <f t="shared" si="74"/>
        <v>0</v>
      </c>
      <c r="W102" s="89">
        <f t="shared" si="74"/>
        <v>0</v>
      </c>
      <c r="X102" s="89">
        <f t="shared" si="74"/>
        <v>0</v>
      </c>
      <c r="Y102" s="89">
        <f t="shared" si="74"/>
        <v>0</v>
      </c>
      <c r="Z102" s="89">
        <f t="shared" si="74"/>
        <v>0</v>
      </c>
      <c r="AA102" s="89">
        <f t="shared" si="74"/>
        <v>0</v>
      </c>
      <c r="AB102" s="89">
        <f t="shared" ref="AB102:AC102" si="76">IF(AB82&lt;0,AB82*-1,0)</f>
        <v>0</v>
      </c>
      <c r="AC102" s="89">
        <f t="shared" si="76"/>
        <v>0</v>
      </c>
      <c r="AD102" s="89">
        <f t="shared" ref="AD102:AE102" si="77">IF(AD82&lt;0,AD82*-1,0)</f>
        <v>0</v>
      </c>
      <c r="AE102" s="89">
        <f t="shared" si="77"/>
        <v>0</v>
      </c>
      <c r="AF102" s="89">
        <f t="shared" ref="AF102" si="78">IF(AF82&lt;0,AF82*-1,0)</f>
        <v>0</v>
      </c>
      <c r="AG102" s="66"/>
      <c r="AH102" s="48">
        <f t="shared" si="47"/>
        <v>0</v>
      </c>
      <c r="AI102" s="49">
        <f t="shared" si="48"/>
        <v>0</v>
      </c>
      <c r="BF102" s="81"/>
      <c r="BG102" s="82">
        <v>21.1</v>
      </c>
      <c r="BH102" s="82">
        <v>0</v>
      </c>
      <c r="BI102" s="82">
        <v>0.3</v>
      </c>
      <c r="BJ102" s="82">
        <v>0</v>
      </c>
      <c r="BK102" s="82">
        <v>0</v>
      </c>
      <c r="BL102" s="82">
        <v>0</v>
      </c>
    </row>
    <row r="103" spans="1:64" x14ac:dyDescent="0.25">
      <c r="A103" s="97" t="s">
        <v>127</v>
      </c>
      <c r="B103" s="89">
        <f t="shared" ref="B103:AA103" si="79">IF(B85&lt;0,B85*-1,0)</f>
        <v>0</v>
      </c>
      <c r="C103" s="89">
        <f t="shared" si="79"/>
        <v>0</v>
      </c>
      <c r="D103" s="89">
        <f t="shared" si="79"/>
        <v>0</v>
      </c>
      <c r="E103" s="89">
        <f t="shared" si="79"/>
        <v>0</v>
      </c>
      <c r="F103" s="89">
        <f t="shared" si="79"/>
        <v>0</v>
      </c>
      <c r="G103" s="89">
        <f t="shared" si="79"/>
        <v>0</v>
      </c>
      <c r="H103" s="89">
        <f t="shared" si="79"/>
        <v>0</v>
      </c>
      <c r="I103" s="89">
        <f t="shared" si="79"/>
        <v>0</v>
      </c>
      <c r="J103" s="89">
        <f t="shared" si="79"/>
        <v>0</v>
      </c>
      <c r="K103" s="89">
        <f t="shared" si="79"/>
        <v>0</v>
      </c>
      <c r="L103" s="89">
        <f t="shared" si="79"/>
        <v>0</v>
      </c>
      <c r="M103" s="89">
        <f t="shared" si="79"/>
        <v>0</v>
      </c>
      <c r="N103" s="89">
        <f t="shared" si="79"/>
        <v>0</v>
      </c>
      <c r="O103" s="89">
        <f t="shared" si="79"/>
        <v>0</v>
      </c>
      <c r="P103" s="89">
        <f t="shared" si="79"/>
        <v>0</v>
      </c>
      <c r="Q103" s="89">
        <f t="shared" si="79"/>
        <v>0</v>
      </c>
      <c r="R103" s="89">
        <f t="shared" ref="R103" si="80">IF(R85&lt;0,R85*-1,0)</f>
        <v>0</v>
      </c>
      <c r="S103" s="89">
        <f t="shared" si="79"/>
        <v>0</v>
      </c>
      <c r="T103" s="89">
        <f t="shared" si="79"/>
        <v>0</v>
      </c>
      <c r="U103" s="89">
        <f t="shared" si="79"/>
        <v>0</v>
      </c>
      <c r="V103" s="89">
        <f t="shared" si="79"/>
        <v>0</v>
      </c>
      <c r="W103" s="89">
        <f t="shared" si="79"/>
        <v>0</v>
      </c>
      <c r="X103" s="89">
        <f t="shared" si="79"/>
        <v>0</v>
      </c>
      <c r="Y103" s="89">
        <f t="shared" si="79"/>
        <v>0</v>
      </c>
      <c r="Z103" s="89">
        <f t="shared" si="79"/>
        <v>0</v>
      </c>
      <c r="AA103" s="89">
        <f t="shared" si="79"/>
        <v>0</v>
      </c>
      <c r="AB103" s="89">
        <f t="shared" ref="AB103:AC103" si="81">IF(AB85&lt;0,AB85*-1,0)</f>
        <v>0</v>
      </c>
      <c r="AC103" s="89">
        <f t="shared" si="81"/>
        <v>0</v>
      </c>
      <c r="AD103" s="89">
        <f t="shared" ref="AD103:AE103" si="82">IF(AD85&lt;0,AD85*-1,0)</f>
        <v>0</v>
      </c>
      <c r="AE103" s="89">
        <f t="shared" si="82"/>
        <v>0</v>
      </c>
      <c r="AF103" s="89">
        <f t="shared" ref="AF103" si="83">IF(AF85&lt;0,AF85*-1,0)</f>
        <v>0</v>
      </c>
      <c r="AG103" s="111"/>
      <c r="AH103" s="48">
        <f t="shared" si="47"/>
        <v>0</v>
      </c>
      <c r="AI103" s="49">
        <f t="shared" si="48"/>
        <v>0</v>
      </c>
      <c r="BF103" s="81"/>
      <c r="BG103" s="82">
        <v>27.6</v>
      </c>
      <c r="BH103" s="82">
        <v>0</v>
      </c>
      <c r="BI103" s="82">
        <v>-8.6</v>
      </c>
      <c r="BJ103" s="82">
        <v>0</v>
      </c>
      <c r="BK103" s="82">
        <v>0</v>
      </c>
      <c r="BL103" s="82">
        <v>0</v>
      </c>
    </row>
    <row r="104" spans="1:64" x14ac:dyDescent="0.25">
      <c r="A104" s="97" t="s">
        <v>128</v>
      </c>
      <c r="B104" s="89">
        <f t="shared" ref="B104:AA104" si="84">IF(B83&lt;0,B83*-1,0)</f>
        <v>304</v>
      </c>
      <c r="C104" s="89">
        <f t="shared" si="84"/>
        <v>389</v>
      </c>
      <c r="D104" s="89">
        <f t="shared" si="84"/>
        <v>393</v>
      </c>
      <c r="E104" s="89">
        <f t="shared" si="84"/>
        <v>469</v>
      </c>
      <c r="F104" s="89">
        <f t="shared" si="84"/>
        <v>453</v>
      </c>
      <c r="G104" s="89">
        <f t="shared" si="84"/>
        <v>446</v>
      </c>
      <c r="H104" s="89">
        <f t="shared" si="84"/>
        <v>446</v>
      </c>
      <c r="I104" s="89">
        <f t="shared" si="84"/>
        <v>0</v>
      </c>
      <c r="J104" s="89">
        <f t="shared" si="84"/>
        <v>0</v>
      </c>
      <c r="K104" s="89">
        <f t="shared" si="84"/>
        <v>198</v>
      </c>
      <c r="L104" s="89">
        <f t="shared" si="84"/>
        <v>465</v>
      </c>
      <c r="M104" s="89">
        <f t="shared" si="84"/>
        <v>422</v>
      </c>
      <c r="N104" s="89">
        <f t="shared" si="84"/>
        <v>390</v>
      </c>
      <c r="O104" s="89">
        <f t="shared" si="84"/>
        <v>357</v>
      </c>
      <c r="P104" s="89">
        <f t="shared" si="84"/>
        <v>316</v>
      </c>
      <c r="Q104" s="89">
        <f t="shared" si="84"/>
        <v>225</v>
      </c>
      <c r="R104" s="89">
        <f t="shared" ref="R104" si="85">IF(R83&lt;0,R83*-1,0)</f>
        <v>220</v>
      </c>
      <c r="S104" s="89">
        <f t="shared" si="84"/>
        <v>170</v>
      </c>
      <c r="T104" s="89">
        <f t="shared" si="84"/>
        <v>222</v>
      </c>
      <c r="U104" s="89">
        <f t="shared" si="84"/>
        <v>225.3</v>
      </c>
      <c r="V104" s="89">
        <f t="shared" si="84"/>
        <v>5</v>
      </c>
      <c r="W104" s="89">
        <f t="shared" si="84"/>
        <v>5.3</v>
      </c>
      <c r="X104" s="89">
        <f t="shared" si="84"/>
        <v>4</v>
      </c>
      <c r="Y104" s="89">
        <f t="shared" si="84"/>
        <v>0</v>
      </c>
      <c r="Z104" s="89">
        <f t="shared" si="84"/>
        <v>0</v>
      </c>
      <c r="AA104" s="89">
        <f t="shared" si="84"/>
        <v>9.9</v>
      </c>
      <c r="AB104" s="89">
        <f t="shared" ref="AB104:AC104" si="86">IF(AB83&lt;0,AB83*-1,0)</f>
        <v>8.6</v>
      </c>
      <c r="AC104" s="89">
        <f t="shared" si="86"/>
        <v>0</v>
      </c>
      <c r="AD104" s="89">
        <f t="shared" ref="AD104:AE104" si="87">IF(AD83&lt;0,AD83*-1,0)</f>
        <v>0</v>
      </c>
      <c r="AE104" s="89">
        <f t="shared" si="87"/>
        <v>0</v>
      </c>
      <c r="AF104" s="89">
        <f t="shared" ref="AF104" si="88">IF(AF83&lt;0,AF83*-1,0)</f>
        <v>8.6</v>
      </c>
      <c r="AG104" s="111"/>
      <c r="AH104" s="48">
        <f t="shared" si="47"/>
        <v>469</v>
      </c>
      <c r="AI104" s="49">
        <f t="shared" si="48"/>
        <v>0</v>
      </c>
      <c r="BF104" s="81"/>
      <c r="BG104" s="82">
        <v>32.1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AA105" si="89">IF(B81&lt;0,B81*-1,0)</f>
        <v>8</v>
      </c>
      <c r="C105" s="89">
        <f t="shared" si="89"/>
        <v>12</v>
      </c>
      <c r="D105" s="89">
        <f t="shared" si="89"/>
        <v>10</v>
      </c>
      <c r="E105" s="89">
        <f t="shared" si="89"/>
        <v>20</v>
      </c>
      <c r="F105" s="89">
        <f t="shared" si="89"/>
        <v>12</v>
      </c>
      <c r="G105" s="89">
        <f t="shared" si="89"/>
        <v>23</v>
      </c>
      <c r="H105" s="89">
        <f t="shared" si="89"/>
        <v>23</v>
      </c>
      <c r="I105" s="89">
        <f t="shared" si="89"/>
        <v>0</v>
      </c>
      <c r="J105" s="89">
        <f t="shared" si="89"/>
        <v>0</v>
      </c>
      <c r="K105" s="89">
        <f t="shared" si="89"/>
        <v>0</v>
      </c>
      <c r="L105" s="89">
        <f t="shared" si="89"/>
        <v>0</v>
      </c>
      <c r="M105" s="89">
        <f t="shared" si="89"/>
        <v>0</v>
      </c>
      <c r="N105" s="89">
        <f t="shared" si="89"/>
        <v>0</v>
      </c>
      <c r="O105" s="89">
        <f t="shared" si="89"/>
        <v>0</v>
      </c>
      <c r="P105" s="89">
        <f t="shared" si="89"/>
        <v>0</v>
      </c>
      <c r="Q105" s="89">
        <f t="shared" si="89"/>
        <v>0</v>
      </c>
      <c r="R105" s="89">
        <f t="shared" ref="R105" si="90">IF(R81&lt;0,R81*-1,0)</f>
        <v>0</v>
      </c>
      <c r="S105" s="89">
        <f t="shared" si="89"/>
        <v>0</v>
      </c>
      <c r="T105" s="89">
        <f t="shared" si="89"/>
        <v>0</v>
      </c>
      <c r="U105" s="89">
        <f t="shared" si="89"/>
        <v>0</v>
      </c>
      <c r="V105" s="89">
        <f t="shared" si="89"/>
        <v>0</v>
      </c>
      <c r="W105" s="89">
        <f t="shared" si="89"/>
        <v>0</v>
      </c>
      <c r="X105" s="89">
        <f t="shared" si="89"/>
        <v>0</v>
      </c>
      <c r="Y105" s="89">
        <f t="shared" si="89"/>
        <v>0</v>
      </c>
      <c r="Z105" s="89">
        <f t="shared" si="89"/>
        <v>0</v>
      </c>
      <c r="AA105" s="89">
        <f t="shared" si="89"/>
        <v>0</v>
      </c>
      <c r="AB105" s="89">
        <f t="shared" ref="AB105:AC105" si="91">IF(AB81&lt;0,AB81*-1,0)</f>
        <v>0</v>
      </c>
      <c r="AC105" s="89">
        <f t="shared" si="91"/>
        <v>0</v>
      </c>
      <c r="AD105" s="89">
        <f t="shared" ref="AD105:AE105" si="92">IF(AD81&lt;0,AD81*-1,0)</f>
        <v>0</v>
      </c>
      <c r="AE105" s="89">
        <f t="shared" si="92"/>
        <v>0</v>
      </c>
      <c r="AF105" s="89">
        <f t="shared" ref="AF105" si="93">IF(AF81&lt;0,AF81*-1,0)</f>
        <v>0</v>
      </c>
      <c r="AG105" s="111"/>
      <c r="AH105" s="48">
        <f t="shared" si="47"/>
        <v>23</v>
      </c>
      <c r="AI105" s="49">
        <f t="shared" si="48"/>
        <v>0</v>
      </c>
      <c r="BF105" s="81"/>
      <c r="BG105" s="82">
        <v>17.5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47"/>
        <v>0</v>
      </c>
      <c r="AI106" s="49">
        <f t="shared" si="48"/>
        <v>0</v>
      </c>
      <c r="BG106" s="82">
        <v>17</v>
      </c>
      <c r="BH106" s="82">
        <v>0</v>
      </c>
      <c r="BI106" s="82">
        <v>-8.6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AA107" si="94">SUM(B101:B106)</f>
        <v>312</v>
      </c>
      <c r="C107" s="71">
        <f t="shared" si="94"/>
        <v>401</v>
      </c>
      <c r="D107" s="71">
        <f t="shared" si="94"/>
        <v>403</v>
      </c>
      <c r="E107" s="71">
        <f t="shared" si="94"/>
        <v>489</v>
      </c>
      <c r="F107" s="71">
        <f t="shared" si="94"/>
        <v>465</v>
      </c>
      <c r="G107" s="71">
        <f t="shared" si="94"/>
        <v>469</v>
      </c>
      <c r="H107" s="71">
        <f t="shared" si="94"/>
        <v>469</v>
      </c>
      <c r="I107" s="71">
        <f t="shared" si="94"/>
        <v>0</v>
      </c>
      <c r="J107" s="71">
        <f t="shared" si="94"/>
        <v>0</v>
      </c>
      <c r="K107" s="71">
        <f t="shared" si="94"/>
        <v>198</v>
      </c>
      <c r="L107" s="71">
        <f t="shared" si="94"/>
        <v>465</v>
      </c>
      <c r="M107" s="71">
        <f t="shared" si="94"/>
        <v>422</v>
      </c>
      <c r="N107" s="71">
        <f t="shared" si="94"/>
        <v>390</v>
      </c>
      <c r="O107" s="71">
        <f t="shared" si="94"/>
        <v>357</v>
      </c>
      <c r="P107" s="71">
        <f t="shared" si="94"/>
        <v>316</v>
      </c>
      <c r="Q107" s="71">
        <f t="shared" si="94"/>
        <v>225</v>
      </c>
      <c r="R107" s="71">
        <f t="shared" ref="R107" si="95">SUM(R101:R106)</f>
        <v>220</v>
      </c>
      <c r="S107" s="71">
        <f t="shared" si="94"/>
        <v>170</v>
      </c>
      <c r="T107" s="71">
        <f t="shared" si="94"/>
        <v>222</v>
      </c>
      <c r="U107" s="71">
        <f t="shared" si="94"/>
        <v>225.3</v>
      </c>
      <c r="V107" s="71">
        <f t="shared" si="94"/>
        <v>5</v>
      </c>
      <c r="W107" s="71">
        <f t="shared" si="94"/>
        <v>5.3</v>
      </c>
      <c r="X107" s="71">
        <f t="shared" si="94"/>
        <v>4</v>
      </c>
      <c r="Y107" s="71">
        <f t="shared" si="94"/>
        <v>0</v>
      </c>
      <c r="Z107" s="71">
        <f t="shared" si="94"/>
        <v>0</v>
      </c>
      <c r="AA107" s="71">
        <f t="shared" si="94"/>
        <v>9.9</v>
      </c>
      <c r="AB107" s="71">
        <f t="shared" ref="AB107:AC107" si="96">SUM(AB101:AB106)</f>
        <v>8.6</v>
      </c>
      <c r="AC107" s="71">
        <f t="shared" si="96"/>
        <v>0</v>
      </c>
      <c r="AD107" s="71">
        <f t="shared" ref="AD107:AE107" si="97">SUM(AD101:AD106)</f>
        <v>0</v>
      </c>
      <c r="AE107" s="71">
        <f t="shared" si="97"/>
        <v>0</v>
      </c>
      <c r="AF107" s="71">
        <f t="shared" ref="AF107" si="98">SUM(AF101:AF106)</f>
        <v>8.6</v>
      </c>
      <c r="AG107" s="101"/>
      <c r="AH107" s="48">
        <f t="shared" si="47"/>
        <v>489</v>
      </c>
      <c r="AI107" s="49">
        <f t="shared" si="48"/>
        <v>0</v>
      </c>
      <c r="AK107" s="51"/>
      <c r="BG107" s="82">
        <v>-8</v>
      </c>
      <c r="BH107" s="82">
        <v>0</v>
      </c>
      <c r="BI107" s="82">
        <v>-304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 t="shared" ref="B108:AA108" si="99">B92-B107</f>
        <v>-312</v>
      </c>
      <c r="C108" s="71">
        <f t="shared" si="99"/>
        <v>-401</v>
      </c>
      <c r="D108" s="71">
        <f t="shared" si="99"/>
        <v>-403</v>
      </c>
      <c r="E108" s="71">
        <f t="shared" si="99"/>
        <v>-489</v>
      </c>
      <c r="F108" s="71">
        <f t="shared" si="99"/>
        <v>-465</v>
      </c>
      <c r="G108" s="71">
        <f t="shared" si="99"/>
        <v>-469</v>
      </c>
      <c r="H108" s="71">
        <f t="shared" si="99"/>
        <v>-469</v>
      </c>
      <c r="I108" s="71">
        <f t="shared" si="99"/>
        <v>0</v>
      </c>
      <c r="J108" s="71">
        <f t="shared" si="99"/>
        <v>0</v>
      </c>
      <c r="K108" s="71">
        <f t="shared" si="99"/>
        <v>-166</v>
      </c>
      <c r="L108" s="71">
        <f t="shared" si="99"/>
        <v>-430</v>
      </c>
      <c r="M108" s="71">
        <f t="shared" si="99"/>
        <v>-295.2</v>
      </c>
      <c r="N108" s="71">
        <f t="shared" si="99"/>
        <v>-254.3</v>
      </c>
      <c r="O108" s="71">
        <f t="shared" si="99"/>
        <v>-133.19999999999999</v>
      </c>
      <c r="P108" s="71">
        <f t="shared" si="99"/>
        <v>-58.100000000000023</v>
      </c>
      <c r="Q108" s="71">
        <f t="shared" si="99"/>
        <v>-58.5</v>
      </c>
      <c r="R108" s="71">
        <f t="shared" si="99"/>
        <v>-23.299999999999983</v>
      </c>
      <c r="S108" s="71">
        <f t="shared" si="99"/>
        <v>25.300000000000011</v>
      </c>
      <c r="T108" s="71">
        <f t="shared" si="99"/>
        <v>-32</v>
      </c>
      <c r="U108" s="71">
        <f t="shared" si="99"/>
        <v>-32</v>
      </c>
      <c r="V108" s="71">
        <f t="shared" si="99"/>
        <v>156.60000000000002</v>
      </c>
      <c r="W108" s="71">
        <f t="shared" si="99"/>
        <v>144.39999999999998</v>
      </c>
      <c r="X108" s="71">
        <f t="shared" si="99"/>
        <v>148.9</v>
      </c>
      <c r="Y108" s="71">
        <f t="shared" si="99"/>
        <v>40.200000000000003</v>
      </c>
      <c r="Z108" s="71">
        <f t="shared" si="99"/>
        <v>21.400000000000002</v>
      </c>
      <c r="AA108" s="71">
        <f t="shared" si="99"/>
        <v>19.299999999999997</v>
      </c>
      <c r="AB108" s="71">
        <f t="shared" ref="AB108:AC108" si="100">AB92-AB107</f>
        <v>19</v>
      </c>
      <c r="AC108" s="71">
        <f t="shared" si="100"/>
        <v>59.300000000000004</v>
      </c>
      <c r="AD108" s="71">
        <f t="shared" ref="AD108:AE108" si="101">AD92-AD107</f>
        <v>32.1</v>
      </c>
      <c r="AE108" s="71">
        <f t="shared" si="101"/>
        <v>17.5</v>
      </c>
      <c r="AF108" s="71">
        <f t="shared" ref="AF108" si="102">AF92-AF107</f>
        <v>8.4</v>
      </c>
      <c r="AG108" s="101"/>
      <c r="AH108" s="48">
        <f t="shared" si="47"/>
        <v>156.60000000000002</v>
      </c>
      <c r="AI108" s="49">
        <f t="shared" si="48"/>
        <v>-489</v>
      </c>
    </row>
    <row r="109" spans="1:64" x14ac:dyDescent="0.25">
      <c r="A109" s="113" t="s">
        <v>132</v>
      </c>
      <c r="B109" s="114">
        <v>50.085999999999999</v>
      </c>
      <c r="C109" s="114">
        <v>50.052</v>
      </c>
      <c r="D109" s="114">
        <v>49.935000000000002</v>
      </c>
      <c r="E109" s="114">
        <v>49.984999999999999</v>
      </c>
      <c r="F109" s="114">
        <v>49.984999999999999</v>
      </c>
      <c r="G109" s="114">
        <v>49.984999999999999</v>
      </c>
      <c r="H109" s="114">
        <v>49.984999999999999</v>
      </c>
      <c r="I109" s="114"/>
      <c r="J109" s="114"/>
      <c r="K109" s="114">
        <v>50.045000000000002</v>
      </c>
      <c r="L109" s="114">
        <v>50.072000000000003</v>
      </c>
      <c r="M109" s="114">
        <v>50.024000000000001</v>
      </c>
      <c r="N109" s="114">
        <v>50.015999999999998</v>
      </c>
      <c r="O109" s="114">
        <v>50.012999999999998</v>
      </c>
      <c r="P109" s="114">
        <v>49.93</v>
      </c>
      <c r="Q109" s="114">
        <v>50.003999999999998</v>
      </c>
      <c r="R109" s="114">
        <v>50</v>
      </c>
      <c r="S109" s="114">
        <v>49.954000000000001</v>
      </c>
      <c r="T109" s="114">
        <v>49.92</v>
      </c>
      <c r="U109" s="114">
        <v>49.991</v>
      </c>
      <c r="V109" s="114">
        <v>50.031999999999996</v>
      </c>
      <c r="W109" s="114">
        <v>50.031999999999996</v>
      </c>
      <c r="X109" s="114">
        <v>50.043999999999997</v>
      </c>
      <c r="Y109" s="114">
        <v>49.954999999999998</v>
      </c>
      <c r="Z109" s="114">
        <v>49.997999999999998</v>
      </c>
      <c r="AA109" s="114">
        <v>50.030999999999999</v>
      </c>
      <c r="AB109" s="114">
        <v>50.03</v>
      </c>
      <c r="AC109" s="114">
        <v>49.99</v>
      </c>
      <c r="AD109" s="114">
        <v>50.02</v>
      </c>
      <c r="AE109" s="114">
        <v>50.04</v>
      </c>
      <c r="AF109" s="114">
        <v>50.05</v>
      </c>
      <c r="AG109" s="115"/>
      <c r="AH109" s="48">
        <f t="shared" si="47"/>
        <v>50.085999999999999</v>
      </c>
      <c r="AI109" s="49">
        <f t="shared" si="48"/>
        <v>49.92</v>
      </c>
    </row>
    <row r="110" spans="1:64" x14ac:dyDescent="0.25">
      <c r="A110" s="116" t="s">
        <v>133</v>
      </c>
      <c r="B110" s="76">
        <v>121.8</v>
      </c>
      <c r="C110" s="76">
        <v>122.7</v>
      </c>
      <c r="D110" s="76">
        <v>123.8</v>
      </c>
      <c r="E110" s="76">
        <v>123.2</v>
      </c>
      <c r="F110" s="76">
        <v>123.2</v>
      </c>
      <c r="G110" s="76">
        <v>123.2</v>
      </c>
      <c r="H110" s="76">
        <v>123.2</v>
      </c>
      <c r="I110" s="76"/>
      <c r="J110" s="76"/>
      <c r="K110" s="76">
        <v>124</v>
      </c>
      <c r="L110" s="76">
        <v>123.5</v>
      </c>
      <c r="M110" s="76">
        <v>124.7</v>
      </c>
      <c r="N110" s="76">
        <v>124.1</v>
      </c>
      <c r="O110" s="76">
        <v>125.4</v>
      </c>
      <c r="P110" s="76">
        <v>125.6</v>
      </c>
      <c r="Q110" s="76">
        <v>123.1</v>
      </c>
      <c r="R110" s="76">
        <v>123.5</v>
      </c>
      <c r="S110" s="76">
        <v>123</v>
      </c>
      <c r="T110" s="76">
        <v>123</v>
      </c>
      <c r="U110" s="76">
        <v>124.2</v>
      </c>
      <c r="V110" s="76">
        <v>125.1</v>
      </c>
      <c r="W110" s="76">
        <v>127</v>
      </c>
      <c r="X110" s="76">
        <v>127</v>
      </c>
      <c r="Y110" s="76">
        <v>124.5</v>
      </c>
      <c r="Z110" s="76">
        <v>124</v>
      </c>
      <c r="AA110" s="76">
        <v>123.6</v>
      </c>
      <c r="AB110" s="76">
        <v>123.6</v>
      </c>
      <c r="AC110" s="76">
        <v>125.3</v>
      </c>
      <c r="AD110" s="76">
        <v>125.3</v>
      </c>
      <c r="AE110" s="76">
        <v>125.4</v>
      </c>
      <c r="AF110" s="76">
        <v>125.2</v>
      </c>
      <c r="AG110" s="117"/>
      <c r="AH110" s="48">
        <f t="shared" si="47"/>
        <v>127</v>
      </c>
      <c r="AI110" s="49">
        <f t="shared" si="48"/>
        <v>121.8</v>
      </c>
    </row>
    <row r="111" spans="1:64" x14ac:dyDescent="0.25">
      <c r="A111" s="116" t="s">
        <v>134</v>
      </c>
      <c r="B111" s="76">
        <v>127.4</v>
      </c>
      <c r="C111" s="76">
        <v>128.19999999999999</v>
      </c>
      <c r="D111" s="76">
        <v>128.30000000000001</v>
      </c>
      <c r="E111" s="76">
        <v>128.30000000000001</v>
      </c>
      <c r="F111" s="76">
        <v>128.30000000000001</v>
      </c>
      <c r="G111" s="76">
        <v>128.30000000000001</v>
      </c>
      <c r="H111" s="76">
        <v>128.30000000000001</v>
      </c>
      <c r="I111" s="76"/>
      <c r="J111" s="76"/>
      <c r="K111" s="76">
        <v>127.4</v>
      </c>
      <c r="L111" s="76">
        <v>126.6</v>
      </c>
      <c r="M111" s="76">
        <v>127.7</v>
      </c>
      <c r="N111" s="76">
        <v>126.9</v>
      </c>
      <c r="O111" s="76">
        <v>127.2</v>
      </c>
      <c r="P111" s="76">
        <v>128.30000000000001</v>
      </c>
      <c r="Q111" s="76">
        <v>126</v>
      </c>
      <c r="R111" s="76">
        <v>126.5</v>
      </c>
      <c r="S111" s="76">
        <v>126.1</v>
      </c>
      <c r="T111" s="76">
        <v>126.1</v>
      </c>
      <c r="U111" s="76">
        <v>127.1</v>
      </c>
      <c r="V111" s="76">
        <v>127.7</v>
      </c>
      <c r="W111" s="76">
        <v>129.19999999999999</v>
      </c>
      <c r="X111" s="76">
        <v>129.19999999999999</v>
      </c>
      <c r="Y111" s="76">
        <v>127.5</v>
      </c>
      <c r="Z111" s="76">
        <v>127</v>
      </c>
      <c r="AA111" s="76">
        <v>126.6</v>
      </c>
      <c r="AB111" s="76">
        <v>126.6</v>
      </c>
      <c r="AC111" s="76">
        <v>128.19999999999999</v>
      </c>
      <c r="AD111" s="76">
        <v>128.19999999999999</v>
      </c>
      <c r="AE111" s="76">
        <v>129.4</v>
      </c>
      <c r="AF111" s="76">
        <v>129.4</v>
      </c>
      <c r="AG111" s="117"/>
      <c r="AH111" s="48">
        <f t="shared" si="47"/>
        <v>129.4</v>
      </c>
      <c r="AI111" s="49">
        <f t="shared" si="48"/>
        <v>126</v>
      </c>
    </row>
    <row r="112" spans="1:64" x14ac:dyDescent="0.25">
      <c r="A112" s="116" t="s">
        <v>135</v>
      </c>
      <c r="B112" s="76">
        <v>129.30000000000001</v>
      </c>
      <c r="C112" s="76">
        <v>129.80000000000001</v>
      </c>
      <c r="D112" s="76">
        <v>130.6</v>
      </c>
      <c r="E112" s="76">
        <v>129.69999999999999</v>
      </c>
      <c r="F112" s="76">
        <v>129.69999999999999</v>
      </c>
      <c r="G112" s="76">
        <v>129.69999999999999</v>
      </c>
      <c r="H112" s="76">
        <v>129.69999999999999</v>
      </c>
      <c r="I112" s="76"/>
      <c r="J112" s="76"/>
      <c r="K112" s="76">
        <v>128.19999999999999</v>
      </c>
      <c r="L112" s="76">
        <v>130.30000000000001</v>
      </c>
      <c r="M112" s="76">
        <v>125.8</v>
      </c>
      <c r="N112" s="76">
        <v>126.5</v>
      </c>
      <c r="O112" s="76">
        <v>127.7</v>
      </c>
      <c r="P112" s="76">
        <v>125.3</v>
      </c>
      <c r="Q112" s="76">
        <v>127.1</v>
      </c>
      <c r="R112" s="76">
        <v>124.5</v>
      </c>
      <c r="S112" s="76">
        <v>123.4</v>
      </c>
      <c r="T112" s="76">
        <v>123.4</v>
      </c>
      <c r="U112" s="76">
        <v>124</v>
      </c>
      <c r="V112" s="76">
        <v>132.5</v>
      </c>
      <c r="W112" s="76">
        <v>128.6</v>
      </c>
      <c r="X112" s="76">
        <v>128.6</v>
      </c>
      <c r="Y112" s="76">
        <v>129.4</v>
      </c>
      <c r="Z112" s="76">
        <v>126.6</v>
      </c>
      <c r="AA112" s="76">
        <v>126.7</v>
      </c>
      <c r="AB112" s="76">
        <v>126.7</v>
      </c>
      <c r="AC112" s="76">
        <v>128.19999999999999</v>
      </c>
      <c r="AD112" s="76">
        <v>128.19999999999999</v>
      </c>
      <c r="AE112" s="76">
        <v>128</v>
      </c>
      <c r="AF112" s="76">
        <v>129</v>
      </c>
      <c r="AG112" s="117"/>
      <c r="AH112" s="48">
        <f t="shared" si="47"/>
        <v>132.5</v>
      </c>
      <c r="AI112" s="49">
        <f t="shared" si="48"/>
        <v>123.4</v>
      </c>
    </row>
    <row r="113" spans="1:35" x14ac:dyDescent="0.25">
      <c r="A113" s="118" t="s">
        <v>136</v>
      </c>
      <c r="B113" s="76">
        <v>130.19999999999999</v>
      </c>
      <c r="C113" s="76">
        <v>131.6</v>
      </c>
      <c r="D113" s="76">
        <v>131.69999999999999</v>
      </c>
      <c r="E113" s="76">
        <v>131.80000000000001</v>
      </c>
      <c r="F113" s="76">
        <v>131.80000000000001</v>
      </c>
      <c r="G113" s="76">
        <v>131.80000000000001</v>
      </c>
      <c r="H113" s="76">
        <v>131.80000000000001</v>
      </c>
      <c r="I113" s="76"/>
      <c r="J113" s="76"/>
      <c r="K113" s="76">
        <v>131.19999999999999</v>
      </c>
      <c r="L113" s="76">
        <v>131.69999999999999</v>
      </c>
      <c r="M113" s="76">
        <v>125.8</v>
      </c>
      <c r="N113" s="76">
        <v>126.6</v>
      </c>
      <c r="O113" s="76">
        <v>131.80000000000001</v>
      </c>
      <c r="P113" s="76">
        <v>129.69999999999999</v>
      </c>
      <c r="Q113" s="76">
        <v>128.19999999999999</v>
      </c>
      <c r="R113" s="76">
        <v>124.4</v>
      </c>
      <c r="S113" s="76">
        <v>122.9</v>
      </c>
      <c r="T113" s="76">
        <v>122.9</v>
      </c>
      <c r="U113" s="76">
        <v>122.8</v>
      </c>
      <c r="V113" s="76">
        <v>131.69999999999999</v>
      </c>
      <c r="W113" s="76">
        <v>128.19999999999999</v>
      </c>
      <c r="X113" s="76">
        <v>128.19999999999999</v>
      </c>
      <c r="Y113" s="76">
        <v>128.69999999999999</v>
      </c>
      <c r="Z113" s="76">
        <v>125.3</v>
      </c>
      <c r="AA113" s="76">
        <v>125.1</v>
      </c>
      <c r="AB113" s="76">
        <v>125.1</v>
      </c>
      <c r="AC113" s="76">
        <v>127.4</v>
      </c>
      <c r="AD113" s="76">
        <v>127.4</v>
      </c>
      <c r="AE113" s="76">
        <v>128.6</v>
      </c>
      <c r="AF113" s="76">
        <v>130.4</v>
      </c>
      <c r="AG113" s="117"/>
      <c r="AH113" s="48">
        <f t="shared" si="47"/>
        <v>131.80000000000001</v>
      </c>
      <c r="AI113" s="49">
        <f t="shared" si="48"/>
        <v>122.8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>
        <v>132.19999999999999</v>
      </c>
      <c r="AB114" s="119">
        <v>132.19999999999999</v>
      </c>
      <c r="AC114" s="119">
        <v>132.19999999999999</v>
      </c>
      <c r="AD114" s="119">
        <v>132.19999999999999</v>
      </c>
      <c r="AE114" s="119">
        <v>132.19999999999999</v>
      </c>
      <c r="AF114" s="119">
        <v>132.19999999999999</v>
      </c>
      <c r="AG114" s="120"/>
      <c r="AH114" s="48">
        <f t="shared" si="47"/>
        <v>132.19999999999999</v>
      </c>
      <c r="AI114" s="49">
        <f t="shared" si="48"/>
        <v>132.19999999999999</v>
      </c>
    </row>
    <row r="115" spans="1:35" x14ac:dyDescent="0.25">
      <c r="A115" s="116" t="s">
        <v>138</v>
      </c>
      <c r="B115" s="76">
        <v>117</v>
      </c>
      <c r="C115" s="76">
        <v>121</v>
      </c>
      <c r="D115" s="76">
        <v>126.7</v>
      </c>
      <c r="E115" s="76">
        <v>123</v>
      </c>
      <c r="F115" s="76">
        <v>123</v>
      </c>
      <c r="G115" s="76">
        <v>123</v>
      </c>
      <c r="H115" s="76">
        <v>123</v>
      </c>
      <c r="I115" s="76"/>
      <c r="J115" s="76"/>
      <c r="K115" s="76">
        <v>131.30000000000001</v>
      </c>
      <c r="L115" s="76">
        <v>120.6</v>
      </c>
      <c r="M115" s="76">
        <v>119.4</v>
      </c>
      <c r="N115" s="76">
        <v>125.9</v>
      </c>
      <c r="O115" s="76">
        <v>120.3</v>
      </c>
      <c r="P115" s="76">
        <v>118.4</v>
      </c>
      <c r="Q115" s="76">
        <v>124</v>
      </c>
      <c r="R115" s="76">
        <v>121.5</v>
      </c>
      <c r="S115" s="76">
        <v>127</v>
      </c>
      <c r="T115" s="76">
        <v>127</v>
      </c>
      <c r="U115" s="76">
        <v>119</v>
      </c>
      <c r="V115" s="76">
        <v>121.3</v>
      </c>
      <c r="W115" s="76">
        <v>122.9</v>
      </c>
      <c r="X115" s="76">
        <v>122.9</v>
      </c>
      <c r="Y115" s="76">
        <v>121.8</v>
      </c>
      <c r="Z115" s="76">
        <v>126.6</v>
      </c>
      <c r="AA115" s="76">
        <v>129.80000000000001</v>
      </c>
      <c r="AB115" s="76">
        <v>129.80000000000001</v>
      </c>
      <c r="AC115" s="76">
        <v>124.4</v>
      </c>
      <c r="AD115" s="76">
        <v>124.4</v>
      </c>
      <c r="AE115" s="76">
        <v>126.7</v>
      </c>
      <c r="AF115" s="76">
        <v>130</v>
      </c>
      <c r="AG115" s="117"/>
      <c r="AH115" s="48">
        <f t="shared" si="47"/>
        <v>131.30000000000001</v>
      </c>
      <c r="AI115" s="49">
        <f t="shared" si="48"/>
        <v>117</v>
      </c>
    </row>
    <row r="116" spans="1:35" ht="15.75" thickBot="1" x14ac:dyDescent="0.3">
      <c r="A116" s="116" t="s">
        <v>139</v>
      </c>
      <c r="B116" s="105">
        <v>64</v>
      </c>
      <c r="C116" s="105">
        <v>64.599999999999994</v>
      </c>
      <c r="D116" s="105">
        <v>65.099999999999994</v>
      </c>
      <c r="E116" s="105">
        <v>65</v>
      </c>
      <c r="F116" s="105">
        <v>65</v>
      </c>
      <c r="G116" s="105">
        <v>65</v>
      </c>
      <c r="H116" s="105">
        <v>65</v>
      </c>
      <c r="I116" s="105"/>
      <c r="J116" s="105"/>
      <c r="K116" s="105">
        <v>64.3</v>
      </c>
      <c r="L116" s="105">
        <v>63.8</v>
      </c>
      <c r="M116" s="105">
        <v>64.5</v>
      </c>
      <c r="N116" s="105">
        <v>64.099999999999994</v>
      </c>
      <c r="O116" s="105">
        <v>64.2</v>
      </c>
      <c r="P116" s="105">
        <v>64.7</v>
      </c>
      <c r="Q116" s="105">
        <v>63.6</v>
      </c>
      <c r="R116" s="105">
        <v>63.5</v>
      </c>
      <c r="S116" s="105">
        <v>63.3</v>
      </c>
      <c r="T116" s="105">
        <v>63.3</v>
      </c>
      <c r="U116" s="105">
        <v>63.9</v>
      </c>
      <c r="V116" s="105">
        <v>64.5</v>
      </c>
      <c r="W116" s="105">
        <v>65.099999999999994</v>
      </c>
      <c r="X116" s="105">
        <v>65.099999999999994</v>
      </c>
      <c r="Y116" s="105">
        <v>64.5</v>
      </c>
      <c r="Z116" s="105">
        <v>64.3</v>
      </c>
      <c r="AA116" s="105">
        <v>64.099999999999994</v>
      </c>
      <c r="AB116" s="105">
        <v>64.099999999999994</v>
      </c>
      <c r="AC116" s="105">
        <v>64.8</v>
      </c>
      <c r="AD116" s="105">
        <v>64.8</v>
      </c>
      <c r="AE116" s="105">
        <v>65.5</v>
      </c>
      <c r="AF116" s="105">
        <v>65.5</v>
      </c>
      <c r="AG116" s="121"/>
      <c r="AH116" s="48">
        <f t="shared" si="47"/>
        <v>65.5</v>
      </c>
      <c r="AI116" s="49">
        <f t="shared" si="48"/>
        <v>63.3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47"/>
        <v>0</v>
      </c>
      <c r="AI117" s="49">
        <f t="shared" si="48"/>
        <v>0</v>
      </c>
    </row>
    <row r="118" spans="1:35" ht="15.75" thickBot="1" x14ac:dyDescent="0.3">
      <c r="A118" s="123" t="s">
        <v>141</v>
      </c>
      <c r="B118" s="124">
        <f t="shared" ref="B118:O118" si="103">SUM(B22,B28,B31:B32,B66,B68:B69,B71,B73,B119:B123,B155,B161,B167,B176,B178,B190,B197,B200:B201,B208,B210,B212,B216:B218,B220:B222,B227,B233:B234,B236:B238,B246,B251)</f>
        <v>67.639999999999986</v>
      </c>
      <c r="C118" s="124">
        <f t="shared" si="103"/>
        <v>66.639999999999986</v>
      </c>
      <c r="D118" s="124">
        <f t="shared" si="103"/>
        <v>56.639999999999986</v>
      </c>
      <c r="E118" s="124">
        <f t="shared" si="103"/>
        <v>57.239999999999995</v>
      </c>
      <c r="F118" s="124">
        <f t="shared" si="103"/>
        <v>55.539999999999978</v>
      </c>
      <c r="G118" s="124">
        <f t="shared" si="103"/>
        <v>84.439999999999984</v>
      </c>
      <c r="H118" s="124">
        <f t="shared" si="103"/>
        <v>84.439999999999984</v>
      </c>
      <c r="I118" s="124">
        <f t="shared" si="103"/>
        <v>136.04</v>
      </c>
      <c r="J118" s="124">
        <f t="shared" si="103"/>
        <v>109.53999999999999</v>
      </c>
      <c r="K118" s="124">
        <f t="shared" si="103"/>
        <v>88.539999999999978</v>
      </c>
      <c r="L118" s="124">
        <f t="shared" si="103"/>
        <v>203.84</v>
      </c>
      <c r="M118" s="124">
        <f t="shared" si="103"/>
        <v>227.43999999999997</v>
      </c>
      <c r="N118" s="124">
        <f t="shared" si="103"/>
        <v>232.93999999999994</v>
      </c>
      <c r="O118" s="124">
        <f t="shared" si="103"/>
        <v>230.24</v>
      </c>
      <c r="P118" s="124">
        <v>42</v>
      </c>
      <c r="Q118" s="124">
        <f t="shared" ref="Q118:X118" si="104">SUM(Q22,Q28,Q31:Q32,Q66,Q68:Q69,Q71,Q73,Q119:Q123,Q155,Q161,Q167,Q176,Q178,Q190,Q197,Q200:Q201,Q208,Q210,Q212,Q216:Q218,Q220:Q222,Q227,Q233:Q234,Q236:Q238,Q246,Q251)</f>
        <v>211.43999999999994</v>
      </c>
      <c r="R118" s="124">
        <f t="shared" si="104"/>
        <v>214.14</v>
      </c>
      <c r="S118" s="124">
        <f t="shared" si="104"/>
        <v>206.94</v>
      </c>
      <c r="T118" s="124">
        <f t="shared" si="104"/>
        <v>202.04000000000002</v>
      </c>
      <c r="U118" s="124">
        <f t="shared" si="104"/>
        <v>200.64000000000001</v>
      </c>
      <c r="V118" s="124">
        <f t="shared" si="104"/>
        <v>219.84000000000003</v>
      </c>
      <c r="W118" s="124">
        <f t="shared" si="104"/>
        <v>212.04000000000002</v>
      </c>
      <c r="X118" s="124">
        <f t="shared" si="104"/>
        <v>214.64</v>
      </c>
      <c r="Y118" s="124">
        <f>SUM(Y20,Y26,Y37:Y38,Y66,Y68:Y69,Y71,Y73,Y119:Y123,Y148,Y154,Y160,Y169,Y171,Y183,Y190,Y193:Y194,Y201,Y203,Y205,Y209:Y211,Y213:Y215,Y220,Y226:Y227,Y229:Y231,Y239,Y244)</f>
        <v>276.8</v>
      </c>
      <c r="Z118" s="124">
        <f>SUM(Z20,Z26,Z37:Z38,Z66,Z68:Z69,Z71,Z73,Z119:Z123,Z148,Z154,Z160,Z169,Z171,Z183,Z190,Z193:Z194,Z201,Z203,Z205,Z209:Z211,Z213:Z215,Z220,Z226:Z227,Z229:Z231,Z239,Z244)</f>
        <v>282.7</v>
      </c>
      <c r="AA118" s="124">
        <f t="shared" ref="AA118" si="105">SUM(AA22,AA28,AA31:AA32,AA66,AA68:AA69,AA71,AA73,AA119:AA123,AA155,AA161,AA167,AA176,AA178,AA190,AA197,AA200:AA201,AA208,AA210,AA212,AA216:AA218,AA220:AA222,AA227,AA233:AA234,AA236:AA238,AA246,AA251)</f>
        <v>267.84000000000003</v>
      </c>
      <c r="AB118" s="124">
        <f t="shared" ref="AB118:AC118" si="106">SUM(AB22,AB28,AB31:AB32,AB66,AB68:AB69,AB71,AB73,AB119:AB123,AB155,AB161,AB167,AB176,AB178,AB190,AB197,AB200:AB201,AB208,AB210,AB212,AB216:AB218,AB220:AB222,AB227,AB233:AB234,AB236:AB238,AB246,AB251)</f>
        <v>275.93999999999994</v>
      </c>
      <c r="AC118" s="124">
        <f t="shared" si="106"/>
        <v>249.24</v>
      </c>
      <c r="AD118" s="124">
        <f t="shared" ref="AD118:AE118" si="107">SUM(AD22,AD28,AD31:AD32,AD66,AD68:AD69,AD71,AD73,AD119:AD123,AD155,AD161,AD167,AD176,AD178,AD190,AD197,AD200:AD201,AD208,AD210,AD212,AD216:AD218,AD220:AD222,AD227,AD233:AD234,AD236:AD238,AD246,AD251)</f>
        <v>220.53999999999996</v>
      </c>
      <c r="AE118" s="124">
        <f t="shared" si="107"/>
        <v>169.24</v>
      </c>
      <c r="AF118" s="124">
        <f t="shared" ref="AF118" si="108">SUM(AF22,AF28,AF31:AF32,AF66,AF68:AF69,AF71,AF73,AF119:AF123,AF155,AF161,AF167,AF176,AF178,AF190,AF197,AF200:AF201,AF208,AF210,AF212,AF216:AF218,AF220:AF222,AF227,AF233:AF234,AF236:AF238,AF246,AF251)</f>
        <v>136.93999999999997</v>
      </c>
      <c r="AG118" s="125"/>
      <c r="AH118" s="48">
        <f t="shared" si="47"/>
        <v>282.7</v>
      </c>
      <c r="AI118" s="49">
        <f t="shared" si="48"/>
        <v>42</v>
      </c>
    </row>
    <row r="119" spans="1:35" x14ac:dyDescent="0.25">
      <c r="A119" s="126" t="s">
        <v>142</v>
      </c>
      <c r="B119" s="127">
        <v>62</v>
      </c>
      <c r="C119" s="127">
        <v>57</v>
      </c>
      <c r="D119" s="127">
        <v>71</v>
      </c>
      <c r="E119" s="127">
        <v>70.8</v>
      </c>
      <c r="F119" s="127">
        <v>64.7</v>
      </c>
      <c r="G119" s="127">
        <v>78.2</v>
      </c>
      <c r="H119" s="127">
        <v>78.2</v>
      </c>
      <c r="I119" s="127"/>
      <c r="J119" s="127"/>
      <c r="K119" s="127">
        <v>67.099999999999994</v>
      </c>
      <c r="L119" s="127">
        <v>65</v>
      </c>
      <c r="M119" s="127">
        <v>63.4</v>
      </c>
      <c r="N119" s="127">
        <v>58.2</v>
      </c>
      <c r="O119" s="127">
        <v>27.1</v>
      </c>
      <c r="P119" s="127">
        <v>41.3</v>
      </c>
      <c r="Q119" s="127">
        <v>39.200000000000003</v>
      </c>
      <c r="R119" s="127">
        <v>35.200000000000003</v>
      </c>
      <c r="S119" s="127">
        <v>21.1</v>
      </c>
      <c r="T119" s="127">
        <v>17.5</v>
      </c>
      <c r="U119" s="127">
        <v>19.5</v>
      </c>
      <c r="V119" s="127">
        <v>28.3</v>
      </c>
      <c r="W119" s="127">
        <v>38</v>
      </c>
      <c r="X119" s="127">
        <v>43.4</v>
      </c>
      <c r="Y119" s="127">
        <v>54.1</v>
      </c>
      <c r="Z119" s="127">
        <v>58.4</v>
      </c>
      <c r="AA119" s="127">
        <v>31.9</v>
      </c>
      <c r="AB119" s="127">
        <v>48.2</v>
      </c>
      <c r="AC119" s="127">
        <v>42.1</v>
      </c>
      <c r="AD119" s="127">
        <v>35.1</v>
      </c>
      <c r="AE119" s="127">
        <v>44.3</v>
      </c>
      <c r="AF119" s="127">
        <v>69.2</v>
      </c>
      <c r="AG119" s="128">
        <v>75</v>
      </c>
      <c r="AH119" s="48">
        <f t="shared" si="47"/>
        <v>78.2</v>
      </c>
      <c r="AI119" s="49">
        <f t="shared" si="48"/>
        <v>17.5</v>
      </c>
    </row>
    <row r="120" spans="1:35" x14ac:dyDescent="0.25">
      <c r="A120" s="129" t="s">
        <v>143</v>
      </c>
      <c r="B120" s="130">
        <v>93</v>
      </c>
      <c r="C120" s="130">
        <v>87</v>
      </c>
      <c r="D120" s="130">
        <v>107</v>
      </c>
      <c r="E120" s="130">
        <v>107.6</v>
      </c>
      <c r="F120" s="130">
        <v>98.6</v>
      </c>
      <c r="G120" s="130">
        <v>115</v>
      </c>
      <c r="H120" s="130">
        <v>115</v>
      </c>
      <c r="I120" s="130"/>
      <c r="J120" s="130"/>
      <c r="K120" s="130">
        <v>91.1</v>
      </c>
      <c r="L120" s="130">
        <v>87.2</v>
      </c>
      <c r="M120" s="130">
        <v>85.9</v>
      </c>
      <c r="N120" s="130">
        <v>78.400000000000006</v>
      </c>
      <c r="O120" s="130">
        <v>35.9</v>
      </c>
      <c r="P120" s="130">
        <v>56.2</v>
      </c>
      <c r="Q120" s="130">
        <v>53.5</v>
      </c>
      <c r="R120" s="130">
        <v>50</v>
      </c>
      <c r="S120" s="130">
        <v>30.1</v>
      </c>
      <c r="T120" s="130">
        <v>23.9</v>
      </c>
      <c r="U120" s="130">
        <v>27.9</v>
      </c>
      <c r="V120" s="130">
        <v>43.2</v>
      </c>
      <c r="W120" s="130">
        <v>53.4</v>
      </c>
      <c r="X120" s="130">
        <v>60</v>
      </c>
      <c r="Y120" s="130">
        <v>78.7</v>
      </c>
      <c r="Z120" s="130">
        <v>83.6</v>
      </c>
      <c r="AA120" s="130">
        <v>47.7</v>
      </c>
      <c r="AB120" s="130">
        <v>70.099999999999994</v>
      </c>
      <c r="AC120" s="130">
        <v>61</v>
      </c>
      <c r="AD120" s="130">
        <v>46.1</v>
      </c>
      <c r="AE120" s="130">
        <v>68.2</v>
      </c>
      <c r="AF120" s="130">
        <v>100.3</v>
      </c>
      <c r="AG120" s="128">
        <v>240</v>
      </c>
      <c r="AH120" s="48">
        <f t="shared" si="47"/>
        <v>115</v>
      </c>
      <c r="AI120" s="49">
        <f t="shared" si="48"/>
        <v>23.9</v>
      </c>
    </row>
    <row r="121" spans="1:35" x14ac:dyDescent="0.25">
      <c r="A121" s="129" t="s">
        <v>144</v>
      </c>
      <c r="B121" s="130">
        <v>-150</v>
      </c>
      <c r="C121" s="130">
        <v>-145</v>
      </c>
      <c r="D121" s="130">
        <v>-180</v>
      </c>
      <c r="E121" s="130">
        <v>-175</v>
      </c>
      <c r="F121" s="130">
        <v>-165.6</v>
      </c>
      <c r="G121" s="130">
        <v>-171.3</v>
      </c>
      <c r="H121" s="130">
        <v>-171.3</v>
      </c>
      <c r="I121" s="130"/>
      <c r="J121" s="130"/>
      <c r="K121" s="130">
        <v>-105.6</v>
      </c>
      <c r="L121" s="130">
        <v>-89</v>
      </c>
      <c r="M121" s="130">
        <f>-40-46</f>
        <v>-86</v>
      </c>
      <c r="N121" s="130">
        <f>-35.5-42.6</f>
        <v>-78.099999999999994</v>
      </c>
      <c r="O121" s="130">
        <f>-22.6-29.5</f>
        <v>-52.1</v>
      </c>
      <c r="P121" s="130">
        <f>-35-42</f>
        <v>-77</v>
      </c>
      <c r="Q121" s="130">
        <f>-34-39</f>
        <v>-73</v>
      </c>
      <c r="R121" s="130">
        <f>-34-37.8</f>
        <v>-71.8</v>
      </c>
      <c r="S121" s="130">
        <v>-80</v>
      </c>
      <c r="T121" s="130">
        <v>-85</v>
      </c>
      <c r="U121" s="130">
        <v>-90.9</v>
      </c>
      <c r="V121" s="130">
        <v>-68</v>
      </c>
      <c r="W121" s="130">
        <v>-81</v>
      </c>
      <c r="X121" s="130">
        <v>-80.2</v>
      </c>
      <c r="Y121" s="130">
        <v>-92</v>
      </c>
      <c r="Z121" s="130">
        <v>-105</v>
      </c>
      <c r="AA121" s="130">
        <v>-85</v>
      </c>
      <c r="AB121" s="130">
        <v>-74</v>
      </c>
      <c r="AC121" s="130">
        <v>-78</v>
      </c>
      <c r="AD121" s="130">
        <v>-79.8</v>
      </c>
      <c r="AE121" s="130">
        <v>-117</v>
      </c>
      <c r="AF121" s="130">
        <v>-155.80000000000001</v>
      </c>
      <c r="AG121" s="128">
        <v>240</v>
      </c>
      <c r="AH121" s="48">
        <f t="shared" si="47"/>
        <v>-52.1</v>
      </c>
      <c r="AI121" s="49">
        <f t="shared" si="48"/>
        <v>-180</v>
      </c>
    </row>
    <row r="122" spans="1:35" ht="15.75" thickBot="1" x14ac:dyDescent="0.3">
      <c r="A122" s="129" t="s">
        <v>145</v>
      </c>
      <c r="B122" s="130">
        <v>-19</v>
      </c>
      <c r="C122" s="130">
        <v>-18</v>
      </c>
      <c r="D122" s="130">
        <v>-23</v>
      </c>
      <c r="E122" s="130">
        <v>-24.5</v>
      </c>
      <c r="F122" s="130">
        <v>-20.7</v>
      </c>
      <c r="G122" s="130">
        <v>-24.8</v>
      </c>
      <c r="H122" s="130">
        <v>-24.8</v>
      </c>
      <c r="I122" s="130"/>
      <c r="J122" s="130"/>
      <c r="K122" s="130">
        <v>10.8</v>
      </c>
      <c r="L122" s="130">
        <v>-3.9</v>
      </c>
      <c r="M122" s="130">
        <v>7.4</v>
      </c>
      <c r="N122" s="130">
        <v>6.1</v>
      </c>
      <c r="O122" s="130">
        <v>7.6</v>
      </c>
      <c r="P122" s="130">
        <v>2.2999999999999998</v>
      </c>
      <c r="Q122" s="130">
        <v>-4.4000000000000004</v>
      </c>
      <c r="R122" s="130">
        <v>-4.8</v>
      </c>
      <c r="S122" s="130">
        <v>1.9</v>
      </c>
      <c r="T122" s="130">
        <v>18.399999999999999</v>
      </c>
      <c r="U122" s="130">
        <v>17.8</v>
      </c>
      <c r="V122" s="130">
        <v>2.2000000000000002</v>
      </c>
      <c r="W122" s="130">
        <v>5.3</v>
      </c>
      <c r="X122" s="130">
        <v>7.1</v>
      </c>
      <c r="Y122" s="130">
        <v>5</v>
      </c>
      <c r="Z122" s="130">
        <v>14</v>
      </c>
      <c r="AA122" s="130">
        <v>31.4</v>
      </c>
      <c r="AB122" s="130">
        <v>26.7</v>
      </c>
      <c r="AC122" s="130">
        <v>21.3</v>
      </c>
      <c r="AD122" s="130">
        <v>16.2</v>
      </c>
      <c r="AE122" s="130">
        <v>-1.9</v>
      </c>
      <c r="AF122" s="130">
        <v>-5.9</v>
      </c>
      <c r="AG122" s="128">
        <v>60</v>
      </c>
      <c r="AH122" s="48">
        <f t="shared" si="47"/>
        <v>31.4</v>
      </c>
      <c r="AI122" s="49">
        <f t="shared" si="48"/>
        <v>-24.8</v>
      </c>
    </row>
    <row r="123" spans="1:35" x14ac:dyDescent="0.25">
      <c r="A123" s="126" t="s">
        <v>146</v>
      </c>
      <c r="B123" s="131">
        <v>-56</v>
      </c>
      <c r="C123" s="131">
        <v>-52</v>
      </c>
      <c r="D123" s="131">
        <v>-56</v>
      </c>
      <c r="E123" s="131">
        <v>-57.7</v>
      </c>
      <c r="F123" s="131">
        <v>-57.5</v>
      </c>
      <c r="G123" s="131">
        <v>-48.7</v>
      </c>
      <c r="H123" s="131">
        <v>-48.7</v>
      </c>
      <c r="I123" s="131"/>
      <c r="J123" s="131"/>
      <c r="K123" s="131">
        <v>-13.4</v>
      </c>
      <c r="L123" s="131">
        <v>3.5</v>
      </c>
      <c r="M123" s="131">
        <v>12.2</v>
      </c>
      <c r="N123" s="131">
        <v>24.2</v>
      </c>
      <c r="O123" s="131">
        <v>63</v>
      </c>
      <c r="P123" s="131">
        <v>26.6</v>
      </c>
      <c r="Q123" s="131">
        <v>51.8</v>
      </c>
      <c r="R123" s="131">
        <v>61.3</v>
      </c>
      <c r="S123" s="131">
        <v>78.900000000000006</v>
      </c>
      <c r="T123" s="131">
        <v>75</v>
      </c>
      <c r="U123" s="131">
        <v>78.2</v>
      </c>
      <c r="V123" s="131">
        <v>70.3</v>
      </c>
      <c r="W123" s="131">
        <v>54.6</v>
      </c>
      <c r="X123" s="131">
        <v>43.4</v>
      </c>
      <c r="Y123" s="131">
        <v>65.5</v>
      </c>
      <c r="Z123" s="131">
        <v>66.2</v>
      </c>
      <c r="AA123" s="131">
        <v>100.9</v>
      </c>
      <c r="AB123" s="131">
        <v>64</v>
      </c>
      <c r="AC123" s="131">
        <v>61.9</v>
      </c>
      <c r="AD123" s="131">
        <v>62</v>
      </c>
      <c r="AE123" s="131">
        <v>34.700000000000003</v>
      </c>
      <c r="AF123" s="131">
        <v>-11.8</v>
      </c>
      <c r="AG123" s="132">
        <v>120</v>
      </c>
      <c r="AH123" s="48">
        <f t="shared" si="47"/>
        <v>100.9</v>
      </c>
      <c r="AI123" s="49">
        <f t="shared" si="48"/>
        <v>-57.7</v>
      </c>
    </row>
    <row r="124" spans="1:35" x14ac:dyDescent="0.25">
      <c r="A124" s="129" t="s">
        <v>147</v>
      </c>
      <c r="B124" s="131">
        <v>39</v>
      </c>
      <c r="C124" s="131">
        <v>37</v>
      </c>
      <c r="D124" s="131">
        <v>36</v>
      </c>
      <c r="E124" s="131">
        <v>33.9</v>
      </c>
      <c r="F124" s="131">
        <v>35.5</v>
      </c>
      <c r="G124" s="131">
        <v>41.4</v>
      </c>
      <c r="H124" s="131">
        <v>41.4</v>
      </c>
      <c r="I124" s="131"/>
      <c r="J124" s="131"/>
      <c r="K124" s="131">
        <v>58.2</v>
      </c>
      <c r="L124" s="131">
        <v>67</v>
      </c>
      <c r="M124" s="131">
        <v>63.3</v>
      </c>
      <c r="N124" s="131">
        <v>70.8</v>
      </c>
      <c r="O124" s="131">
        <v>89.7</v>
      </c>
      <c r="P124" s="131">
        <v>73.7</v>
      </c>
      <c r="Q124" s="131">
        <v>85.4</v>
      </c>
      <c r="R124" s="131">
        <v>88.5</v>
      </c>
      <c r="S124" s="131">
        <v>96.5</v>
      </c>
      <c r="T124" s="131">
        <v>94.6</v>
      </c>
      <c r="U124" s="131">
        <v>85.2</v>
      </c>
      <c r="V124" s="131">
        <v>92.1</v>
      </c>
      <c r="W124" s="131">
        <v>83.8</v>
      </c>
      <c r="X124" s="131">
        <v>78.5</v>
      </c>
      <c r="Y124" s="131">
        <v>89.2</v>
      </c>
      <c r="Z124" s="131">
        <v>89.5</v>
      </c>
      <c r="AA124" s="131">
        <v>106.3</v>
      </c>
      <c r="AB124" s="131">
        <v>84.9</v>
      </c>
      <c r="AC124" s="131">
        <v>84.7</v>
      </c>
      <c r="AD124" s="131">
        <v>83.6</v>
      </c>
      <c r="AE124" s="131">
        <v>70.900000000000006</v>
      </c>
      <c r="AF124" s="131">
        <v>46.4</v>
      </c>
      <c r="AG124" s="132"/>
      <c r="AH124" s="48">
        <f t="shared" si="47"/>
        <v>106.3</v>
      </c>
      <c r="AI124" s="49">
        <f t="shared" si="48"/>
        <v>33.9</v>
      </c>
    </row>
    <row r="125" spans="1:35" x14ac:dyDescent="0.25">
      <c r="A125" s="129" t="s">
        <v>148</v>
      </c>
      <c r="B125" s="131">
        <v>-11</v>
      </c>
      <c r="C125" s="131">
        <v>-10</v>
      </c>
      <c r="D125" s="131">
        <v>-11</v>
      </c>
      <c r="E125" s="131">
        <v>-10.5</v>
      </c>
      <c r="F125" s="131">
        <v>-10.199999999999999</v>
      </c>
      <c r="G125" s="131">
        <v>-12.9</v>
      </c>
      <c r="H125" s="131">
        <v>-12.9</v>
      </c>
      <c r="I125" s="131"/>
      <c r="J125" s="131"/>
      <c r="K125" s="131">
        <v>-35.1</v>
      </c>
      <c r="L125" s="131">
        <v>-30</v>
      </c>
      <c r="M125" s="131">
        <v>-25.5</v>
      </c>
      <c r="N125" s="131">
        <v>-20.3</v>
      </c>
      <c r="O125" s="131">
        <v>25.2</v>
      </c>
      <c r="P125" s="131">
        <v>-5.8</v>
      </c>
      <c r="Q125" s="131">
        <v>16.2</v>
      </c>
      <c r="R125" s="131">
        <v>29.1</v>
      </c>
      <c r="S125" s="131">
        <v>43.2</v>
      </c>
      <c r="T125" s="131">
        <v>35.200000000000003</v>
      </c>
      <c r="U125" s="131">
        <v>29.8</v>
      </c>
      <c r="V125" s="131">
        <v>19.399999999999999</v>
      </c>
      <c r="W125" s="131">
        <v>0.6</v>
      </c>
      <c r="X125" s="131">
        <v>-8.9</v>
      </c>
      <c r="Y125" s="131">
        <v>-13.8</v>
      </c>
      <c r="Z125" s="131">
        <v>-21.6</v>
      </c>
      <c r="AA125" s="131">
        <v>-2.9</v>
      </c>
      <c r="AB125" s="131">
        <v>-21.4</v>
      </c>
      <c r="AC125" s="131">
        <v>-9.6</v>
      </c>
      <c r="AD125" s="131">
        <v>9.4</v>
      </c>
      <c r="AE125" s="131">
        <v>16.2</v>
      </c>
      <c r="AF125" s="131">
        <v>-11.3</v>
      </c>
      <c r="AG125" s="132"/>
      <c r="AH125" s="48">
        <f t="shared" si="47"/>
        <v>43.2</v>
      </c>
      <c r="AI125" s="49">
        <f t="shared" si="48"/>
        <v>-35.1</v>
      </c>
    </row>
    <row r="126" spans="1:35" ht="15.75" thickBot="1" x14ac:dyDescent="0.3">
      <c r="A126" s="129" t="s">
        <v>149</v>
      </c>
      <c r="B126" s="131">
        <v>48</v>
      </c>
      <c r="C126" s="131">
        <v>43</v>
      </c>
      <c r="D126" s="131">
        <v>24</v>
      </c>
      <c r="E126" s="131">
        <v>25.4</v>
      </c>
      <c r="F126" s="131">
        <v>27.1</v>
      </c>
      <c r="G126" s="131">
        <v>29.5</v>
      </c>
      <c r="H126" s="131">
        <v>29.5</v>
      </c>
      <c r="I126" s="131"/>
      <c r="J126" s="131"/>
      <c r="K126" s="131">
        <v>5.9</v>
      </c>
      <c r="L126" s="131">
        <v>2.2000000000000002</v>
      </c>
      <c r="M126" s="131">
        <v>5.3</v>
      </c>
      <c r="N126" s="131">
        <v>6.3</v>
      </c>
      <c r="O126" s="131">
        <v>37.6</v>
      </c>
      <c r="P126" s="131">
        <v>13.7</v>
      </c>
      <c r="Q126" s="131">
        <v>27.9</v>
      </c>
      <c r="R126" s="131">
        <v>36.799999999999997</v>
      </c>
      <c r="S126" s="131">
        <v>44.7</v>
      </c>
      <c r="T126" s="131">
        <v>37.1</v>
      </c>
      <c r="U126" s="131">
        <v>43</v>
      </c>
      <c r="V126" s="131">
        <v>50.1</v>
      </c>
      <c r="W126" s="131">
        <v>44.7</v>
      </c>
      <c r="X126" s="131">
        <v>36.700000000000003</v>
      </c>
      <c r="Y126" s="131">
        <v>56.2</v>
      </c>
      <c r="Z126" s="131">
        <v>58</v>
      </c>
      <c r="AA126" s="131">
        <v>66.8</v>
      </c>
      <c r="AB126" s="131">
        <v>48.6</v>
      </c>
      <c r="AC126" s="131">
        <v>56.5</v>
      </c>
      <c r="AD126" s="131">
        <v>52.3</v>
      </c>
      <c r="AE126" s="131">
        <v>45.9</v>
      </c>
      <c r="AF126" s="131">
        <v>25.7</v>
      </c>
      <c r="AG126" s="128"/>
      <c r="AH126" s="48">
        <f>MAX(B126:AF126)</f>
        <v>66.8</v>
      </c>
      <c r="AI126" s="49">
        <f>MIN(B126:AF126)</f>
        <v>2.2000000000000002</v>
      </c>
    </row>
    <row r="127" spans="1:35" x14ac:dyDescent="0.25">
      <c r="A127" s="126" t="s">
        <v>150</v>
      </c>
      <c r="B127" s="131">
        <v>-311</v>
      </c>
      <c r="C127" s="131">
        <v>-333</v>
      </c>
      <c r="D127" s="131">
        <v>-316</v>
      </c>
      <c r="E127" s="131">
        <v>-339.7</v>
      </c>
      <c r="F127" s="131">
        <v>-327.8</v>
      </c>
      <c r="G127" s="131">
        <v>-131.9</v>
      </c>
      <c r="H127" s="131">
        <v>-131.9</v>
      </c>
      <c r="I127" s="131"/>
      <c r="J127" s="131"/>
      <c r="K127" s="131">
        <v>-171.1</v>
      </c>
      <c r="L127" s="131">
        <v>-300</v>
      </c>
      <c r="M127" s="131">
        <v>-298</v>
      </c>
      <c r="N127" s="131">
        <v>-290</v>
      </c>
      <c r="O127" s="131">
        <v>-271</v>
      </c>
      <c r="P127" s="131">
        <v>-240</v>
      </c>
      <c r="Q127" s="131">
        <v>-233.5</v>
      </c>
      <c r="R127" s="131">
        <v>-250.3</v>
      </c>
      <c r="S127" s="131">
        <v>-261</v>
      </c>
      <c r="T127" s="131">
        <v>-257.7</v>
      </c>
      <c r="U127" s="131">
        <v>-271.89999999999998</v>
      </c>
      <c r="V127" s="131">
        <v>-168.1</v>
      </c>
      <c r="W127" s="131">
        <v>-144.5</v>
      </c>
      <c r="X127" s="131">
        <v>-132</v>
      </c>
      <c r="Y127" s="131">
        <v>-164.8</v>
      </c>
      <c r="Z127" s="131">
        <v>-175</v>
      </c>
      <c r="AA127" s="131">
        <v>-209.2</v>
      </c>
      <c r="AB127" s="131">
        <v>-193.4</v>
      </c>
      <c r="AC127" s="131">
        <v>-176.4</v>
      </c>
      <c r="AD127" s="131">
        <v>-192.4</v>
      </c>
      <c r="AE127" s="131">
        <v>-175.8</v>
      </c>
      <c r="AF127" s="131">
        <v>-167.1</v>
      </c>
      <c r="AG127" s="128"/>
      <c r="AH127" s="48">
        <f>MAX(B127:AF127)</f>
        <v>-131.9</v>
      </c>
      <c r="AI127" s="49">
        <f>MIN(B127:AF127)</f>
        <v>-339.7</v>
      </c>
    </row>
    <row r="128" spans="1:35" x14ac:dyDescent="0.25">
      <c r="A128" s="129" t="s">
        <v>151</v>
      </c>
      <c r="B128" s="119">
        <v>0.8</v>
      </c>
      <c r="C128" s="119">
        <v>-4</v>
      </c>
      <c r="D128" s="119">
        <v>-3</v>
      </c>
      <c r="E128" s="119">
        <v>6.7</v>
      </c>
      <c r="F128" s="119">
        <v>4.5999999999999996</v>
      </c>
      <c r="G128" s="119">
        <v>8</v>
      </c>
      <c r="H128" s="119">
        <v>8</v>
      </c>
      <c r="I128" s="119"/>
      <c r="J128" s="119"/>
      <c r="K128" s="119">
        <v>1.5</v>
      </c>
      <c r="L128" s="119">
        <v>2.6</v>
      </c>
      <c r="M128" s="119">
        <v>-2.4</v>
      </c>
      <c r="N128" s="119">
        <v>-3.6</v>
      </c>
      <c r="O128" s="119">
        <v>-1</v>
      </c>
      <c r="P128" s="119">
        <v>-8.3000000000000007</v>
      </c>
      <c r="Q128" s="119">
        <v>2.9</v>
      </c>
      <c r="R128" s="119">
        <v>-13.8</v>
      </c>
      <c r="S128" s="119">
        <v>-30.1</v>
      </c>
      <c r="T128" s="119">
        <v>-10</v>
      </c>
      <c r="U128" s="119">
        <v>-23.4</v>
      </c>
      <c r="V128" s="119">
        <v>-16.7</v>
      </c>
      <c r="W128" s="119">
        <v>-24.5</v>
      </c>
      <c r="X128" s="119">
        <v>-31</v>
      </c>
      <c r="Y128" s="119">
        <v>-27.7</v>
      </c>
      <c r="Z128" s="119">
        <v>-34.299999999999997</v>
      </c>
      <c r="AA128" s="119">
        <v>-37.799999999999997</v>
      </c>
      <c r="AB128" s="119">
        <v>-33.4</v>
      </c>
      <c r="AC128" s="119">
        <v>-31.3</v>
      </c>
      <c r="AD128" s="119">
        <v>-24.2</v>
      </c>
      <c r="AE128" s="119">
        <v>-5.0999999999999996</v>
      </c>
      <c r="AF128" s="119">
        <v>-5.6</v>
      </c>
      <c r="AG128" s="128"/>
      <c r="AH128" s="48">
        <f>MAX(B128:AF128)</f>
        <v>8</v>
      </c>
      <c r="AI128" s="49">
        <f>MIN(B128:AF128)</f>
        <v>-37.799999999999997</v>
      </c>
    </row>
    <row r="129" spans="1:37" x14ac:dyDescent="0.25">
      <c r="A129" s="129" t="s">
        <v>152</v>
      </c>
      <c r="B129" s="119">
        <v>66</v>
      </c>
      <c r="C129" s="119">
        <v>50</v>
      </c>
      <c r="D129" s="119">
        <v>44</v>
      </c>
      <c r="E129" s="119">
        <v>32.200000000000003</v>
      </c>
      <c r="F129" s="119">
        <v>30.6</v>
      </c>
      <c r="G129" s="119">
        <v>24.4</v>
      </c>
      <c r="H129" s="119">
        <v>24.4</v>
      </c>
      <c r="I129" s="119"/>
      <c r="J129" s="119"/>
      <c r="K129" s="119">
        <v>49.1</v>
      </c>
      <c r="L129" s="119">
        <v>20.5</v>
      </c>
      <c r="M129" s="119">
        <v>55.6</v>
      </c>
      <c r="N129" s="119">
        <v>59.2</v>
      </c>
      <c r="O129" s="119">
        <v>29.5</v>
      </c>
      <c r="P129" s="119">
        <v>35.4</v>
      </c>
      <c r="Q129" s="119">
        <v>57.3</v>
      </c>
      <c r="R129" s="119"/>
      <c r="S129" s="119">
        <v>91.9</v>
      </c>
      <c r="T129" s="119">
        <v>65.2</v>
      </c>
      <c r="U129" s="119">
        <v>84</v>
      </c>
      <c r="V129" s="119">
        <v>55.3</v>
      </c>
      <c r="W129" s="119">
        <v>61.2</v>
      </c>
      <c r="X129" s="119">
        <v>58.7</v>
      </c>
      <c r="Y129" s="119">
        <v>65.900000000000006</v>
      </c>
      <c r="Z129" s="119">
        <v>80.599999999999994</v>
      </c>
      <c r="AA129" s="119">
        <v>91.8</v>
      </c>
      <c r="AB129" s="119">
        <v>84</v>
      </c>
      <c r="AC129" s="119">
        <v>89.9</v>
      </c>
      <c r="AD129" s="119">
        <v>89.4</v>
      </c>
      <c r="AE129" s="119">
        <v>79.2</v>
      </c>
      <c r="AF129" s="119">
        <v>85.7</v>
      </c>
      <c r="AG129" s="128"/>
      <c r="AH129" s="48">
        <f>MAX(B129:AF129)</f>
        <v>91.9</v>
      </c>
      <c r="AI129" s="49">
        <f>MIN(B129:AF129)</f>
        <v>20.5</v>
      </c>
    </row>
    <row r="130" spans="1:37" ht="15.75" thickBot="1" x14ac:dyDescent="0.3">
      <c r="A130" s="129" t="s">
        <v>153</v>
      </c>
      <c r="B130" s="119">
        <v>83</v>
      </c>
      <c r="C130" s="119">
        <v>77</v>
      </c>
      <c r="D130" s="119">
        <v>75</v>
      </c>
      <c r="E130" s="119">
        <v>71.7</v>
      </c>
      <c r="F130" s="119">
        <v>64.099999999999994</v>
      </c>
      <c r="G130" s="119">
        <v>57.3</v>
      </c>
      <c r="H130" s="119">
        <v>57.3</v>
      </c>
      <c r="I130" s="119"/>
      <c r="J130" s="119"/>
      <c r="K130" s="119">
        <v>74.400000000000006</v>
      </c>
      <c r="L130" s="119">
        <v>46.9</v>
      </c>
      <c r="M130" s="119">
        <v>80.099999999999994</v>
      </c>
      <c r="N130" s="119">
        <v>83.7</v>
      </c>
      <c r="O130" s="119">
        <v>53.2</v>
      </c>
      <c r="P130" s="119">
        <v>54.9</v>
      </c>
      <c r="Q130" s="119">
        <v>78</v>
      </c>
      <c r="R130" s="119"/>
      <c r="S130" s="119">
        <v>111.3</v>
      </c>
      <c r="T130" s="119">
        <v>71.7</v>
      </c>
      <c r="U130" s="119">
        <v>105.6</v>
      </c>
      <c r="V130" s="119">
        <v>69.400000000000006</v>
      </c>
      <c r="W130" s="119">
        <v>82</v>
      </c>
      <c r="X130" s="119">
        <v>77.5</v>
      </c>
      <c r="Y130" s="119">
        <v>81.5</v>
      </c>
      <c r="Z130" s="119">
        <v>90.3</v>
      </c>
      <c r="AA130" s="119">
        <v>104.7</v>
      </c>
      <c r="AB130" s="119">
        <v>101.9</v>
      </c>
      <c r="AC130" s="119">
        <v>105.4</v>
      </c>
      <c r="AD130" s="119">
        <v>105</v>
      </c>
      <c r="AE130" s="119">
        <v>95.1</v>
      </c>
      <c r="AF130" s="119">
        <v>100.1</v>
      </c>
      <c r="AG130" s="128"/>
      <c r="AH130" s="48">
        <f>MAX(B130:AF130)</f>
        <v>111.3</v>
      </c>
      <c r="AI130" s="49">
        <f>MIN(B130:AF130)</f>
        <v>46.9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1986.7</v>
      </c>
      <c r="C132" s="137"/>
      <c r="D132" s="137">
        <v>1986.5</v>
      </c>
      <c r="E132" s="137">
        <v>1986.5</v>
      </c>
      <c r="F132" s="137">
        <v>1986.3</v>
      </c>
      <c r="G132" s="137">
        <v>1986.18</v>
      </c>
      <c r="H132" s="137"/>
      <c r="I132" s="137">
        <v>1986</v>
      </c>
      <c r="J132" s="137"/>
      <c r="K132" s="137">
        <v>1986.48</v>
      </c>
      <c r="L132" s="137"/>
      <c r="M132" s="137">
        <v>1986.35</v>
      </c>
      <c r="N132" s="137">
        <v>1986.09</v>
      </c>
      <c r="O132" s="137">
        <v>1985.7</v>
      </c>
      <c r="P132" s="137">
        <v>1985.42</v>
      </c>
      <c r="Q132" s="137">
        <v>1985.35</v>
      </c>
      <c r="R132" s="137"/>
      <c r="S132" s="137">
        <v>1984.5</v>
      </c>
      <c r="T132" s="137">
        <v>1984.2</v>
      </c>
      <c r="U132" s="137">
        <v>1983.77</v>
      </c>
      <c r="V132" s="137">
        <v>1983.85</v>
      </c>
      <c r="W132" s="137"/>
      <c r="X132" s="137">
        <v>1984.43</v>
      </c>
      <c r="Y132" s="137"/>
      <c r="Z132" s="137">
        <v>1985</v>
      </c>
      <c r="AA132" s="137"/>
      <c r="AB132" s="137">
        <v>1985.25</v>
      </c>
      <c r="AC132" s="137"/>
      <c r="AD132" s="137">
        <v>1985.52</v>
      </c>
      <c r="AE132" s="137">
        <v>1985.9</v>
      </c>
      <c r="AF132" s="138">
        <v>1986.36</v>
      </c>
      <c r="AG132" s="139"/>
      <c r="AH132" s="48"/>
      <c r="AI132" s="49"/>
    </row>
    <row r="133" spans="1:37" x14ac:dyDescent="0.25">
      <c r="A133" s="136" t="s">
        <v>156</v>
      </c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>
        <v>523.54</v>
      </c>
      <c r="N133" s="140">
        <v>523.41999999999996</v>
      </c>
      <c r="O133" s="140">
        <v>523.35</v>
      </c>
      <c r="P133" s="140"/>
      <c r="Q133" s="140"/>
      <c r="R133" s="140"/>
      <c r="S133" s="140">
        <v>522.78</v>
      </c>
      <c r="T133" s="140">
        <v>522.66</v>
      </c>
      <c r="U133" s="140">
        <v>522.77</v>
      </c>
      <c r="V133" s="140">
        <v>522.91</v>
      </c>
      <c r="W133" s="140"/>
      <c r="X133" s="140">
        <v>523.23</v>
      </c>
      <c r="Y133" s="140"/>
      <c r="Z133" s="140">
        <v>523.36</v>
      </c>
      <c r="AA133" s="140"/>
      <c r="AB133" s="140">
        <v>523.08000000000004</v>
      </c>
      <c r="AC133" s="140"/>
      <c r="AD133" s="140">
        <v>523.67999999999995</v>
      </c>
      <c r="AE133" s="140">
        <v>522.6</v>
      </c>
      <c r="AF133" s="141">
        <v>522.6</v>
      </c>
      <c r="AG133" s="139"/>
      <c r="AH133" s="48"/>
      <c r="AI133" s="49"/>
    </row>
    <row r="134" spans="1:37" x14ac:dyDescent="0.25">
      <c r="A134" s="136" t="s">
        <v>157</v>
      </c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>
        <v>624.28</v>
      </c>
      <c r="N134" s="140">
        <v>624.16999999999996</v>
      </c>
      <c r="O134" s="140">
        <v>624.22</v>
      </c>
      <c r="P134" s="140">
        <v>624.35</v>
      </c>
      <c r="Q134" s="140">
        <v>624.51</v>
      </c>
      <c r="R134" s="140"/>
      <c r="S134" s="140">
        <v>623.85</v>
      </c>
      <c r="T134" s="140">
        <v>623.80999999999995</v>
      </c>
      <c r="U134" s="140">
        <v>623.87</v>
      </c>
      <c r="V134" s="140">
        <v>623.94000000000005</v>
      </c>
      <c r="W134" s="140"/>
      <c r="X134" s="140">
        <v>624.1</v>
      </c>
      <c r="Y134" s="140"/>
      <c r="Z134" s="140">
        <v>624.42999999999995</v>
      </c>
      <c r="AA134" s="140"/>
      <c r="AB134" s="140">
        <v>624.55999999999995</v>
      </c>
      <c r="AC134" s="140"/>
      <c r="AD134" s="140">
        <v>624.79999999999995</v>
      </c>
      <c r="AE134" s="140">
        <v>625.09</v>
      </c>
      <c r="AF134" s="141">
        <v>625.20000000000005</v>
      </c>
      <c r="AG134" s="139"/>
      <c r="AH134" s="48"/>
      <c r="AI134" s="49"/>
    </row>
    <row r="135" spans="1:37" x14ac:dyDescent="0.25">
      <c r="A135" s="136" t="s">
        <v>158</v>
      </c>
      <c r="B135" s="140">
        <v>336.96</v>
      </c>
      <c r="C135" s="140">
        <v>336.98</v>
      </c>
      <c r="D135" s="140"/>
      <c r="E135" s="140"/>
      <c r="F135" s="140"/>
      <c r="G135" s="140"/>
      <c r="H135" s="140"/>
      <c r="I135" s="140"/>
      <c r="J135" s="140"/>
      <c r="K135" s="140"/>
      <c r="L135" s="140"/>
      <c r="M135" s="140">
        <v>337.58</v>
      </c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>
        <v>337.71</v>
      </c>
      <c r="AC135" s="140"/>
      <c r="AD135" s="140">
        <v>337.55</v>
      </c>
      <c r="AE135" s="140">
        <v>337.4</v>
      </c>
      <c r="AF135" s="141">
        <v>337.27</v>
      </c>
      <c r="AG135" s="139"/>
      <c r="AH135" s="48"/>
      <c r="AI135" s="49"/>
    </row>
    <row r="136" spans="1:37" x14ac:dyDescent="0.25">
      <c r="A136" s="136" t="s">
        <v>159</v>
      </c>
      <c r="B136" s="140">
        <v>886.8</v>
      </c>
      <c r="C136" s="140"/>
      <c r="D136" s="140"/>
      <c r="E136" s="140">
        <v>887.9</v>
      </c>
      <c r="F136" s="140">
        <v>887.5</v>
      </c>
      <c r="G136" s="140"/>
      <c r="H136" s="140"/>
      <c r="I136" s="140"/>
      <c r="J136" s="140"/>
      <c r="K136" s="140"/>
      <c r="L136" s="140"/>
      <c r="M136" s="140">
        <v>886.7</v>
      </c>
      <c r="N136" s="140">
        <v>886.5</v>
      </c>
      <c r="O136" s="140">
        <v>886</v>
      </c>
      <c r="P136" s="140">
        <v>885.5</v>
      </c>
      <c r="Q136" s="140">
        <v>885</v>
      </c>
      <c r="R136" s="140"/>
      <c r="S136" s="140">
        <v>884.5</v>
      </c>
      <c r="T136" s="140">
        <v>884</v>
      </c>
      <c r="U136" s="140">
        <v>883.8</v>
      </c>
      <c r="V136" s="140">
        <v>884</v>
      </c>
      <c r="W136" s="140"/>
      <c r="X136" s="140">
        <v>885.5</v>
      </c>
      <c r="Y136" s="140"/>
      <c r="Z136" s="140">
        <v>885.5</v>
      </c>
      <c r="AA136" s="140"/>
      <c r="AB136" s="140">
        <v>885.2</v>
      </c>
      <c r="AC136" s="140"/>
      <c r="AD136" s="140">
        <v>884.9</v>
      </c>
      <c r="AE136" s="140">
        <v>884.5</v>
      </c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>
        <v>1492.34</v>
      </c>
      <c r="U137" s="142"/>
      <c r="V137" s="142"/>
      <c r="W137" s="142"/>
      <c r="X137" s="142">
        <v>1492.3</v>
      </c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109">SUM(B139:B243)</f>
        <v>0</v>
      </c>
      <c r="C244" s="161">
        <f t="shared" si="109"/>
        <v>0</v>
      </c>
      <c r="D244" s="161">
        <f t="shared" si="109"/>
        <v>0</v>
      </c>
      <c r="E244" s="161">
        <f t="shared" si="109"/>
        <v>0</v>
      </c>
      <c r="F244" s="161">
        <f t="shared" si="109"/>
        <v>0</v>
      </c>
      <c r="G244" s="161">
        <f t="shared" si="109"/>
        <v>0</v>
      </c>
      <c r="H244" s="161">
        <f t="shared" si="109"/>
        <v>0</v>
      </c>
      <c r="I244" s="161">
        <f t="shared" si="109"/>
        <v>0</v>
      </c>
      <c r="J244" s="161">
        <f t="shared" si="109"/>
        <v>0</v>
      </c>
      <c r="K244" s="161">
        <f t="shared" si="109"/>
        <v>0</v>
      </c>
      <c r="L244" s="161">
        <f t="shared" si="109"/>
        <v>0</v>
      </c>
      <c r="M244" s="161">
        <f t="shared" si="109"/>
        <v>0</v>
      </c>
      <c r="N244" s="161">
        <f t="shared" si="109"/>
        <v>0</v>
      </c>
      <c r="O244" s="161">
        <f t="shared" si="109"/>
        <v>0</v>
      </c>
      <c r="P244" s="161">
        <f t="shared" si="109"/>
        <v>0</v>
      </c>
      <c r="Q244" s="161">
        <f t="shared" si="109"/>
        <v>0</v>
      </c>
      <c r="R244" s="161">
        <f t="shared" si="109"/>
        <v>0</v>
      </c>
      <c r="S244" s="161">
        <f t="shared" si="109"/>
        <v>0</v>
      </c>
      <c r="T244" s="161">
        <f t="shared" si="109"/>
        <v>0</v>
      </c>
      <c r="U244" s="161">
        <f t="shared" si="109"/>
        <v>0</v>
      </c>
      <c r="V244" s="161">
        <f t="shared" si="109"/>
        <v>0</v>
      </c>
      <c r="W244" s="161">
        <f t="shared" si="109"/>
        <v>0</v>
      </c>
      <c r="X244" s="161">
        <f t="shared" si="109"/>
        <v>0</v>
      </c>
      <c r="Y244" s="161">
        <f t="shared" si="109"/>
        <v>0</v>
      </c>
      <c r="Z244" s="161">
        <f t="shared" si="109"/>
        <v>0</v>
      </c>
      <c r="AA244" s="161">
        <f t="shared" si="109"/>
        <v>0</v>
      </c>
      <c r="AB244" s="161">
        <f t="shared" si="109"/>
        <v>0</v>
      </c>
      <c r="AC244" s="161">
        <f t="shared" si="109"/>
        <v>0</v>
      </c>
      <c r="AD244" s="161">
        <f t="shared" si="109"/>
        <v>0</v>
      </c>
      <c r="AE244" s="161">
        <f t="shared" si="109"/>
        <v>0</v>
      </c>
      <c r="AF244" s="162">
        <f t="shared" si="109"/>
        <v>0</v>
      </c>
      <c r="AG244" s="163">
        <f t="shared" si="109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110">AF246</f>
        <v>0.3</v>
      </c>
      <c r="C246" s="166">
        <v>0.3</v>
      </c>
      <c r="D246" s="166">
        <f t="shared" ref="D246:S251" si="111">C246</f>
        <v>0.3</v>
      </c>
      <c r="E246" s="166">
        <f t="shared" si="111"/>
        <v>0.3</v>
      </c>
      <c r="F246" s="166">
        <f t="shared" si="111"/>
        <v>0.3</v>
      </c>
      <c r="G246" s="166">
        <f t="shared" si="111"/>
        <v>0.3</v>
      </c>
      <c r="H246" s="166">
        <f t="shared" si="111"/>
        <v>0.3</v>
      </c>
      <c r="I246" s="166">
        <f t="shared" si="111"/>
        <v>0.3</v>
      </c>
      <c r="J246" s="166">
        <f t="shared" si="111"/>
        <v>0.3</v>
      </c>
      <c r="K246" s="166">
        <f t="shared" si="111"/>
        <v>0.3</v>
      </c>
      <c r="L246" s="166">
        <f t="shared" si="111"/>
        <v>0.3</v>
      </c>
      <c r="M246" s="166">
        <f t="shared" si="111"/>
        <v>0.3</v>
      </c>
      <c r="N246" s="166">
        <f t="shared" si="111"/>
        <v>0.3</v>
      </c>
      <c r="O246" s="166">
        <f t="shared" si="111"/>
        <v>0.3</v>
      </c>
      <c r="P246" s="166">
        <f t="shared" si="111"/>
        <v>0.3</v>
      </c>
      <c r="Q246" s="166">
        <f t="shared" si="111"/>
        <v>0.3</v>
      </c>
      <c r="R246" s="166">
        <f t="shared" si="111"/>
        <v>0.3</v>
      </c>
      <c r="S246" s="166">
        <f t="shared" si="111"/>
        <v>0.3</v>
      </c>
      <c r="T246" s="166">
        <f t="shared" ref="T246:AF251" si="112">S246</f>
        <v>0.3</v>
      </c>
      <c r="U246" s="166">
        <f t="shared" si="112"/>
        <v>0.3</v>
      </c>
      <c r="V246" s="166">
        <f t="shared" si="112"/>
        <v>0.3</v>
      </c>
      <c r="W246" s="166">
        <f t="shared" si="112"/>
        <v>0.3</v>
      </c>
      <c r="X246" s="166">
        <f t="shared" si="112"/>
        <v>0.3</v>
      </c>
      <c r="Y246" s="166">
        <f t="shared" si="112"/>
        <v>0.3</v>
      </c>
      <c r="Z246" s="166">
        <f t="shared" si="112"/>
        <v>0.3</v>
      </c>
      <c r="AA246" s="166">
        <f t="shared" si="112"/>
        <v>0.3</v>
      </c>
      <c r="AB246" s="166">
        <f t="shared" si="112"/>
        <v>0.3</v>
      </c>
      <c r="AC246" s="166">
        <f t="shared" si="112"/>
        <v>0.3</v>
      </c>
      <c r="AD246" s="166">
        <f t="shared" si="112"/>
        <v>0.3</v>
      </c>
      <c r="AE246" s="166">
        <f t="shared" si="112"/>
        <v>0.3</v>
      </c>
      <c r="AF246" s="166">
        <f t="shared" si="112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110"/>
        <v>0.4</v>
      </c>
      <c r="C247" s="152">
        <v>0.4</v>
      </c>
      <c r="D247" s="152">
        <f t="shared" si="111"/>
        <v>0.4</v>
      </c>
      <c r="E247" s="152">
        <f t="shared" si="111"/>
        <v>0.4</v>
      </c>
      <c r="F247" s="152">
        <f t="shared" si="111"/>
        <v>0.4</v>
      </c>
      <c r="G247" s="152">
        <f t="shared" si="111"/>
        <v>0.4</v>
      </c>
      <c r="H247" s="152">
        <f t="shared" si="111"/>
        <v>0.4</v>
      </c>
      <c r="I247" s="152">
        <f t="shared" si="111"/>
        <v>0.4</v>
      </c>
      <c r="J247" s="152">
        <f t="shared" si="111"/>
        <v>0.4</v>
      </c>
      <c r="K247" s="152">
        <f t="shared" si="111"/>
        <v>0.4</v>
      </c>
      <c r="L247" s="152">
        <f t="shared" si="111"/>
        <v>0.4</v>
      </c>
      <c r="M247" s="152">
        <f t="shared" si="111"/>
        <v>0.4</v>
      </c>
      <c r="N247" s="152">
        <f t="shared" si="111"/>
        <v>0.4</v>
      </c>
      <c r="O247" s="152">
        <f t="shared" si="111"/>
        <v>0.4</v>
      </c>
      <c r="P247" s="152">
        <f t="shared" si="111"/>
        <v>0.4</v>
      </c>
      <c r="Q247" s="152">
        <f t="shared" si="111"/>
        <v>0.4</v>
      </c>
      <c r="R247" s="152">
        <f t="shared" si="111"/>
        <v>0.4</v>
      </c>
      <c r="S247" s="152">
        <f t="shared" si="111"/>
        <v>0.4</v>
      </c>
      <c r="T247" s="152">
        <f t="shared" si="112"/>
        <v>0.4</v>
      </c>
      <c r="U247" s="152">
        <f t="shared" si="112"/>
        <v>0.4</v>
      </c>
      <c r="V247" s="152">
        <f t="shared" si="112"/>
        <v>0.4</v>
      </c>
      <c r="W247" s="152">
        <f t="shared" si="112"/>
        <v>0.4</v>
      </c>
      <c r="X247" s="152">
        <f t="shared" si="112"/>
        <v>0.4</v>
      </c>
      <c r="Y247" s="152">
        <f t="shared" si="112"/>
        <v>0.4</v>
      </c>
      <c r="Z247" s="152">
        <f t="shared" si="112"/>
        <v>0.4</v>
      </c>
      <c r="AA247" s="152">
        <f t="shared" si="112"/>
        <v>0.4</v>
      </c>
      <c r="AB247" s="152">
        <f t="shared" si="112"/>
        <v>0.4</v>
      </c>
      <c r="AC247" s="152">
        <f t="shared" si="112"/>
        <v>0.4</v>
      </c>
      <c r="AD247" s="152">
        <f t="shared" si="112"/>
        <v>0.4</v>
      </c>
      <c r="AE247" s="152">
        <f t="shared" si="112"/>
        <v>0.4</v>
      </c>
      <c r="AF247" s="152">
        <f t="shared" si="112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110"/>
        <v>1.5</v>
      </c>
      <c r="C248" s="152">
        <v>1.5</v>
      </c>
      <c r="D248" s="152">
        <f t="shared" si="111"/>
        <v>1.5</v>
      </c>
      <c r="E248" s="152">
        <f t="shared" si="111"/>
        <v>1.5</v>
      </c>
      <c r="F248" s="152">
        <f t="shared" si="111"/>
        <v>1.5</v>
      </c>
      <c r="G248" s="152">
        <f t="shared" si="111"/>
        <v>1.5</v>
      </c>
      <c r="H248" s="152">
        <f t="shared" si="111"/>
        <v>1.5</v>
      </c>
      <c r="I248" s="152">
        <f t="shared" si="111"/>
        <v>1.5</v>
      </c>
      <c r="J248" s="152">
        <f t="shared" si="111"/>
        <v>1.5</v>
      </c>
      <c r="K248" s="152">
        <f t="shared" si="111"/>
        <v>1.5</v>
      </c>
      <c r="L248" s="152">
        <f t="shared" si="111"/>
        <v>1.5</v>
      </c>
      <c r="M248" s="152">
        <f t="shared" si="111"/>
        <v>1.5</v>
      </c>
      <c r="N248" s="152">
        <f t="shared" si="111"/>
        <v>1.5</v>
      </c>
      <c r="O248" s="152">
        <f t="shared" si="111"/>
        <v>1.5</v>
      </c>
      <c r="P248" s="152">
        <f t="shared" si="111"/>
        <v>1.5</v>
      </c>
      <c r="Q248" s="152">
        <f t="shared" si="111"/>
        <v>1.5</v>
      </c>
      <c r="R248" s="152">
        <f t="shared" si="111"/>
        <v>1.5</v>
      </c>
      <c r="S248" s="152">
        <f t="shared" si="111"/>
        <v>1.5</v>
      </c>
      <c r="T248" s="152">
        <f t="shared" si="112"/>
        <v>1.5</v>
      </c>
      <c r="U248" s="152">
        <f t="shared" si="112"/>
        <v>1.5</v>
      </c>
      <c r="V248" s="152">
        <f t="shared" si="112"/>
        <v>1.5</v>
      </c>
      <c r="W248" s="152">
        <f t="shared" si="112"/>
        <v>1.5</v>
      </c>
      <c r="X248" s="152">
        <f t="shared" si="112"/>
        <v>1.5</v>
      </c>
      <c r="Y248" s="152">
        <f t="shared" si="112"/>
        <v>1.5</v>
      </c>
      <c r="Z248" s="152">
        <f t="shared" si="112"/>
        <v>1.5</v>
      </c>
      <c r="AA248" s="152">
        <f t="shared" si="112"/>
        <v>1.5</v>
      </c>
      <c r="AB248" s="152">
        <f t="shared" si="112"/>
        <v>1.5</v>
      </c>
      <c r="AC248" s="152">
        <f t="shared" si="112"/>
        <v>1.5</v>
      </c>
      <c r="AD248" s="152">
        <f t="shared" si="112"/>
        <v>1.5</v>
      </c>
      <c r="AE248" s="152">
        <f t="shared" si="112"/>
        <v>1.5</v>
      </c>
      <c r="AF248" s="152">
        <f t="shared" si="112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110"/>
        <v>0.3</v>
      </c>
      <c r="C249" s="152">
        <v>0.3</v>
      </c>
      <c r="D249" s="152">
        <f t="shared" si="111"/>
        <v>0.3</v>
      </c>
      <c r="E249" s="152">
        <f t="shared" si="111"/>
        <v>0.3</v>
      </c>
      <c r="F249" s="152">
        <f t="shared" si="111"/>
        <v>0.3</v>
      </c>
      <c r="G249" s="152">
        <f t="shared" si="111"/>
        <v>0.3</v>
      </c>
      <c r="H249" s="152">
        <f t="shared" si="111"/>
        <v>0.3</v>
      </c>
      <c r="I249" s="152">
        <f t="shared" si="111"/>
        <v>0.3</v>
      </c>
      <c r="J249" s="152">
        <f t="shared" si="111"/>
        <v>0.3</v>
      </c>
      <c r="K249" s="152">
        <f t="shared" si="111"/>
        <v>0.3</v>
      </c>
      <c r="L249" s="152">
        <f t="shared" si="111"/>
        <v>0.3</v>
      </c>
      <c r="M249" s="152">
        <f t="shared" si="111"/>
        <v>0.3</v>
      </c>
      <c r="N249" s="152">
        <f t="shared" si="111"/>
        <v>0.3</v>
      </c>
      <c r="O249" s="152">
        <f t="shared" si="111"/>
        <v>0.3</v>
      </c>
      <c r="P249" s="152">
        <f t="shared" si="111"/>
        <v>0.3</v>
      </c>
      <c r="Q249" s="152">
        <f t="shared" si="111"/>
        <v>0.3</v>
      </c>
      <c r="R249" s="152">
        <f t="shared" si="111"/>
        <v>0.3</v>
      </c>
      <c r="S249" s="152">
        <f t="shared" si="111"/>
        <v>0.3</v>
      </c>
      <c r="T249" s="152">
        <f t="shared" si="112"/>
        <v>0.3</v>
      </c>
      <c r="U249" s="152">
        <f t="shared" si="112"/>
        <v>0.3</v>
      </c>
      <c r="V249" s="152">
        <f t="shared" si="112"/>
        <v>0.3</v>
      </c>
      <c r="W249" s="152">
        <f t="shared" si="112"/>
        <v>0.3</v>
      </c>
      <c r="X249" s="152">
        <f t="shared" si="112"/>
        <v>0.3</v>
      </c>
      <c r="Y249" s="152">
        <f t="shared" si="112"/>
        <v>0.3</v>
      </c>
      <c r="Z249" s="152">
        <f t="shared" si="112"/>
        <v>0.3</v>
      </c>
      <c r="AA249" s="152">
        <f t="shared" si="112"/>
        <v>0.3</v>
      </c>
      <c r="AB249" s="152">
        <f t="shared" si="112"/>
        <v>0.3</v>
      </c>
      <c r="AC249" s="152">
        <f t="shared" si="112"/>
        <v>0.3</v>
      </c>
      <c r="AD249" s="152">
        <f t="shared" si="112"/>
        <v>0.3</v>
      </c>
      <c r="AE249" s="152">
        <f t="shared" si="112"/>
        <v>0.3</v>
      </c>
      <c r="AF249" s="152">
        <f t="shared" si="112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110"/>
        <v>0.4</v>
      </c>
      <c r="C250" s="152">
        <v>0.4</v>
      </c>
      <c r="D250" s="152">
        <f t="shared" si="111"/>
        <v>0.4</v>
      </c>
      <c r="E250" s="152">
        <f t="shared" si="111"/>
        <v>0.4</v>
      </c>
      <c r="F250" s="152">
        <f t="shared" si="111"/>
        <v>0.4</v>
      </c>
      <c r="G250" s="152">
        <f t="shared" si="111"/>
        <v>0.4</v>
      </c>
      <c r="H250" s="152">
        <f t="shared" si="111"/>
        <v>0.4</v>
      </c>
      <c r="I250" s="152">
        <f t="shared" si="111"/>
        <v>0.4</v>
      </c>
      <c r="J250" s="152">
        <f t="shared" si="111"/>
        <v>0.4</v>
      </c>
      <c r="K250" s="152">
        <f t="shared" si="111"/>
        <v>0.4</v>
      </c>
      <c r="L250" s="152">
        <f t="shared" si="111"/>
        <v>0.4</v>
      </c>
      <c r="M250" s="152">
        <f t="shared" si="111"/>
        <v>0.4</v>
      </c>
      <c r="N250" s="152">
        <f t="shared" si="111"/>
        <v>0.4</v>
      </c>
      <c r="O250" s="152">
        <f t="shared" si="111"/>
        <v>0.4</v>
      </c>
      <c r="P250" s="152">
        <f t="shared" si="111"/>
        <v>0.4</v>
      </c>
      <c r="Q250" s="152">
        <f t="shared" si="111"/>
        <v>0.4</v>
      </c>
      <c r="R250" s="152">
        <f t="shared" si="111"/>
        <v>0.4</v>
      </c>
      <c r="S250" s="152">
        <f t="shared" si="111"/>
        <v>0.4</v>
      </c>
      <c r="T250" s="152">
        <f t="shared" si="112"/>
        <v>0.4</v>
      </c>
      <c r="U250" s="152">
        <f t="shared" si="112"/>
        <v>0.4</v>
      </c>
      <c r="V250" s="152">
        <f t="shared" si="112"/>
        <v>0.4</v>
      </c>
      <c r="W250" s="152">
        <f t="shared" si="112"/>
        <v>0.4</v>
      </c>
      <c r="X250" s="152">
        <f t="shared" si="112"/>
        <v>0.4</v>
      </c>
      <c r="Y250" s="152">
        <f t="shared" si="112"/>
        <v>0.4</v>
      </c>
      <c r="Z250" s="152">
        <f t="shared" si="112"/>
        <v>0.4</v>
      </c>
      <c r="AA250" s="152">
        <f t="shared" si="112"/>
        <v>0.4</v>
      </c>
      <c r="AB250" s="152">
        <f t="shared" si="112"/>
        <v>0.4</v>
      </c>
      <c r="AC250" s="152">
        <f t="shared" si="112"/>
        <v>0.4</v>
      </c>
      <c r="AD250" s="152">
        <f t="shared" si="112"/>
        <v>0.4</v>
      </c>
      <c r="AE250" s="152">
        <f t="shared" si="112"/>
        <v>0.4</v>
      </c>
      <c r="AF250" s="152">
        <f t="shared" si="112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110"/>
        <v>0.64</v>
      </c>
      <c r="C251" s="157">
        <v>0.64</v>
      </c>
      <c r="D251" s="157">
        <f t="shared" si="111"/>
        <v>0.64</v>
      </c>
      <c r="E251" s="157">
        <f t="shared" si="111"/>
        <v>0.64</v>
      </c>
      <c r="F251" s="157">
        <f t="shared" si="111"/>
        <v>0.64</v>
      </c>
      <c r="G251" s="157">
        <f t="shared" si="111"/>
        <v>0.64</v>
      </c>
      <c r="H251" s="157">
        <f t="shared" si="111"/>
        <v>0.64</v>
      </c>
      <c r="I251" s="157">
        <f t="shared" si="111"/>
        <v>0.64</v>
      </c>
      <c r="J251" s="157">
        <f t="shared" si="111"/>
        <v>0.64</v>
      </c>
      <c r="K251" s="157">
        <f t="shared" si="111"/>
        <v>0.64</v>
      </c>
      <c r="L251" s="157">
        <f t="shared" si="111"/>
        <v>0.64</v>
      </c>
      <c r="M251" s="157">
        <f t="shared" si="111"/>
        <v>0.64</v>
      </c>
      <c r="N251" s="157">
        <f t="shared" si="111"/>
        <v>0.64</v>
      </c>
      <c r="O251" s="157">
        <f t="shared" si="111"/>
        <v>0.64</v>
      </c>
      <c r="P251" s="157">
        <f t="shared" si="111"/>
        <v>0.64</v>
      </c>
      <c r="Q251" s="157">
        <f t="shared" si="111"/>
        <v>0.64</v>
      </c>
      <c r="R251" s="157">
        <f t="shared" si="111"/>
        <v>0.64</v>
      </c>
      <c r="S251" s="157">
        <f t="shared" si="111"/>
        <v>0.64</v>
      </c>
      <c r="T251" s="157">
        <f t="shared" si="112"/>
        <v>0.64</v>
      </c>
      <c r="U251" s="157">
        <f t="shared" si="112"/>
        <v>0.64</v>
      </c>
      <c r="V251" s="157">
        <f t="shared" si="112"/>
        <v>0.64</v>
      </c>
      <c r="W251" s="157">
        <f t="shared" si="112"/>
        <v>0.64</v>
      </c>
      <c r="X251" s="157">
        <f t="shared" si="112"/>
        <v>0.64</v>
      </c>
      <c r="Y251" s="157">
        <f t="shared" si="112"/>
        <v>0.64</v>
      </c>
      <c r="Z251" s="157">
        <f t="shared" si="112"/>
        <v>0.64</v>
      </c>
      <c r="AA251" s="157">
        <f t="shared" si="112"/>
        <v>0.64</v>
      </c>
      <c r="AB251" s="157">
        <f t="shared" si="112"/>
        <v>0.64</v>
      </c>
      <c r="AC251" s="157">
        <f t="shared" si="112"/>
        <v>0.64</v>
      </c>
      <c r="AD251" s="157">
        <f t="shared" si="112"/>
        <v>0.64</v>
      </c>
      <c r="AE251" s="157">
        <f t="shared" si="112"/>
        <v>0.64</v>
      </c>
      <c r="AF251" s="157">
        <f t="shared" si="112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113">SUM(B246:B251)</f>
        <v>3.54</v>
      </c>
      <c r="C252" s="161">
        <f t="shared" si="113"/>
        <v>3.54</v>
      </c>
      <c r="D252" s="161">
        <f t="shared" si="113"/>
        <v>3.54</v>
      </c>
      <c r="E252" s="161">
        <f t="shared" si="113"/>
        <v>3.54</v>
      </c>
      <c r="F252" s="161">
        <f t="shared" si="113"/>
        <v>3.54</v>
      </c>
      <c r="G252" s="161">
        <f t="shared" si="113"/>
        <v>3.54</v>
      </c>
      <c r="H252" s="161">
        <f t="shared" si="113"/>
        <v>3.54</v>
      </c>
      <c r="I252" s="161">
        <f t="shared" si="113"/>
        <v>3.54</v>
      </c>
      <c r="J252" s="161">
        <f t="shared" si="113"/>
        <v>3.54</v>
      </c>
      <c r="K252" s="161">
        <f t="shared" si="113"/>
        <v>3.54</v>
      </c>
      <c r="L252" s="161">
        <f t="shared" si="113"/>
        <v>3.54</v>
      </c>
      <c r="M252" s="161">
        <f t="shared" si="113"/>
        <v>3.54</v>
      </c>
      <c r="N252" s="161">
        <f t="shared" si="113"/>
        <v>3.54</v>
      </c>
      <c r="O252" s="161">
        <f t="shared" si="113"/>
        <v>3.54</v>
      </c>
      <c r="P252" s="161">
        <f t="shared" si="113"/>
        <v>3.54</v>
      </c>
      <c r="Q252" s="161">
        <f t="shared" si="113"/>
        <v>3.54</v>
      </c>
      <c r="R252" s="161">
        <f t="shared" si="113"/>
        <v>3.54</v>
      </c>
      <c r="S252" s="161">
        <f t="shared" si="113"/>
        <v>3.54</v>
      </c>
      <c r="T252" s="161">
        <f t="shared" si="113"/>
        <v>3.54</v>
      </c>
      <c r="U252" s="161">
        <f t="shared" si="113"/>
        <v>3.54</v>
      </c>
      <c r="V252" s="161">
        <f t="shared" si="113"/>
        <v>3.54</v>
      </c>
      <c r="W252" s="161">
        <f t="shared" si="113"/>
        <v>3.54</v>
      </c>
      <c r="X252" s="161">
        <f t="shared" si="113"/>
        <v>3.54</v>
      </c>
      <c r="Y252" s="161">
        <f t="shared" si="113"/>
        <v>3.54</v>
      </c>
      <c r="Z252" s="161">
        <f t="shared" si="113"/>
        <v>3.54</v>
      </c>
      <c r="AA252" s="161">
        <f t="shared" si="113"/>
        <v>3.54</v>
      </c>
      <c r="AB252" s="161">
        <f t="shared" si="113"/>
        <v>3.54</v>
      </c>
      <c r="AC252" s="161">
        <f t="shared" si="113"/>
        <v>3.54</v>
      </c>
      <c r="AD252" s="161">
        <f t="shared" si="113"/>
        <v>3.54</v>
      </c>
      <c r="AE252" s="161">
        <f t="shared" si="113"/>
        <v>3.54</v>
      </c>
      <c r="AF252" s="161">
        <f t="shared" si="113"/>
        <v>3.54</v>
      </c>
      <c r="AG252" s="171">
        <f t="shared" si="113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1981.84</v>
      </c>
      <c r="C256" s="174">
        <f>INDEX(G9:N9,1,MATCH(MAX(G99:N99),G99:N99,0))</f>
        <v>0.375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2080/10/15)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770" priority="89">
      <formula>$AH11=0</formula>
    </cfRule>
  </conditionalFormatting>
  <conditionalFormatting sqref="A132:A253">
    <cfRule type="expression" dxfId="2769" priority="90">
      <formula>$AH132=0</formula>
    </cfRule>
  </conditionalFormatting>
  <conditionalFormatting sqref="B8">
    <cfRule type="expression" dxfId="2768" priority="144">
      <formula>AND(C$9&gt;=14/24,C$9&lt;20/24)</formula>
    </cfRule>
    <cfRule type="expression" dxfId="2767" priority="145">
      <formula>AND(C$9&gt;=8/24,C$9&lt;14/24)</formula>
    </cfRule>
    <cfRule type="expression" dxfId="2766" priority="146">
      <formula>C$9&lt;8/24</formula>
    </cfRule>
    <cfRule type="expression" dxfId="2765" priority="147">
      <formula>C$9&gt;=20/24</formula>
    </cfRule>
  </conditionalFormatting>
  <conditionalFormatting sqref="B11:L52 M12:AF52 B59:D68 C63:D74 B69:AF74 B77:AF99 B9:AF10 B101:AF117 B119:AF137 B244:AF244 B246:B252">
    <cfRule type="expression" dxfId="2764" priority="41">
      <formula>B$9&gt;=20/24</formula>
    </cfRule>
  </conditionalFormatting>
  <conditionalFormatting sqref="B9:AF10 B11:L52 M12:AF52 B59:D68 C63:D74 B69:AF74 B77:AF99 B101:AF117 B119:AF137 B244:AF244 B246:B252">
    <cfRule type="expression" dxfId="2763" priority="42">
      <formula>AND(B$9&gt;=14/24,B$9&lt;20/24)</formula>
    </cfRule>
    <cfRule type="expression" dxfId="2762" priority="43">
      <formula>AND(B$9&gt;=8/24,B$9&lt;14/24)</formula>
    </cfRule>
    <cfRule type="expression" dxfId="2761" priority="44">
      <formula>B$9&lt;8/24</formula>
    </cfRule>
  </conditionalFormatting>
  <conditionalFormatting sqref="B53:AF57">
    <cfRule type="expression" dxfId="2760" priority="53">
      <formula>B$9&lt;8/24</formula>
    </cfRule>
  </conditionalFormatting>
  <conditionalFormatting sqref="D246:AF252">
    <cfRule type="expression" dxfId="2759" priority="129">
      <formula>D$9&gt;=20/24</formula>
    </cfRule>
    <cfRule type="expression" dxfId="2758" priority="130">
      <formula>AND(D$9&gt;=14/24,D$9&lt;20/24)</formula>
    </cfRule>
    <cfRule type="expression" dxfId="2757" priority="131">
      <formula>AND(D$9&gt;=8/24,D$9&lt;14/24)</formula>
    </cfRule>
    <cfRule type="expression" dxfId="2756" priority="132">
      <formula>D$9&lt;8/24</formula>
    </cfRule>
  </conditionalFormatting>
  <conditionalFormatting sqref="E63:L68">
    <cfRule type="expression" dxfId="2755" priority="49">
      <formula>E$9&gt;=20/24</formula>
    </cfRule>
    <cfRule type="expression" dxfId="2754" priority="50">
      <formula>AND(E$9&gt;=14/24,E$9&lt;20/24)</formula>
    </cfRule>
    <cfRule type="expression" dxfId="2753" priority="51">
      <formula>AND(E$9&gt;=8/24,E$9&lt;14/24)</formula>
    </cfRule>
    <cfRule type="expression" dxfId="2752" priority="52">
      <formula>E$9&lt;8/24</formula>
    </cfRule>
  </conditionalFormatting>
  <conditionalFormatting sqref="E11:AF11">
    <cfRule type="expression" dxfId="2751" priority="58">
      <formula>E11&gt;$AG11</formula>
    </cfRule>
    <cfRule type="expression" dxfId="2750" priority="59">
      <formula>E$9&gt;=20/24</formula>
    </cfRule>
    <cfRule type="expression" dxfId="2749" priority="60">
      <formula>AND(E$9&gt;=14/24,E$9&lt;20/24)</formula>
    </cfRule>
    <cfRule type="expression" dxfId="2748" priority="61">
      <formula>AND(E$9&gt;=8/24,E$9&lt;14/24)</formula>
    </cfRule>
    <cfRule type="expression" dxfId="2747" priority="62">
      <formula>E$9&lt;8/24</formula>
    </cfRule>
  </conditionalFormatting>
  <conditionalFormatting sqref="E59:AF62">
    <cfRule type="expression" dxfId="2746" priority="67">
      <formula>E$9&gt;=20/24</formula>
    </cfRule>
    <cfRule type="expression" dxfId="2745" priority="68">
      <formula>AND(E$9&gt;=14/24,E$9&lt;20/24)</formula>
    </cfRule>
    <cfRule type="expression" dxfId="2744" priority="69">
      <formula>AND(E$9&gt;=8/24,E$9&lt;14/24)</formula>
    </cfRule>
    <cfRule type="expression" dxfId="2743" priority="70">
      <formula>E$9&lt;8/24</formula>
    </cfRule>
  </conditionalFormatting>
  <conditionalFormatting sqref="F63:L65">
    <cfRule type="expression" dxfId="2742" priority="81">
      <formula>F$9&gt;=20/24</formula>
    </cfRule>
    <cfRule type="expression" dxfId="2741" priority="82">
      <formula>AND(F$9&gt;=14/24,F$9&lt;20/24)</formula>
    </cfRule>
    <cfRule type="expression" dxfId="2740" priority="83">
      <formula>AND(F$9&gt;=8/24,F$9&lt;14/24)</formula>
    </cfRule>
    <cfRule type="expression" dxfId="2739" priority="84">
      <formula>F$9&lt;8/24</formula>
    </cfRule>
  </conditionalFormatting>
  <conditionalFormatting sqref="J11:L55 F11:I57 M12:AF55 E17:E57 B17:D61 B11:E16 H45:L45 J57:Q57 R57:AF80 E58:Q61 AG62 B62:Q80 AG80">
    <cfRule type="expression" dxfId="2738" priority="40">
      <formula>B11&gt;$AG11</formula>
    </cfRule>
  </conditionalFormatting>
  <conditionalFormatting sqref="J56:Z56 AA56:AF57 E57:Z57">
    <cfRule type="expression" dxfId="2737" priority="46">
      <formula>E$9&gt;=20/24</formula>
    </cfRule>
    <cfRule type="expression" dxfId="2736" priority="47">
      <formula>AND(E$9&gt;=14/24,E$9&lt;20/24)</formula>
    </cfRule>
    <cfRule type="expression" dxfId="2735" priority="48">
      <formula>AND(E$9&gt;=8/24,E$9&lt;14/24)</formula>
    </cfRule>
  </conditionalFormatting>
  <conditionalFormatting sqref="J53:AF55 E53:I56 B53:D57">
    <cfRule type="expression" dxfId="2734" priority="37">
      <formula>B$9&gt;=20/24</formula>
    </cfRule>
    <cfRule type="expression" dxfId="2733" priority="38">
      <formula>AND(B$9&gt;=14/24,B$9&lt;20/24)</formula>
    </cfRule>
    <cfRule type="expression" dxfId="2732" priority="39">
      <formula>AND(B$9&gt;=8/24,B$9&lt;14/24)</formula>
    </cfRule>
  </conditionalFormatting>
  <conditionalFormatting sqref="J56:AF56">
    <cfRule type="expression" dxfId="2731" priority="45">
      <formula>J56&gt;$AG56</formula>
    </cfRule>
  </conditionalFormatting>
  <conditionalFormatting sqref="L68:X68">
    <cfRule type="expression" dxfId="2730" priority="77">
      <formula>L$9&gt;=20/24</formula>
    </cfRule>
    <cfRule type="expression" dxfId="2729" priority="78">
      <formula>AND(L$9&gt;=14/24,L$9&lt;20/24)</formula>
    </cfRule>
    <cfRule type="expression" dxfId="2728" priority="79">
      <formula>AND(L$9&gt;=8/24,L$9&lt;14/24)</formula>
    </cfRule>
    <cfRule type="expression" dxfId="2727" priority="80">
      <formula>L$9&lt;8/24</formula>
    </cfRule>
  </conditionalFormatting>
  <conditionalFormatting sqref="M8 S8 AB8">
    <cfRule type="expression" dxfId="2726" priority="136">
      <formula>AND(N$9&gt;=14/24,N$9&lt;20/24)</formula>
    </cfRule>
    <cfRule type="expression" dxfId="2725" priority="137">
      <formula>AND(N$9&gt;=8/24,N$9&lt;14/24)</formula>
    </cfRule>
    <cfRule type="expression" dxfId="2724" priority="138">
      <formula>N$9&lt;8/24</formula>
    </cfRule>
  </conditionalFormatting>
  <conditionalFormatting sqref="M63:W67 X67">
    <cfRule type="expression" dxfId="2723" priority="85">
      <formula>M$9&gt;=20/24</formula>
    </cfRule>
    <cfRule type="expression" dxfId="2722" priority="86">
      <formula>AND(M$9&gt;=14/24,M$9&lt;20/24)</formula>
    </cfRule>
    <cfRule type="expression" dxfId="2721" priority="87">
      <formula>AND(M$9&gt;=8/24,M$9&lt;14/24)</formula>
    </cfRule>
    <cfRule type="expression" dxfId="2720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719" priority="135">
      <formula>N$9&gt;=20/24</formula>
    </cfRule>
  </conditionalFormatting>
  <conditionalFormatting sqref="S8">
    <cfRule type="expression" dxfId="2718" priority="122">
      <formula>U$9&gt;=20/24</formula>
    </cfRule>
    <cfRule type="expression" dxfId="2717" priority="123">
      <formula>AND(U$9&gt;=14/24,U$9&lt;20/24)</formula>
    </cfRule>
    <cfRule type="expression" dxfId="2716" priority="124">
      <formula>AND(U$9&gt;=8/24,U$9&lt;14/24)</formula>
    </cfRule>
    <cfRule type="expression" dxfId="2715" priority="125">
      <formula>U$9&lt;8/24</formula>
    </cfRule>
  </conditionalFormatting>
  <conditionalFormatting sqref="T63:AF68">
    <cfRule type="expression" dxfId="2714" priority="71">
      <formula>T$9&gt;=20/24</formula>
    </cfRule>
    <cfRule type="expression" dxfId="2713" priority="72">
      <formula>AND(T$9&gt;=14/24,T$9&lt;20/24)</formula>
    </cfRule>
    <cfRule type="expression" dxfId="2712" priority="73">
      <formula>AND(T$9&gt;=8/24,T$9&lt;14/24)</formula>
    </cfRule>
    <cfRule type="expression" dxfId="2711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10" priority="118">
      <formula>AD$9&gt;=20/24</formula>
    </cfRule>
    <cfRule type="expression" dxfId="2709" priority="119">
      <formula>AND(AD$9&gt;=14/24,AD$9&lt;20/24)</formula>
    </cfRule>
    <cfRule type="expression" dxfId="2708" priority="120">
      <formula>AND(AD$9&gt;=8/24,AD$9&lt;14/24)</formula>
    </cfRule>
    <cfRule type="expression" dxfId="2707" priority="121">
      <formula>AD$9&lt;8/24</formula>
    </cfRule>
  </conditionalFormatting>
  <conditionalFormatting sqref="AG58">
    <cfRule type="expression" dxfId="2706" priority="113">
      <formula>AG58&gt;$AG58</formula>
    </cfRule>
  </conditionalFormatting>
  <conditionalFormatting sqref="AG62">
    <cfRule type="expression" dxfId="2705" priority="96">
      <formula>AG$9&gt;=20/24</formula>
    </cfRule>
    <cfRule type="expression" dxfId="2704" priority="97">
      <formula>AND(AG$9&gt;=14/24,AG$9&lt;20/24)</formula>
    </cfRule>
    <cfRule type="expression" dxfId="2703" priority="98">
      <formula>AND(AG$9&gt;=8/24,AG$9&lt;14/24)</formula>
    </cfRule>
    <cfRule type="expression" dxfId="2702" priority="99">
      <formula>AG$9&lt;8/24</formula>
    </cfRule>
  </conditionalFormatting>
  <conditionalFormatting sqref="AG75:AG76">
    <cfRule type="expression" dxfId="2701" priority="91">
      <formula>AG75&gt;$AG75</formula>
    </cfRule>
  </conditionalFormatting>
  <conditionalFormatting sqref="AG80">
    <cfRule type="expression" dxfId="2700" priority="92">
      <formula>AG$9&gt;=20/24</formula>
    </cfRule>
    <cfRule type="expression" dxfId="2699" priority="93">
      <formula>AND(AG$9&gt;=14/24,AG$9&lt;20/24)</formula>
    </cfRule>
    <cfRule type="expression" dxfId="2698" priority="94">
      <formula>AND(AG$9&gt;=8/24,AG$9&lt;14/24)</formula>
    </cfRule>
    <cfRule type="expression" dxfId="2697" priority="95">
      <formula>AG$9&lt;8/24</formula>
    </cfRule>
  </conditionalFormatting>
  <conditionalFormatting sqref="AG97">
    <cfRule type="expression" dxfId="2696" priority="114">
      <formula>AG$9&gt;=20/24</formula>
    </cfRule>
    <cfRule type="expression" dxfId="2695" priority="115">
      <formula>AND(AG$9&gt;=14/24,AG$9&lt;20/24)</formula>
    </cfRule>
    <cfRule type="expression" dxfId="2694" priority="116">
      <formula>AND(AG$9&gt;=8/24,AG$9&lt;14/24)</formula>
    </cfRule>
    <cfRule type="expression" dxfId="2693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692" priority="139">
      <formula>AJ$9&gt;=20/24</formula>
    </cfRule>
    <cfRule type="expression" dxfId="2691" priority="140">
      <formula>AND(AJ$9&gt;=14/24,AJ$9&lt;20/24)</formula>
    </cfRule>
    <cfRule type="expression" dxfId="2690" priority="141">
      <formula>AND(AJ$9&gt;=8/24,AJ$9&lt;14/24)</formula>
    </cfRule>
    <cfRule type="expression" dxfId="2689" priority="142">
      <formula>AJ$9&lt;8/24</formula>
    </cfRule>
  </conditionalFormatting>
  <conditionalFormatting sqref="AL88:AN88 AL94:AN94">
    <cfRule type="expression" dxfId="2688" priority="106">
      <formula>AL$9&gt;=20/24</formula>
    </cfRule>
    <cfRule type="expression" dxfId="2687" priority="107">
      <formula>AND(AL$9&gt;=14/24,AL$9&lt;20/24)</formula>
    </cfRule>
    <cfRule type="expression" dxfId="2686" priority="108">
      <formula>AND(AL$9&gt;=8/24,AL$9&lt;14/24)</formula>
    </cfRule>
    <cfRule type="expression" dxfId="2685" priority="109">
      <formula>AL$9&lt;8/24</formula>
    </cfRule>
  </conditionalFormatting>
  <conditionalFormatting sqref="AM15:AM21 AN16:AR21">
    <cfRule type="expression" dxfId="2684" priority="13">
      <formula>AX$9&gt;=20/24</formula>
    </cfRule>
    <cfRule type="expression" dxfId="2683" priority="14">
      <formula>AND(AX$9&gt;=14/24,AX$9&lt;20/24)</formula>
    </cfRule>
    <cfRule type="expression" dxfId="2682" priority="15">
      <formula>AND(AX$9&gt;=8/24,AX$9&lt;14/24)</formula>
    </cfRule>
    <cfRule type="expression" dxfId="2681" priority="16">
      <formula>AX$9&lt;8/24</formula>
    </cfRule>
  </conditionalFormatting>
  <conditionalFormatting sqref="AN89:AN92">
    <cfRule type="expression" dxfId="2680" priority="102">
      <formula>AN$9&gt;=20/24</formula>
    </cfRule>
    <cfRule type="expression" dxfId="2679" priority="103">
      <formula>AND(AN$9&gt;=14/24,AN$9&lt;20/24)</formula>
    </cfRule>
    <cfRule type="expression" dxfId="2678" priority="104">
      <formula>AND(AN$9&gt;=8/24,AN$9&lt;14/24)</formula>
    </cfRule>
    <cfRule type="expression" dxfId="2677" priority="105">
      <formula>AN$9&lt;8/24</formula>
    </cfRule>
  </conditionalFormatting>
  <conditionalFormatting sqref="AN15:AR15">
    <cfRule type="expression" dxfId="2676" priority="1">
      <formula>U$9&gt;=20/24</formula>
    </cfRule>
    <cfRule type="expression" dxfId="2675" priority="2">
      <formula>AND(U$9&gt;=14/24,U$9&lt;20/24)</formula>
    </cfRule>
    <cfRule type="expression" dxfId="2674" priority="3">
      <formula>AND(U$9&gt;=8/24,U$9&lt;14/24)</formula>
    </cfRule>
    <cfRule type="expression" dxfId="2673" priority="4">
      <formula>U$9&lt;8/24</formula>
    </cfRule>
  </conditionalFormatting>
  <conditionalFormatting sqref="AS15">
    <cfRule type="expression" dxfId="2672" priority="9">
      <formula>AA$9&gt;=20/24</formula>
    </cfRule>
    <cfRule type="expression" dxfId="2671" priority="10">
      <formula>AND(AA$9&gt;=14/24,AA$9&lt;20/24)</formula>
    </cfRule>
    <cfRule type="expression" dxfId="2670" priority="11">
      <formula>AND(AA$9&gt;=8/24,AA$9&lt;14/24)</formula>
    </cfRule>
    <cfRule type="expression" dxfId="2669" priority="12">
      <formula>AA$9&lt;8/24</formula>
    </cfRule>
  </conditionalFormatting>
  <conditionalFormatting sqref="AS16:AS21">
    <cfRule type="expression" dxfId="2668" priority="17">
      <formula>BE$9&gt;=20/24</formula>
    </cfRule>
    <cfRule type="expression" dxfId="2667" priority="18">
      <formula>AND(BE$9&gt;=14/24,BE$9&lt;20/24)</formula>
    </cfRule>
    <cfRule type="expression" dxfId="2666" priority="19">
      <formula>AND(BE$9&gt;=8/24,BE$9&lt;14/24)</formula>
    </cfRule>
    <cfRule type="expression" dxfId="2665" priority="20">
      <formula>BE$9&lt;8/24</formula>
    </cfRule>
  </conditionalFormatting>
  <conditionalFormatting sqref="AT15 AX15:BJ15">
    <cfRule type="expression" dxfId="2664" priority="21">
      <formula>AC$9&gt;=20/24</formula>
    </cfRule>
    <cfRule type="expression" dxfId="2663" priority="22">
      <formula>AND(AC$9&gt;=14/24,AC$9&lt;20/24)</formula>
    </cfRule>
    <cfRule type="expression" dxfId="2662" priority="23">
      <formula>AND(AC$9&gt;=8/24,AC$9&lt;14/24)</formula>
    </cfRule>
    <cfRule type="expression" dxfId="2661" priority="24">
      <formula>AC$9&lt;8/24</formula>
    </cfRule>
  </conditionalFormatting>
  <conditionalFormatting sqref="AT16:AT21">
    <cfRule type="expression" dxfId="2660" priority="25">
      <formula>BG$9&gt;=20/24</formula>
    </cfRule>
    <cfRule type="expression" dxfId="2659" priority="26">
      <formula>AND(BG$9&gt;=14/24,BG$9&lt;20/24)</formula>
    </cfRule>
    <cfRule type="expression" dxfId="2658" priority="27">
      <formula>AND(BG$9&gt;=8/24,BG$9&lt;14/24)</formula>
    </cfRule>
    <cfRule type="expression" dxfId="2657" priority="28">
      <formula>BG$9&lt;8/24</formula>
    </cfRule>
  </conditionalFormatting>
  <conditionalFormatting sqref="AU15:AV15">
    <cfRule type="expression" dxfId="2656" priority="29">
      <formula>AE$9&gt;=20/24</formula>
    </cfRule>
    <cfRule type="expression" dxfId="2655" priority="30">
      <formula>AND(AE$9&gt;=14/24,AE$9&lt;20/24)</formula>
    </cfRule>
    <cfRule type="expression" dxfId="2654" priority="31">
      <formula>AND(AE$9&gt;=8/24,AE$9&lt;14/24)</formula>
    </cfRule>
    <cfRule type="expression" dxfId="2653" priority="32">
      <formula>AE$9&lt;8/24</formula>
    </cfRule>
  </conditionalFormatting>
  <conditionalFormatting sqref="AU16:BJ21">
    <cfRule type="expression" dxfId="2652" priority="33">
      <formula>BI$9&gt;=20/24</formula>
    </cfRule>
    <cfRule type="expression" dxfId="2651" priority="34">
      <formula>AND(BI$9&gt;=14/24,BI$9&lt;20/24)</formula>
    </cfRule>
    <cfRule type="expression" dxfId="2650" priority="35">
      <formula>AND(BI$9&gt;=8/24,BI$9&lt;14/24)</formula>
    </cfRule>
    <cfRule type="expression" dxfId="2649" priority="36">
      <formula>BI$9&lt;8/24</formula>
    </cfRule>
  </conditionalFormatting>
  <conditionalFormatting sqref="AW15">
    <cfRule type="expression" dxfId="2648" priority="5">
      <formula>B$9&gt;=20/24</formula>
    </cfRule>
    <cfRule type="expression" dxfId="2647" priority="6">
      <formula>AND(B$9&gt;=14/24,B$9&lt;20/24)</formula>
    </cfRule>
    <cfRule type="expression" dxfId="2646" priority="7">
      <formula>AND(B$9&gt;=8/24,B$9&lt;14/24)</formula>
    </cfRule>
    <cfRule type="expression" dxfId="2645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379A-7759-4B12-8ED1-357004BC73E0}">
  <sheetPr codeName="Sheet16"/>
  <dimension ref="A1:CJ294"/>
  <sheetViews>
    <sheetView zoomScale="106" workbookViewId="0">
      <pane xSplit="1" ySplit="10" topLeftCell="B4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58" sqref="B58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2080/10/16</v>
      </c>
      <c r="C4" s="187"/>
      <c r="D4" s="187"/>
      <c r="E4" s="188" t="str">
        <f ca="1">"2080/"&amp;"10/"&amp;INT(MID(CELL("filename",G6),FIND("]",CELL("filename",G6))+1,200))</f>
        <v>2080/10/16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30.9</v>
      </c>
      <c r="C5" s="30">
        <f t="shared" si="0"/>
        <v>30.9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105.1</v>
      </c>
      <c r="J5" s="30">
        <f t="shared" si="0"/>
        <v>139.10000000000002</v>
      </c>
      <c r="K5" s="30">
        <f t="shared" si="0"/>
        <v>149</v>
      </c>
      <c r="L5" s="30">
        <f t="shared" si="0"/>
        <v>162.60000000000002</v>
      </c>
      <c r="M5" s="30">
        <f t="shared" si="0"/>
        <v>149.5</v>
      </c>
      <c r="N5" s="30">
        <f t="shared" si="0"/>
        <v>179.7</v>
      </c>
      <c r="O5" s="30">
        <f t="shared" si="0"/>
        <v>322.7</v>
      </c>
      <c r="P5" s="30">
        <f t="shared" si="0"/>
        <v>391.1</v>
      </c>
      <c r="Q5" s="30">
        <f t="shared" si="0"/>
        <v>343.4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16.100000000000001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2084MW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Load=254</v>
      </c>
      <c r="B7" s="35">
        <f t="shared" ref="B7:AF7" si="1">B100</f>
        <v>1654.2399999999998</v>
      </c>
      <c r="C7" s="35">
        <f t="shared" si="1"/>
        <v>1605.6399999999999</v>
      </c>
      <c r="D7" s="35">
        <f t="shared" si="1"/>
        <v>1604.6399999999999</v>
      </c>
      <c r="E7" s="35">
        <f t="shared" si="1"/>
        <v>1578.6399999999999</v>
      </c>
      <c r="F7" s="35">
        <f t="shared" si="1"/>
        <v>1528.9699999999998</v>
      </c>
      <c r="G7" s="35">
        <f t="shared" si="1"/>
        <v>1526.4699999999998</v>
      </c>
      <c r="H7" s="35">
        <f t="shared" si="1"/>
        <v>1535.3699999999997</v>
      </c>
      <c r="I7" s="35">
        <f t="shared" si="1"/>
        <v>1576.2399999999998</v>
      </c>
      <c r="J7" s="35">
        <f t="shared" si="1"/>
        <v>1668.8399999999997</v>
      </c>
      <c r="K7" s="35">
        <f t="shared" si="1"/>
        <v>1707.54</v>
      </c>
      <c r="L7" s="35">
        <f t="shared" si="1"/>
        <v>1763.54</v>
      </c>
      <c r="M7" s="35">
        <f t="shared" si="1"/>
        <v>1791.9399999999998</v>
      </c>
      <c r="N7" s="35">
        <f t="shared" si="1"/>
        <v>1789.94</v>
      </c>
      <c r="O7" s="35">
        <f t="shared" si="1"/>
        <v>1933.94</v>
      </c>
      <c r="P7" s="35">
        <f t="shared" si="1"/>
        <v>1874.64</v>
      </c>
      <c r="Q7" s="35">
        <f t="shared" si="1"/>
        <v>1984.44</v>
      </c>
      <c r="R7" s="35">
        <f t="shared" si="1"/>
        <v>1927.3400000000001</v>
      </c>
      <c r="S7" s="35">
        <f t="shared" si="1"/>
        <v>253.54</v>
      </c>
      <c r="T7" s="35">
        <f t="shared" si="1"/>
        <v>253.54</v>
      </c>
      <c r="U7" s="35">
        <f t="shared" si="1"/>
        <v>253.54</v>
      </c>
      <c r="V7" s="35">
        <f t="shared" si="1"/>
        <v>253.54</v>
      </c>
      <c r="W7" s="35">
        <f t="shared" si="1"/>
        <v>253.54</v>
      </c>
      <c r="X7" s="35">
        <f t="shared" si="1"/>
        <v>253.54</v>
      </c>
      <c r="Y7" s="35">
        <f t="shared" si="1"/>
        <v>253.5</v>
      </c>
      <c r="Z7" s="35">
        <f t="shared" si="1"/>
        <v>255.5</v>
      </c>
      <c r="AA7" s="35">
        <f t="shared" si="1"/>
        <v>253.54</v>
      </c>
      <c r="AB7" s="35">
        <f t="shared" si="1"/>
        <v>253.54</v>
      </c>
      <c r="AC7" s="35">
        <f t="shared" si="1"/>
        <v>253.54</v>
      </c>
      <c r="AD7" s="35">
        <f t="shared" si="1"/>
        <v>253.54</v>
      </c>
      <c r="AE7" s="35">
        <f t="shared" si="1"/>
        <v>253.54</v>
      </c>
      <c r="AF7" s="35">
        <f t="shared" si="1"/>
        <v>253.54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2084.14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1984.44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35.9</v>
      </c>
      <c r="C11" s="46">
        <v>35.9</v>
      </c>
      <c r="D11" s="46">
        <v>35.9</v>
      </c>
      <c r="E11" s="46">
        <v>35.9</v>
      </c>
      <c r="F11" s="46">
        <v>35.9</v>
      </c>
      <c r="G11" s="46">
        <v>35.9</v>
      </c>
      <c r="H11" s="46">
        <v>35.9</v>
      </c>
      <c r="I11" s="46">
        <v>35.9</v>
      </c>
      <c r="J11" s="46">
        <v>35.9</v>
      </c>
      <c r="K11" s="46">
        <v>35.9</v>
      </c>
      <c r="L11" s="46">
        <v>35.9</v>
      </c>
      <c r="M11" s="46">
        <v>30.5</v>
      </c>
      <c r="N11" s="46">
        <v>30.5</v>
      </c>
      <c r="O11" s="46">
        <v>30.5</v>
      </c>
      <c r="P11" s="46">
        <v>30.5</v>
      </c>
      <c r="Q11" s="46">
        <v>30.5</v>
      </c>
      <c r="R11" s="46">
        <v>30.5</v>
      </c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16" si="2">MAX(B11:AF11)</f>
        <v>35.9</v>
      </c>
      <c r="AI11" s="49">
        <f t="shared" ref="AI11:AI16" si="3">MIN(B11:AF11)</f>
        <v>30.5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>
        <v>45</v>
      </c>
      <c r="C12" s="46">
        <v>45</v>
      </c>
      <c r="D12" s="46">
        <v>45</v>
      </c>
      <c r="E12" s="46">
        <v>45</v>
      </c>
      <c r="F12" s="46">
        <v>45</v>
      </c>
      <c r="G12" s="46">
        <v>45</v>
      </c>
      <c r="H12" s="46">
        <v>45</v>
      </c>
      <c r="I12" s="46">
        <v>45</v>
      </c>
      <c r="J12" s="46">
        <v>45</v>
      </c>
      <c r="K12" s="46">
        <v>45</v>
      </c>
      <c r="L12" s="46">
        <v>45</v>
      </c>
      <c r="M12" s="46">
        <v>45</v>
      </c>
      <c r="N12" s="46">
        <v>45</v>
      </c>
      <c r="O12" s="46">
        <v>45</v>
      </c>
      <c r="P12" s="46">
        <v>45</v>
      </c>
      <c r="Q12" s="46">
        <v>45</v>
      </c>
      <c r="R12" s="46">
        <v>45</v>
      </c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54</v>
      </c>
      <c r="AH12" s="48">
        <f t="shared" si="2"/>
        <v>45</v>
      </c>
      <c r="AI12" s="49">
        <f t="shared" si="3"/>
        <v>45</v>
      </c>
      <c r="AK12" s="51"/>
      <c r="AL12" s="52" t="str">
        <f ca="1">MID(CELL("filename",C7),FIND("]",CELL("filename",C7))+1,600)</f>
        <v>016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>
        <v>27</v>
      </c>
      <c r="C13" s="46">
        <v>27</v>
      </c>
      <c r="D13" s="46">
        <v>27</v>
      </c>
      <c r="E13" s="46">
        <v>27</v>
      </c>
      <c r="F13" s="46">
        <v>27</v>
      </c>
      <c r="G13" s="46">
        <v>27</v>
      </c>
      <c r="H13" s="46">
        <v>27</v>
      </c>
      <c r="I13" s="46">
        <v>27</v>
      </c>
      <c r="J13" s="46">
        <v>27</v>
      </c>
      <c r="K13" s="46">
        <v>27</v>
      </c>
      <c r="L13" s="46">
        <v>27</v>
      </c>
      <c r="M13" s="46">
        <v>27</v>
      </c>
      <c r="N13" s="46">
        <v>27</v>
      </c>
      <c r="O13" s="46">
        <v>27</v>
      </c>
      <c r="P13" s="46">
        <v>27</v>
      </c>
      <c r="Q13" s="46">
        <v>27</v>
      </c>
      <c r="R13" s="46">
        <v>27</v>
      </c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54</v>
      </c>
      <c r="AH13" s="48">
        <f t="shared" si="2"/>
        <v>27</v>
      </c>
      <c r="AI13" s="49">
        <f t="shared" si="3"/>
        <v>27</v>
      </c>
      <c r="AK13" s="51"/>
      <c r="AL13" s="52" t="str">
        <f ca="1">"Daily Load Curve(Excluding of Export) of Nepal ("&amp;A4&amp;" "&amp;B4&amp;")"</f>
        <v>Daily Load Curve(Excluding of Export) of Nepal (Nepali Date: 2080/10/16)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>
        <v>20</v>
      </c>
      <c r="C14" s="46">
        <v>20</v>
      </c>
      <c r="D14" s="46">
        <v>20</v>
      </c>
      <c r="E14" s="46">
        <v>20</v>
      </c>
      <c r="F14" s="46">
        <v>20</v>
      </c>
      <c r="G14" s="46">
        <v>20</v>
      </c>
      <c r="H14" s="46">
        <v>20</v>
      </c>
      <c r="I14" s="46">
        <v>20</v>
      </c>
      <c r="J14" s="46">
        <v>20</v>
      </c>
      <c r="K14" s="46">
        <v>20</v>
      </c>
      <c r="L14" s="46">
        <v>20</v>
      </c>
      <c r="M14" s="46">
        <v>20</v>
      </c>
      <c r="N14" s="46">
        <v>20</v>
      </c>
      <c r="O14" s="46">
        <v>20</v>
      </c>
      <c r="P14" s="46">
        <v>20</v>
      </c>
      <c r="Q14" s="46">
        <v>20</v>
      </c>
      <c r="R14" s="46">
        <v>20</v>
      </c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7">
        <v>52.4</v>
      </c>
      <c r="AH14" s="48">
        <f t="shared" si="2"/>
        <v>20</v>
      </c>
      <c r="AI14" s="49">
        <f t="shared" si="3"/>
        <v>20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>
        <v>50.3</v>
      </c>
      <c r="C15" s="46">
        <v>50.3</v>
      </c>
      <c r="D15" s="46">
        <v>50.3</v>
      </c>
      <c r="E15" s="46">
        <v>50.3</v>
      </c>
      <c r="F15" s="46">
        <v>50.3</v>
      </c>
      <c r="G15" s="46">
        <v>50.3</v>
      </c>
      <c r="H15" s="46">
        <v>50.3</v>
      </c>
      <c r="I15" s="46">
        <v>50.3</v>
      </c>
      <c r="J15" s="46">
        <v>50.3</v>
      </c>
      <c r="K15" s="46">
        <v>50.3</v>
      </c>
      <c r="L15" s="46">
        <v>50.3</v>
      </c>
      <c r="M15" s="46">
        <v>50.3</v>
      </c>
      <c r="N15" s="46">
        <v>50.3</v>
      </c>
      <c r="O15" s="46">
        <v>50.3</v>
      </c>
      <c r="P15" s="46">
        <v>50.3</v>
      </c>
      <c r="Q15" s="46">
        <v>50.3</v>
      </c>
      <c r="R15" s="46">
        <v>50.3</v>
      </c>
      <c r="S15" s="46"/>
      <c r="T15" s="46"/>
      <c r="U15" s="46"/>
      <c r="V15" s="46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0">
        <v>50</v>
      </c>
      <c r="AH15" s="48">
        <f t="shared" si="2"/>
        <v>50.3</v>
      </c>
      <c r="AI15" s="49">
        <f t="shared" si="3"/>
        <v>50.3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>
        <v>45</v>
      </c>
      <c r="C16" s="46">
        <v>45</v>
      </c>
      <c r="D16" s="46">
        <v>45</v>
      </c>
      <c r="E16" s="46">
        <v>45</v>
      </c>
      <c r="F16" s="46">
        <v>45</v>
      </c>
      <c r="G16" s="46">
        <v>45</v>
      </c>
      <c r="H16" s="46">
        <v>45</v>
      </c>
      <c r="I16" s="46">
        <v>45</v>
      </c>
      <c r="J16" s="46">
        <v>45</v>
      </c>
      <c r="K16" s="46">
        <v>45</v>
      </c>
      <c r="L16" s="46">
        <v>45</v>
      </c>
      <c r="M16" s="46">
        <v>45</v>
      </c>
      <c r="N16" s="46">
        <v>45</v>
      </c>
      <c r="O16" s="46">
        <v>45</v>
      </c>
      <c r="P16" s="46">
        <v>45</v>
      </c>
      <c r="Q16" s="46">
        <v>45</v>
      </c>
      <c r="R16" s="46">
        <v>45</v>
      </c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45</v>
      </c>
      <c r="AH16" s="48">
        <f t="shared" si="2"/>
        <v>45</v>
      </c>
      <c r="AI16" s="49">
        <f t="shared" si="3"/>
        <v>45</v>
      </c>
      <c r="AK16" s="51"/>
      <c r="AL16" s="54" t="s">
        <v>7</v>
      </c>
      <c r="AM16" s="59">
        <f t="shared" ref="AM16:AR16" si="4">B58</f>
        <v>899.79999999999984</v>
      </c>
      <c r="AN16" s="59">
        <f t="shared" si="4"/>
        <v>899.79999999999984</v>
      </c>
      <c r="AO16" s="59">
        <f t="shared" si="4"/>
        <v>899.79999999999984</v>
      </c>
      <c r="AP16" s="59">
        <f t="shared" si="4"/>
        <v>899.79999999999984</v>
      </c>
      <c r="AQ16" s="59">
        <f t="shared" si="4"/>
        <v>899.79999999999984</v>
      </c>
      <c r="AR16" s="59">
        <f t="shared" si="4"/>
        <v>899.79999999999984</v>
      </c>
      <c r="AS16" s="59">
        <f>I58</f>
        <v>899.79999999999984</v>
      </c>
      <c r="AT16" s="59">
        <f>K58</f>
        <v>899.79999999999984</v>
      </c>
      <c r="AU16" s="59">
        <f t="shared" ref="AU16:BD16" si="5">M58</f>
        <v>894.4</v>
      </c>
      <c r="AV16" s="59">
        <f t="shared" si="5"/>
        <v>894.4</v>
      </c>
      <c r="AW16" s="59">
        <f t="shared" si="5"/>
        <v>894.4</v>
      </c>
      <c r="AX16" s="59">
        <f t="shared" si="5"/>
        <v>894.4</v>
      </c>
      <c r="AY16" s="59">
        <f t="shared" si="5"/>
        <v>894.4</v>
      </c>
      <c r="AZ16" s="59">
        <f t="shared" si="5"/>
        <v>894.4</v>
      </c>
      <c r="BA16" s="59">
        <f t="shared" si="5"/>
        <v>250</v>
      </c>
      <c r="BB16" s="59">
        <f t="shared" si="5"/>
        <v>250</v>
      </c>
      <c r="BC16" s="59">
        <f t="shared" si="5"/>
        <v>250</v>
      </c>
      <c r="BD16" s="59">
        <f t="shared" si="5"/>
        <v>250</v>
      </c>
      <c r="BE16" s="60">
        <f>X58</f>
        <v>250</v>
      </c>
      <c r="BF16" s="60">
        <f>Z58</f>
        <v>250</v>
      </c>
      <c r="BG16" s="60">
        <f>AB58</f>
        <v>250</v>
      </c>
      <c r="BH16" s="60">
        <f>AD58</f>
        <v>250</v>
      </c>
      <c r="BI16" s="60">
        <f>AE58</f>
        <v>250</v>
      </c>
      <c r="BJ16" s="60">
        <f>AF58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>
        <v>30</v>
      </c>
      <c r="C17" s="46">
        <v>30</v>
      </c>
      <c r="D17" s="46">
        <v>30</v>
      </c>
      <c r="E17" s="46">
        <v>30</v>
      </c>
      <c r="F17" s="46">
        <v>30</v>
      </c>
      <c r="G17" s="46">
        <v>30</v>
      </c>
      <c r="H17" s="46">
        <v>30</v>
      </c>
      <c r="I17" s="46">
        <v>30</v>
      </c>
      <c r="J17" s="46">
        <v>30</v>
      </c>
      <c r="K17" s="46">
        <v>30</v>
      </c>
      <c r="L17" s="46">
        <v>30</v>
      </c>
      <c r="M17" s="46">
        <v>30</v>
      </c>
      <c r="N17" s="46">
        <v>30</v>
      </c>
      <c r="O17" s="46">
        <v>30</v>
      </c>
      <c r="P17" s="46">
        <v>30</v>
      </c>
      <c r="Q17" s="46">
        <v>30</v>
      </c>
      <c r="R17" s="46">
        <v>30</v>
      </c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50">
        <v>44</v>
      </c>
      <c r="AH17" s="48">
        <f>MAX(B17:AG17)</f>
        <v>44</v>
      </c>
      <c r="AI17" s="49">
        <f>MIN(B17:AG17)</f>
        <v>30</v>
      </c>
      <c r="AK17" s="51"/>
      <c r="AL17" s="54" t="s">
        <v>27</v>
      </c>
      <c r="AM17" s="59">
        <f t="shared" ref="AM17:AR17" si="6">B62</f>
        <v>204.29999999999998</v>
      </c>
      <c r="AN17" s="59">
        <f t="shared" si="6"/>
        <v>528.70000000000005</v>
      </c>
      <c r="AO17" s="59">
        <f t="shared" si="6"/>
        <v>528.70000000000005</v>
      </c>
      <c r="AP17" s="59">
        <f t="shared" si="6"/>
        <v>537.20000000000005</v>
      </c>
      <c r="AQ17" s="59">
        <f t="shared" si="6"/>
        <v>511.90000000000003</v>
      </c>
      <c r="AR17" s="59">
        <f t="shared" si="6"/>
        <v>522.9</v>
      </c>
      <c r="AS17" s="59">
        <f>I62</f>
        <v>534.1</v>
      </c>
      <c r="AT17" s="59">
        <f>K62</f>
        <v>478.80000000000007</v>
      </c>
      <c r="AU17" s="59">
        <f t="shared" ref="AU17:BD17" si="7">M62</f>
        <v>528.6</v>
      </c>
      <c r="AV17" s="59">
        <f t="shared" si="7"/>
        <v>339.3</v>
      </c>
      <c r="AW17" s="59">
        <f t="shared" si="7"/>
        <v>404.40000000000003</v>
      </c>
      <c r="AX17" s="59">
        <f t="shared" si="7"/>
        <v>188.5</v>
      </c>
      <c r="AY17" s="59">
        <f t="shared" si="7"/>
        <v>223</v>
      </c>
      <c r="AZ17" s="59">
        <f t="shared" si="7"/>
        <v>170.1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X62</f>
        <v>0</v>
      </c>
      <c r="BF17" s="60">
        <f>Z62</f>
        <v>0</v>
      </c>
      <c r="BG17" s="60">
        <f>AB62</f>
        <v>0</v>
      </c>
      <c r="BH17" s="60">
        <f>AD62</f>
        <v>0</v>
      </c>
      <c r="BI17" s="60">
        <f>AE62</f>
        <v>0</v>
      </c>
      <c r="BJ17" s="60">
        <f>AF62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50">
        <v>42</v>
      </c>
      <c r="AH18" s="48">
        <f t="shared" ref="AH18:AH81" si="8">MAX(B18:AF18)</f>
        <v>0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397.43999999999994</v>
      </c>
      <c r="AN18" s="59">
        <f t="shared" si="10"/>
        <v>404.43999999999994</v>
      </c>
      <c r="AO18" s="59">
        <f t="shared" si="10"/>
        <v>404.43999999999994</v>
      </c>
      <c r="AP18" s="59">
        <f t="shared" si="10"/>
        <v>404.93999999999994</v>
      </c>
      <c r="AQ18" s="59">
        <f t="shared" si="10"/>
        <v>403.77</v>
      </c>
      <c r="AR18" s="59">
        <f t="shared" si="10"/>
        <v>400.46999999999997</v>
      </c>
      <c r="AS18" s="59">
        <f>I76</f>
        <v>400.73999999999995</v>
      </c>
      <c r="AT18" s="59">
        <f>K76</f>
        <v>400.93999999999994</v>
      </c>
      <c r="AU18" s="59">
        <f t="shared" ref="AU18:BD18" si="11">M76</f>
        <v>399.74</v>
      </c>
      <c r="AV18" s="59">
        <f t="shared" si="11"/>
        <v>412.94</v>
      </c>
      <c r="AW18" s="59">
        <f t="shared" si="11"/>
        <v>423.24</v>
      </c>
      <c r="AX18" s="59">
        <f t="shared" si="11"/>
        <v>378.24</v>
      </c>
      <c r="AY18" s="59">
        <f t="shared" si="11"/>
        <v>377.74</v>
      </c>
      <c r="AZ18" s="59">
        <f t="shared" si="11"/>
        <v>421.24</v>
      </c>
      <c r="BA18" s="59">
        <f t="shared" si="11"/>
        <v>3.54</v>
      </c>
      <c r="BB18" s="59">
        <f t="shared" si="11"/>
        <v>3.54</v>
      </c>
      <c r="BC18" s="59">
        <f t="shared" si="11"/>
        <v>3.54</v>
      </c>
      <c r="BD18" s="59">
        <f t="shared" si="11"/>
        <v>3.54</v>
      </c>
      <c r="BE18" s="60">
        <f>X76</f>
        <v>3.54</v>
      </c>
      <c r="BF18" s="60">
        <f>Z76</f>
        <v>5.5</v>
      </c>
      <c r="BG18" s="60">
        <f>AB76</f>
        <v>3.54</v>
      </c>
      <c r="BH18" s="60">
        <f>AD76</f>
        <v>3.54</v>
      </c>
      <c r="BI18" s="60">
        <f>AE76</f>
        <v>3.54</v>
      </c>
      <c r="BJ18" s="60">
        <f>AF76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>
        <v>28.1</v>
      </c>
      <c r="C19" s="46">
        <v>28.1</v>
      </c>
      <c r="D19" s="46">
        <v>28.1</v>
      </c>
      <c r="E19" s="46">
        <v>28.1</v>
      </c>
      <c r="F19" s="46">
        <v>28.1</v>
      </c>
      <c r="G19" s="46">
        <v>28.1</v>
      </c>
      <c r="H19" s="46">
        <v>28.1</v>
      </c>
      <c r="I19" s="46">
        <v>28.1</v>
      </c>
      <c r="J19" s="46">
        <v>28.1</v>
      </c>
      <c r="K19" s="46">
        <v>28.1</v>
      </c>
      <c r="L19" s="46">
        <v>28.1</v>
      </c>
      <c r="M19" s="46">
        <v>28.1</v>
      </c>
      <c r="N19" s="46">
        <v>28.1</v>
      </c>
      <c r="O19" s="46">
        <v>28.1</v>
      </c>
      <c r="P19" s="46">
        <v>28.1</v>
      </c>
      <c r="Q19" s="46">
        <v>28.1</v>
      </c>
      <c r="R19" s="46">
        <v>28.1</v>
      </c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38.46</v>
      </c>
      <c r="AH19" s="48">
        <f t="shared" si="8"/>
        <v>28.1</v>
      </c>
      <c r="AI19" s="49">
        <f t="shared" si="9"/>
        <v>28.1</v>
      </c>
      <c r="AK19" s="51"/>
      <c r="AL19" s="54" t="s">
        <v>31</v>
      </c>
      <c r="AM19" s="59">
        <f t="shared" ref="AM19:AR19" si="12">B92</f>
        <v>16.100000000000001</v>
      </c>
      <c r="AN19" s="59">
        <f t="shared" si="12"/>
        <v>30.9</v>
      </c>
      <c r="AO19" s="59">
        <f t="shared" si="12"/>
        <v>30.9</v>
      </c>
      <c r="AP19" s="59">
        <f t="shared" si="12"/>
        <v>0</v>
      </c>
      <c r="AQ19" s="59">
        <f t="shared" si="12"/>
        <v>0</v>
      </c>
      <c r="AR19" s="59">
        <f t="shared" si="12"/>
        <v>0</v>
      </c>
      <c r="AS19" s="59">
        <f>I92</f>
        <v>0</v>
      </c>
      <c r="AT19" s="59">
        <f>K92</f>
        <v>139.10000000000002</v>
      </c>
      <c r="AU19" s="59">
        <f t="shared" ref="AU19:BD19" si="13">M92</f>
        <v>162.60000000000002</v>
      </c>
      <c r="AV19" s="59">
        <f t="shared" si="13"/>
        <v>149.5</v>
      </c>
      <c r="AW19" s="59">
        <f t="shared" si="13"/>
        <v>179.7</v>
      </c>
      <c r="AX19" s="59">
        <f t="shared" si="13"/>
        <v>322.7</v>
      </c>
      <c r="AY19" s="59">
        <f t="shared" si="13"/>
        <v>391.1</v>
      </c>
      <c r="AZ19" s="59">
        <f t="shared" si="13"/>
        <v>343.4</v>
      </c>
      <c r="BA19" s="59">
        <f t="shared" si="13"/>
        <v>0</v>
      </c>
      <c r="BB19" s="59">
        <f t="shared" si="13"/>
        <v>0</v>
      </c>
      <c r="BC19" s="59">
        <f t="shared" si="13"/>
        <v>0</v>
      </c>
      <c r="BD19" s="59">
        <f t="shared" si="13"/>
        <v>0</v>
      </c>
      <c r="BE19" s="60">
        <f>X92</f>
        <v>0</v>
      </c>
      <c r="BF19" s="60">
        <f>Z92</f>
        <v>0</v>
      </c>
      <c r="BG19" s="60">
        <f>AB92</f>
        <v>0</v>
      </c>
      <c r="BH19" s="60">
        <f>AD92</f>
        <v>0</v>
      </c>
      <c r="BI19" s="60">
        <f>AE92</f>
        <v>0</v>
      </c>
      <c r="BJ19" s="60">
        <f>AF92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>
        <v>30</v>
      </c>
      <c r="C20" s="46">
        <v>30</v>
      </c>
      <c r="D20" s="46">
        <v>30</v>
      </c>
      <c r="E20" s="46">
        <v>30</v>
      </c>
      <c r="F20" s="46">
        <v>30</v>
      </c>
      <c r="G20" s="46">
        <v>30</v>
      </c>
      <c r="H20" s="46">
        <v>30</v>
      </c>
      <c r="I20" s="46">
        <v>30</v>
      </c>
      <c r="J20" s="46">
        <v>30</v>
      </c>
      <c r="K20" s="46">
        <v>30</v>
      </c>
      <c r="L20" s="46">
        <v>30</v>
      </c>
      <c r="M20" s="46">
        <v>30</v>
      </c>
      <c r="N20" s="46">
        <v>30</v>
      </c>
      <c r="O20" s="46">
        <v>30</v>
      </c>
      <c r="P20" s="46">
        <v>30</v>
      </c>
      <c r="Q20" s="46">
        <v>30</v>
      </c>
      <c r="R20" s="46">
        <v>30</v>
      </c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38.46</v>
      </c>
      <c r="AH20" s="48">
        <f t="shared" si="8"/>
        <v>30</v>
      </c>
      <c r="AI20" s="49">
        <f t="shared" si="9"/>
        <v>30</v>
      </c>
      <c r="AK20" s="51"/>
      <c r="AL20" s="54" t="s">
        <v>33</v>
      </c>
      <c r="AM20" s="59">
        <f t="shared" ref="AM20:AR20" si="14">B80</f>
        <v>36.599999999999994</v>
      </c>
      <c r="AN20" s="59">
        <f t="shared" si="14"/>
        <v>50.8</v>
      </c>
      <c r="AO20" s="59">
        <f t="shared" si="14"/>
        <v>50.8</v>
      </c>
      <c r="AP20" s="59">
        <f t="shared" si="14"/>
        <v>41.3</v>
      </c>
      <c r="AQ20" s="59">
        <f t="shared" si="14"/>
        <v>23.099999999999998</v>
      </c>
      <c r="AR20" s="59">
        <f t="shared" si="14"/>
        <v>29.599999999999998</v>
      </c>
      <c r="AS20" s="59">
        <f>I80</f>
        <v>61.3</v>
      </c>
      <c r="AT20" s="59">
        <f>K80</f>
        <v>100.9</v>
      </c>
      <c r="AU20" s="59">
        <f t="shared" ref="AU20:BD20" si="15">M80</f>
        <v>98.800000000000011</v>
      </c>
      <c r="AV20" s="59">
        <f t="shared" si="15"/>
        <v>61.800000000000004</v>
      </c>
      <c r="AW20" s="59">
        <f t="shared" si="15"/>
        <v>98.9</v>
      </c>
      <c r="AX20" s="59">
        <f t="shared" si="15"/>
        <v>90.8</v>
      </c>
      <c r="AY20" s="59">
        <f t="shared" si="15"/>
        <v>98.2</v>
      </c>
      <c r="AZ20" s="59">
        <f t="shared" si="15"/>
        <v>98.2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0</v>
      </c>
      <c r="BG20" s="60">
        <f>AB80</f>
        <v>0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>
        <v>12</v>
      </c>
      <c r="C21" s="46">
        <v>12</v>
      </c>
      <c r="D21" s="46">
        <v>12</v>
      </c>
      <c r="E21" s="46">
        <v>12</v>
      </c>
      <c r="F21" s="46">
        <v>12</v>
      </c>
      <c r="G21" s="46">
        <v>12</v>
      </c>
      <c r="H21" s="46">
        <v>12</v>
      </c>
      <c r="I21" s="46">
        <v>12</v>
      </c>
      <c r="J21" s="46">
        <v>12</v>
      </c>
      <c r="K21" s="46">
        <v>12</v>
      </c>
      <c r="L21" s="46">
        <v>12</v>
      </c>
      <c r="M21" s="46">
        <v>12</v>
      </c>
      <c r="N21" s="46">
        <v>12</v>
      </c>
      <c r="O21" s="46">
        <v>12</v>
      </c>
      <c r="P21" s="46">
        <v>12</v>
      </c>
      <c r="Q21" s="46">
        <v>12</v>
      </c>
      <c r="R21" s="46">
        <v>12</v>
      </c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36</v>
      </c>
      <c r="AH21" s="48">
        <f t="shared" si="8"/>
        <v>12</v>
      </c>
      <c r="AI21" s="49">
        <f t="shared" si="9"/>
        <v>12</v>
      </c>
      <c r="AK21" s="51"/>
      <c r="AL21" s="54" t="s">
        <v>35</v>
      </c>
      <c r="AM21" s="59">
        <f t="shared" ref="AM21:AR21" si="16">B98</f>
        <v>100</v>
      </c>
      <c r="AN21" s="59">
        <f t="shared" si="16"/>
        <v>100</v>
      </c>
      <c r="AO21" s="59">
        <f t="shared" si="16"/>
        <v>100</v>
      </c>
      <c r="AP21" s="59">
        <f t="shared" si="16"/>
        <v>100</v>
      </c>
      <c r="AQ21" s="59">
        <f t="shared" si="16"/>
        <v>100</v>
      </c>
      <c r="AR21" s="59">
        <f t="shared" si="16"/>
        <v>100</v>
      </c>
      <c r="AS21" s="59">
        <f>I98</f>
        <v>100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0</v>
      </c>
      <c r="BH21" s="60">
        <f>AD98</f>
        <v>0</v>
      </c>
      <c r="BI21" s="60">
        <f>AE98</f>
        <v>0</v>
      </c>
      <c r="BJ21" s="60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>
        <v>30</v>
      </c>
      <c r="C22" s="46">
        <v>30</v>
      </c>
      <c r="D22" s="46">
        <v>30</v>
      </c>
      <c r="E22" s="46">
        <v>30</v>
      </c>
      <c r="F22" s="46">
        <v>30</v>
      </c>
      <c r="G22" s="46">
        <v>30</v>
      </c>
      <c r="H22" s="46">
        <v>30</v>
      </c>
      <c r="I22" s="46">
        <v>30</v>
      </c>
      <c r="J22" s="46">
        <v>30</v>
      </c>
      <c r="K22" s="46">
        <v>30</v>
      </c>
      <c r="L22" s="46">
        <v>30</v>
      </c>
      <c r="M22" s="46">
        <v>30</v>
      </c>
      <c r="N22" s="46">
        <v>30</v>
      </c>
      <c r="O22" s="46">
        <v>30</v>
      </c>
      <c r="P22" s="46">
        <v>30</v>
      </c>
      <c r="Q22" s="46">
        <v>30</v>
      </c>
      <c r="R22" s="46">
        <v>30</v>
      </c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61">
        <v>30</v>
      </c>
      <c r="AH22" s="48">
        <f t="shared" si="8"/>
        <v>30</v>
      </c>
      <c r="AI22" s="49">
        <f t="shared" si="9"/>
        <v>30</v>
      </c>
      <c r="AK22" s="51"/>
      <c r="AL22" s="62" t="s">
        <v>37</v>
      </c>
      <c r="AM22" s="63">
        <f t="shared" ref="AM22:BJ22" si="18">SUM(AM16:AM21)</f>
        <v>1654.2399999999998</v>
      </c>
      <c r="AN22" s="63">
        <f t="shared" si="18"/>
        <v>2014.64</v>
      </c>
      <c r="AO22" s="63">
        <f t="shared" si="18"/>
        <v>2014.64</v>
      </c>
      <c r="AP22" s="63">
        <f t="shared" si="18"/>
        <v>1983.24</v>
      </c>
      <c r="AQ22" s="63">
        <f t="shared" si="18"/>
        <v>1938.5699999999997</v>
      </c>
      <c r="AR22" s="63">
        <f t="shared" si="18"/>
        <v>1952.7699999999998</v>
      </c>
      <c r="AS22" s="63">
        <f t="shared" si="18"/>
        <v>1995.9399999999998</v>
      </c>
      <c r="AT22" s="63">
        <f t="shared" si="18"/>
        <v>2019.54</v>
      </c>
      <c r="AU22" s="63">
        <f t="shared" si="18"/>
        <v>2084.1400000000003</v>
      </c>
      <c r="AV22" s="63">
        <f t="shared" si="18"/>
        <v>1857.94</v>
      </c>
      <c r="AW22" s="63">
        <f t="shared" si="18"/>
        <v>2000.64</v>
      </c>
      <c r="AX22" s="63">
        <f t="shared" si="18"/>
        <v>1874.64</v>
      </c>
      <c r="AY22" s="63">
        <f t="shared" si="18"/>
        <v>1984.4400000000003</v>
      </c>
      <c r="AZ22" s="63">
        <f t="shared" si="18"/>
        <v>1927.34</v>
      </c>
      <c r="BA22" s="63">
        <f t="shared" si="18"/>
        <v>253.54</v>
      </c>
      <c r="BB22" s="63">
        <f t="shared" si="18"/>
        <v>253.54</v>
      </c>
      <c r="BC22" s="63">
        <f t="shared" si="18"/>
        <v>253.54</v>
      </c>
      <c r="BD22" s="63">
        <f t="shared" si="18"/>
        <v>253.54</v>
      </c>
      <c r="BE22" s="63">
        <f t="shared" si="18"/>
        <v>253.54</v>
      </c>
      <c r="BF22" s="63">
        <f t="shared" si="18"/>
        <v>255.5</v>
      </c>
      <c r="BG22" s="63">
        <f t="shared" si="18"/>
        <v>253.54</v>
      </c>
      <c r="BH22" s="63">
        <f t="shared" si="18"/>
        <v>253.54</v>
      </c>
      <c r="BI22" s="63">
        <f t="shared" si="18"/>
        <v>253.54</v>
      </c>
      <c r="BJ22" s="63">
        <f t="shared" si="18"/>
        <v>253.54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>
        <v>29</v>
      </c>
      <c r="C23" s="46">
        <v>29</v>
      </c>
      <c r="D23" s="46">
        <v>29</v>
      </c>
      <c r="E23" s="46">
        <v>29</v>
      </c>
      <c r="F23" s="46">
        <v>29</v>
      </c>
      <c r="G23" s="46">
        <v>29</v>
      </c>
      <c r="H23" s="46">
        <v>29</v>
      </c>
      <c r="I23" s="46">
        <v>29</v>
      </c>
      <c r="J23" s="46">
        <v>29</v>
      </c>
      <c r="K23" s="46">
        <v>29</v>
      </c>
      <c r="L23" s="46">
        <v>29</v>
      </c>
      <c r="M23" s="46">
        <v>29</v>
      </c>
      <c r="N23" s="46">
        <v>29</v>
      </c>
      <c r="O23" s="46">
        <v>29</v>
      </c>
      <c r="P23" s="46">
        <v>29</v>
      </c>
      <c r="Q23" s="46">
        <v>29</v>
      </c>
      <c r="R23" s="46">
        <v>29</v>
      </c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24.2</v>
      </c>
      <c r="AH23" s="48">
        <f t="shared" si="8"/>
        <v>29</v>
      </c>
      <c r="AI23" s="49">
        <f t="shared" si="9"/>
        <v>29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-409</v>
      </c>
      <c r="AO23" s="63">
        <f t="shared" si="19"/>
        <v>-410</v>
      </c>
      <c r="AP23" s="63">
        <f t="shared" si="19"/>
        <v>-404.6</v>
      </c>
      <c r="AQ23" s="63">
        <f t="shared" si="19"/>
        <v>-409.6</v>
      </c>
      <c r="AR23" s="63">
        <f t="shared" si="19"/>
        <v>-426.3</v>
      </c>
      <c r="AS23" s="63">
        <f>I107*-1</f>
        <v>-419.7</v>
      </c>
      <c r="AT23" s="63">
        <f>K107*-1</f>
        <v>-312</v>
      </c>
      <c r="AU23" s="63">
        <f t="shared" ref="AU23:BD23" si="20">M107*-1</f>
        <v>-292.2</v>
      </c>
      <c r="AV23" s="63">
        <f t="shared" si="20"/>
        <v>-68</v>
      </c>
      <c r="AW23" s="63">
        <f t="shared" si="20"/>
        <v>-66.7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>
        <v>23</v>
      </c>
      <c r="C24" s="46">
        <v>23</v>
      </c>
      <c r="D24" s="46">
        <v>23</v>
      </c>
      <c r="E24" s="46">
        <v>23</v>
      </c>
      <c r="F24" s="46">
        <v>23</v>
      </c>
      <c r="G24" s="46">
        <v>23</v>
      </c>
      <c r="H24" s="46">
        <v>23</v>
      </c>
      <c r="I24" s="46">
        <v>23</v>
      </c>
      <c r="J24" s="46">
        <v>23</v>
      </c>
      <c r="K24" s="46">
        <v>23</v>
      </c>
      <c r="L24" s="46">
        <v>23</v>
      </c>
      <c r="M24" s="46">
        <v>23</v>
      </c>
      <c r="N24" s="46">
        <v>23</v>
      </c>
      <c r="O24" s="46">
        <v>23</v>
      </c>
      <c r="P24" s="46">
        <v>23</v>
      </c>
      <c r="Q24" s="46">
        <v>23</v>
      </c>
      <c r="R24" s="46">
        <v>23</v>
      </c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28</v>
      </c>
      <c r="AH24" s="48">
        <f t="shared" si="8"/>
        <v>23</v>
      </c>
      <c r="AI24" s="49">
        <f t="shared" si="9"/>
        <v>23</v>
      </c>
      <c r="AK24" s="51"/>
      <c r="AL24" s="62" t="s">
        <v>41</v>
      </c>
      <c r="AM24" s="63">
        <f t="shared" ref="AM24:BJ24" si="21">AM22+AM23</f>
        <v>1654.2399999999998</v>
      </c>
      <c r="AN24" s="63">
        <f t="shared" si="21"/>
        <v>1605.64</v>
      </c>
      <c r="AO24" s="63">
        <f t="shared" si="21"/>
        <v>1604.64</v>
      </c>
      <c r="AP24" s="63">
        <f t="shared" si="21"/>
        <v>1578.6399999999999</v>
      </c>
      <c r="AQ24" s="63">
        <f t="shared" si="21"/>
        <v>1528.9699999999998</v>
      </c>
      <c r="AR24" s="63">
        <f t="shared" si="21"/>
        <v>1526.4699999999998</v>
      </c>
      <c r="AS24" s="63">
        <f t="shared" si="21"/>
        <v>1576.2399999999998</v>
      </c>
      <c r="AT24" s="63">
        <f t="shared" si="21"/>
        <v>1707.54</v>
      </c>
      <c r="AU24" s="63">
        <f t="shared" si="21"/>
        <v>1791.9400000000003</v>
      </c>
      <c r="AV24" s="63">
        <f t="shared" si="21"/>
        <v>1789.94</v>
      </c>
      <c r="AW24" s="63">
        <f t="shared" si="21"/>
        <v>1933.94</v>
      </c>
      <c r="AX24" s="63">
        <f t="shared" si="21"/>
        <v>1874.64</v>
      </c>
      <c r="AY24" s="63">
        <f t="shared" si="21"/>
        <v>1984.4400000000003</v>
      </c>
      <c r="AZ24" s="63">
        <f t="shared" si="21"/>
        <v>1927.34</v>
      </c>
      <c r="BA24" s="63">
        <f t="shared" si="21"/>
        <v>253.54</v>
      </c>
      <c r="BB24" s="63">
        <f t="shared" si="21"/>
        <v>253.54</v>
      </c>
      <c r="BC24" s="63">
        <f t="shared" si="21"/>
        <v>253.54</v>
      </c>
      <c r="BD24" s="63">
        <f t="shared" si="21"/>
        <v>253.54</v>
      </c>
      <c r="BE24" s="63">
        <f t="shared" si="21"/>
        <v>253.54</v>
      </c>
      <c r="BF24" s="63">
        <f t="shared" si="21"/>
        <v>255.5</v>
      </c>
      <c r="BG24" s="63">
        <f t="shared" si="21"/>
        <v>253.54</v>
      </c>
      <c r="BH24" s="63">
        <f t="shared" si="21"/>
        <v>253.54</v>
      </c>
      <c r="BI24" s="63">
        <f t="shared" si="21"/>
        <v>253.54</v>
      </c>
      <c r="BJ24" s="63">
        <f t="shared" si="21"/>
        <v>253.54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>
        <v>25</v>
      </c>
      <c r="C25" s="46">
        <v>25</v>
      </c>
      <c r="D25" s="46">
        <v>25</v>
      </c>
      <c r="E25" s="46">
        <v>25</v>
      </c>
      <c r="F25" s="46">
        <v>25</v>
      </c>
      <c r="G25" s="46">
        <v>25</v>
      </c>
      <c r="H25" s="46">
        <v>25</v>
      </c>
      <c r="I25" s="46">
        <v>25</v>
      </c>
      <c r="J25" s="46">
        <v>25</v>
      </c>
      <c r="K25" s="46">
        <v>25</v>
      </c>
      <c r="L25" s="46">
        <v>25</v>
      </c>
      <c r="M25" s="46">
        <v>25</v>
      </c>
      <c r="N25" s="46">
        <v>25</v>
      </c>
      <c r="O25" s="46">
        <v>25</v>
      </c>
      <c r="P25" s="46">
        <v>25</v>
      </c>
      <c r="Q25" s="46">
        <v>25</v>
      </c>
      <c r="R25" s="46">
        <v>25</v>
      </c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8"/>
        <v>25</v>
      </c>
      <c r="AI25" s="49">
        <f t="shared" si="9"/>
        <v>25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>
        <v>23</v>
      </c>
      <c r="C26" s="46">
        <v>23</v>
      </c>
      <c r="D26" s="46">
        <v>23</v>
      </c>
      <c r="E26" s="46">
        <v>23</v>
      </c>
      <c r="F26" s="46">
        <v>23</v>
      </c>
      <c r="G26" s="46">
        <v>23</v>
      </c>
      <c r="H26" s="46">
        <v>23</v>
      </c>
      <c r="I26" s="46">
        <v>23</v>
      </c>
      <c r="J26" s="46">
        <v>23</v>
      </c>
      <c r="K26" s="46">
        <v>23</v>
      </c>
      <c r="L26" s="46">
        <v>23</v>
      </c>
      <c r="M26" s="46">
        <v>23</v>
      </c>
      <c r="N26" s="46">
        <v>23</v>
      </c>
      <c r="O26" s="46">
        <v>23</v>
      </c>
      <c r="P26" s="46">
        <v>23</v>
      </c>
      <c r="Q26" s="46">
        <v>23</v>
      </c>
      <c r="R26" s="46">
        <v>23</v>
      </c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25</v>
      </c>
      <c r="AH26" s="48">
        <f t="shared" si="8"/>
        <v>23</v>
      </c>
      <c r="AI26" s="49">
        <f t="shared" si="9"/>
        <v>23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>
        <v>18</v>
      </c>
      <c r="C27" s="46">
        <v>18</v>
      </c>
      <c r="D27" s="46">
        <v>18</v>
      </c>
      <c r="E27" s="46">
        <v>18</v>
      </c>
      <c r="F27" s="46">
        <v>18</v>
      </c>
      <c r="G27" s="46">
        <v>18</v>
      </c>
      <c r="H27" s="46">
        <v>18</v>
      </c>
      <c r="I27" s="46">
        <v>18</v>
      </c>
      <c r="J27" s="46">
        <v>18</v>
      </c>
      <c r="K27" s="46">
        <v>18</v>
      </c>
      <c r="L27" s="46">
        <v>18</v>
      </c>
      <c r="M27" s="46">
        <v>18</v>
      </c>
      <c r="N27" s="46">
        <v>18</v>
      </c>
      <c r="O27" s="46">
        <v>18</v>
      </c>
      <c r="P27" s="46">
        <v>18</v>
      </c>
      <c r="Q27" s="46">
        <v>18</v>
      </c>
      <c r="R27" s="46">
        <v>18</v>
      </c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25</v>
      </c>
      <c r="AH27" s="48">
        <f t="shared" si="8"/>
        <v>18</v>
      </c>
      <c r="AI27" s="49">
        <f t="shared" si="9"/>
        <v>18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>
        <v>7</v>
      </c>
      <c r="C28" s="46">
        <v>7</v>
      </c>
      <c r="D28" s="46">
        <v>7</v>
      </c>
      <c r="E28" s="46">
        <v>7</v>
      </c>
      <c r="F28" s="46">
        <v>7</v>
      </c>
      <c r="G28" s="46">
        <v>7</v>
      </c>
      <c r="H28" s="46">
        <v>7</v>
      </c>
      <c r="I28" s="46">
        <v>7</v>
      </c>
      <c r="J28" s="46">
        <v>7</v>
      </c>
      <c r="K28" s="46">
        <v>7</v>
      </c>
      <c r="L28" s="46">
        <v>7</v>
      </c>
      <c r="M28" s="46">
        <v>7</v>
      </c>
      <c r="N28" s="46">
        <v>7</v>
      </c>
      <c r="O28" s="46">
        <v>7</v>
      </c>
      <c r="P28" s="46">
        <v>7</v>
      </c>
      <c r="Q28" s="46">
        <v>7</v>
      </c>
      <c r="R28" s="46">
        <v>7</v>
      </c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50">
        <v>25</v>
      </c>
      <c r="AH28" s="48">
        <f t="shared" si="8"/>
        <v>7</v>
      </c>
      <c r="AI28" s="49">
        <f t="shared" si="9"/>
        <v>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>
        <v>25</v>
      </c>
      <c r="C29" s="46">
        <v>25</v>
      </c>
      <c r="D29" s="46">
        <v>25</v>
      </c>
      <c r="E29" s="46">
        <v>25</v>
      </c>
      <c r="F29" s="46">
        <v>25</v>
      </c>
      <c r="G29" s="46">
        <v>25</v>
      </c>
      <c r="H29" s="46">
        <v>25</v>
      </c>
      <c r="I29" s="46">
        <v>25</v>
      </c>
      <c r="J29" s="46">
        <v>25</v>
      </c>
      <c r="K29" s="46">
        <v>25</v>
      </c>
      <c r="L29" s="46">
        <v>25</v>
      </c>
      <c r="M29" s="46">
        <v>25</v>
      </c>
      <c r="N29" s="46">
        <v>25</v>
      </c>
      <c r="O29" s="46">
        <v>25</v>
      </c>
      <c r="P29" s="46">
        <v>25</v>
      </c>
      <c r="Q29" s="46">
        <v>25</v>
      </c>
      <c r="R29" s="46">
        <v>25</v>
      </c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8"/>
        <v>25</v>
      </c>
      <c r="AI29" s="49">
        <f t="shared" si="9"/>
        <v>25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>
        <v>14</v>
      </c>
      <c r="C30" s="46">
        <v>14</v>
      </c>
      <c r="D30" s="46">
        <v>14</v>
      </c>
      <c r="E30" s="46">
        <v>14</v>
      </c>
      <c r="F30" s="46">
        <v>14</v>
      </c>
      <c r="G30" s="46">
        <v>14</v>
      </c>
      <c r="H30" s="46">
        <v>14</v>
      </c>
      <c r="I30" s="46">
        <v>14</v>
      </c>
      <c r="J30" s="46">
        <v>14</v>
      </c>
      <c r="K30" s="46">
        <v>14</v>
      </c>
      <c r="L30" s="46">
        <v>14</v>
      </c>
      <c r="M30" s="46">
        <v>14</v>
      </c>
      <c r="N30" s="46">
        <v>14</v>
      </c>
      <c r="O30" s="46">
        <v>14</v>
      </c>
      <c r="P30" s="46">
        <v>14</v>
      </c>
      <c r="Q30" s="46">
        <v>14</v>
      </c>
      <c r="R30" s="46">
        <v>14</v>
      </c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23.5</v>
      </c>
      <c r="AH30" s="48">
        <f t="shared" si="8"/>
        <v>14</v>
      </c>
      <c r="AI30" s="49">
        <f t="shared" si="9"/>
        <v>14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>
        <v>4</v>
      </c>
      <c r="C31" s="46">
        <v>4</v>
      </c>
      <c r="D31" s="46">
        <v>4</v>
      </c>
      <c r="E31" s="46">
        <v>4</v>
      </c>
      <c r="F31" s="46">
        <v>4</v>
      </c>
      <c r="G31" s="46">
        <v>4</v>
      </c>
      <c r="H31" s="46">
        <v>4</v>
      </c>
      <c r="I31" s="46">
        <v>4</v>
      </c>
      <c r="J31" s="46">
        <v>4</v>
      </c>
      <c r="K31" s="46">
        <v>4</v>
      </c>
      <c r="L31" s="46">
        <v>4</v>
      </c>
      <c r="M31" s="46">
        <v>4</v>
      </c>
      <c r="N31" s="46">
        <v>4</v>
      </c>
      <c r="O31" s="46">
        <v>4</v>
      </c>
      <c r="P31" s="46">
        <v>4</v>
      </c>
      <c r="Q31" s="46">
        <v>4</v>
      </c>
      <c r="R31" s="46">
        <v>4</v>
      </c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22.2</v>
      </c>
      <c r="AH31" s="48">
        <f t="shared" si="8"/>
        <v>4</v>
      </c>
      <c r="AI31" s="49">
        <f t="shared" si="9"/>
        <v>4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>
        <v>5</v>
      </c>
      <c r="C32" s="46">
        <v>5</v>
      </c>
      <c r="D32" s="46">
        <v>5</v>
      </c>
      <c r="E32" s="46">
        <v>5</v>
      </c>
      <c r="F32" s="46">
        <v>5</v>
      </c>
      <c r="G32" s="46">
        <v>5</v>
      </c>
      <c r="H32" s="46">
        <v>5</v>
      </c>
      <c r="I32" s="46">
        <v>5</v>
      </c>
      <c r="J32" s="46">
        <v>5</v>
      </c>
      <c r="K32" s="46">
        <v>5</v>
      </c>
      <c r="L32" s="46">
        <v>5</v>
      </c>
      <c r="M32" s="46">
        <v>5</v>
      </c>
      <c r="N32" s="46">
        <v>5</v>
      </c>
      <c r="O32" s="46">
        <v>5</v>
      </c>
      <c r="P32" s="46">
        <v>5</v>
      </c>
      <c r="Q32" s="46">
        <v>5</v>
      </c>
      <c r="R32" s="46">
        <v>5</v>
      </c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22.1</v>
      </c>
      <c r="AH32" s="48">
        <f t="shared" si="8"/>
        <v>5</v>
      </c>
      <c r="AI32" s="49">
        <f t="shared" si="9"/>
        <v>5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>
        <v>11</v>
      </c>
      <c r="C33" s="46">
        <v>11</v>
      </c>
      <c r="D33" s="46">
        <v>11</v>
      </c>
      <c r="E33" s="46">
        <v>11</v>
      </c>
      <c r="F33" s="46">
        <v>11</v>
      </c>
      <c r="G33" s="46">
        <v>11</v>
      </c>
      <c r="H33" s="46">
        <v>11</v>
      </c>
      <c r="I33" s="46">
        <v>11</v>
      </c>
      <c r="J33" s="46">
        <v>11</v>
      </c>
      <c r="K33" s="46">
        <v>11</v>
      </c>
      <c r="L33" s="46">
        <v>11</v>
      </c>
      <c r="M33" s="46">
        <v>11</v>
      </c>
      <c r="N33" s="46">
        <v>11</v>
      </c>
      <c r="O33" s="46">
        <v>11</v>
      </c>
      <c r="P33" s="46">
        <v>11</v>
      </c>
      <c r="Q33" s="46">
        <v>11</v>
      </c>
      <c r="R33" s="46">
        <v>11</v>
      </c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22</v>
      </c>
      <c r="AH33" s="48">
        <f t="shared" si="8"/>
        <v>11</v>
      </c>
      <c r="AI33" s="49">
        <f t="shared" si="9"/>
        <v>11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>
        <v>14.9</v>
      </c>
      <c r="C34" s="46">
        <v>14.9</v>
      </c>
      <c r="D34" s="46">
        <v>14.9</v>
      </c>
      <c r="E34" s="46">
        <v>14.9</v>
      </c>
      <c r="F34" s="46">
        <v>14.9</v>
      </c>
      <c r="G34" s="46">
        <v>14.9</v>
      </c>
      <c r="H34" s="46">
        <v>14.9</v>
      </c>
      <c r="I34" s="46">
        <v>14.9</v>
      </c>
      <c r="J34" s="46">
        <v>14.9</v>
      </c>
      <c r="K34" s="46">
        <v>14.9</v>
      </c>
      <c r="L34" s="46">
        <v>14.9</v>
      </c>
      <c r="M34" s="46">
        <v>14.9</v>
      </c>
      <c r="N34" s="46">
        <v>14.9</v>
      </c>
      <c r="O34" s="46">
        <v>14.9</v>
      </c>
      <c r="P34" s="46">
        <v>14.9</v>
      </c>
      <c r="Q34" s="46">
        <v>14.9</v>
      </c>
      <c r="R34" s="46">
        <v>14.9</v>
      </c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</v>
      </c>
      <c r="AH34" s="48">
        <f t="shared" si="8"/>
        <v>14.9</v>
      </c>
      <c r="AI34" s="49">
        <f t="shared" si="9"/>
        <v>14.9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>
        <v>18.8</v>
      </c>
      <c r="C35" s="46">
        <v>18.8</v>
      </c>
      <c r="D35" s="46">
        <v>18.8</v>
      </c>
      <c r="E35" s="46">
        <v>18.8</v>
      </c>
      <c r="F35" s="46">
        <v>18.8</v>
      </c>
      <c r="G35" s="46">
        <v>18.8</v>
      </c>
      <c r="H35" s="46">
        <v>18.8</v>
      </c>
      <c r="I35" s="46">
        <v>18.8</v>
      </c>
      <c r="J35" s="46">
        <v>18.8</v>
      </c>
      <c r="K35" s="46">
        <v>18.8</v>
      </c>
      <c r="L35" s="46">
        <v>18.8</v>
      </c>
      <c r="M35" s="46">
        <v>18.8</v>
      </c>
      <c r="N35" s="46">
        <v>18.8</v>
      </c>
      <c r="O35" s="46">
        <v>18.8</v>
      </c>
      <c r="P35" s="46">
        <v>18.8</v>
      </c>
      <c r="Q35" s="46">
        <v>18.8</v>
      </c>
      <c r="R35" s="46">
        <v>18.8</v>
      </c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20</v>
      </c>
      <c r="AH35" s="48">
        <f t="shared" si="8"/>
        <v>18.8</v>
      </c>
      <c r="AI35" s="49">
        <f t="shared" si="9"/>
        <v>18.8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>
        <v>6</v>
      </c>
      <c r="C36" s="46">
        <v>6</v>
      </c>
      <c r="D36" s="46">
        <v>6</v>
      </c>
      <c r="E36" s="46">
        <v>6</v>
      </c>
      <c r="F36" s="46">
        <v>6</v>
      </c>
      <c r="G36" s="46">
        <v>6</v>
      </c>
      <c r="H36" s="46">
        <v>6</v>
      </c>
      <c r="I36" s="46">
        <v>6</v>
      </c>
      <c r="J36" s="46">
        <v>6</v>
      </c>
      <c r="K36" s="46">
        <v>6</v>
      </c>
      <c r="L36" s="46">
        <v>6</v>
      </c>
      <c r="M36" s="46">
        <v>6</v>
      </c>
      <c r="N36" s="46">
        <v>6</v>
      </c>
      <c r="O36" s="46">
        <v>6</v>
      </c>
      <c r="P36" s="46">
        <v>6</v>
      </c>
      <c r="Q36" s="46">
        <v>6</v>
      </c>
      <c r="R36" s="46">
        <v>6</v>
      </c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20</v>
      </c>
      <c r="AH36" s="48">
        <f t="shared" si="8"/>
        <v>6</v>
      </c>
      <c r="AI36" s="49">
        <f t="shared" si="9"/>
        <v>6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>
        <v>11.7</v>
      </c>
      <c r="C37" s="46">
        <v>11.7</v>
      </c>
      <c r="D37" s="46">
        <v>11.7</v>
      </c>
      <c r="E37" s="46">
        <v>11.7</v>
      </c>
      <c r="F37" s="46">
        <v>11.7</v>
      </c>
      <c r="G37" s="46">
        <v>11.7</v>
      </c>
      <c r="H37" s="46">
        <v>11.7</v>
      </c>
      <c r="I37" s="46">
        <v>11.7</v>
      </c>
      <c r="J37" s="46">
        <v>11.7</v>
      </c>
      <c r="K37" s="46">
        <v>11.7</v>
      </c>
      <c r="L37" s="46">
        <v>11.7</v>
      </c>
      <c r="M37" s="46">
        <v>11.7</v>
      </c>
      <c r="N37" s="46">
        <v>11.7</v>
      </c>
      <c r="O37" s="46">
        <v>11.7</v>
      </c>
      <c r="P37" s="46">
        <v>11.7</v>
      </c>
      <c r="Q37" s="46">
        <v>11.7</v>
      </c>
      <c r="R37" s="46">
        <v>11.7</v>
      </c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18</v>
      </c>
      <c r="AH37" s="48">
        <f t="shared" si="8"/>
        <v>11.7</v>
      </c>
      <c r="AI37" s="49">
        <f t="shared" si="9"/>
        <v>11.7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>
        <v>6.8</v>
      </c>
      <c r="C38" s="46">
        <v>6.8</v>
      </c>
      <c r="D38" s="46">
        <v>6.8</v>
      </c>
      <c r="E38" s="46">
        <v>6.8</v>
      </c>
      <c r="F38" s="46">
        <v>6.8</v>
      </c>
      <c r="G38" s="46">
        <v>6.8</v>
      </c>
      <c r="H38" s="46">
        <v>6.8</v>
      </c>
      <c r="I38" s="46">
        <v>6.8</v>
      </c>
      <c r="J38" s="46">
        <v>6.8</v>
      </c>
      <c r="K38" s="46">
        <v>6.8</v>
      </c>
      <c r="L38" s="46">
        <v>6.8</v>
      </c>
      <c r="M38" s="46">
        <v>6.8</v>
      </c>
      <c r="N38" s="46">
        <v>6.8</v>
      </c>
      <c r="O38" s="46">
        <v>6.8</v>
      </c>
      <c r="P38" s="46">
        <v>6.8</v>
      </c>
      <c r="Q38" s="46">
        <v>6.8</v>
      </c>
      <c r="R38" s="46">
        <v>6.8</v>
      </c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14.9</v>
      </c>
      <c r="AH38" s="48">
        <f t="shared" si="8"/>
        <v>6.8</v>
      </c>
      <c r="AI38" s="49">
        <f t="shared" si="9"/>
        <v>6.8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>
        <v>5</v>
      </c>
      <c r="C40" s="46">
        <v>5</v>
      </c>
      <c r="D40" s="46">
        <v>5</v>
      </c>
      <c r="E40" s="46">
        <v>5</v>
      </c>
      <c r="F40" s="46">
        <v>5</v>
      </c>
      <c r="G40" s="46">
        <v>5</v>
      </c>
      <c r="H40" s="46">
        <v>5</v>
      </c>
      <c r="I40" s="46">
        <v>5</v>
      </c>
      <c r="J40" s="46">
        <v>5</v>
      </c>
      <c r="K40" s="46">
        <v>5</v>
      </c>
      <c r="L40" s="46">
        <v>5</v>
      </c>
      <c r="M40" s="46">
        <v>5</v>
      </c>
      <c r="N40" s="46">
        <v>5</v>
      </c>
      <c r="O40" s="46">
        <v>5</v>
      </c>
      <c r="P40" s="46">
        <v>5</v>
      </c>
      <c r="Q40" s="46">
        <v>5</v>
      </c>
      <c r="R40" s="46">
        <v>5</v>
      </c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14.9</v>
      </c>
      <c r="AH40" s="48">
        <f t="shared" si="8"/>
        <v>5</v>
      </c>
      <c r="AI40" s="49">
        <f t="shared" si="9"/>
        <v>5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>
        <v>2.7</v>
      </c>
      <c r="C41" s="46">
        <v>2.7</v>
      </c>
      <c r="D41" s="46">
        <v>2.7</v>
      </c>
      <c r="E41" s="46">
        <v>2.7</v>
      </c>
      <c r="F41" s="46">
        <v>2.7</v>
      </c>
      <c r="G41" s="46">
        <v>2.7</v>
      </c>
      <c r="H41" s="46">
        <v>2.7</v>
      </c>
      <c r="I41" s="46">
        <v>2.7</v>
      </c>
      <c r="J41" s="46">
        <v>2.7</v>
      </c>
      <c r="K41" s="46">
        <v>2.7</v>
      </c>
      <c r="L41" s="46">
        <v>2.7</v>
      </c>
      <c r="M41" s="46">
        <v>2.7</v>
      </c>
      <c r="N41" s="46">
        <v>2.7</v>
      </c>
      <c r="O41" s="46">
        <v>2.7</v>
      </c>
      <c r="P41" s="46">
        <v>2.7</v>
      </c>
      <c r="Q41" s="46">
        <v>2.7</v>
      </c>
      <c r="R41" s="46">
        <v>2.7</v>
      </c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14.9</v>
      </c>
      <c r="AH41" s="48">
        <f t="shared" si="8"/>
        <v>2.7</v>
      </c>
      <c r="AI41" s="49">
        <f t="shared" si="9"/>
        <v>2.7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>
        <v>5</v>
      </c>
      <c r="C42" s="46">
        <v>5</v>
      </c>
      <c r="D42" s="46">
        <v>5</v>
      </c>
      <c r="E42" s="46">
        <v>5</v>
      </c>
      <c r="F42" s="46">
        <v>5</v>
      </c>
      <c r="G42" s="46">
        <v>5</v>
      </c>
      <c r="H42" s="46">
        <v>5</v>
      </c>
      <c r="I42" s="46">
        <v>5</v>
      </c>
      <c r="J42" s="46">
        <v>5</v>
      </c>
      <c r="K42" s="46">
        <v>5</v>
      </c>
      <c r="L42" s="46">
        <v>5</v>
      </c>
      <c r="M42" s="46">
        <v>5</v>
      </c>
      <c r="N42" s="46">
        <v>5</v>
      </c>
      <c r="O42" s="46">
        <v>5</v>
      </c>
      <c r="P42" s="46">
        <v>5</v>
      </c>
      <c r="Q42" s="46">
        <v>5</v>
      </c>
      <c r="R42" s="46">
        <v>5</v>
      </c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13.6</v>
      </c>
      <c r="AH42" s="48">
        <f t="shared" si="8"/>
        <v>5</v>
      </c>
      <c r="AI42" s="49">
        <f t="shared" si="9"/>
        <v>5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>
        <v>2</v>
      </c>
      <c r="C43" s="46">
        <v>2</v>
      </c>
      <c r="D43" s="46">
        <v>2</v>
      </c>
      <c r="E43" s="46">
        <v>2</v>
      </c>
      <c r="F43" s="46">
        <v>2</v>
      </c>
      <c r="G43" s="46">
        <v>2</v>
      </c>
      <c r="H43" s="46">
        <v>2</v>
      </c>
      <c r="I43" s="46">
        <v>2</v>
      </c>
      <c r="J43" s="46">
        <v>2</v>
      </c>
      <c r="K43" s="46">
        <v>2</v>
      </c>
      <c r="L43" s="46">
        <v>2</v>
      </c>
      <c r="M43" s="46">
        <v>2</v>
      </c>
      <c r="N43" s="46">
        <v>2</v>
      </c>
      <c r="O43" s="46">
        <v>2</v>
      </c>
      <c r="P43" s="46">
        <v>2</v>
      </c>
      <c r="Q43" s="46">
        <v>2</v>
      </c>
      <c r="R43" s="46">
        <v>2</v>
      </c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13</v>
      </c>
      <c r="AH43" s="48">
        <f t="shared" si="8"/>
        <v>2</v>
      </c>
      <c r="AI43" s="49">
        <f t="shared" si="9"/>
        <v>2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>
        <v>8.8000000000000007</v>
      </c>
      <c r="C44" s="46">
        <v>8.8000000000000007</v>
      </c>
      <c r="D44" s="46">
        <v>8.8000000000000007</v>
      </c>
      <c r="E44" s="46">
        <v>8.8000000000000007</v>
      </c>
      <c r="F44" s="46">
        <v>8.8000000000000007</v>
      </c>
      <c r="G44" s="46">
        <v>8.8000000000000007</v>
      </c>
      <c r="H44" s="46">
        <v>8.8000000000000007</v>
      </c>
      <c r="I44" s="46">
        <v>8.8000000000000007</v>
      </c>
      <c r="J44" s="46">
        <v>8.8000000000000007</v>
      </c>
      <c r="K44" s="46">
        <v>8.8000000000000007</v>
      </c>
      <c r="L44" s="46">
        <v>8.8000000000000007</v>
      </c>
      <c r="M44" s="46">
        <v>8.8000000000000007</v>
      </c>
      <c r="N44" s="46">
        <v>8.8000000000000007</v>
      </c>
      <c r="O44" s="46">
        <v>8.8000000000000007</v>
      </c>
      <c r="P44" s="46">
        <v>8.8000000000000007</v>
      </c>
      <c r="Q44" s="46">
        <v>8.8000000000000007</v>
      </c>
      <c r="R44" s="46">
        <v>8.8000000000000007</v>
      </c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12</v>
      </c>
      <c r="AH44" s="48">
        <f t="shared" si="8"/>
        <v>8.8000000000000007</v>
      </c>
      <c r="AI44" s="49">
        <f t="shared" si="9"/>
        <v>8.8000000000000007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>
        <v>12</v>
      </c>
      <c r="C45" s="46">
        <v>12</v>
      </c>
      <c r="D45" s="46">
        <v>12</v>
      </c>
      <c r="E45" s="46">
        <v>12</v>
      </c>
      <c r="F45" s="46">
        <v>12</v>
      </c>
      <c r="G45" s="46">
        <v>12</v>
      </c>
      <c r="H45" s="46">
        <v>12</v>
      </c>
      <c r="I45" s="46">
        <v>12</v>
      </c>
      <c r="J45" s="46">
        <v>12</v>
      </c>
      <c r="K45" s="46">
        <v>12</v>
      </c>
      <c r="L45" s="46">
        <v>12</v>
      </c>
      <c r="M45" s="46">
        <v>12</v>
      </c>
      <c r="N45" s="46">
        <v>12</v>
      </c>
      <c r="O45" s="46">
        <v>12</v>
      </c>
      <c r="P45" s="46">
        <v>12</v>
      </c>
      <c r="Q45" s="46">
        <v>12</v>
      </c>
      <c r="R45" s="46">
        <v>12</v>
      </c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12</v>
      </c>
      <c r="AH45" s="48">
        <f t="shared" si="8"/>
        <v>12</v>
      </c>
      <c r="AI45" s="49">
        <f t="shared" si="9"/>
        <v>12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>
        <v>3</v>
      </c>
      <c r="C46" s="46">
        <v>3</v>
      </c>
      <c r="D46" s="46">
        <v>3</v>
      </c>
      <c r="E46" s="46">
        <v>3</v>
      </c>
      <c r="F46" s="46">
        <v>3</v>
      </c>
      <c r="G46" s="46">
        <v>3</v>
      </c>
      <c r="H46" s="46">
        <v>3</v>
      </c>
      <c r="I46" s="46">
        <v>3</v>
      </c>
      <c r="J46" s="46">
        <v>3</v>
      </c>
      <c r="K46" s="46">
        <v>3</v>
      </c>
      <c r="L46" s="46">
        <v>3</v>
      </c>
      <c r="M46" s="46">
        <v>3</v>
      </c>
      <c r="N46" s="46">
        <v>3</v>
      </c>
      <c r="O46" s="46">
        <v>3</v>
      </c>
      <c r="P46" s="46">
        <v>3</v>
      </c>
      <c r="Q46" s="46">
        <v>3</v>
      </c>
      <c r="R46" s="46">
        <v>3</v>
      </c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12</v>
      </c>
      <c r="AH46" s="48">
        <f t="shared" si="8"/>
        <v>3</v>
      </c>
      <c r="AI46" s="49">
        <f t="shared" si="9"/>
        <v>3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>
        <v>4</v>
      </c>
      <c r="C47" s="46">
        <v>4</v>
      </c>
      <c r="D47" s="46">
        <v>4</v>
      </c>
      <c r="E47" s="46">
        <v>4</v>
      </c>
      <c r="F47" s="46">
        <v>4</v>
      </c>
      <c r="G47" s="46">
        <v>4</v>
      </c>
      <c r="H47" s="46">
        <v>4</v>
      </c>
      <c r="I47" s="46">
        <v>4</v>
      </c>
      <c r="J47" s="46">
        <v>4</v>
      </c>
      <c r="K47" s="46">
        <v>4</v>
      </c>
      <c r="L47" s="46">
        <v>4</v>
      </c>
      <c r="M47" s="46">
        <v>4</v>
      </c>
      <c r="N47" s="46">
        <v>4</v>
      </c>
      <c r="O47" s="46">
        <v>4</v>
      </c>
      <c r="P47" s="46">
        <v>4</v>
      </c>
      <c r="Q47" s="46">
        <v>4</v>
      </c>
      <c r="R47" s="46">
        <v>4</v>
      </c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64">
        <v>22</v>
      </c>
      <c r="AH47" s="48">
        <f t="shared" si="8"/>
        <v>4</v>
      </c>
      <c r="AI47" s="49">
        <f t="shared" si="9"/>
        <v>4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>
        <v>3</v>
      </c>
      <c r="C49" s="46">
        <v>3</v>
      </c>
      <c r="D49" s="46">
        <v>3</v>
      </c>
      <c r="E49" s="46">
        <v>3</v>
      </c>
      <c r="F49" s="46">
        <v>3</v>
      </c>
      <c r="G49" s="46">
        <v>3</v>
      </c>
      <c r="H49" s="46">
        <v>3</v>
      </c>
      <c r="I49" s="46">
        <v>3</v>
      </c>
      <c r="J49" s="46">
        <v>3</v>
      </c>
      <c r="K49" s="46">
        <v>3</v>
      </c>
      <c r="L49" s="46">
        <v>3</v>
      </c>
      <c r="M49" s="46">
        <v>3</v>
      </c>
      <c r="N49" s="46">
        <v>3</v>
      </c>
      <c r="O49" s="46">
        <v>3</v>
      </c>
      <c r="P49" s="46">
        <v>3</v>
      </c>
      <c r="Q49" s="46">
        <v>3</v>
      </c>
      <c r="R49" s="46">
        <v>3</v>
      </c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66">
        <v>11</v>
      </c>
      <c r="AH49" s="48">
        <f t="shared" si="8"/>
        <v>3</v>
      </c>
      <c r="AI49" s="49">
        <f t="shared" si="9"/>
        <v>3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>
        <v>1.9</v>
      </c>
      <c r="C50" s="46">
        <v>1.9</v>
      </c>
      <c r="D50" s="46">
        <v>1.9</v>
      </c>
      <c r="E50" s="46">
        <v>1.9</v>
      </c>
      <c r="F50" s="46">
        <v>1.9</v>
      </c>
      <c r="G50" s="46">
        <v>1.9</v>
      </c>
      <c r="H50" s="46">
        <v>1.9</v>
      </c>
      <c r="I50" s="46">
        <v>1.9</v>
      </c>
      <c r="J50" s="46">
        <v>1.9</v>
      </c>
      <c r="K50" s="46">
        <v>1.9</v>
      </c>
      <c r="L50" s="46">
        <v>1.9</v>
      </c>
      <c r="M50" s="46">
        <v>1.9</v>
      </c>
      <c r="N50" s="46">
        <v>1.9</v>
      </c>
      <c r="O50" s="46">
        <v>1.9</v>
      </c>
      <c r="P50" s="46">
        <v>1.9</v>
      </c>
      <c r="Q50" s="46">
        <v>1.9</v>
      </c>
      <c r="R50" s="46">
        <v>1.9</v>
      </c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66">
        <v>11</v>
      </c>
      <c r="AH50" s="48">
        <f t="shared" si="8"/>
        <v>1.9</v>
      </c>
      <c r="AI50" s="49">
        <f t="shared" si="9"/>
        <v>1.9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>
        <v>1.9</v>
      </c>
      <c r="C51" s="46">
        <v>1.9</v>
      </c>
      <c r="D51" s="46">
        <v>1.9</v>
      </c>
      <c r="E51" s="46">
        <v>1.9</v>
      </c>
      <c r="F51" s="46">
        <v>1.9</v>
      </c>
      <c r="G51" s="46">
        <v>1.9</v>
      </c>
      <c r="H51" s="46">
        <v>1.9</v>
      </c>
      <c r="I51" s="46">
        <v>1.9</v>
      </c>
      <c r="J51" s="46">
        <v>1.9</v>
      </c>
      <c r="K51" s="46">
        <v>1.9</v>
      </c>
      <c r="L51" s="46">
        <v>1.9</v>
      </c>
      <c r="M51" s="46">
        <v>1.9</v>
      </c>
      <c r="N51" s="46">
        <v>1.9</v>
      </c>
      <c r="O51" s="46">
        <v>1.9</v>
      </c>
      <c r="P51" s="46">
        <v>1.9</v>
      </c>
      <c r="Q51" s="46">
        <v>1.9</v>
      </c>
      <c r="R51" s="46">
        <v>1.9</v>
      </c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66">
        <v>11</v>
      </c>
      <c r="AH51" s="48">
        <f t="shared" si="8"/>
        <v>1.9</v>
      </c>
      <c r="AI51" s="49">
        <f t="shared" si="9"/>
        <v>1.9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6">
        <v>10</v>
      </c>
      <c r="AH52" s="48">
        <f t="shared" si="8"/>
        <v>0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>
        <v>5</v>
      </c>
      <c r="C53" s="46">
        <v>5</v>
      </c>
      <c r="D53" s="46">
        <v>5</v>
      </c>
      <c r="E53" s="46">
        <v>5</v>
      </c>
      <c r="F53" s="46">
        <v>5</v>
      </c>
      <c r="G53" s="46">
        <v>5</v>
      </c>
      <c r="H53" s="46">
        <v>5</v>
      </c>
      <c r="I53" s="46">
        <v>5</v>
      </c>
      <c r="J53" s="46">
        <v>5</v>
      </c>
      <c r="K53" s="46">
        <v>5</v>
      </c>
      <c r="L53" s="46">
        <v>5</v>
      </c>
      <c r="M53" s="46">
        <v>5</v>
      </c>
      <c r="N53" s="46">
        <v>5</v>
      </c>
      <c r="O53" s="46">
        <v>5</v>
      </c>
      <c r="P53" s="46">
        <v>5</v>
      </c>
      <c r="Q53" s="46">
        <v>5</v>
      </c>
      <c r="R53" s="46">
        <v>5</v>
      </c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6">
        <v>10</v>
      </c>
      <c r="AH53" s="48">
        <f t="shared" si="8"/>
        <v>5</v>
      </c>
      <c r="AI53" s="49">
        <f t="shared" si="9"/>
        <v>5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>
        <v>0</v>
      </c>
      <c r="C54" s="46">
        <v>0</v>
      </c>
      <c r="D54" s="46">
        <v>0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250</v>
      </c>
      <c r="C56" s="68">
        <v>250</v>
      </c>
      <c r="D56" s="68">
        <v>250</v>
      </c>
      <c r="E56" s="68">
        <v>250</v>
      </c>
      <c r="F56" s="68">
        <v>250</v>
      </c>
      <c r="G56" s="68">
        <v>250</v>
      </c>
      <c r="H56" s="68">
        <v>250</v>
      </c>
      <c r="I56" s="68">
        <v>250</v>
      </c>
      <c r="J56" s="68">
        <v>250</v>
      </c>
      <c r="K56" s="68">
        <v>250</v>
      </c>
      <c r="L56" s="68">
        <v>250</v>
      </c>
      <c r="M56" s="68">
        <v>250</v>
      </c>
      <c r="N56" s="68">
        <v>250</v>
      </c>
      <c r="O56" s="68">
        <v>250</v>
      </c>
      <c r="P56" s="68">
        <v>250</v>
      </c>
      <c r="Q56" s="68">
        <v>250</v>
      </c>
      <c r="R56" s="68">
        <v>250</v>
      </c>
      <c r="S56" s="68">
        <v>250</v>
      </c>
      <c r="T56" s="68">
        <v>250</v>
      </c>
      <c r="U56" s="68">
        <v>250</v>
      </c>
      <c r="V56" s="68">
        <v>250</v>
      </c>
      <c r="W56" s="68">
        <v>250</v>
      </c>
      <c r="X56" s="68">
        <v>250</v>
      </c>
      <c r="Y56" s="68">
        <v>250</v>
      </c>
      <c r="Z56" s="68">
        <v>250</v>
      </c>
      <c r="AA56" s="68">
        <v>250</v>
      </c>
      <c r="AB56" s="68">
        <v>250</v>
      </c>
      <c r="AC56" s="68">
        <v>250</v>
      </c>
      <c r="AD56" s="68">
        <v>250</v>
      </c>
      <c r="AE56" s="68">
        <v>250</v>
      </c>
      <c r="AF56" s="68">
        <v>250</v>
      </c>
      <c r="AG56" s="66">
        <v>85</v>
      </c>
      <c r="AH56" s="48">
        <f t="shared" si="8"/>
        <v>250</v>
      </c>
      <c r="AI56" s="49">
        <f t="shared" si="9"/>
        <v>250</v>
      </c>
      <c r="AK56" s="51"/>
    </row>
    <row r="57" spans="1:88" ht="15.75" thickBot="1" x14ac:dyDescent="0.3">
      <c r="A57" s="69" t="s">
        <v>74</v>
      </c>
      <c r="B57" s="68">
        <v>88</v>
      </c>
      <c r="C57" s="68">
        <v>88</v>
      </c>
      <c r="D57" s="68">
        <v>88</v>
      </c>
      <c r="E57" s="68">
        <f>17.9+35.5</f>
        <v>53.4</v>
      </c>
      <c r="F57" s="68">
        <f>35+51.1</f>
        <v>86.1</v>
      </c>
      <c r="G57" s="68">
        <f>32.7+46.2</f>
        <v>78.900000000000006</v>
      </c>
      <c r="H57" s="68">
        <f>32.6+46.9</f>
        <v>79.5</v>
      </c>
      <c r="I57" s="68">
        <f>32.6+46.5</f>
        <v>79.099999999999994</v>
      </c>
      <c r="J57" s="68">
        <f>32.8+47.5</f>
        <v>80.3</v>
      </c>
      <c r="K57" s="53">
        <f>31.8+45.3</f>
        <v>77.099999999999994</v>
      </c>
      <c r="L57" s="53">
        <f t="shared" ref="L57:Q57" si="22">32.3+46.9</f>
        <v>79.199999999999989</v>
      </c>
      <c r="M57" s="53">
        <f t="shared" si="22"/>
        <v>79.199999999999989</v>
      </c>
      <c r="N57" s="53">
        <f t="shared" si="22"/>
        <v>79.199999999999989</v>
      </c>
      <c r="O57" s="53">
        <f t="shared" si="22"/>
        <v>79.199999999999989</v>
      </c>
      <c r="P57" s="53">
        <f t="shared" si="22"/>
        <v>79.199999999999989</v>
      </c>
      <c r="Q57" s="53">
        <f t="shared" si="22"/>
        <v>79.199999999999989</v>
      </c>
      <c r="R57" s="53">
        <v>73.8</v>
      </c>
      <c r="S57" s="53"/>
      <c r="T57" s="53"/>
      <c r="U57" s="53"/>
      <c r="V57" s="53"/>
      <c r="W57" s="53"/>
      <c r="X57" s="53"/>
      <c r="Y57" s="68"/>
      <c r="Z57" s="68"/>
      <c r="AA57" s="68"/>
      <c r="AB57" s="68"/>
      <c r="AC57" s="68"/>
      <c r="AD57" s="68"/>
      <c r="AE57" s="68"/>
      <c r="AF57" s="68"/>
      <c r="AG57" s="66">
        <v>240</v>
      </c>
      <c r="AH57" s="48">
        <f t="shared" si="8"/>
        <v>88</v>
      </c>
      <c r="AI57" s="49">
        <f t="shared" si="9"/>
        <v>53.4</v>
      </c>
      <c r="AK57" s="51"/>
    </row>
    <row r="58" spans="1:88" ht="15.75" thickBot="1" x14ac:dyDescent="0.3">
      <c r="A58" s="70" t="s">
        <v>75</v>
      </c>
      <c r="B58" s="71">
        <f t="shared" ref="B58:C58" si="23">SUM(B11:B56)</f>
        <v>899.79999999999984</v>
      </c>
      <c r="C58" s="71">
        <f t="shared" si="23"/>
        <v>899.79999999999984</v>
      </c>
      <c r="D58" s="71">
        <f t="shared" ref="D58" si="24">SUM(D11:D56)</f>
        <v>899.79999999999984</v>
      </c>
      <c r="E58" s="71">
        <f t="shared" ref="E58:AF58" si="25">SUM(E11:E56)</f>
        <v>899.79999999999984</v>
      </c>
      <c r="F58" s="71">
        <f t="shared" si="25"/>
        <v>899.79999999999984</v>
      </c>
      <c r="G58" s="71">
        <f t="shared" si="25"/>
        <v>899.79999999999984</v>
      </c>
      <c r="H58" s="71">
        <f t="shared" si="25"/>
        <v>899.79999999999984</v>
      </c>
      <c r="I58" s="71">
        <f t="shared" si="25"/>
        <v>899.79999999999984</v>
      </c>
      <c r="J58" s="71">
        <f t="shared" si="25"/>
        <v>899.79999999999984</v>
      </c>
      <c r="K58" s="71">
        <f t="shared" si="25"/>
        <v>899.79999999999984</v>
      </c>
      <c r="L58" s="71">
        <f t="shared" si="25"/>
        <v>899.79999999999984</v>
      </c>
      <c r="M58" s="71">
        <f t="shared" si="25"/>
        <v>894.4</v>
      </c>
      <c r="N58" s="71">
        <f t="shared" si="25"/>
        <v>894.4</v>
      </c>
      <c r="O58" s="71">
        <f t="shared" si="25"/>
        <v>894.4</v>
      </c>
      <c r="P58" s="71">
        <f t="shared" si="25"/>
        <v>894.4</v>
      </c>
      <c r="Q58" s="71">
        <f t="shared" si="25"/>
        <v>894.4</v>
      </c>
      <c r="R58" s="71">
        <f t="shared" si="25"/>
        <v>894.4</v>
      </c>
      <c r="S58" s="71">
        <f t="shared" si="25"/>
        <v>250</v>
      </c>
      <c r="T58" s="71">
        <f t="shared" si="25"/>
        <v>250</v>
      </c>
      <c r="U58" s="71">
        <f t="shared" si="25"/>
        <v>250</v>
      </c>
      <c r="V58" s="71">
        <f t="shared" si="25"/>
        <v>250</v>
      </c>
      <c r="W58" s="71">
        <f t="shared" si="25"/>
        <v>250</v>
      </c>
      <c r="X58" s="71">
        <f t="shared" si="25"/>
        <v>250</v>
      </c>
      <c r="Y58" s="71">
        <f t="shared" si="25"/>
        <v>250</v>
      </c>
      <c r="Z58" s="71">
        <f t="shared" si="25"/>
        <v>250</v>
      </c>
      <c r="AA58" s="71">
        <f t="shared" si="25"/>
        <v>250</v>
      </c>
      <c r="AB58" s="71">
        <f t="shared" si="25"/>
        <v>250</v>
      </c>
      <c r="AC58" s="71">
        <f t="shared" si="25"/>
        <v>250</v>
      </c>
      <c r="AD58" s="71">
        <f t="shared" si="25"/>
        <v>250</v>
      </c>
      <c r="AE58" s="71">
        <f t="shared" si="25"/>
        <v>250</v>
      </c>
      <c r="AF58" s="71">
        <f t="shared" si="25"/>
        <v>250</v>
      </c>
      <c r="AG58" s="72">
        <f>SUM(AG14:AG56)</f>
        <v>1042.4000000000001</v>
      </c>
      <c r="AH58" s="48">
        <f t="shared" si="8"/>
        <v>899.79999999999984</v>
      </c>
      <c r="AI58" s="49">
        <f t="shared" si="9"/>
        <v>250</v>
      </c>
      <c r="AK58" s="51"/>
    </row>
    <row r="59" spans="1:88" x14ac:dyDescent="0.25">
      <c r="A59" s="73" t="s">
        <v>76</v>
      </c>
      <c r="B59" s="46">
        <v>120.7</v>
      </c>
      <c r="C59" s="46">
        <v>445.1</v>
      </c>
      <c r="D59" s="46">
        <v>445.1</v>
      </c>
      <c r="E59" s="46">
        <v>459</v>
      </c>
      <c r="F59" s="46">
        <v>434.1</v>
      </c>
      <c r="G59" s="46">
        <v>446</v>
      </c>
      <c r="H59" s="46">
        <v>457.8</v>
      </c>
      <c r="I59" s="46">
        <v>457.8</v>
      </c>
      <c r="J59" s="46">
        <v>350.2</v>
      </c>
      <c r="K59" s="46">
        <v>404.1</v>
      </c>
      <c r="L59" s="46">
        <v>457.6</v>
      </c>
      <c r="M59" s="46">
        <v>457.2</v>
      </c>
      <c r="N59" s="74">
        <v>271</v>
      </c>
      <c r="O59" s="74">
        <v>341.8</v>
      </c>
      <c r="P59" s="74">
        <v>120</v>
      </c>
      <c r="Q59" s="74">
        <v>150.80000000000001</v>
      </c>
      <c r="R59" s="74">
        <v>100</v>
      </c>
      <c r="S59" s="74"/>
      <c r="T59" s="74"/>
      <c r="U59" s="74"/>
      <c r="V59" s="74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61">
        <v>456</v>
      </c>
      <c r="AH59" s="48">
        <f t="shared" si="8"/>
        <v>459</v>
      </c>
      <c r="AI59" s="49">
        <f t="shared" si="9"/>
        <v>100</v>
      </c>
      <c r="AK59" s="51"/>
    </row>
    <row r="60" spans="1:88" x14ac:dyDescent="0.25">
      <c r="A60" s="75" t="s">
        <v>77</v>
      </c>
      <c r="B60" s="76">
        <v>61</v>
      </c>
      <c r="C60" s="76">
        <v>61</v>
      </c>
      <c r="D60" s="76">
        <v>61</v>
      </c>
      <c r="E60" s="76">
        <v>55.6</v>
      </c>
      <c r="F60" s="76">
        <v>55.2</v>
      </c>
      <c r="G60" s="76">
        <v>54.3</v>
      </c>
      <c r="H60" s="76">
        <v>53.6</v>
      </c>
      <c r="I60" s="76">
        <v>53.7</v>
      </c>
      <c r="J60" s="76">
        <v>53</v>
      </c>
      <c r="K60" s="76">
        <v>52.1</v>
      </c>
      <c r="L60" s="76">
        <v>50.8</v>
      </c>
      <c r="M60" s="76">
        <v>48.8</v>
      </c>
      <c r="N60" s="76">
        <v>45.8</v>
      </c>
      <c r="O60" s="76">
        <v>40</v>
      </c>
      <c r="P60" s="76">
        <v>45.9</v>
      </c>
      <c r="Q60" s="76">
        <v>49.7</v>
      </c>
      <c r="R60" s="76">
        <v>47.6</v>
      </c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66">
        <v>60</v>
      </c>
      <c r="AH60" s="48">
        <f t="shared" si="8"/>
        <v>61</v>
      </c>
      <c r="AI60" s="49">
        <f t="shared" si="9"/>
        <v>40</v>
      </c>
      <c r="AK60" s="51"/>
    </row>
    <row r="61" spans="1:88" ht="15.75" thickBot="1" x14ac:dyDescent="0.3">
      <c r="A61" s="77" t="s">
        <v>78</v>
      </c>
      <c r="B61" s="78">
        <v>22.6</v>
      </c>
      <c r="C61" s="78">
        <v>22.6</v>
      </c>
      <c r="D61" s="78">
        <v>22.6</v>
      </c>
      <c r="E61" s="78">
        <v>22.6</v>
      </c>
      <c r="F61" s="78">
        <v>22.6</v>
      </c>
      <c r="G61" s="78">
        <v>22.6</v>
      </c>
      <c r="H61" s="78">
        <v>22.5</v>
      </c>
      <c r="I61" s="78">
        <v>22.6</v>
      </c>
      <c r="J61" s="78">
        <v>22.6</v>
      </c>
      <c r="K61" s="78">
        <v>22.6</v>
      </c>
      <c r="L61" s="78">
        <v>22.6</v>
      </c>
      <c r="M61" s="78">
        <v>22.6</v>
      </c>
      <c r="N61" s="78">
        <v>22.5</v>
      </c>
      <c r="O61" s="78">
        <v>22.6</v>
      </c>
      <c r="P61" s="78">
        <v>22.6</v>
      </c>
      <c r="Q61" s="78">
        <v>22.5</v>
      </c>
      <c r="R61" s="78">
        <v>22.5</v>
      </c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9">
        <v>22.1</v>
      </c>
      <c r="AH61" s="48">
        <f t="shared" si="8"/>
        <v>22.6</v>
      </c>
      <c r="AI61" s="49">
        <f t="shared" si="9"/>
        <v>22.5</v>
      </c>
      <c r="AK61" s="51"/>
    </row>
    <row r="62" spans="1:88" ht="15.75" thickBot="1" x14ac:dyDescent="0.3">
      <c r="A62" s="80" t="s">
        <v>79</v>
      </c>
      <c r="B62" s="71">
        <f t="shared" ref="B62:C62" si="26">SUM(B59:B61)</f>
        <v>204.29999999999998</v>
      </c>
      <c r="C62" s="71">
        <f t="shared" si="26"/>
        <v>528.70000000000005</v>
      </c>
      <c r="D62" s="71">
        <f t="shared" ref="D62" si="27">SUM(D59:D61)</f>
        <v>528.70000000000005</v>
      </c>
      <c r="E62" s="71">
        <f t="shared" ref="E62:AG62" si="28">SUM(E59:E61)</f>
        <v>537.20000000000005</v>
      </c>
      <c r="F62" s="71">
        <f t="shared" si="28"/>
        <v>511.90000000000003</v>
      </c>
      <c r="G62" s="71">
        <f t="shared" si="28"/>
        <v>522.9</v>
      </c>
      <c r="H62" s="71">
        <f t="shared" si="28"/>
        <v>533.90000000000009</v>
      </c>
      <c r="I62" s="71">
        <f t="shared" si="28"/>
        <v>534.1</v>
      </c>
      <c r="J62" s="71">
        <f t="shared" si="28"/>
        <v>425.8</v>
      </c>
      <c r="K62" s="71">
        <f t="shared" si="28"/>
        <v>478.80000000000007</v>
      </c>
      <c r="L62" s="71">
        <f t="shared" si="28"/>
        <v>531</v>
      </c>
      <c r="M62" s="71">
        <f t="shared" si="28"/>
        <v>528.6</v>
      </c>
      <c r="N62" s="71">
        <f t="shared" si="28"/>
        <v>339.3</v>
      </c>
      <c r="O62" s="71">
        <f t="shared" si="28"/>
        <v>404.40000000000003</v>
      </c>
      <c r="P62" s="71">
        <f t="shared" si="28"/>
        <v>188.5</v>
      </c>
      <c r="Q62" s="71">
        <f t="shared" si="28"/>
        <v>223</v>
      </c>
      <c r="R62" s="71">
        <f t="shared" si="28"/>
        <v>170.1</v>
      </c>
      <c r="S62" s="71">
        <f t="shared" si="28"/>
        <v>0</v>
      </c>
      <c r="T62" s="71">
        <f t="shared" si="28"/>
        <v>0</v>
      </c>
      <c r="U62" s="71">
        <f t="shared" si="28"/>
        <v>0</v>
      </c>
      <c r="V62" s="71">
        <f t="shared" si="28"/>
        <v>0</v>
      </c>
      <c r="W62" s="71">
        <f t="shared" si="28"/>
        <v>0</v>
      </c>
      <c r="X62" s="71">
        <f t="shared" si="28"/>
        <v>0</v>
      </c>
      <c r="Y62" s="71">
        <f t="shared" si="28"/>
        <v>0</v>
      </c>
      <c r="Z62" s="71">
        <f t="shared" si="28"/>
        <v>0</v>
      </c>
      <c r="AA62" s="71">
        <f t="shared" si="28"/>
        <v>0</v>
      </c>
      <c r="AB62" s="71">
        <f t="shared" si="28"/>
        <v>0</v>
      </c>
      <c r="AC62" s="71">
        <f t="shared" si="28"/>
        <v>0</v>
      </c>
      <c r="AD62" s="71">
        <f t="shared" si="28"/>
        <v>0</v>
      </c>
      <c r="AE62" s="71">
        <f t="shared" si="28"/>
        <v>0</v>
      </c>
      <c r="AF62" s="71">
        <f t="shared" si="28"/>
        <v>0</v>
      </c>
      <c r="AG62" s="72">
        <f t="shared" si="28"/>
        <v>538.1</v>
      </c>
      <c r="AH62" s="48">
        <f t="shared" si="8"/>
        <v>537.20000000000005</v>
      </c>
      <c r="AI62" s="49">
        <f t="shared" si="9"/>
        <v>0</v>
      </c>
      <c r="AK62" s="51"/>
    </row>
    <row r="63" spans="1:88" x14ac:dyDescent="0.25">
      <c r="A63" s="45" t="s">
        <v>80</v>
      </c>
      <c r="B63" s="46">
        <v>143.5</v>
      </c>
      <c r="C63" s="46">
        <v>143.5</v>
      </c>
      <c r="D63" s="46">
        <v>143.5</v>
      </c>
      <c r="E63" s="46">
        <v>142.69999999999999</v>
      </c>
      <c r="F63" s="46">
        <v>142.69999999999999</v>
      </c>
      <c r="G63" s="46">
        <v>142.69999999999999</v>
      </c>
      <c r="H63" s="46">
        <v>142.69999999999999</v>
      </c>
      <c r="I63" s="46">
        <v>142.69999999999999</v>
      </c>
      <c r="J63" s="46">
        <v>144.1</v>
      </c>
      <c r="K63" s="46">
        <v>144.1</v>
      </c>
      <c r="L63" s="46">
        <v>144</v>
      </c>
      <c r="M63" s="46">
        <v>144</v>
      </c>
      <c r="N63" s="46">
        <v>144</v>
      </c>
      <c r="O63" s="46">
        <v>144</v>
      </c>
      <c r="P63" s="46">
        <v>96</v>
      </c>
      <c r="Q63" s="46">
        <v>96</v>
      </c>
      <c r="R63" s="46">
        <v>144</v>
      </c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61">
        <v>144</v>
      </c>
      <c r="AH63" s="48">
        <f t="shared" si="8"/>
        <v>144.1</v>
      </c>
      <c r="AI63" s="49">
        <f t="shared" si="9"/>
        <v>96</v>
      </c>
      <c r="AK63" s="51"/>
    </row>
    <row r="64" spans="1:88" x14ac:dyDescent="0.25">
      <c r="A64" s="65" t="s">
        <v>81</v>
      </c>
      <c r="B64" s="76">
        <v>60.1</v>
      </c>
      <c r="C64" s="76">
        <v>58.8</v>
      </c>
      <c r="D64" s="76">
        <v>58.8</v>
      </c>
      <c r="E64" s="76">
        <v>59.3</v>
      </c>
      <c r="F64" s="76">
        <v>59.3</v>
      </c>
      <c r="G64" s="76">
        <v>53.9</v>
      </c>
      <c r="H64" s="76">
        <v>56.6</v>
      </c>
      <c r="I64" s="76">
        <v>56.3</v>
      </c>
      <c r="J64" s="76">
        <v>56.5</v>
      </c>
      <c r="K64" s="76">
        <v>56.5</v>
      </c>
      <c r="L64" s="76">
        <v>56.1</v>
      </c>
      <c r="M64" s="76">
        <v>56.1</v>
      </c>
      <c r="N64" s="76">
        <v>59.3</v>
      </c>
      <c r="O64" s="76">
        <v>59.3</v>
      </c>
      <c r="P64" s="76">
        <v>60</v>
      </c>
      <c r="Q64" s="76">
        <v>60</v>
      </c>
      <c r="R64" s="76">
        <v>57.3</v>
      </c>
      <c r="S64" s="76"/>
      <c r="T64" s="76"/>
      <c r="U64" s="76"/>
      <c r="V64" s="7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66">
        <v>70</v>
      </c>
      <c r="AH64" s="48">
        <f t="shared" si="8"/>
        <v>60.1</v>
      </c>
      <c r="AI64" s="49">
        <f t="shared" si="9"/>
        <v>53.9</v>
      </c>
      <c r="AK64" s="51"/>
    </row>
    <row r="65" spans="1:75" x14ac:dyDescent="0.25">
      <c r="A65" s="65" t="s">
        <v>82</v>
      </c>
      <c r="B65" s="76">
        <v>60.8</v>
      </c>
      <c r="C65" s="76">
        <v>69.099999999999994</v>
      </c>
      <c r="D65" s="76">
        <v>69.099999999999994</v>
      </c>
      <c r="E65" s="76">
        <v>67.099999999999994</v>
      </c>
      <c r="F65" s="76">
        <v>69.53</v>
      </c>
      <c r="G65" s="76">
        <v>69.53</v>
      </c>
      <c r="H65" s="76">
        <v>69.53</v>
      </c>
      <c r="I65" s="76">
        <v>70</v>
      </c>
      <c r="J65" s="76">
        <v>68.599999999999994</v>
      </c>
      <c r="K65" s="76">
        <v>68.599999999999994</v>
      </c>
      <c r="L65" s="76">
        <v>68.7</v>
      </c>
      <c r="M65" s="76">
        <v>68.7</v>
      </c>
      <c r="N65" s="76">
        <v>69.7</v>
      </c>
      <c r="O65" s="76">
        <v>69.7</v>
      </c>
      <c r="P65" s="76">
        <v>69.7</v>
      </c>
      <c r="Q65" s="76">
        <v>69.7</v>
      </c>
      <c r="R65" s="76">
        <v>69.5</v>
      </c>
      <c r="S65" s="76"/>
      <c r="T65" s="76"/>
      <c r="U65" s="76"/>
      <c r="V65" s="7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66">
        <v>69</v>
      </c>
      <c r="AH65" s="48">
        <f t="shared" si="8"/>
        <v>70</v>
      </c>
      <c r="AI65" s="49">
        <f t="shared" si="9"/>
        <v>60.8</v>
      </c>
      <c r="AK65" s="51"/>
    </row>
    <row r="66" spans="1:75" x14ac:dyDescent="0.25">
      <c r="A66" s="65" t="s">
        <v>83</v>
      </c>
      <c r="B66" s="76">
        <v>60.9</v>
      </c>
      <c r="C66" s="76">
        <v>60.9</v>
      </c>
      <c r="D66" s="76">
        <v>60.9</v>
      </c>
      <c r="E66" s="76">
        <v>58.9</v>
      </c>
      <c r="F66" s="76">
        <v>58.9</v>
      </c>
      <c r="G66" s="76">
        <v>60.4</v>
      </c>
      <c r="H66" s="76">
        <v>60.4</v>
      </c>
      <c r="I66" s="76">
        <v>60.7</v>
      </c>
      <c r="J66" s="76">
        <v>60.7</v>
      </c>
      <c r="K66" s="76">
        <v>60.7</v>
      </c>
      <c r="L66" s="68">
        <v>60.2</v>
      </c>
      <c r="M66" s="68">
        <v>60.2</v>
      </c>
      <c r="N66" s="76">
        <v>60.2</v>
      </c>
      <c r="O66" s="76">
        <v>60.2</v>
      </c>
      <c r="P66" s="76">
        <v>60.2</v>
      </c>
      <c r="Q66" s="76">
        <v>60.2</v>
      </c>
      <c r="R66" s="76">
        <v>60.2</v>
      </c>
      <c r="S66" s="76"/>
      <c r="T66" s="76"/>
      <c r="U66" s="76"/>
      <c r="V66" s="7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6">
        <v>60</v>
      </c>
      <c r="AH66" s="48">
        <f t="shared" si="8"/>
        <v>60.9</v>
      </c>
      <c r="AI66" s="49">
        <f t="shared" si="9"/>
        <v>58.9</v>
      </c>
      <c r="AK66" s="51"/>
    </row>
    <row r="67" spans="1:75" x14ac:dyDescent="0.25">
      <c r="A67" s="65" t="s">
        <v>84</v>
      </c>
      <c r="B67" s="46">
        <v>23.1</v>
      </c>
      <c r="C67" s="46">
        <v>23.1</v>
      </c>
      <c r="D67" s="46">
        <v>23.1</v>
      </c>
      <c r="E67" s="76">
        <v>27.9</v>
      </c>
      <c r="F67" s="76">
        <v>26.1</v>
      </c>
      <c r="G67" s="76">
        <v>26.7</v>
      </c>
      <c r="H67" s="76">
        <v>26.7</v>
      </c>
      <c r="I67" s="76">
        <v>22.8</v>
      </c>
      <c r="J67" s="76">
        <v>22.8</v>
      </c>
      <c r="K67" s="76">
        <v>22.8</v>
      </c>
      <c r="L67" s="68">
        <v>14.6</v>
      </c>
      <c r="M67" s="68">
        <v>14.6</v>
      </c>
      <c r="N67" s="76">
        <v>14.8</v>
      </c>
      <c r="O67" s="76">
        <v>22.1</v>
      </c>
      <c r="P67" s="76">
        <v>22.1</v>
      </c>
      <c r="Q67" s="76">
        <v>22.1</v>
      </c>
      <c r="R67" s="76">
        <v>21.9</v>
      </c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30</v>
      </c>
      <c r="AH67" s="48">
        <f t="shared" si="8"/>
        <v>27.9</v>
      </c>
      <c r="AI67" s="49">
        <f t="shared" si="9"/>
        <v>14.6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0.9</v>
      </c>
      <c r="J68" s="46">
        <v>0.9</v>
      </c>
      <c r="K68" s="46">
        <v>0.9</v>
      </c>
      <c r="L68" s="76">
        <v>6</v>
      </c>
      <c r="M68" s="76">
        <v>8.8000000000000007</v>
      </c>
      <c r="N68" s="76">
        <v>12.2</v>
      </c>
      <c r="O68" s="76">
        <v>15.2</v>
      </c>
      <c r="P68" s="76">
        <v>17.5</v>
      </c>
      <c r="Q68" s="76">
        <v>17</v>
      </c>
      <c r="R68" s="76">
        <v>15.6</v>
      </c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25</v>
      </c>
      <c r="AH68" s="48">
        <f t="shared" si="8"/>
        <v>17.5</v>
      </c>
      <c r="AI68" s="49">
        <f t="shared" si="9"/>
        <v>0</v>
      </c>
      <c r="AK68" s="51"/>
      <c r="AY68" s="1" t="s">
        <v>86</v>
      </c>
      <c r="AZ68" s="82">
        <f>ROUND(C81,0)</f>
        <v>31</v>
      </c>
      <c r="BA68" s="81">
        <f t="shared" ref="BA68:BD72" si="29">D81</f>
        <v>30.9</v>
      </c>
      <c r="BB68" s="81">
        <f t="shared" si="29"/>
        <v>-15.6</v>
      </c>
      <c r="BC68" s="81">
        <f t="shared" si="29"/>
        <v>-14.6</v>
      </c>
      <c r="BD68" s="81">
        <f t="shared" si="29"/>
        <v>-15.3</v>
      </c>
      <c r="BE68" s="82">
        <f>I81</f>
        <v>-17.7</v>
      </c>
      <c r="BF68" s="82">
        <f>K81</f>
        <v>50.7</v>
      </c>
      <c r="BG68" s="82">
        <f t="shared" ref="BG68:BP72" si="30">M81</f>
        <v>50.2</v>
      </c>
      <c r="BH68" s="82">
        <f t="shared" si="30"/>
        <v>42.3</v>
      </c>
      <c r="BI68" s="82">
        <f t="shared" si="30"/>
        <v>49.6</v>
      </c>
      <c r="BJ68" s="82">
        <f t="shared" si="30"/>
        <v>62.7</v>
      </c>
      <c r="BK68" s="82">
        <f t="shared" si="30"/>
        <v>61</v>
      </c>
      <c r="BL68" s="82">
        <f t="shared" si="30"/>
        <v>66.400000000000006</v>
      </c>
      <c r="BM68" s="82">
        <f t="shared" si="30"/>
        <v>0</v>
      </c>
      <c r="BN68" s="82">
        <f t="shared" si="30"/>
        <v>0</v>
      </c>
      <c r="BO68" s="82">
        <f t="shared" si="30"/>
        <v>0</v>
      </c>
      <c r="BP68" s="82">
        <f t="shared" si="30"/>
        <v>0</v>
      </c>
      <c r="BQ68" s="82">
        <f>X81</f>
        <v>0</v>
      </c>
      <c r="BR68" s="82">
        <f>Z81</f>
        <v>0</v>
      </c>
      <c r="BS68" s="81">
        <f>AB81</f>
        <v>0</v>
      </c>
      <c r="BT68" s="81">
        <f t="shared" ref="BT68:BV72" si="31">AD81</f>
        <v>0</v>
      </c>
      <c r="BU68" s="81">
        <f t="shared" si="31"/>
        <v>0</v>
      </c>
      <c r="BV68" s="81">
        <f t="shared" si="31"/>
        <v>0</v>
      </c>
      <c r="BW68" s="81">
        <f>B81</f>
        <v>11.3</v>
      </c>
    </row>
    <row r="69" spans="1:75" x14ac:dyDescent="0.25">
      <c r="A69" s="65" t="s">
        <v>87</v>
      </c>
      <c r="B69" s="76">
        <v>12.9</v>
      </c>
      <c r="C69" s="76">
        <v>12.9</v>
      </c>
      <c r="D69" s="76">
        <v>12.9</v>
      </c>
      <c r="E69" s="76">
        <v>12.9</v>
      </c>
      <c r="F69" s="76">
        <v>11.1</v>
      </c>
      <c r="G69" s="76">
        <v>11.1</v>
      </c>
      <c r="H69" s="76">
        <v>11.1</v>
      </c>
      <c r="I69" s="76">
        <v>11.2</v>
      </c>
      <c r="J69" s="76">
        <v>11.2</v>
      </c>
      <c r="K69" s="76">
        <v>11.2</v>
      </c>
      <c r="L69" s="76">
        <v>11.2</v>
      </c>
      <c r="M69" s="76">
        <v>11.2</v>
      </c>
      <c r="N69" s="76">
        <v>13.4</v>
      </c>
      <c r="O69" s="76">
        <v>13.4</v>
      </c>
      <c r="P69" s="76">
        <v>13.4</v>
      </c>
      <c r="Q69" s="76">
        <v>13.4</v>
      </c>
      <c r="R69" s="76">
        <v>13.4</v>
      </c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66">
        <v>24</v>
      </c>
      <c r="AH69" s="48">
        <f t="shared" si="8"/>
        <v>13.4</v>
      </c>
      <c r="AI69" s="49">
        <f t="shared" si="9"/>
        <v>11.1</v>
      </c>
      <c r="AK69" s="51"/>
      <c r="AY69" s="1" t="s">
        <v>88</v>
      </c>
      <c r="AZ69" s="82">
        <f>ROUND(C82,0)</f>
        <v>0</v>
      </c>
      <c r="BA69" s="81">
        <f t="shared" si="29"/>
        <v>0</v>
      </c>
      <c r="BB69" s="81">
        <f t="shared" si="29"/>
        <v>0</v>
      </c>
      <c r="BC69" s="81">
        <f t="shared" si="29"/>
        <v>0</v>
      </c>
      <c r="BD69" s="81">
        <f t="shared" si="29"/>
        <v>0</v>
      </c>
      <c r="BE69" s="82">
        <f>I82</f>
        <v>0</v>
      </c>
      <c r="BF69" s="82">
        <f>K82</f>
        <v>0</v>
      </c>
      <c r="BG69" s="82">
        <f t="shared" si="30"/>
        <v>0</v>
      </c>
      <c r="BH69" s="82">
        <f t="shared" si="30"/>
        <v>0</v>
      </c>
      <c r="BI69" s="82">
        <f t="shared" si="30"/>
        <v>0</v>
      </c>
      <c r="BJ69" s="82">
        <f t="shared" si="30"/>
        <v>0</v>
      </c>
      <c r="BK69" s="82">
        <f t="shared" si="30"/>
        <v>0</v>
      </c>
      <c r="BL69" s="82">
        <f t="shared" si="30"/>
        <v>0</v>
      </c>
      <c r="BM69" s="82">
        <f t="shared" si="30"/>
        <v>0</v>
      </c>
      <c r="BN69" s="82">
        <f t="shared" si="30"/>
        <v>0</v>
      </c>
      <c r="BO69" s="82">
        <f t="shared" si="30"/>
        <v>0</v>
      </c>
      <c r="BP69" s="82">
        <f t="shared" si="30"/>
        <v>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31"/>
        <v>0</v>
      </c>
      <c r="BU69" s="81">
        <f t="shared" si="31"/>
        <v>0</v>
      </c>
      <c r="BV69" s="81">
        <f t="shared" si="31"/>
        <v>0</v>
      </c>
      <c r="BW69" s="81">
        <f>B82</f>
        <v>0</v>
      </c>
    </row>
    <row r="70" spans="1:75" x14ac:dyDescent="0.25">
      <c r="A70" s="65" t="s">
        <v>89</v>
      </c>
      <c r="B70" s="76">
        <v>2</v>
      </c>
      <c r="C70" s="76">
        <v>2</v>
      </c>
      <c r="D70" s="76">
        <v>2</v>
      </c>
      <c r="E70" s="76">
        <v>2</v>
      </c>
      <c r="F70" s="76">
        <v>2</v>
      </c>
      <c r="G70" s="76">
        <v>2</v>
      </c>
      <c r="H70" s="76">
        <v>2</v>
      </c>
      <c r="I70" s="76">
        <v>2</v>
      </c>
      <c r="J70" s="76">
        <v>2</v>
      </c>
      <c r="K70" s="76">
        <v>2</v>
      </c>
      <c r="L70" s="76">
        <v>2</v>
      </c>
      <c r="M70" s="76">
        <v>2</v>
      </c>
      <c r="N70" s="76">
        <v>2</v>
      </c>
      <c r="O70" s="76">
        <v>2</v>
      </c>
      <c r="P70" s="76">
        <v>2</v>
      </c>
      <c r="Q70" s="76">
        <v>2</v>
      </c>
      <c r="R70" s="76">
        <v>2</v>
      </c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66">
        <v>15</v>
      </c>
      <c r="AH70" s="48">
        <f t="shared" si="8"/>
        <v>2</v>
      </c>
      <c r="AI70" s="49">
        <f t="shared" si="9"/>
        <v>2</v>
      </c>
      <c r="AK70" s="51"/>
      <c r="AL70" s="83"/>
      <c r="AO70" s="83"/>
      <c r="AY70" s="1" t="s">
        <v>90</v>
      </c>
      <c r="AZ70" s="82">
        <f>ROUND(C83,0)</f>
        <v>-408</v>
      </c>
      <c r="BA70" s="81">
        <f t="shared" si="29"/>
        <v>-408</v>
      </c>
      <c r="BB70" s="81">
        <f t="shared" si="29"/>
        <v>-389</v>
      </c>
      <c r="BC70" s="81">
        <f t="shared" si="29"/>
        <v>-395</v>
      </c>
      <c r="BD70" s="81">
        <f t="shared" si="29"/>
        <v>-411</v>
      </c>
      <c r="BE70" s="82">
        <f>I83</f>
        <v>-402</v>
      </c>
      <c r="BF70" s="82">
        <f>K83</f>
        <v>-312</v>
      </c>
      <c r="BG70" s="82">
        <f t="shared" si="30"/>
        <v>-292.2</v>
      </c>
      <c r="BH70" s="82">
        <f t="shared" si="30"/>
        <v>-68</v>
      </c>
      <c r="BI70" s="82">
        <f t="shared" si="30"/>
        <v>-66.7</v>
      </c>
      <c r="BJ70" s="82">
        <f t="shared" si="30"/>
        <v>120</v>
      </c>
      <c r="BK70" s="82">
        <f t="shared" si="30"/>
        <v>137.80000000000001</v>
      </c>
      <c r="BL70" s="82">
        <f t="shared" si="30"/>
        <v>135</v>
      </c>
      <c r="BM70" s="82">
        <f t="shared" si="30"/>
        <v>0</v>
      </c>
      <c r="BN70" s="82">
        <f t="shared" si="30"/>
        <v>0</v>
      </c>
      <c r="BO70" s="82">
        <f t="shared" si="30"/>
        <v>0</v>
      </c>
      <c r="BP70" s="82">
        <f t="shared" si="30"/>
        <v>0</v>
      </c>
      <c r="BQ70" s="82">
        <f>X83</f>
        <v>0</v>
      </c>
      <c r="BR70" s="82">
        <f>Z83</f>
        <v>0</v>
      </c>
      <c r="BS70" s="81">
        <f>AB83</f>
        <v>0</v>
      </c>
      <c r="BT70" s="81">
        <f t="shared" si="31"/>
        <v>0</v>
      </c>
      <c r="BU70" s="81">
        <f t="shared" si="31"/>
        <v>0</v>
      </c>
      <c r="BV70" s="81">
        <f t="shared" si="31"/>
        <v>0</v>
      </c>
      <c r="BW70" s="81">
        <f>B83</f>
        <v>4.8</v>
      </c>
    </row>
    <row r="71" spans="1:75" s="83" customFormat="1" x14ac:dyDescent="0.25">
      <c r="A71" s="65" t="s">
        <v>91</v>
      </c>
      <c r="B71" s="76">
        <v>11.7</v>
      </c>
      <c r="C71" s="76">
        <v>11.7</v>
      </c>
      <c r="D71" s="76">
        <v>11.7</v>
      </c>
      <c r="E71" s="76">
        <v>11.7</v>
      </c>
      <c r="F71" s="76">
        <v>11.7</v>
      </c>
      <c r="G71" s="76">
        <v>11.7</v>
      </c>
      <c r="H71" s="76">
        <v>11.7</v>
      </c>
      <c r="I71" s="76">
        <v>11.7</v>
      </c>
      <c r="J71" s="76">
        <v>11.7</v>
      </c>
      <c r="K71" s="76">
        <v>11.7</v>
      </c>
      <c r="L71" s="76">
        <v>11.7</v>
      </c>
      <c r="M71" s="76">
        <v>11.7</v>
      </c>
      <c r="N71" s="76">
        <v>10</v>
      </c>
      <c r="O71" s="76">
        <v>10</v>
      </c>
      <c r="P71" s="76">
        <v>10</v>
      </c>
      <c r="Q71" s="76">
        <v>10</v>
      </c>
      <c r="R71" s="76">
        <v>10</v>
      </c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66">
        <v>14.1</v>
      </c>
      <c r="AH71" s="48">
        <f t="shared" si="8"/>
        <v>11.7</v>
      </c>
      <c r="AI71" s="49">
        <f t="shared" si="9"/>
        <v>10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9"/>
        <v>0</v>
      </c>
      <c r="BB71" s="81">
        <f t="shared" si="29"/>
        <v>0</v>
      </c>
      <c r="BC71" s="81">
        <f t="shared" si="29"/>
        <v>0</v>
      </c>
      <c r="BD71" s="81">
        <f t="shared" si="29"/>
        <v>0</v>
      </c>
      <c r="BE71" s="82">
        <f>I84</f>
        <v>0</v>
      </c>
      <c r="BF71" s="82">
        <f>K84</f>
        <v>0</v>
      </c>
      <c r="BG71" s="82">
        <f t="shared" si="30"/>
        <v>0</v>
      </c>
      <c r="BH71" s="82">
        <f t="shared" si="30"/>
        <v>0</v>
      </c>
      <c r="BI71" s="82">
        <f t="shared" si="30"/>
        <v>0</v>
      </c>
      <c r="BJ71" s="82">
        <f t="shared" si="30"/>
        <v>0</v>
      </c>
      <c r="BK71" s="82">
        <f t="shared" si="30"/>
        <v>0</v>
      </c>
      <c r="BL71" s="82">
        <f t="shared" si="30"/>
        <v>0</v>
      </c>
      <c r="BM71" s="82">
        <f t="shared" si="30"/>
        <v>0</v>
      </c>
      <c r="BN71" s="82">
        <f t="shared" si="30"/>
        <v>0</v>
      </c>
      <c r="BO71" s="82">
        <f t="shared" si="30"/>
        <v>0</v>
      </c>
      <c r="BP71" s="82">
        <f t="shared" si="30"/>
        <v>0</v>
      </c>
      <c r="BQ71" s="82">
        <f>X84</f>
        <v>0</v>
      </c>
      <c r="BR71" s="82">
        <f>Z84</f>
        <v>0</v>
      </c>
      <c r="BS71" s="81">
        <f>AB84</f>
        <v>0</v>
      </c>
      <c r="BT71" s="81">
        <f t="shared" si="31"/>
        <v>0</v>
      </c>
      <c r="BU71" s="81">
        <f t="shared" si="31"/>
        <v>0</v>
      </c>
      <c r="BV71" s="81">
        <f t="shared" si="31"/>
        <v>0</v>
      </c>
      <c r="BW71" s="81">
        <f>B84</f>
        <v>0</v>
      </c>
    </row>
    <row r="72" spans="1:75" x14ac:dyDescent="0.25">
      <c r="A72" s="84" t="s">
        <v>93</v>
      </c>
      <c r="B72" s="76">
        <v>7.4</v>
      </c>
      <c r="C72" s="76">
        <v>7.4</v>
      </c>
      <c r="D72" s="76">
        <v>7.4</v>
      </c>
      <c r="E72" s="76">
        <v>7.4</v>
      </c>
      <c r="F72" s="76">
        <v>7.4</v>
      </c>
      <c r="G72" s="76">
        <v>7.4</v>
      </c>
      <c r="H72" s="76">
        <v>7.4</v>
      </c>
      <c r="I72" s="76">
        <v>7.4</v>
      </c>
      <c r="J72" s="76">
        <v>7.4</v>
      </c>
      <c r="K72" s="76">
        <v>7.4</v>
      </c>
      <c r="L72" s="76">
        <v>7.4</v>
      </c>
      <c r="M72" s="76">
        <v>7.4</v>
      </c>
      <c r="N72" s="76">
        <v>12.3</v>
      </c>
      <c r="O72" s="76">
        <v>12.3</v>
      </c>
      <c r="P72" s="76">
        <v>12.3</v>
      </c>
      <c r="Q72" s="76">
        <v>12.3</v>
      </c>
      <c r="R72" s="76">
        <v>12.3</v>
      </c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14</v>
      </c>
      <c r="AH72" s="48">
        <f t="shared" si="8"/>
        <v>12.3</v>
      </c>
      <c r="AI72" s="49">
        <f t="shared" si="9"/>
        <v>7.4</v>
      </c>
      <c r="AK72" s="51"/>
      <c r="AY72" s="1" t="s">
        <v>94</v>
      </c>
      <c r="AZ72" s="82">
        <f>ROUND(C85,0)</f>
        <v>0</v>
      </c>
      <c r="BA72" s="81">
        <f t="shared" si="29"/>
        <v>0</v>
      </c>
      <c r="BB72" s="81">
        <f t="shared" si="29"/>
        <v>0</v>
      </c>
      <c r="BC72" s="81">
        <f t="shared" si="29"/>
        <v>0</v>
      </c>
      <c r="BD72" s="81">
        <f t="shared" si="29"/>
        <v>0</v>
      </c>
      <c r="BE72" s="82">
        <f>I85</f>
        <v>0</v>
      </c>
      <c r="BF72" s="82">
        <f>K85</f>
        <v>88.4</v>
      </c>
      <c r="BG72" s="82">
        <f t="shared" si="30"/>
        <v>112.4</v>
      </c>
      <c r="BH72" s="82">
        <f t="shared" si="30"/>
        <v>107.2</v>
      </c>
      <c r="BI72" s="82">
        <f t="shared" si="30"/>
        <v>130.1</v>
      </c>
      <c r="BJ72" s="82">
        <f t="shared" si="30"/>
        <v>140</v>
      </c>
      <c r="BK72" s="82">
        <f t="shared" si="30"/>
        <v>143</v>
      </c>
      <c r="BL72" s="82">
        <f t="shared" si="30"/>
        <v>142</v>
      </c>
      <c r="BM72" s="82">
        <f t="shared" si="30"/>
        <v>0</v>
      </c>
      <c r="BN72" s="82">
        <f t="shared" si="30"/>
        <v>0</v>
      </c>
      <c r="BO72" s="82">
        <f t="shared" si="30"/>
        <v>0</v>
      </c>
      <c r="BP72" s="82">
        <f t="shared" si="30"/>
        <v>0</v>
      </c>
      <c r="BQ72" s="82">
        <f>X85</f>
        <v>0</v>
      </c>
      <c r="BR72" s="82">
        <f>Z85</f>
        <v>0</v>
      </c>
      <c r="BS72" s="81">
        <f>AB85</f>
        <v>0</v>
      </c>
      <c r="BT72" s="81">
        <f t="shared" si="31"/>
        <v>0</v>
      </c>
      <c r="BU72" s="81">
        <f t="shared" si="31"/>
        <v>0</v>
      </c>
      <c r="BV72" s="81">
        <f t="shared" si="31"/>
        <v>0</v>
      </c>
      <c r="BW72" s="81">
        <f>B85</f>
        <v>0</v>
      </c>
    </row>
    <row r="73" spans="1:75" x14ac:dyDescent="0.25">
      <c r="A73" s="65" t="s">
        <v>95</v>
      </c>
      <c r="B73" s="76">
        <v>8.5</v>
      </c>
      <c r="C73" s="76">
        <v>8.5</v>
      </c>
      <c r="D73" s="76">
        <v>8.5</v>
      </c>
      <c r="E73" s="76">
        <v>8.5</v>
      </c>
      <c r="F73" s="76">
        <v>8.5</v>
      </c>
      <c r="G73" s="76">
        <v>8.5</v>
      </c>
      <c r="H73" s="76">
        <v>8.5</v>
      </c>
      <c r="I73" s="76">
        <v>8.5</v>
      </c>
      <c r="J73" s="76">
        <v>8.5</v>
      </c>
      <c r="K73" s="76">
        <v>8.5</v>
      </c>
      <c r="L73" s="76">
        <v>8.5</v>
      </c>
      <c r="M73" s="76">
        <v>8.5</v>
      </c>
      <c r="N73" s="76">
        <v>8.5</v>
      </c>
      <c r="O73" s="76">
        <v>8.5</v>
      </c>
      <c r="P73" s="76">
        <v>8.5</v>
      </c>
      <c r="Q73" s="76">
        <v>8.5</v>
      </c>
      <c r="R73" s="76">
        <v>8.5</v>
      </c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10.050000000000001</v>
      </c>
      <c r="AH73" s="48">
        <f t="shared" si="8"/>
        <v>8.5</v>
      </c>
      <c r="AI73" s="49">
        <f t="shared" si="9"/>
        <v>8.5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0</v>
      </c>
      <c r="BC73" s="82">
        <f>F91</f>
        <v>0</v>
      </c>
      <c r="BD73" s="82">
        <f>G91</f>
        <v>0</v>
      </c>
      <c r="BE73" s="82">
        <f>I91</f>
        <v>0</v>
      </c>
      <c r="BF73" s="82">
        <f>K91</f>
        <v>0</v>
      </c>
      <c r="BG73" s="82">
        <f t="shared" ref="BG73:BP73" si="32">M91</f>
        <v>0</v>
      </c>
      <c r="BH73" s="82">
        <f t="shared" si="32"/>
        <v>0</v>
      </c>
      <c r="BI73" s="82">
        <f t="shared" si="32"/>
        <v>0</v>
      </c>
      <c r="BJ73" s="82">
        <f t="shared" si="32"/>
        <v>0</v>
      </c>
      <c r="BK73" s="82">
        <f t="shared" si="32"/>
        <v>49.3</v>
      </c>
      <c r="BL73" s="82">
        <f t="shared" si="32"/>
        <v>0</v>
      </c>
      <c r="BM73" s="82">
        <f t="shared" si="32"/>
        <v>0</v>
      </c>
      <c r="BN73" s="82">
        <f t="shared" si="32"/>
        <v>0</v>
      </c>
      <c r="BO73" s="82">
        <f t="shared" si="32"/>
        <v>0</v>
      </c>
      <c r="BP73" s="82">
        <f t="shared" si="32"/>
        <v>0</v>
      </c>
      <c r="BQ73" s="82">
        <f>X91</f>
        <v>0</v>
      </c>
      <c r="BR73" s="82">
        <f>Z91</f>
        <v>0</v>
      </c>
      <c r="BS73" s="82">
        <f>AB91</f>
        <v>0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0</v>
      </c>
    </row>
    <row r="74" spans="1:75" x14ac:dyDescent="0.25">
      <c r="A74" s="65" t="s">
        <v>97</v>
      </c>
      <c r="B74" s="76">
        <v>3</v>
      </c>
      <c r="C74" s="76">
        <v>3</v>
      </c>
      <c r="D74" s="76">
        <v>3</v>
      </c>
      <c r="E74" s="76">
        <v>3</v>
      </c>
      <c r="F74" s="76">
        <v>3</v>
      </c>
      <c r="G74" s="76">
        <v>3</v>
      </c>
      <c r="H74" s="76">
        <v>3</v>
      </c>
      <c r="I74" s="76">
        <v>3</v>
      </c>
      <c r="J74" s="76">
        <v>3</v>
      </c>
      <c r="K74" s="76">
        <v>3</v>
      </c>
      <c r="L74" s="76">
        <v>3</v>
      </c>
      <c r="M74" s="76">
        <v>3</v>
      </c>
      <c r="N74" s="76">
        <v>3</v>
      </c>
      <c r="O74" s="76">
        <v>3</v>
      </c>
      <c r="P74" s="76">
        <v>3</v>
      </c>
      <c r="Q74" s="76">
        <v>3</v>
      </c>
      <c r="R74" s="76">
        <v>3</v>
      </c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6.2</v>
      </c>
      <c r="AH74" s="48">
        <f t="shared" si="8"/>
        <v>3</v>
      </c>
      <c r="AI74" s="49">
        <f t="shared" si="9"/>
        <v>3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33">VALUE(AZ68)</f>
        <v>31</v>
      </c>
      <c r="BA75" s="82">
        <f t="shared" si="33"/>
        <v>30.9</v>
      </c>
      <c r="BB75" s="82">
        <f t="shared" si="33"/>
        <v>-15.6</v>
      </c>
      <c r="BC75" s="82">
        <f t="shared" si="33"/>
        <v>-14.6</v>
      </c>
      <c r="BD75" s="82">
        <f t="shared" si="33"/>
        <v>-15.3</v>
      </c>
      <c r="BE75" s="82">
        <f t="shared" si="33"/>
        <v>-17.7</v>
      </c>
      <c r="BF75" s="82">
        <f t="shared" si="33"/>
        <v>50.7</v>
      </c>
      <c r="BG75" s="82">
        <f t="shared" si="33"/>
        <v>50.2</v>
      </c>
      <c r="BH75" s="82">
        <f t="shared" si="33"/>
        <v>42.3</v>
      </c>
      <c r="BI75" s="82">
        <f t="shared" si="33"/>
        <v>49.6</v>
      </c>
      <c r="BJ75" s="82">
        <f t="shared" si="33"/>
        <v>62.7</v>
      </c>
      <c r="BK75" s="82">
        <f t="shared" si="33"/>
        <v>61</v>
      </c>
      <c r="BL75" s="82">
        <f t="shared" si="33"/>
        <v>66.400000000000006</v>
      </c>
      <c r="BM75" s="82">
        <f t="shared" si="33"/>
        <v>0</v>
      </c>
      <c r="BN75" s="82">
        <f t="shared" si="33"/>
        <v>0</v>
      </c>
      <c r="BO75" s="82">
        <f t="shared" si="33"/>
        <v>0</v>
      </c>
      <c r="BP75" s="82">
        <f t="shared" si="33"/>
        <v>0</v>
      </c>
      <c r="BQ75" s="82">
        <f t="shared" si="33"/>
        <v>0</v>
      </c>
      <c r="BR75" s="82">
        <f t="shared" si="33"/>
        <v>0</v>
      </c>
      <c r="BS75" s="82">
        <f t="shared" si="33"/>
        <v>0</v>
      </c>
      <c r="BT75" s="82">
        <f t="shared" si="33"/>
        <v>0</v>
      </c>
      <c r="BU75" s="82">
        <f t="shared" si="33"/>
        <v>0</v>
      </c>
      <c r="BV75" s="82">
        <f t="shared" si="33"/>
        <v>0</v>
      </c>
      <c r="BW75" s="82">
        <f t="shared" si="33"/>
        <v>11.3</v>
      </c>
    </row>
    <row r="76" spans="1:75" ht="15.75" thickBot="1" x14ac:dyDescent="0.3">
      <c r="A76" s="87" t="s">
        <v>99</v>
      </c>
      <c r="B76" s="71">
        <f t="shared" ref="B76:C76" si="34">SUM(B63:B75)</f>
        <v>397.43999999999994</v>
      </c>
      <c r="C76" s="71">
        <f t="shared" si="34"/>
        <v>404.43999999999994</v>
      </c>
      <c r="D76" s="71">
        <f t="shared" ref="D76" si="35">SUM(D63:D75)</f>
        <v>404.43999999999994</v>
      </c>
      <c r="E76" s="71">
        <f t="shared" ref="E76:AG76" si="36">SUM(E63:E75)</f>
        <v>404.93999999999994</v>
      </c>
      <c r="F76" s="71">
        <f t="shared" si="36"/>
        <v>403.77</v>
      </c>
      <c r="G76" s="71">
        <f t="shared" si="36"/>
        <v>400.46999999999997</v>
      </c>
      <c r="H76" s="71">
        <f t="shared" si="36"/>
        <v>403.16999999999996</v>
      </c>
      <c r="I76" s="71">
        <f t="shared" si="36"/>
        <v>400.73999999999995</v>
      </c>
      <c r="J76" s="71">
        <f t="shared" si="36"/>
        <v>400.93999999999994</v>
      </c>
      <c r="K76" s="71">
        <f t="shared" si="36"/>
        <v>400.93999999999994</v>
      </c>
      <c r="L76" s="71">
        <f t="shared" si="36"/>
        <v>396.94</v>
      </c>
      <c r="M76" s="71">
        <f t="shared" si="36"/>
        <v>399.74</v>
      </c>
      <c r="N76" s="71">
        <f t="shared" si="36"/>
        <v>412.94</v>
      </c>
      <c r="O76" s="71">
        <f t="shared" si="36"/>
        <v>423.24</v>
      </c>
      <c r="P76" s="71">
        <f t="shared" si="36"/>
        <v>378.24</v>
      </c>
      <c r="Q76" s="71">
        <f t="shared" si="36"/>
        <v>377.74</v>
      </c>
      <c r="R76" s="71">
        <f t="shared" si="36"/>
        <v>421.24</v>
      </c>
      <c r="S76" s="71">
        <f t="shared" si="36"/>
        <v>3.54</v>
      </c>
      <c r="T76" s="71">
        <f t="shared" si="36"/>
        <v>3.54</v>
      </c>
      <c r="U76" s="71">
        <f t="shared" si="36"/>
        <v>3.54</v>
      </c>
      <c r="V76" s="71">
        <f t="shared" si="36"/>
        <v>3.54</v>
      </c>
      <c r="W76" s="71">
        <f t="shared" si="36"/>
        <v>3.54</v>
      </c>
      <c r="X76" s="71">
        <f t="shared" si="36"/>
        <v>3.54</v>
      </c>
      <c r="Y76" s="71">
        <f t="shared" si="36"/>
        <v>3.5</v>
      </c>
      <c r="Z76" s="71">
        <f t="shared" si="36"/>
        <v>5.5</v>
      </c>
      <c r="AA76" s="71">
        <f t="shared" si="36"/>
        <v>3.54</v>
      </c>
      <c r="AB76" s="71">
        <f t="shared" si="36"/>
        <v>3.54</v>
      </c>
      <c r="AC76" s="71">
        <f t="shared" si="36"/>
        <v>3.54</v>
      </c>
      <c r="AD76" s="71">
        <f t="shared" si="36"/>
        <v>3.54</v>
      </c>
      <c r="AE76" s="71">
        <f t="shared" si="36"/>
        <v>3.54</v>
      </c>
      <c r="AF76" s="71">
        <f t="shared" si="36"/>
        <v>3.54</v>
      </c>
      <c r="AG76" s="72">
        <f t="shared" si="36"/>
        <v>489.91</v>
      </c>
      <c r="AH76" s="48">
        <f t="shared" si="8"/>
        <v>423.24</v>
      </c>
      <c r="AI76" s="49">
        <f t="shared" si="9"/>
        <v>3.5</v>
      </c>
      <c r="AK76" s="51"/>
      <c r="AZ76" s="82">
        <f t="shared" si="33"/>
        <v>0</v>
      </c>
      <c r="BA76" s="82">
        <f t="shared" si="33"/>
        <v>0</v>
      </c>
      <c r="BB76" s="82">
        <f t="shared" si="33"/>
        <v>0</v>
      </c>
      <c r="BC76" s="82">
        <f t="shared" si="33"/>
        <v>0</v>
      </c>
      <c r="BD76" s="82">
        <f t="shared" si="33"/>
        <v>0</v>
      </c>
      <c r="BE76" s="82">
        <f t="shared" si="33"/>
        <v>0</v>
      </c>
      <c r="BF76" s="82">
        <f t="shared" si="33"/>
        <v>0</v>
      </c>
      <c r="BG76" s="82">
        <f t="shared" si="33"/>
        <v>0</v>
      </c>
      <c r="BH76" s="82">
        <f t="shared" si="33"/>
        <v>0</v>
      </c>
      <c r="BI76" s="82">
        <f t="shared" si="33"/>
        <v>0</v>
      </c>
      <c r="BJ76" s="82">
        <f t="shared" si="33"/>
        <v>0</v>
      </c>
      <c r="BK76" s="82">
        <f t="shared" si="33"/>
        <v>0</v>
      </c>
      <c r="BL76" s="82">
        <f t="shared" si="33"/>
        <v>0</v>
      </c>
      <c r="BM76" s="82">
        <f t="shared" si="33"/>
        <v>0</v>
      </c>
      <c r="BN76" s="82">
        <f t="shared" si="33"/>
        <v>0</v>
      </c>
      <c r="BO76" s="82">
        <f t="shared" si="33"/>
        <v>0</v>
      </c>
      <c r="BP76" s="82">
        <f t="shared" si="33"/>
        <v>0</v>
      </c>
      <c r="BQ76" s="82">
        <f t="shared" si="33"/>
        <v>0</v>
      </c>
      <c r="BR76" s="82">
        <f t="shared" si="33"/>
        <v>0</v>
      </c>
      <c r="BS76" s="82">
        <f t="shared" si="33"/>
        <v>0</v>
      </c>
      <c r="BT76" s="82">
        <f t="shared" si="33"/>
        <v>0</v>
      </c>
      <c r="BU76" s="82">
        <f t="shared" si="33"/>
        <v>0</v>
      </c>
      <c r="BV76" s="82">
        <f t="shared" si="33"/>
        <v>0</v>
      </c>
      <c r="BW76" s="82">
        <f t="shared" si="33"/>
        <v>0</v>
      </c>
    </row>
    <row r="77" spans="1:75" x14ac:dyDescent="0.25">
      <c r="A77" s="45" t="s">
        <v>100</v>
      </c>
      <c r="B77" s="46">
        <v>19.899999999999999</v>
      </c>
      <c r="C77" s="46">
        <v>30.3</v>
      </c>
      <c r="D77" s="46">
        <v>30.3</v>
      </c>
      <c r="E77" s="46">
        <v>24.8</v>
      </c>
      <c r="F77" s="46">
        <v>14</v>
      </c>
      <c r="G77" s="46">
        <v>9.6999999999999993</v>
      </c>
      <c r="H77" s="46">
        <v>13.8</v>
      </c>
      <c r="I77" s="46">
        <v>39.299999999999997</v>
      </c>
      <c r="J77" s="46">
        <v>50</v>
      </c>
      <c r="K77" s="46">
        <v>60</v>
      </c>
      <c r="L77" s="46">
        <v>54.4</v>
      </c>
      <c r="M77" s="46">
        <v>60</v>
      </c>
      <c r="N77" s="46">
        <v>38.6</v>
      </c>
      <c r="O77" s="46">
        <v>59.5</v>
      </c>
      <c r="P77" s="46">
        <v>54.2</v>
      </c>
      <c r="Q77" s="46">
        <v>59.4</v>
      </c>
      <c r="R77" s="46">
        <v>59.4</v>
      </c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1">
        <v>60</v>
      </c>
      <c r="AH77" s="48">
        <f t="shared" si="8"/>
        <v>60</v>
      </c>
      <c r="AI77" s="49">
        <f t="shared" si="9"/>
        <v>9.6999999999999993</v>
      </c>
      <c r="AK77" s="51"/>
      <c r="AZ77" s="82">
        <f t="shared" si="33"/>
        <v>-408</v>
      </c>
      <c r="BA77" s="82">
        <f t="shared" si="33"/>
        <v>-408</v>
      </c>
      <c r="BB77" s="82">
        <f t="shared" si="33"/>
        <v>-389</v>
      </c>
      <c r="BC77" s="82">
        <f t="shared" si="33"/>
        <v>-395</v>
      </c>
      <c r="BD77" s="82">
        <f t="shared" si="33"/>
        <v>-411</v>
      </c>
      <c r="BE77" s="82">
        <f t="shared" si="33"/>
        <v>-402</v>
      </c>
      <c r="BF77" s="82">
        <f t="shared" si="33"/>
        <v>-312</v>
      </c>
      <c r="BG77" s="82">
        <f t="shared" si="33"/>
        <v>-292.2</v>
      </c>
      <c r="BH77" s="82">
        <f t="shared" si="33"/>
        <v>-68</v>
      </c>
      <c r="BI77" s="82">
        <f t="shared" si="33"/>
        <v>-66.7</v>
      </c>
      <c r="BJ77" s="82">
        <f t="shared" si="33"/>
        <v>120</v>
      </c>
      <c r="BK77" s="82">
        <f t="shared" si="33"/>
        <v>137.80000000000001</v>
      </c>
      <c r="BL77" s="82">
        <f t="shared" si="33"/>
        <v>135</v>
      </c>
      <c r="BM77" s="82">
        <f t="shared" si="33"/>
        <v>0</v>
      </c>
      <c r="BN77" s="82">
        <f t="shared" si="33"/>
        <v>0</v>
      </c>
      <c r="BO77" s="82">
        <f t="shared" si="33"/>
        <v>0</v>
      </c>
      <c r="BP77" s="82">
        <f t="shared" si="33"/>
        <v>0</v>
      </c>
      <c r="BQ77" s="82">
        <f t="shared" si="33"/>
        <v>0</v>
      </c>
      <c r="BR77" s="82">
        <f t="shared" si="33"/>
        <v>0</v>
      </c>
      <c r="BS77" s="82">
        <f t="shared" si="33"/>
        <v>0</v>
      </c>
      <c r="BT77" s="82">
        <f t="shared" si="33"/>
        <v>0</v>
      </c>
      <c r="BU77" s="82">
        <f t="shared" si="33"/>
        <v>0</v>
      </c>
      <c r="BV77" s="82">
        <f t="shared" si="33"/>
        <v>0</v>
      </c>
      <c r="BW77" s="82">
        <f t="shared" si="33"/>
        <v>4.8</v>
      </c>
    </row>
    <row r="78" spans="1:75" x14ac:dyDescent="0.25">
      <c r="A78" s="65" t="s">
        <v>101</v>
      </c>
      <c r="B78" s="76">
        <v>12.2</v>
      </c>
      <c r="C78" s="76">
        <v>15</v>
      </c>
      <c r="D78" s="76">
        <v>15</v>
      </c>
      <c r="E78" s="76">
        <v>12.1</v>
      </c>
      <c r="F78" s="76">
        <v>6.7</v>
      </c>
      <c r="G78" s="76">
        <v>14.6</v>
      </c>
      <c r="H78" s="76">
        <v>16</v>
      </c>
      <c r="I78" s="76">
        <v>16.100000000000001</v>
      </c>
      <c r="J78" s="76">
        <v>23.6</v>
      </c>
      <c r="K78" s="76">
        <v>30</v>
      </c>
      <c r="L78" s="76">
        <v>25.2</v>
      </c>
      <c r="M78" s="76">
        <v>28.4</v>
      </c>
      <c r="N78" s="76">
        <v>17</v>
      </c>
      <c r="O78" s="76">
        <v>28.9</v>
      </c>
      <c r="P78" s="76">
        <v>26.8</v>
      </c>
      <c r="Q78" s="76">
        <v>28.4</v>
      </c>
      <c r="R78" s="76">
        <v>28.4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66">
        <v>32</v>
      </c>
      <c r="AH78" s="48">
        <f t="shared" si="8"/>
        <v>30</v>
      </c>
      <c r="AI78" s="49">
        <f t="shared" si="9"/>
        <v>6.7</v>
      </c>
      <c r="AK78" s="51"/>
      <c r="AZ78" s="82">
        <f t="shared" si="33"/>
        <v>0</v>
      </c>
      <c r="BA78" s="82">
        <f t="shared" si="33"/>
        <v>0</v>
      </c>
      <c r="BB78" s="82">
        <f t="shared" si="33"/>
        <v>0</v>
      </c>
      <c r="BC78" s="82">
        <f t="shared" si="33"/>
        <v>0</v>
      </c>
      <c r="BD78" s="82">
        <f t="shared" si="33"/>
        <v>0</v>
      </c>
      <c r="BE78" s="82">
        <f t="shared" si="33"/>
        <v>0</v>
      </c>
      <c r="BF78" s="82">
        <f t="shared" si="33"/>
        <v>0</v>
      </c>
      <c r="BG78" s="82">
        <f t="shared" si="33"/>
        <v>0</v>
      </c>
      <c r="BH78" s="82">
        <f t="shared" si="33"/>
        <v>0</v>
      </c>
      <c r="BI78" s="82">
        <f t="shared" si="33"/>
        <v>0</v>
      </c>
      <c r="BJ78" s="82">
        <f t="shared" si="33"/>
        <v>0</v>
      </c>
      <c r="BK78" s="82">
        <f t="shared" si="33"/>
        <v>0</v>
      </c>
      <c r="BL78" s="82">
        <f t="shared" si="33"/>
        <v>0</v>
      </c>
      <c r="BM78" s="82">
        <f t="shared" si="33"/>
        <v>0</v>
      </c>
      <c r="BN78" s="82">
        <f t="shared" si="33"/>
        <v>0</v>
      </c>
      <c r="BO78" s="82">
        <f t="shared" si="33"/>
        <v>0</v>
      </c>
      <c r="BP78" s="82">
        <f t="shared" si="33"/>
        <v>0</v>
      </c>
      <c r="BQ78" s="82">
        <f t="shared" si="33"/>
        <v>0</v>
      </c>
      <c r="BR78" s="82">
        <f t="shared" si="33"/>
        <v>0</v>
      </c>
      <c r="BS78" s="82">
        <f t="shared" si="33"/>
        <v>0</v>
      </c>
      <c r="BT78" s="82">
        <f t="shared" si="33"/>
        <v>0</v>
      </c>
      <c r="BU78" s="82">
        <f t="shared" si="33"/>
        <v>0</v>
      </c>
      <c r="BV78" s="82">
        <f t="shared" si="33"/>
        <v>0</v>
      </c>
      <c r="BW78" s="82">
        <f t="shared" si="33"/>
        <v>0</v>
      </c>
    </row>
    <row r="79" spans="1:75" ht="15.75" thickBot="1" x14ac:dyDescent="0.3">
      <c r="A79" s="84" t="s">
        <v>102</v>
      </c>
      <c r="B79" s="78">
        <v>4.5</v>
      </c>
      <c r="C79" s="78">
        <v>5.5</v>
      </c>
      <c r="D79" s="78">
        <v>5.5</v>
      </c>
      <c r="E79" s="78">
        <v>4.4000000000000004</v>
      </c>
      <c r="F79" s="78">
        <v>2.4</v>
      </c>
      <c r="G79" s="78">
        <v>5.3</v>
      </c>
      <c r="H79" s="78">
        <v>5.9</v>
      </c>
      <c r="I79" s="78">
        <v>5.9</v>
      </c>
      <c r="J79" s="78">
        <v>8.6</v>
      </c>
      <c r="K79" s="78">
        <v>10.9</v>
      </c>
      <c r="L79" s="78">
        <v>9.1999999999999993</v>
      </c>
      <c r="M79" s="78">
        <v>10.4</v>
      </c>
      <c r="N79" s="78">
        <v>6.2</v>
      </c>
      <c r="O79" s="78">
        <v>10.5</v>
      </c>
      <c r="P79" s="78">
        <v>9.8000000000000007</v>
      </c>
      <c r="Q79" s="78">
        <v>10.4</v>
      </c>
      <c r="R79" s="78">
        <v>10.4</v>
      </c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9">
        <v>14</v>
      </c>
      <c r="AH79" s="48">
        <f t="shared" si="8"/>
        <v>10.9</v>
      </c>
      <c r="AI79" s="49">
        <f t="shared" si="9"/>
        <v>2.4</v>
      </c>
      <c r="AK79" s="51"/>
      <c r="AZ79" s="82">
        <f t="shared" si="33"/>
        <v>0</v>
      </c>
      <c r="BA79" s="82">
        <f t="shared" si="33"/>
        <v>0</v>
      </c>
      <c r="BB79" s="82">
        <f t="shared" si="33"/>
        <v>0</v>
      </c>
      <c r="BC79" s="82">
        <f t="shared" si="33"/>
        <v>0</v>
      </c>
      <c r="BD79" s="82">
        <f t="shared" si="33"/>
        <v>0</v>
      </c>
      <c r="BE79" s="82">
        <f t="shared" si="33"/>
        <v>0</v>
      </c>
      <c r="BF79" s="82">
        <f t="shared" si="33"/>
        <v>88.4</v>
      </c>
      <c r="BG79" s="82">
        <f t="shared" si="33"/>
        <v>112.4</v>
      </c>
      <c r="BH79" s="82">
        <f t="shared" si="33"/>
        <v>107.2</v>
      </c>
      <c r="BI79" s="82">
        <f t="shared" si="33"/>
        <v>130.1</v>
      </c>
      <c r="BJ79" s="82">
        <f t="shared" si="33"/>
        <v>140</v>
      </c>
      <c r="BK79" s="82">
        <f t="shared" si="33"/>
        <v>143</v>
      </c>
      <c r="BL79" s="82">
        <f t="shared" si="33"/>
        <v>142</v>
      </c>
      <c r="BM79" s="82">
        <f t="shared" si="33"/>
        <v>0</v>
      </c>
      <c r="BN79" s="82">
        <f t="shared" si="33"/>
        <v>0</v>
      </c>
      <c r="BO79" s="82">
        <f t="shared" si="33"/>
        <v>0</v>
      </c>
      <c r="BP79" s="82">
        <f t="shared" si="33"/>
        <v>0</v>
      </c>
      <c r="BQ79" s="82">
        <f t="shared" si="33"/>
        <v>0</v>
      </c>
      <c r="BR79" s="82">
        <f t="shared" si="33"/>
        <v>0</v>
      </c>
      <c r="BS79" s="82">
        <f t="shared" si="33"/>
        <v>0</v>
      </c>
      <c r="BT79" s="82">
        <f t="shared" si="33"/>
        <v>0</v>
      </c>
      <c r="BU79" s="82">
        <f t="shared" si="33"/>
        <v>0</v>
      </c>
      <c r="BV79" s="82">
        <f t="shared" si="33"/>
        <v>0</v>
      </c>
      <c r="BW79" s="82">
        <f t="shared" si="33"/>
        <v>0</v>
      </c>
    </row>
    <row r="80" spans="1:75" ht="15.75" thickBot="1" x14ac:dyDescent="0.3">
      <c r="A80" s="87" t="s">
        <v>103</v>
      </c>
      <c r="B80" s="71">
        <f t="shared" ref="B80:C80" si="37">B77+B78+B79</f>
        <v>36.599999999999994</v>
      </c>
      <c r="C80" s="71">
        <f t="shared" si="37"/>
        <v>50.8</v>
      </c>
      <c r="D80" s="71">
        <f t="shared" ref="D80" si="38">D77+D78+D79</f>
        <v>50.8</v>
      </c>
      <c r="E80" s="71">
        <f t="shared" ref="E80:AF80" si="39">E77+E78+E79</f>
        <v>41.3</v>
      </c>
      <c r="F80" s="71">
        <f t="shared" si="39"/>
        <v>23.099999999999998</v>
      </c>
      <c r="G80" s="71">
        <f t="shared" si="39"/>
        <v>29.599999999999998</v>
      </c>
      <c r="H80" s="71">
        <f t="shared" si="39"/>
        <v>35.700000000000003</v>
      </c>
      <c r="I80" s="71">
        <f t="shared" si="39"/>
        <v>61.3</v>
      </c>
      <c r="J80" s="71">
        <f t="shared" si="39"/>
        <v>82.199999999999989</v>
      </c>
      <c r="K80" s="71">
        <f t="shared" si="39"/>
        <v>100.9</v>
      </c>
      <c r="L80" s="71">
        <f t="shared" si="39"/>
        <v>88.8</v>
      </c>
      <c r="M80" s="71">
        <f t="shared" si="39"/>
        <v>98.800000000000011</v>
      </c>
      <c r="N80" s="71">
        <f t="shared" si="39"/>
        <v>61.800000000000004</v>
      </c>
      <c r="O80" s="71">
        <f t="shared" si="39"/>
        <v>98.9</v>
      </c>
      <c r="P80" s="71">
        <f t="shared" si="39"/>
        <v>90.8</v>
      </c>
      <c r="Q80" s="71">
        <f t="shared" si="39"/>
        <v>98.2</v>
      </c>
      <c r="R80" s="71">
        <f t="shared" si="39"/>
        <v>98.2</v>
      </c>
      <c r="S80" s="71">
        <f t="shared" si="39"/>
        <v>0</v>
      </c>
      <c r="T80" s="71">
        <f t="shared" si="39"/>
        <v>0</v>
      </c>
      <c r="U80" s="71">
        <f t="shared" si="39"/>
        <v>0</v>
      </c>
      <c r="V80" s="71">
        <f t="shared" si="39"/>
        <v>0</v>
      </c>
      <c r="W80" s="71">
        <f t="shared" si="39"/>
        <v>0</v>
      </c>
      <c r="X80" s="71">
        <f t="shared" si="39"/>
        <v>0</v>
      </c>
      <c r="Y80" s="71">
        <f t="shared" si="39"/>
        <v>0</v>
      </c>
      <c r="Z80" s="71">
        <f t="shared" si="39"/>
        <v>0</v>
      </c>
      <c r="AA80" s="71">
        <f t="shared" si="39"/>
        <v>0</v>
      </c>
      <c r="AB80" s="71">
        <f t="shared" si="39"/>
        <v>0</v>
      </c>
      <c r="AC80" s="71">
        <f t="shared" si="39"/>
        <v>0</v>
      </c>
      <c r="AD80" s="71">
        <f t="shared" si="39"/>
        <v>0</v>
      </c>
      <c r="AE80" s="71">
        <f t="shared" si="39"/>
        <v>0</v>
      </c>
      <c r="AF80" s="71">
        <f t="shared" si="39"/>
        <v>0</v>
      </c>
      <c r="AG80" s="72">
        <f>SUM(AG77:AG79)</f>
        <v>106</v>
      </c>
      <c r="AH80" s="48">
        <f t="shared" si="8"/>
        <v>100.9</v>
      </c>
      <c r="AI80" s="49">
        <f t="shared" si="9"/>
        <v>0</v>
      </c>
      <c r="AK80" s="51"/>
      <c r="AZ80" s="82">
        <f t="shared" si="33"/>
        <v>0</v>
      </c>
      <c r="BA80" s="82">
        <f t="shared" si="33"/>
        <v>0</v>
      </c>
      <c r="BB80" s="82">
        <f t="shared" si="33"/>
        <v>0</v>
      </c>
      <c r="BC80" s="82">
        <f t="shared" si="33"/>
        <v>0</v>
      </c>
      <c r="BD80" s="82">
        <f t="shared" si="33"/>
        <v>0</v>
      </c>
      <c r="BE80" s="82">
        <f t="shared" si="33"/>
        <v>0</v>
      </c>
      <c r="BF80" s="82">
        <f t="shared" si="33"/>
        <v>0</v>
      </c>
      <c r="BG80" s="82">
        <f t="shared" si="33"/>
        <v>0</v>
      </c>
      <c r="BH80" s="82">
        <f t="shared" si="33"/>
        <v>0</v>
      </c>
      <c r="BI80" s="82">
        <f t="shared" si="33"/>
        <v>0</v>
      </c>
      <c r="BJ80" s="82">
        <f t="shared" si="33"/>
        <v>0</v>
      </c>
      <c r="BK80" s="82">
        <f t="shared" si="33"/>
        <v>49.3</v>
      </c>
      <c r="BL80" s="82">
        <f t="shared" si="33"/>
        <v>0</v>
      </c>
      <c r="BM80" s="82">
        <f t="shared" si="33"/>
        <v>0</v>
      </c>
      <c r="BN80" s="82">
        <f t="shared" si="33"/>
        <v>0</v>
      </c>
      <c r="BO80" s="82">
        <f t="shared" si="33"/>
        <v>0</v>
      </c>
      <c r="BP80" s="82">
        <f t="shared" si="33"/>
        <v>0</v>
      </c>
      <c r="BQ80" s="82">
        <f t="shared" si="33"/>
        <v>0</v>
      </c>
      <c r="BR80" s="82">
        <f t="shared" si="33"/>
        <v>0</v>
      </c>
      <c r="BS80" s="82">
        <f t="shared" si="33"/>
        <v>0</v>
      </c>
      <c r="BT80" s="82">
        <f t="shared" si="33"/>
        <v>0</v>
      </c>
      <c r="BU80" s="82">
        <f t="shared" si="33"/>
        <v>0</v>
      </c>
      <c r="BV80" s="82">
        <f t="shared" si="33"/>
        <v>0</v>
      </c>
      <c r="BW80" s="82">
        <f t="shared" si="33"/>
        <v>0</v>
      </c>
    </row>
    <row r="81" spans="1:64" x14ac:dyDescent="0.25">
      <c r="A81" s="45" t="s">
        <v>104</v>
      </c>
      <c r="B81" s="46">
        <v>11.3</v>
      </c>
      <c r="C81" s="46">
        <v>30.9</v>
      </c>
      <c r="D81" s="46">
        <v>30.9</v>
      </c>
      <c r="E81" s="46">
        <v>-15.6</v>
      </c>
      <c r="F81" s="46">
        <v>-14.6</v>
      </c>
      <c r="G81" s="46">
        <v>-15.3</v>
      </c>
      <c r="H81" s="46">
        <v>-16.100000000000001</v>
      </c>
      <c r="I81" s="46">
        <v>-17.7</v>
      </c>
      <c r="J81" s="46">
        <v>35.1</v>
      </c>
      <c r="K81" s="46">
        <v>50.7</v>
      </c>
      <c r="L81" s="46">
        <v>48</v>
      </c>
      <c r="M81" s="46">
        <v>50.2</v>
      </c>
      <c r="N81" s="46">
        <v>42.3</v>
      </c>
      <c r="O81" s="46">
        <v>49.6</v>
      </c>
      <c r="P81" s="46">
        <v>62.7</v>
      </c>
      <c r="Q81" s="46">
        <v>61</v>
      </c>
      <c r="R81" s="46">
        <v>66.400000000000006</v>
      </c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61"/>
      <c r="AH81" s="48">
        <f t="shared" si="8"/>
        <v>66.400000000000006</v>
      </c>
      <c r="AI81" s="49">
        <f t="shared" si="9"/>
        <v>-17.7</v>
      </c>
      <c r="AK81" s="51"/>
      <c r="AY81" s="82"/>
    </row>
    <row r="82" spans="1:64" x14ac:dyDescent="0.25">
      <c r="A82" s="65" t="s">
        <v>105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66"/>
      <c r="AH82" s="48">
        <f t="shared" ref="AH82:AH125" si="40">MAX(B82:AF82)</f>
        <v>0</v>
      </c>
      <c r="AI82" s="49">
        <f t="shared" ref="AI82:AI125" si="41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>
        <v>4.8</v>
      </c>
      <c r="C83" s="76">
        <v>-408</v>
      </c>
      <c r="D83" s="76">
        <v>-408</v>
      </c>
      <c r="E83" s="76">
        <v>-389</v>
      </c>
      <c r="F83" s="76">
        <v>-395</v>
      </c>
      <c r="G83" s="76">
        <v>-411</v>
      </c>
      <c r="H83" s="76">
        <v>-421.1</v>
      </c>
      <c r="I83" s="76">
        <v>-402</v>
      </c>
      <c r="J83" s="76">
        <v>-295</v>
      </c>
      <c r="K83" s="76">
        <v>-312</v>
      </c>
      <c r="L83" s="76">
        <v>-302</v>
      </c>
      <c r="M83" s="76">
        <v>-292.2</v>
      </c>
      <c r="N83" s="76">
        <v>-68</v>
      </c>
      <c r="O83" s="76">
        <v>-66.7</v>
      </c>
      <c r="P83" s="76">
        <v>120</v>
      </c>
      <c r="Q83" s="76">
        <v>137.80000000000001</v>
      </c>
      <c r="R83" s="76">
        <v>135</v>
      </c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8"/>
      <c r="AH83" s="48">
        <f t="shared" si="40"/>
        <v>137.80000000000001</v>
      </c>
      <c r="AI83" s="49">
        <f t="shared" si="41"/>
        <v>-421.1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>
        <v>0</v>
      </c>
      <c r="C84" s="76">
        <v>0</v>
      </c>
      <c r="D84" s="76">
        <v>0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8"/>
      <c r="AH84" s="48">
        <f t="shared" si="40"/>
        <v>0</v>
      </c>
      <c r="AI84" s="49">
        <f t="shared" si="41"/>
        <v>0</v>
      </c>
      <c r="AK84" s="51"/>
      <c r="AY84" s="82"/>
      <c r="BF84" s="81"/>
      <c r="BG84" s="82">
        <f t="array" ref="BG84:BL107">TRANSPOSE(AZ68:BW73)</f>
        <v>31</v>
      </c>
      <c r="BH84" s="82">
        <v>0</v>
      </c>
      <c r="BI84" s="82">
        <v>-408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>
        <v>0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70</v>
      </c>
      <c r="K85" s="46">
        <v>88.4</v>
      </c>
      <c r="L85" s="46">
        <v>101</v>
      </c>
      <c r="M85" s="46">
        <v>112.4</v>
      </c>
      <c r="N85" s="46">
        <v>107.2</v>
      </c>
      <c r="O85" s="46">
        <v>130.1</v>
      </c>
      <c r="P85" s="46">
        <v>140</v>
      </c>
      <c r="Q85" s="46">
        <v>143</v>
      </c>
      <c r="R85" s="46">
        <v>142</v>
      </c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88"/>
      <c r="AH85" s="48">
        <f t="shared" si="40"/>
        <v>143</v>
      </c>
      <c r="AI85" s="49">
        <f t="shared" si="41"/>
        <v>0</v>
      </c>
      <c r="AK85" s="51"/>
      <c r="AY85" s="82"/>
      <c r="BF85" s="81"/>
      <c r="BG85" s="82">
        <v>30.9</v>
      </c>
      <c r="BH85" s="82">
        <v>0</v>
      </c>
      <c r="BI85" s="82">
        <v>-408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40"/>
        <v>0</v>
      </c>
      <c r="AI86" s="49">
        <f t="shared" si="41"/>
        <v>0</v>
      </c>
      <c r="AK86" s="51"/>
      <c r="AY86" s="82"/>
      <c r="BF86" s="81"/>
      <c r="BG86" s="82">
        <v>-15.6</v>
      </c>
      <c r="BH86" s="82">
        <v>0</v>
      </c>
      <c r="BI86" s="82">
        <v>-389</v>
      </c>
      <c r="BJ86" s="82">
        <v>0</v>
      </c>
      <c r="BK86" s="82">
        <v>0</v>
      </c>
      <c r="BL86" s="82">
        <v>0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40"/>
        <v>0</v>
      </c>
      <c r="AI87" s="49">
        <f t="shared" si="41"/>
        <v>0</v>
      </c>
      <c r="AK87" s="51"/>
      <c r="AL87" s="91" t="s">
        <v>111</v>
      </c>
      <c r="AM87" s="91"/>
      <c r="AY87" s="82"/>
      <c r="BF87" s="82"/>
      <c r="BG87" s="82">
        <v>-14.6</v>
      </c>
      <c r="BH87" s="82">
        <v>0</v>
      </c>
      <c r="BI87" s="82">
        <v>-395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40"/>
        <v>0</v>
      </c>
      <c r="AI88" s="49">
        <f t="shared" si="41"/>
        <v>0</v>
      </c>
      <c r="AK88" s="92"/>
      <c r="AL88" s="93"/>
      <c r="AM88" s="93"/>
      <c r="AN88" s="94"/>
      <c r="AY88" s="82"/>
      <c r="BF88" s="82"/>
      <c r="BG88" s="82">
        <v>-15.3</v>
      </c>
      <c r="BH88" s="82">
        <v>0</v>
      </c>
      <c r="BI88" s="82">
        <v>-411</v>
      </c>
      <c r="BJ88" s="82">
        <v>0</v>
      </c>
      <c r="BK88" s="82">
        <v>0</v>
      </c>
      <c r="BL88" s="82">
        <v>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40"/>
        <v>0</v>
      </c>
      <c r="AI89" s="49">
        <f t="shared" si="41"/>
        <v>0</v>
      </c>
      <c r="AK89" s="95" t="s">
        <v>114</v>
      </c>
      <c r="AL89" s="76"/>
      <c r="AM89" s="89"/>
      <c r="AN89" s="96"/>
      <c r="AY89" s="82"/>
      <c r="BF89" s="82"/>
      <c r="BG89" s="82">
        <v>-17.7</v>
      </c>
      <c r="BH89" s="82">
        <v>0</v>
      </c>
      <c r="BI89" s="82">
        <v>-402</v>
      </c>
      <c r="BJ89" s="82">
        <v>0</v>
      </c>
      <c r="BK89" s="82">
        <v>0</v>
      </c>
      <c r="BL89" s="82">
        <v>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40"/>
        <v>0</v>
      </c>
      <c r="AI90" s="49">
        <f t="shared" si="41"/>
        <v>0</v>
      </c>
      <c r="AK90" s="95" t="s">
        <v>116</v>
      </c>
      <c r="AL90" s="89"/>
      <c r="AM90" s="89"/>
      <c r="AN90" s="96"/>
      <c r="AY90" s="82"/>
      <c r="BF90" s="82"/>
      <c r="BG90" s="82">
        <v>50.7</v>
      </c>
      <c r="BH90" s="82">
        <v>0</v>
      </c>
      <c r="BI90" s="82">
        <v>-312</v>
      </c>
      <c r="BJ90" s="82">
        <v>0</v>
      </c>
      <c r="BK90" s="82">
        <v>88.4</v>
      </c>
      <c r="BL90" s="82">
        <v>0</v>
      </c>
    </row>
    <row r="91" spans="1:64" ht="15.75" thickBot="1" x14ac:dyDescent="0.3">
      <c r="A91" s="97" t="s">
        <v>117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>
        <v>49.3</v>
      </c>
      <c r="R91" s="90">
        <v>0</v>
      </c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8"/>
      <c r="AH91" s="48">
        <f t="shared" si="40"/>
        <v>49.3</v>
      </c>
      <c r="AI91" s="49">
        <f t="shared" si="41"/>
        <v>0</v>
      </c>
      <c r="AK91" s="99"/>
      <c r="AL91" s="46"/>
      <c r="AM91" s="46"/>
      <c r="AN91" s="100"/>
      <c r="AY91" s="82"/>
      <c r="BF91" s="82"/>
      <c r="BG91" s="82">
        <v>50.2</v>
      </c>
      <c r="BH91" s="82">
        <v>0</v>
      </c>
      <c r="BI91" s="82">
        <v>-292.2</v>
      </c>
      <c r="BJ91" s="82">
        <v>0</v>
      </c>
      <c r="BK91" s="82">
        <v>112.4</v>
      </c>
      <c r="BL91" s="82">
        <v>0</v>
      </c>
    </row>
    <row r="92" spans="1:64" ht="15.75" thickBot="1" x14ac:dyDescent="0.3">
      <c r="A92" s="87" t="s">
        <v>118</v>
      </c>
      <c r="B92" s="71">
        <f t="shared" ref="B92:C92" si="42">SUMIF(B81:B91,"&gt;0")</f>
        <v>16.100000000000001</v>
      </c>
      <c r="C92" s="71">
        <f t="shared" si="42"/>
        <v>30.9</v>
      </c>
      <c r="D92" s="71">
        <f t="shared" ref="D92" si="43">SUMIF(D81:D91,"&gt;0")</f>
        <v>30.9</v>
      </c>
      <c r="E92" s="71">
        <f t="shared" ref="E92:AF92" si="44">SUMIF(E81:E91,"&gt;0")</f>
        <v>0</v>
      </c>
      <c r="F92" s="71">
        <f t="shared" si="44"/>
        <v>0</v>
      </c>
      <c r="G92" s="71">
        <f t="shared" si="44"/>
        <v>0</v>
      </c>
      <c r="H92" s="71">
        <f t="shared" si="44"/>
        <v>0</v>
      </c>
      <c r="I92" s="71">
        <f t="shared" si="44"/>
        <v>0</v>
      </c>
      <c r="J92" s="71">
        <f t="shared" si="44"/>
        <v>105.1</v>
      </c>
      <c r="K92" s="71">
        <f t="shared" si="44"/>
        <v>139.10000000000002</v>
      </c>
      <c r="L92" s="71">
        <f t="shared" si="44"/>
        <v>149</v>
      </c>
      <c r="M92" s="71">
        <f t="shared" si="44"/>
        <v>162.60000000000002</v>
      </c>
      <c r="N92" s="71">
        <f t="shared" si="44"/>
        <v>149.5</v>
      </c>
      <c r="O92" s="71">
        <f t="shared" si="44"/>
        <v>179.7</v>
      </c>
      <c r="P92" s="71">
        <f t="shared" si="44"/>
        <v>322.7</v>
      </c>
      <c r="Q92" s="71">
        <f t="shared" si="44"/>
        <v>391.1</v>
      </c>
      <c r="R92" s="71">
        <f t="shared" si="44"/>
        <v>343.4</v>
      </c>
      <c r="S92" s="71">
        <f t="shared" si="44"/>
        <v>0</v>
      </c>
      <c r="T92" s="71">
        <f t="shared" si="44"/>
        <v>0</v>
      </c>
      <c r="U92" s="71">
        <f t="shared" si="44"/>
        <v>0</v>
      </c>
      <c r="V92" s="71">
        <f t="shared" si="44"/>
        <v>0</v>
      </c>
      <c r="W92" s="71">
        <f t="shared" si="44"/>
        <v>0</v>
      </c>
      <c r="X92" s="71">
        <f t="shared" si="44"/>
        <v>0</v>
      </c>
      <c r="Y92" s="71">
        <f t="shared" si="44"/>
        <v>0</v>
      </c>
      <c r="Z92" s="71">
        <f t="shared" si="44"/>
        <v>0</v>
      </c>
      <c r="AA92" s="71">
        <f t="shared" si="44"/>
        <v>0</v>
      </c>
      <c r="AB92" s="71">
        <f t="shared" si="44"/>
        <v>0</v>
      </c>
      <c r="AC92" s="71">
        <f t="shared" si="44"/>
        <v>0</v>
      </c>
      <c r="AD92" s="71">
        <f t="shared" si="44"/>
        <v>0</v>
      </c>
      <c r="AE92" s="71">
        <f t="shared" si="44"/>
        <v>0</v>
      </c>
      <c r="AF92" s="71">
        <f t="shared" si="44"/>
        <v>0</v>
      </c>
      <c r="AG92" s="101">
        <f>SUM(AG81:AG91)</f>
        <v>0</v>
      </c>
      <c r="AH92" s="48">
        <f t="shared" si="40"/>
        <v>391.1</v>
      </c>
      <c r="AI92" s="49">
        <f t="shared" si="41"/>
        <v>0</v>
      </c>
      <c r="AK92" s="99"/>
      <c r="AL92" s="90"/>
      <c r="AM92" s="102"/>
      <c r="AN92" s="202"/>
      <c r="AY92" s="82"/>
      <c r="BF92" s="82"/>
      <c r="BG92" s="82">
        <v>42.3</v>
      </c>
      <c r="BH92" s="82">
        <v>0</v>
      </c>
      <c r="BI92" s="82">
        <v>-68</v>
      </c>
      <c r="BJ92" s="82">
        <v>0</v>
      </c>
      <c r="BK92" s="82">
        <v>107.2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40"/>
        <v>0</v>
      </c>
      <c r="AI93" s="49">
        <f t="shared" si="41"/>
        <v>0</v>
      </c>
      <c r="AK93" s="99"/>
      <c r="AL93" s="90"/>
      <c r="AM93" s="90"/>
      <c r="AN93" s="203"/>
      <c r="BF93" s="82"/>
      <c r="BG93" s="82">
        <v>49.6</v>
      </c>
      <c r="BH93" s="82">
        <v>0</v>
      </c>
      <c r="BI93" s="82">
        <v>-66.7</v>
      </c>
      <c r="BJ93" s="82">
        <v>0</v>
      </c>
      <c r="BK93" s="82">
        <v>130.1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40"/>
        <v>0</v>
      </c>
      <c r="AI94" s="49">
        <f t="shared" si="41"/>
        <v>0</v>
      </c>
      <c r="AK94" s="104"/>
      <c r="AL94" s="105"/>
      <c r="AM94" s="105"/>
      <c r="AN94" s="106"/>
      <c r="BF94" s="82"/>
      <c r="BG94" s="82">
        <v>62.7</v>
      </c>
      <c r="BH94" s="82">
        <v>0</v>
      </c>
      <c r="BI94" s="82">
        <v>120</v>
      </c>
      <c r="BJ94" s="82">
        <v>0</v>
      </c>
      <c r="BK94" s="82">
        <v>140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40"/>
        <v>0</v>
      </c>
      <c r="AI95" s="49">
        <f t="shared" si="41"/>
        <v>0</v>
      </c>
      <c r="BF95" s="82"/>
      <c r="BG95" s="82">
        <v>61</v>
      </c>
      <c r="BH95" s="82">
        <v>0</v>
      </c>
      <c r="BI95" s="82">
        <v>137.80000000000001</v>
      </c>
      <c r="BJ95" s="82">
        <v>0</v>
      </c>
      <c r="BK95" s="82">
        <v>143</v>
      </c>
      <c r="BL95" s="82">
        <v>49.3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40"/>
        <v>0</v>
      </c>
      <c r="AI96" s="49">
        <f t="shared" si="41"/>
        <v>0</v>
      </c>
      <c r="BF96" s="82"/>
      <c r="BG96" s="82">
        <v>66.400000000000006</v>
      </c>
      <c r="BH96" s="82">
        <v>0</v>
      </c>
      <c r="BI96" s="82">
        <v>135</v>
      </c>
      <c r="BJ96" s="82">
        <v>0</v>
      </c>
      <c r="BK96" s="82">
        <v>142</v>
      </c>
      <c r="BL96" s="82">
        <v>0</v>
      </c>
    </row>
    <row r="97" spans="1:64" ht="15.75" thickBot="1" x14ac:dyDescent="0.3">
      <c r="A97" s="87" t="s">
        <v>123</v>
      </c>
      <c r="B97" s="108">
        <f t="shared" ref="B97:C97" si="45">B58+B62+B80+B76+B92+B96</f>
        <v>1554.2399999999998</v>
      </c>
      <c r="C97" s="108">
        <f t="shared" si="45"/>
        <v>1914.6399999999999</v>
      </c>
      <c r="D97" s="108">
        <f t="shared" ref="D97" si="46">D58+D62+D80+D76+D92+D96</f>
        <v>1914.6399999999999</v>
      </c>
      <c r="E97" s="108">
        <f t="shared" ref="E97:AG97" si="47">E58+E62+E80+E76+E92+E96</f>
        <v>1883.2399999999998</v>
      </c>
      <c r="F97" s="108">
        <f t="shared" si="47"/>
        <v>1838.5699999999997</v>
      </c>
      <c r="G97" s="108">
        <f t="shared" si="47"/>
        <v>1852.7699999999998</v>
      </c>
      <c r="H97" s="108">
        <f t="shared" si="47"/>
        <v>1872.5699999999997</v>
      </c>
      <c r="I97" s="108">
        <f t="shared" si="47"/>
        <v>1895.9399999999998</v>
      </c>
      <c r="J97" s="108">
        <f t="shared" si="47"/>
        <v>1913.8399999999997</v>
      </c>
      <c r="K97" s="108">
        <f t="shared" si="47"/>
        <v>2019.54</v>
      </c>
      <c r="L97" s="108">
        <f t="shared" si="47"/>
        <v>2065.54</v>
      </c>
      <c r="M97" s="108">
        <f t="shared" si="47"/>
        <v>2084.14</v>
      </c>
      <c r="N97" s="108">
        <f t="shared" si="47"/>
        <v>1857.94</v>
      </c>
      <c r="O97" s="108">
        <f t="shared" si="47"/>
        <v>2000.64</v>
      </c>
      <c r="P97" s="108">
        <f t="shared" si="47"/>
        <v>1874.64</v>
      </c>
      <c r="Q97" s="108">
        <f t="shared" si="47"/>
        <v>1984.44</v>
      </c>
      <c r="R97" s="108">
        <f t="shared" si="47"/>
        <v>1927.3400000000001</v>
      </c>
      <c r="S97" s="108">
        <f t="shared" si="47"/>
        <v>253.54</v>
      </c>
      <c r="T97" s="108">
        <f t="shared" si="47"/>
        <v>253.54</v>
      </c>
      <c r="U97" s="108">
        <f t="shared" si="47"/>
        <v>253.54</v>
      </c>
      <c r="V97" s="108">
        <f t="shared" si="47"/>
        <v>253.54</v>
      </c>
      <c r="W97" s="108">
        <f t="shared" si="47"/>
        <v>253.54</v>
      </c>
      <c r="X97" s="108">
        <f t="shared" si="47"/>
        <v>253.54</v>
      </c>
      <c r="Y97" s="108">
        <f t="shared" si="47"/>
        <v>253.5</v>
      </c>
      <c r="Z97" s="108">
        <f t="shared" si="47"/>
        <v>255.5</v>
      </c>
      <c r="AA97" s="108">
        <f t="shared" si="47"/>
        <v>253.54</v>
      </c>
      <c r="AB97" s="108">
        <f t="shared" si="47"/>
        <v>253.54</v>
      </c>
      <c r="AC97" s="108">
        <f t="shared" si="47"/>
        <v>253.54</v>
      </c>
      <c r="AD97" s="108">
        <f t="shared" si="47"/>
        <v>253.54</v>
      </c>
      <c r="AE97" s="108">
        <f t="shared" si="47"/>
        <v>253.54</v>
      </c>
      <c r="AF97" s="108">
        <f t="shared" si="47"/>
        <v>253.54</v>
      </c>
      <c r="AG97" s="72">
        <f t="shared" si="47"/>
        <v>2231.81</v>
      </c>
      <c r="AH97" s="48">
        <f t="shared" si="40"/>
        <v>2084.14</v>
      </c>
      <c r="AI97" s="49">
        <f t="shared" si="41"/>
        <v>253.5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109" t="s">
        <v>124</v>
      </c>
      <c r="B98" s="110">
        <v>100</v>
      </c>
      <c r="C98" s="110">
        <v>100</v>
      </c>
      <c r="D98" s="110">
        <v>100</v>
      </c>
      <c r="E98" s="110">
        <v>100</v>
      </c>
      <c r="F98" s="110">
        <v>100</v>
      </c>
      <c r="G98" s="110">
        <v>100</v>
      </c>
      <c r="H98" s="110">
        <v>100</v>
      </c>
      <c r="I98" s="110">
        <v>100</v>
      </c>
      <c r="J98" s="110">
        <v>50</v>
      </c>
      <c r="K98" s="110">
        <v>0</v>
      </c>
      <c r="L98" s="110">
        <v>0</v>
      </c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01"/>
      <c r="AH98" s="48">
        <f t="shared" si="40"/>
        <v>100</v>
      </c>
      <c r="AI98" s="49">
        <f t="shared" si="41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125</v>
      </c>
      <c r="B99" s="108">
        <f t="shared" ref="B99:C99" si="48">B97+B98</f>
        <v>1654.2399999999998</v>
      </c>
      <c r="C99" s="108">
        <f t="shared" si="48"/>
        <v>2014.6399999999999</v>
      </c>
      <c r="D99" s="108">
        <f t="shared" ref="D99" si="49">D97+D98</f>
        <v>2014.6399999999999</v>
      </c>
      <c r="E99" s="108">
        <f t="shared" ref="E99:AF99" si="50">E97+E98</f>
        <v>1983.2399999999998</v>
      </c>
      <c r="F99" s="108">
        <f t="shared" si="50"/>
        <v>1938.5699999999997</v>
      </c>
      <c r="G99" s="108">
        <f t="shared" si="50"/>
        <v>1952.7699999999998</v>
      </c>
      <c r="H99" s="108">
        <f t="shared" si="50"/>
        <v>1972.5699999999997</v>
      </c>
      <c r="I99" s="108">
        <f t="shared" si="50"/>
        <v>1995.9399999999998</v>
      </c>
      <c r="J99" s="108">
        <f t="shared" si="50"/>
        <v>1963.8399999999997</v>
      </c>
      <c r="K99" s="108">
        <f t="shared" si="50"/>
        <v>2019.54</v>
      </c>
      <c r="L99" s="108">
        <f t="shared" si="50"/>
        <v>2065.54</v>
      </c>
      <c r="M99" s="108">
        <f t="shared" si="50"/>
        <v>2084.14</v>
      </c>
      <c r="N99" s="108">
        <f t="shared" si="50"/>
        <v>1857.94</v>
      </c>
      <c r="O99" s="108">
        <f t="shared" si="50"/>
        <v>2000.64</v>
      </c>
      <c r="P99" s="108">
        <f t="shared" si="50"/>
        <v>1874.64</v>
      </c>
      <c r="Q99" s="108">
        <f t="shared" si="50"/>
        <v>1984.44</v>
      </c>
      <c r="R99" s="108">
        <f t="shared" si="50"/>
        <v>1927.3400000000001</v>
      </c>
      <c r="S99" s="108">
        <f t="shared" si="50"/>
        <v>253.54</v>
      </c>
      <c r="T99" s="108">
        <f t="shared" si="50"/>
        <v>253.54</v>
      </c>
      <c r="U99" s="108">
        <f t="shared" si="50"/>
        <v>253.54</v>
      </c>
      <c r="V99" s="108">
        <f t="shared" si="50"/>
        <v>253.54</v>
      </c>
      <c r="W99" s="108">
        <f t="shared" si="50"/>
        <v>253.54</v>
      </c>
      <c r="X99" s="108">
        <f t="shared" si="50"/>
        <v>253.54</v>
      </c>
      <c r="Y99" s="108">
        <f t="shared" si="50"/>
        <v>253.5</v>
      </c>
      <c r="Z99" s="108">
        <f t="shared" si="50"/>
        <v>255.5</v>
      </c>
      <c r="AA99" s="108">
        <f t="shared" si="50"/>
        <v>253.54</v>
      </c>
      <c r="AB99" s="108">
        <f t="shared" si="50"/>
        <v>253.54</v>
      </c>
      <c r="AC99" s="108">
        <f t="shared" si="50"/>
        <v>253.54</v>
      </c>
      <c r="AD99" s="108">
        <f t="shared" si="50"/>
        <v>253.54</v>
      </c>
      <c r="AE99" s="108">
        <f t="shared" si="50"/>
        <v>253.54</v>
      </c>
      <c r="AF99" s="108">
        <f t="shared" si="50"/>
        <v>253.54</v>
      </c>
      <c r="AG99" s="101">
        <f>AG96+AG92+AG80+AG76+AG58+AG98</f>
        <v>1693.71</v>
      </c>
      <c r="AH99" s="48">
        <f t="shared" si="40"/>
        <v>2084.14</v>
      </c>
      <c r="AI99" s="49">
        <f t="shared" si="41"/>
        <v>253.5</v>
      </c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126</v>
      </c>
      <c r="B100" s="108">
        <f t="shared" ref="B100:C100" si="51">B99-(B107)</f>
        <v>1654.2399999999998</v>
      </c>
      <c r="C100" s="108">
        <f t="shared" si="51"/>
        <v>1605.6399999999999</v>
      </c>
      <c r="D100" s="108">
        <f t="shared" ref="D100" si="52">D99-(D107)</f>
        <v>1604.6399999999999</v>
      </c>
      <c r="E100" s="108">
        <f t="shared" ref="E100:AF100" si="53">E99-(E107)</f>
        <v>1578.6399999999999</v>
      </c>
      <c r="F100" s="108">
        <f t="shared" si="53"/>
        <v>1528.9699999999998</v>
      </c>
      <c r="G100" s="108">
        <f t="shared" si="53"/>
        <v>1526.4699999999998</v>
      </c>
      <c r="H100" s="108">
        <f t="shared" si="53"/>
        <v>1535.3699999999997</v>
      </c>
      <c r="I100" s="108">
        <f t="shared" si="53"/>
        <v>1576.2399999999998</v>
      </c>
      <c r="J100" s="108">
        <f t="shared" si="53"/>
        <v>1668.8399999999997</v>
      </c>
      <c r="K100" s="108">
        <f t="shared" si="53"/>
        <v>1707.54</v>
      </c>
      <c r="L100" s="108">
        <f t="shared" si="53"/>
        <v>1763.54</v>
      </c>
      <c r="M100" s="108">
        <f t="shared" si="53"/>
        <v>1791.9399999999998</v>
      </c>
      <c r="N100" s="108">
        <f t="shared" si="53"/>
        <v>1789.94</v>
      </c>
      <c r="O100" s="108">
        <f t="shared" si="53"/>
        <v>1933.94</v>
      </c>
      <c r="P100" s="108">
        <f t="shared" si="53"/>
        <v>1874.64</v>
      </c>
      <c r="Q100" s="108">
        <f t="shared" si="53"/>
        <v>1984.44</v>
      </c>
      <c r="R100" s="108">
        <f t="shared" si="53"/>
        <v>1927.3400000000001</v>
      </c>
      <c r="S100" s="108">
        <f t="shared" si="53"/>
        <v>253.54</v>
      </c>
      <c r="T100" s="108">
        <f t="shared" si="53"/>
        <v>253.54</v>
      </c>
      <c r="U100" s="108">
        <f t="shared" si="53"/>
        <v>253.54</v>
      </c>
      <c r="V100" s="108">
        <f t="shared" si="53"/>
        <v>253.54</v>
      </c>
      <c r="W100" s="108">
        <f t="shared" si="53"/>
        <v>253.54</v>
      </c>
      <c r="X100" s="108">
        <f t="shared" si="53"/>
        <v>253.54</v>
      </c>
      <c r="Y100" s="108">
        <f t="shared" si="53"/>
        <v>253.5</v>
      </c>
      <c r="Z100" s="108">
        <f t="shared" si="53"/>
        <v>255.5</v>
      </c>
      <c r="AA100" s="108">
        <f t="shared" si="53"/>
        <v>253.54</v>
      </c>
      <c r="AB100" s="108">
        <f t="shared" si="53"/>
        <v>253.54</v>
      </c>
      <c r="AC100" s="108">
        <f t="shared" si="53"/>
        <v>253.54</v>
      </c>
      <c r="AD100" s="108">
        <f t="shared" si="53"/>
        <v>253.54</v>
      </c>
      <c r="AE100" s="108">
        <f t="shared" si="53"/>
        <v>253.54</v>
      </c>
      <c r="AF100" s="108">
        <f t="shared" si="53"/>
        <v>253.54</v>
      </c>
      <c r="AG100" s="101"/>
      <c r="AH100" s="48">
        <f t="shared" si="40"/>
        <v>1984.44</v>
      </c>
      <c r="AI100" s="49">
        <f t="shared" si="41"/>
        <v>253.5</v>
      </c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45" t="s">
        <v>107</v>
      </c>
      <c r="B101" s="89">
        <f t="shared" ref="B101:C101" si="54">IF(B84&lt;0,B84*-1,0)</f>
        <v>0</v>
      </c>
      <c r="C101" s="89">
        <f t="shared" si="54"/>
        <v>0</v>
      </c>
      <c r="D101" s="89">
        <f t="shared" ref="D101" si="55">IF(D84&lt;0,D84*-1,0)</f>
        <v>0</v>
      </c>
      <c r="E101" s="89">
        <f t="shared" ref="E101:AF101" si="56">IF(E84&lt;0,E84*-1,0)</f>
        <v>0</v>
      </c>
      <c r="F101" s="89">
        <f t="shared" si="56"/>
        <v>0</v>
      </c>
      <c r="G101" s="89">
        <f t="shared" si="56"/>
        <v>0</v>
      </c>
      <c r="H101" s="89">
        <f t="shared" si="56"/>
        <v>0</v>
      </c>
      <c r="I101" s="89">
        <f t="shared" si="56"/>
        <v>0</v>
      </c>
      <c r="J101" s="89">
        <f t="shared" si="56"/>
        <v>0</v>
      </c>
      <c r="K101" s="89">
        <f t="shared" si="56"/>
        <v>0</v>
      </c>
      <c r="L101" s="89">
        <f t="shared" si="56"/>
        <v>0</v>
      </c>
      <c r="M101" s="89">
        <f t="shared" si="56"/>
        <v>0</v>
      </c>
      <c r="N101" s="89">
        <f t="shared" si="56"/>
        <v>0</v>
      </c>
      <c r="O101" s="89">
        <f t="shared" si="56"/>
        <v>0</v>
      </c>
      <c r="P101" s="89">
        <f t="shared" si="56"/>
        <v>0</v>
      </c>
      <c r="Q101" s="89">
        <f t="shared" si="56"/>
        <v>0</v>
      </c>
      <c r="R101" s="89">
        <f t="shared" si="56"/>
        <v>0</v>
      </c>
      <c r="S101" s="89">
        <f t="shared" si="56"/>
        <v>0</v>
      </c>
      <c r="T101" s="89">
        <f t="shared" si="56"/>
        <v>0</v>
      </c>
      <c r="U101" s="89">
        <f t="shared" si="56"/>
        <v>0</v>
      </c>
      <c r="V101" s="89">
        <f t="shared" si="56"/>
        <v>0</v>
      </c>
      <c r="W101" s="89">
        <f t="shared" si="56"/>
        <v>0</v>
      </c>
      <c r="X101" s="89">
        <f t="shared" si="56"/>
        <v>0</v>
      </c>
      <c r="Y101" s="89">
        <f t="shared" si="56"/>
        <v>0</v>
      </c>
      <c r="Z101" s="89">
        <f t="shared" si="56"/>
        <v>0</v>
      </c>
      <c r="AA101" s="89">
        <f t="shared" si="56"/>
        <v>0</v>
      </c>
      <c r="AB101" s="89">
        <f t="shared" si="56"/>
        <v>0</v>
      </c>
      <c r="AC101" s="89">
        <f t="shared" si="56"/>
        <v>0</v>
      </c>
      <c r="AD101" s="89">
        <f t="shared" si="56"/>
        <v>0</v>
      </c>
      <c r="AE101" s="89">
        <f t="shared" si="56"/>
        <v>0</v>
      </c>
      <c r="AF101" s="89">
        <f t="shared" si="56"/>
        <v>0</v>
      </c>
      <c r="AG101" s="61"/>
      <c r="AH101" s="48">
        <f t="shared" si="40"/>
        <v>0</v>
      </c>
      <c r="AI101" s="49">
        <f t="shared" si="41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x14ac:dyDescent="0.25">
      <c r="A102" s="65" t="s">
        <v>105</v>
      </c>
      <c r="B102" s="89">
        <f t="shared" ref="B102:C102" si="57">IF(B82&lt;0,B82*-1,0)</f>
        <v>0</v>
      </c>
      <c r="C102" s="89">
        <f t="shared" si="57"/>
        <v>0</v>
      </c>
      <c r="D102" s="89">
        <f t="shared" ref="D102" si="58">IF(D82&lt;0,D82*-1,0)</f>
        <v>0</v>
      </c>
      <c r="E102" s="89">
        <f t="shared" ref="E102:AF102" si="59">IF(E82&lt;0,E82*-1,0)</f>
        <v>0</v>
      </c>
      <c r="F102" s="89">
        <f t="shared" si="59"/>
        <v>0</v>
      </c>
      <c r="G102" s="89">
        <f t="shared" si="59"/>
        <v>0</v>
      </c>
      <c r="H102" s="89">
        <f t="shared" si="59"/>
        <v>0</v>
      </c>
      <c r="I102" s="89">
        <f t="shared" si="59"/>
        <v>0</v>
      </c>
      <c r="J102" s="89">
        <f t="shared" si="59"/>
        <v>0</v>
      </c>
      <c r="K102" s="89">
        <f t="shared" si="59"/>
        <v>0</v>
      </c>
      <c r="L102" s="89">
        <f t="shared" si="59"/>
        <v>0</v>
      </c>
      <c r="M102" s="89">
        <f t="shared" si="59"/>
        <v>0</v>
      </c>
      <c r="N102" s="89">
        <f t="shared" si="59"/>
        <v>0</v>
      </c>
      <c r="O102" s="89">
        <f t="shared" si="59"/>
        <v>0</v>
      </c>
      <c r="P102" s="89">
        <f t="shared" si="59"/>
        <v>0</v>
      </c>
      <c r="Q102" s="89">
        <f t="shared" si="59"/>
        <v>0</v>
      </c>
      <c r="R102" s="89">
        <f t="shared" si="59"/>
        <v>0</v>
      </c>
      <c r="S102" s="89">
        <f t="shared" si="59"/>
        <v>0</v>
      </c>
      <c r="T102" s="89">
        <f t="shared" si="59"/>
        <v>0</v>
      </c>
      <c r="U102" s="89">
        <f t="shared" si="59"/>
        <v>0</v>
      </c>
      <c r="V102" s="89">
        <f t="shared" si="59"/>
        <v>0</v>
      </c>
      <c r="W102" s="89">
        <f t="shared" si="59"/>
        <v>0</v>
      </c>
      <c r="X102" s="89">
        <f t="shared" si="59"/>
        <v>0</v>
      </c>
      <c r="Y102" s="89">
        <f t="shared" si="59"/>
        <v>0</v>
      </c>
      <c r="Z102" s="89">
        <f t="shared" si="59"/>
        <v>0</v>
      </c>
      <c r="AA102" s="89">
        <f t="shared" si="59"/>
        <v>0</v>
      </c>
      <c r="AB102" s="89">
        <f t="shared" si="59"/>
        <v>0</v>
      </c>
      <c r="AC102" s="89">
        <f t="shared" si="59"/>
        <v>0</v>
      </c>
      <c r="AD102" s="89">
        <f t="shared" si="59"/>
        <v>0</v>
      </c>
      <c r="AE102" s="89">
        <f t="shared" si="59"/>
        <v>0</v>
      </c>
      <c r="AF102" s="89">
        <f t="shared" si="59"/>
        <v>0</v>
      </c>
      <c r="AG102" s="66"/>
      <c r="AH102" s="48">
        <f t="shared" si="40"/>
        <v>0</v>
      </c>
      <c r="AI102" s="49">
        <f t="shared" si="41"/>
        <v>0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97" t="s">
        <v>127</v>
      </c>
      <c r="B103" s="89">
        <f t="shared" ref="B103:C103" si="60">IF(B85&lt;0,B85*-1,0)</f>
        <v>0</v>
      </c>
      <c r="C103" s="89">
        <f t="shared" si="60"/>
        <v>0</v>
      </c>
      <c r="D103" s="89">
        <f t="shared" ref="D103" si="61">IF(D85&lt;0,D85*-1,0)</f>
        <v>0</v>
      </c>
      <c r="E103" s="89">
        <f t="shared" ref="E103:AF103" si="62">IF(E85&lt;0,E85*-1,0)</f>
        <v>0</v>
      </c>
      <c r="F103" s="89">
        <f t="shared" si="62"/>
        <v>0</v>
      </c>
      <c r="G103" s="89">
        <f t="shared" si="62"/>
        <v>0</v>
      </c>
      <c r="H103" s="89">
        <f t="shared" si="62"/>
        <v>0</v>
      </c>
      <c r="I103" s="89">
        <f t="shared" si="62"/>
        <v>0</v>
      </c>
      <c r="J103" s="89">
        <f t="shared" si="62"/>
        <v>0</v>
      </c>
      <c r="K103" s="89">
        <f t="shared" si="62"/>
        <v>0</v>
      </c>
      <c r="L103" s="89">
        <f t="shared" si="62"/>
        <v>0</v>
      </c>
      <c r="M103" s="89">
        <f t="shared" si="62"/>
        <v>0</v>
      </c>
      <c r="N103" s="89">
        <f t="shared" si="62"/>
        <v>0</v>
      </c>
      <c r="O103" s="89">
        <f t="shared" si="62"/>
        <v>0</v>
      </c>
      <c r="P103" s="89">
        <f t="shared" si="62"/>
        <v>0</v>
      </c>
      <c r="Q103" s="89">
        <f t="shared" si="62"/>
        <v>0</v>
      </c>
      <c r="R103" s="89">
        <f t="shared" si="62"/>
        <v>0</v>
      </c>
      <c r="S103" s="89">
        <f t="shared" si="62"/>
        <v>0</v>
      </c>
      <c r="T103" s="89">
        <f t="shared" si="62"/>
        <v>0</v>
      </c>
      <c r="U103" s="89">
        <f t="shared" si="62"/>
        <v>0</v>
      </c>
      <c r="V103" s="89">
        <f t="shared" si="62"/>
        <v>0</v>
      </c>
      <c r="W103" s="89">
        <f t="shared" si="62"/>
        <v>0</v>
      </c>
      <c r="X103" s="89">
        <f t="shared" si="62"/>
        <v>0</v>
      </c>
      <c r="Y103" s="89">
        <f t="shared" si="62"/>
        <v>0</v>
      </c>
      <c r="Z103" s="89">
        <f t="shared" si="62"/>
        <v>0</v>
      </c>
      <c r="AA103" s="89">
        <f t="shared" si="62"/>
        <v>0</v>
      </c>
      <c r="AB103" s="89">
        <f t="shared" si="62"/>
        <v>0</v>
      </c>
      <c r="AC103" s="89">
        <f t="shared" si="62"/>
        <v>0</v>
      </c>
      <c r="AD103" s="89">
        <f t="shared" si="62"/>
        <v>0</v>
      </c>
      <c r="AE103" s="89">
        <f t="shared" si="62"/>
        <v>0</v>
      </c>
      <c r="AF103" s="89">
        <f t="shared" si="62"/>
        <v>0</v>
      </c>
      <c r="AG103" s="111"/>
      <c r="AH103" s="48">
        <f t="shared" si="40"/>
        <v>0</v>
      </c>
      <c r="AI103" s="49">
        <f t="shared" si="41"/>
        <v>0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97" t="s">
        <v>128</v>
      </c>
      <c r="B104" s="89">
        <f t="shared" ref="B104:C104" si="63">IF(B83&lt;0,B83*-1,0)</f>
        <v>0</v>
      </c>
      <c r="C104" s="89">
        <f t="shared" si="63"/>
        <v>408</v>
      </c>
      <c r="D104" s="89">
        <f t="shared" ref="D104" si="64">IF(D83&lt;0,D83*-1,0)</f>
        <v>408</v>
      </c>
      <c r="E104" s="89">
        <f t="shared" ref="E104:AF104" si="65">IF(E83&lt;0,E83*-1,0)</f>
        <v>389</v>
      </c>
      <c r="F104" s="89">
        <f t="shared" si="65"/>
        <v>395</v>
      </c>
      <c r="G104" s="89">
        <f t="shared" si="65"/>
        <v>411</v>
      </c>
      <c r="H104" s="89">
        <f t="shared" si="65"/>
        <v>421.1</v>
      </c>
      <c r="I104" s="89">
        <f t="shared" si="65"/>
        <v>402</v>
      </c>
      <c r="J104" s="89">
        <f t="shared" si="65"/>
        <v>295</v>
      </c>
      <c r="K104" s="89">
        <f t="shared" si="65"/>
        <v>312</v>
      </c>
      <c r="L104" s="89">
        <f t="shared" si="65"/>
        <v>302</v>
      </c>
      <c r="M104" s="89">
        <f t="shared" si="65"/>
        <v>292.2</v>
      </c>
      <c r="N104" s="89">
        <f t="shared" si="65"/>
        <v>68</v>
      </c>
      <c r="O104" s="89">
        <f t="shared" si="65"/>
        <v>66.7</v>
      </c>
      <c r="P104" s="89">
        <f t="shared" si="65"/>
        <v>0</v>
      </c>
      <c r="Q104" s="89">
        <f t="shared" si="65"/>
        <v>0</v>
      </c>
      <c r="R104" s="89">
        <f t="shared" si="65"/>
        <v>0</v>
      </c>
      <c r="S104" s="89">
        <f t="shared" si="65"/>
        <v>0</v>
      </c>
      <c r="T104" s="89">
        <f t="shared" si="65"/>
        <v>0</v>
      </c>
      <c r="U104" s="89">
        <f t="shared" si="65"/>
        <v>0</v>
      </c>
      <c r="V104" s="89">
        <f t="shared" si="65"/>
        <v>0</v>
      </c>
      <c r="W104" s="89">
        <f t="shared" si="65"/>
        <v>0</v>
      </c>
      <c r="X104" s="89">
        <f t="shared" si="65"/>
        <v>0</v>
      </c>
      <c r="Y104" s="89">
        <f t="shared" si="65"/>
        <v>0</v>
      </c>
      <c r="Z104" s="89">
        <f t="shared" si="65"/>
        <v>0</v>
      </c>
      <c r="AA104" s="89">
        <f t="shared" si="65"/>
        <v>0</v>
      </c>
      <c r="AB104" s="89">
        <f t="shared" si="65"/>
        <v>0</v>
      </c>
      <c r="AC104" s="89">
        <f t="shared" si="65"/>
        <v>0</v>
      </c>
      <c r="AD104" s="89">
        <f t="shared" si="65"/>
        <v>0</v>
      </c>
      <c r="AE104" s="89">
        <f t="shared" si="65"/>
        <v>0</v>
      </c>
      <c r="AF104" s="89">
        <f t="shared" si="65"/>
        <v>0</v>
      </c>
      <c r="AG104" s="111"/>
      <c r="AH104" s="48">
        <f t="shared" si="40"/>
        <v>421.1</v>
      </c>
      <c r="AI104" s="49">
        <f t="shared" si="41"/>
        <v>0</v>
      </c>
      <c r="BF104" s="81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C105" si="66">IF(B81&lt;0,B81*-1,0)</f>
        <v>0</v>
      </c>
      <c r="C105" s="89">
        <f t="shared" si="66"/>
        <v>0</v>
      </c>
      <c r="D105" s="89">
        <f t="shared" ref="D105" si="67">IF(D81&lt;0,D81*-1,0)</f>
        <v>0</v>
      </c>
      <c r="E105" s="89">
        <f t="shared" ref="E105:AF105" si="68">IF(E81&lt;0,E81*-1,0)</f>
        <v>15.6</v>
      </c>
      <c r="F105" s="89">
        <f t="shared" si="68"/>
        <v>14.6</v>
      </c>
      <c r="G105" s="89">
        <f t="shared" si="68"/>
        <v>15.3</v>
      </c>
      <c r="H105" s="89">
        <f t="shared" si="68"/>
        <v>16.100000000000001</v>
      </c>
      <c r="I105" s="89">
        <f t="shared" si="68"/>
        <v>17.7</v>
      </c>
      <c r="J105" s="89">
        <f t="shared" si="68"/>
        <v>0</v>
      </c>
      <c r="K105" s="89">
        <f t="shared" si="68"/>
        <v>0</v>
      </c>
      <c r="L105" s="89">
        <f t="shared" si="68"/>
        <v>0</v>
      </c>
      <c r="M105" s="89">
        <f t="shared" si="68"/>
        <v>0</v>
      </c>
      <c r="N105" s="89">
        <f t="shared" si="68"/>
        <v>0</v>
      </c>
      <c r="O105" s="89">
        <f t="shared" si="68"/>
        <v>0</v>
      </c>
      <c r="P105" s="89">
        <f t="shared" si="68"/>
        <v>0</v>
      </c>
      <c r="Q105" s="89">
        <f t="shared" si="68"/>
        <v>0</v>
      </c>
      <c r="R105" s="89">
        <f t="shared" si="68"/>
        <v>0</v>
      </c>
      <c r="S105" s="89">
        <f t="shared" si="68"/>
        <v>0</v>
      </c>
      <c r="T105" s="89">
        <f t="shared" si="68"/>
        <v>0</v>
      </c>
      <c r="U105" s="89">
        <f t="shared" si="68"/>
        <v>0</v>
      </c>
      <c r="V105" s="89">
        <f t="shared" si="68"/>
        <v>0</v>
      </c>
      <c r="W105" s="89">
        <f t="shared" si="68"/>
        <v>0</v>
      </c>
      <c r="X105" s="89">
        <f t="shared" si="68"/>
        <v>0</v>
      </c>
      <c r="Y105" s="89">
        <f t="shared" si="68"/>
        <v>0</v>
      </c>
      <c r="Z105" s="89">
        <f t="shared" si="68"/>
        <v>0</v>
      </c>
      <c r="AA105" s="89">
        <f t="shared" si="68"/>
        <v>0</v>
      </c>
      <c r="AB105" s="89">
        <f t="shared" si="68"/>
        <v>0</v>
      </c>
      <c r="AC105" s="89">
        <f t="shared" si="68"/>
        <v>0</v>
      </c>
      <c r="AD105" s="89">
        <f t="shared" si="68"/>
        <v>0</v>
      </c>
      <c r="AE105" s="89">
        <f t="shared" si="68"/>
        <v>0</v>
      </c>
      <c r="AF105" s="89">
        <f t="shared" si="68"/>
        <v>0</v>
      </c>
      <c r="AG105" s="111"/>
      <c r="AH105" s="48">
        <f t="shared" si="40"/>
        <v>17.7</v>
      </c>
      <c r="AI105" s="49">
        <f t="shared" si="41"/>
        <v>0</v>
      </c>
      <c r="BF105" s="8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1</v>
      </c>
      <c r="D106" s="107">
        <v>2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40"/>
        <v>2</v>
      </c>
      <c r="AI106" s="49">
        <f t="shared" si="41"/>
        <v>0</v>
      </c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C107" si="69">SUM(B101:B106)</f>
        <v>0</v>
      </c>
      <c r="C107" s="71">
        <f t="shared" si="69"/>
        <v>409</v>
      </c>
      <c r="D107" s="71">
        <f t="shared" ref="D107" si="70">SUM(D101:D106)</f>
        <v>410</v>
      </c>
      <c r="E107" s="71">
        <f t="shared" ref="E107:AF107" si="71">SUM(E101:E106)</f>
        <v>404.6</v>
      </c>
      <c r="F107" s="71">
        <f t="shared" si="71"/>
        <v>409.6</v>
      </c>
      <c r="G107" s="71">
        <f t="shared" si="71"/>
        <v>426.3</v>
      </c>
      <c r="H107" s="71">
        <f t="shared" si="71"/>
        <v>437.20000000000005</v>
      </c>
      <c r="I107" s="71">
        <f t="shared" si="71"/>
        <v>419.7</v>
      </c>
      <c r="J107" s="71">
        <f t="shared" si="71"/>
        <v>295</v>
      </c>
      <c r="K107" s="71">
        <f t="shared" si="71"/>
        <v>312</v>
      </c>
      <c r="L107" s="71">
        <f t="shared" si="71"/>
        <v>302</v>
      </c>
      <c r="M107" s="71">
        <f t="shared" si="71"/>
        <v>292.2</v>
      </c>
      <c r="N107" s="71">
        <f t="shared" si="71"/>
        <v>68</v>
      </c>
      <c r="O107" s="71">
        <f t="shared" si="71"/>
        <v>66.7</v>
      </c>
      <c r="P107" s="71">
        <f t="shared" si="71"/>
        <v>0</v>
      </c>
      <c r="Q107" s="71">
        <f t="shared" si="71"/>
        <v>0</v>
      </c>
      <c r="R107" s="71">
        <f t="shared" si="71"/>
        <v>0</v>
      </c>
      <c r="S107" s="71">
        <f t="shared" si="71"/>
        <v>0</v>
      </c>
      <c r="T107" s="71">
        <f t="shared" si="71"/>
        <v>0</v>
      </c>
      <c r="U107" s="71">
        <f t="shared" si="71"/>
        <v>0</v>
      </c>
      <c r="V107" s="71">
        <f t="shared" si="71"/>
        <v>0</v>
      </c>
      <c r="W107" s="71">
        <f t="shared" si="71"/>
        <v>0</v>
      </c>
      <c r="X107" s="71">
        <f t="shared" si="71"/>
        <v>0</v>
      </c>
      <c r="Y107" s="71">
        <f t="shared" si="71"/>
        <v>0</v>
      </c>
      <c r="Z107" s="71">
        <f t="shared" si="71"/>
        <v>0</v>
      </c>
      <c r="AA107" s="71">
        <f t="shared" si="71"/>
        <v>0</v>
      </c>
      <c r="AB107" s="71">
        <f t="shared" si="71"/>
        <v>0</v>
      </c>
      <c r="AC107" s="71">
        <f t="shared" si="71"/>
        <v>0</v>
      </c>
      <c r="AD107" s="71">
        <f t="shared" si="71"/>
        <v>0</v>
      </c>
      <c r="AE107" s="71">
        <f t="shared" si="71"/>
        <v>0</v>
      </c>
      <c r="AF107" s="71">
        <f t="shared" si="71"/>
        <v>0</v>
      </c>
      <c r="AG107" s="101"/>
      <c r="AH107" s="48">
        <f t="shared" si="40"/>
        <v>437.20000000000005</v>
      </c>
      <c r="AI107" s="49">
        <f t="shared" si="41"/>
        <v>0</v>
      </c>
      <c r="AK107" s="51"/>
      <c r="BG107" s="82">
        <v>11.3</v>
      </c>
      <c r="BH107" s="82">
        <v>0</v>
      </c>
      <c r="BI107" s="82">
        <v>4.8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 t="shared" ref="B108:C108" si="72">B92-B107</f>
        <v>16.100000000000001</v>
      </c>
      <c r="C108" s="71">
        <f t="shared" si="72"/>
        <v>-378.1</v>
      </c>
      <c r="D108" s="71">
        <f t="shared" ref="D108" si="73">D92-D107</f>
        <v>-379.1</v>
      </c>
      <c r="E108" s="71">
        <f t="shared" ref="E108:AF108" si="74">E92-E107</f>
        <v>-404.6</v>
      </c>
      <c r="F108" s="71">
        <f t="shared" si="74"/>
        <v>-409.6</v>
      </c>
      <c r="G108" s="71">
        <f t="shared" si="74"/>
        <v>-426.3</v>
      </c>
      <c r="H108" s="71">
        <f t="shared" si="74"/>
        <v>-437.20000000000005</v>
      </c>
      <c r="I108" s="71">
        <f t="shared" si="74"/>
        <v>-419.7</v>
      </c>
      <c r="J108" s="71">
        <f t="shared" si="74"/>
        <v>-189.9</v>
      </c>
      <c r="K108" s="71">
        <f t="shared" si="74"/>
        <v>-172.89999999999998</v>
      </c>
      <c r="L108" s="71">
        <f t="shared" si="74"/>
        <v>-153</v>
      </c>
      <c r="M108" s="71">
        <f t="shared" si="74"/>
        <v>-129.59999999999997</v>
      </c>
      <c r="N108" s="71">
        <f t="shared" si="74"/>
        <v>81.5</v>
      </c>
      <c r="O108" s="71">
        <f t="shared" si="74"/>
        <v>112.99999999999999</v>
      </c>
      <c r="P108" s="71">
        <f t="shared" si="74"/>
        <v>322.7</v>
      </c>
      <c r="Q108" s="71">
        <f t="shared" si="74"/>
        <v>391.1</v>
      </c>
      <c r="R108" s="71">
        <f t="shared" si="74"/>
        <v>343.4</v>
      </c>
      <c r="S108" s="71">
        <f t="shared" si="74"/>
        <v>0</v>
      </c>
      <c r="T108" s="71">
        <f t="shared" si="74"/>
        <v>0</v>
      </c>
      <c r="U108" s="71">
        <f t="shared" si="74"/>
        <v>0</v>
      </c>
      <c r="V108" s="71">
        <f t="shared" si="74"/>
        <v>0</v>
      </c>
      <c r="W108" s="71">
        <f t="shared" si="74"/>
        <v>0</v>
      </c>
      <c r="X108" s="71">
        <f t="shared" si="74"/>
        <v>0</v>
      </c>
      <c r="Y108" s="71">
        <f t="shared" si="74"/>
        <v>0</v>
      </c>
      <c r="Z108" s="71">
        <f t="shared" si="74"/>
        <v>0</v>
      </c>
      <c r="AA108" s="71">
        <f t="shared" si="74"/>
        <v>0</v>
      </c>
      <c r="AB108" s="71">
        <f t="shared" si="74"/>
        <v>0</v>
      </c>
      <c r="AC108" s="71">
        <f t="shared" si="74"/>
        <v>0</v>
      </c>
      <c r="AD108" s="71">
        <f t="shared" si="74"/>
        <v>0</v>
      </c>
      <c r="AE108" s="71">
        <f t="shared" si="74"/>
        <v>0</v>
      </c>
      <c r="AF108" s="71">
        <f t="shared" si="74"/>
        <v>0</v>
      </c>
      <c r="AG108" s="101"/>
      <c r="AH108" s="48">
        <f t="shared" si="40"/>
        <v>391.1</v>
      </c>
      <c r="AI108" s="49">
        <f t="shared" si="41"/>
        <v>-437.20000000000005</v>
      </c>
    </row>
    <row r="109" spans="1:64" x14ac:dyDescent="0.25">
      <c r="A109" s="113" t="s">
        <v>132</v>
      </c>
      <c r="B109" s="114">
        <v>50.02</v>
      </c>
      <c r="C109" s="114">
        <v>50.04</v>
      </c>
      <c r="D109" s="114">
        <v>50.04</v>
      </c>
      <c r="E109" s="114">
        <v>50.06</v>
      </c>
      <c r="F109" s="114">
        <v>50.029000000000003</v>
      </c>
      <c r="G109" s="114">
        <v>50</v>
      </c>
      <c r="H109" s="114">
        <v>49.945999999999998</v>
      </c>
      <c r="I109" s="114">
        <v>49.951999999999998</v>
      </c>
      <c r="J109" s="114">
        <v>50.006999999999998</v>
      </c>
      <c r="K109" s="114">
        <v>50.057000000000002</v>
      </c>
      <c r="L109" s="114">
        <v>50.073</v>
      </c>
      <c r="M109" s="114">
        <v>50.018999999999998</v>
      </c>
      <c r="N109" s="114">
        <v>50.048000000000002</v>
      </c>
      <c r="O109" s="114">
        <v>49.991</v>
      </c>
      <c r="P109" s="114">
        <v>49.968000000000004</v>
      </c>
      <c r="Q109" s="114">
        <v>50.009</v>
      </c>
      <c r="R109" s="114">
        <v>49.941000000000003</v>
      </c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5"/>
      <c r="AH109" s="48">
        <f t="shared" si="40"/>
        <v>50.073</v>
      </c>
      <c r="AI109" s="49">
        <f t="shared" si="41"/>
        <v>49.941000000000003</v>
      </c>
    </row>
    <row r="110" spans="1:64" x14ac:dyDescent="0.25">
      <c r="A110" s="116" t="s">
        <v>133</v>
      </c>
      <c r="B110" s="76">
        <v>125.3</v>
      </c>
      <c r="C110" s="76">
        <v>124.7</v>
      </c>
      <c r="D110" s="76">
        <v>124.7</v>
      </c>
      <c r="E110" s="76">
        <v>124.2</v>
      </c>
      <c r="F110" s="76">
        <v>125</v>
      </c>
      <c r="G110" s="76">
        <v>125.2</v>
      </c>
      <c r="H110" s="76">
        <v>126.4</v>
      </c>
      <c r="I110" s="76">
        <v>126.8</v>
      </c>
      <c r="J110" s="76">
        <v>128.30000000000001</v>
      </c>
      <c r="K110" s="76">
        <v>126.8</v>
      </c>
      <c r="L110" s="76">
        <v>126.6</v>
      </c>
      <c r="M110" s="76">
        <v>127.3</v>
      </c>
      <c r="N110" s="76">
        <v>124.5</v>
      </c>
      <c r="O110" s="76">
        <v>123.1</v>
      </c>
      <c r="P110" s="76">
        <v>124.6</v>
      </c>
      <c r="Q110" s="76">
        <v>124</v>
      </c>
      <c r="R110" s="76">
        <v>124.7</v>
      </c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117"/>
      <c r="AH110" s="48">
        <f t="shared" si="40"/>
        <v>128.30000000000001</v>
      </c>
      <c r="AI110" s="49">
        <f t="shared" si="41"/>
        <v>123.1</v>
      </c>
    </row>
    <row r="111" spans="1:64" x14ac:dyDescent="0.25">
      <c r="A111" s="116" t="s">
        <v>134</v>
      </c>
      <c r="B111" s="76">
        <v>129.9</v>
      </c>
      <c r="C111" s="76">
        <v>129.69999999999999</v>
      </c>
      <c r="D111" s="76">
        <v>129.69999999999999</v>
      </c>
      <c r="E111" s="76">
        <v>128.80000000000001</v>
      </c>
      <c r="F111" s="76">
        <v>129.30000000000001</v>
      </c>
      <c r="G111" s="76">
        <v>129.30000000000001</v>
      </c>
      <c r="H111" s="76">
        <v>129.5</v>
      </c>
      <c r="I111" s="76">
        <v>130</v>
      </c>
      <c r="J111" s="76">
        <v>131.19999999999999</v>
      </c>
      <c r="K111" s="76">
        <v>129.4</v>
      </c>
      <c r="L111" s="76">
        <v>129.19999999999999</v>
      </c>
      <c r="M111" s="76">
        <v>130.19999999999999</v>
      </c>
      <c r="N111" s="76">
        <v>127.1</v>
      </c>
      <c r="O111" s="76">
        <v>125.7</v>
      </c>
      <c r="P111" s="76">
        <v>127.3</v>
      </c>
      <c r="Q111" s="76">
        <v>127</v>
      </c>
      <c r="R111" s="76">
        <v>127.3</v>
      </c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117"/>
      <c r="AH111" s="48">
        <f t="shared" si="40"/>
        <v>131.19999999999999</v>
      </c>
      <c r="AI111" s="49">
        <f t="shared" si="41"/>
        <v>125.7</v>
      </c>
    </row>
    <row r="112" spans="1:64" x14ac:dyDescent="0.25">
      <c r="A112" s="116" t="s">
        <v>135</v>
      </c>
      <c r="B112" s="76">
        <v>130.4</v>
      </c>
      <c r="C112" s="76">
        <v>129.5</v>
      </c>
      <c r="D112" s="76">
        <v>129.5</v>
      </c>
      <c r="E112" s="76">
        <v>127.9</v>
      </c>
      <c r="F112" s="76">
        <v>130.4</v>
      </c>
      <c r="G112" s="76">
        <v>131.69999999999999</v>
      </c>
      <c r="H112" s="76">
        <v>131.30000000000001</v>
      </c>
      <c r="I112" s="76">
        <v>131.5</v>
      </c>
      <c r="J112" s="76">
        <v>129.1</v>
      </c>
      <c r="K112" s="76">
        <v>127.3</v>
      </c>
      <c r="L112" s="76">
        <v>126</v>
      </c>
      <c r="M112" s="76">
        <v>127.6</v>
      </c>
      <c r="N112" s="76">
        <v>125.1</v>
      </c>
      <c r="O112" s="76">
        <v>128.80000000000001</v>
      </c>
      <c r="P112" s="76">
        <v>127</v>
      </c>
      <c r="Q112" s="76">
        <v>126.1</v>
      </c>
      <c r="R112" s="76">
        <v>124.4</v>
      </c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117"/>
      <c r="AH112" s="48">
        <f t="shared" si="40"/>
        <v>131.69999999999999</v>
      </c>
      <c r="AI112" s="49">
        <f t="shared" si="41"/>
        <v>124.4</v>
      </c>
    </row>
    <row r="113" spans="1:35" x14ac:dyDescent="0.25">
      <c r="A113" s="118" t="s">
        <v>136</v>
      </c>
      <c r="B113" s="76">
        <v>131.5</v>
      </c>
      <c r="C113" s="76">
        <v>130.80000000000001</v>
      </c>
      <c r="D113" s="76">
        <v>130.80000000000001</v>
      </c>
      <c r="E113" s="76">
        <v>127.4</v>
      </c>
      <c r="F113" s="76">
        <v>130.19999999999999</v>
      </c>
      <c r="G113" s="76">
        <v>131.30000000000001</v>
      </c>
      <c r="H113" s="76">
        <v>131.30000000000001</v>
      </c>
      <c r="I113" s="76">
        <v>130.5</v>
      </c>
      <c r="J113" s="76">
        <v>128.69999999999999</v>
      </c>
      <c r="K113" s="76">
        <v>129.6</v>
      </c>
      <c r="L113" s="76">
        <v>126.7</v>
      </c>
      <c r="M113" s="76">
        <v>131.19999999999999</v>
      </c>
      <c r="N113" s="76">
        <v>127</v>
      </c>
      <c r="O113" s="76">
        <v>129.9</v>
      </c>
      <c r="P113" s="76">
        <v>127.5</v>
      </c>
      <c r="Q113" s="76">
        <v>129.4</v>
      </c>
      <c r="R113" s="76">
        <v>126.5</v>
      </c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40"/>
        <v>131.5</v>
      </c>
      <c r="AI113" s="49">
        <f t="shared" si="41"/>
        <v>126.5</v>
      </c>
    </row>
    <row r="114" spans="1:35" x14ac:dyDescent="0.25">
      <c r="A114" s="118" t="s">
        <v>137</v>
      </c>
      <c r="B114" s="119">
        <v>132.19999999999999</v>
      </c>
      <c r="C114" s="119">
        <v>132.19999999999999</v>
      </c>
      <c r="D114" s="119">
        <v>132.19999999999999</v>
      </c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40"/>
        <v>132.19999999999999</v>
      </c>
      <c r="AI114" s="49">
        <f t="shared" si="41"/>
        <v>132.19999999999999</v>
      </c>
    </row>
    <row r="115" spans="1:35" x14ac:dyDescent="0.25">
      <c r="A115" s="116" t="s">
        <v>138</v>
      </c>
      <c r="B115" s="76">
        <v>132.6</v>
      </c>
      <c r="C115" s="76">
        <v>131.6</v>
      </c>
      <c r="D115" s="76">
        <v>131.6</v>
      </c>
      <c r="E115" s="76">
        <v>123.4</v>
      </c>
      <c r="F115" s="76">
        <v>122.6</v>
      </c>
      <c r="G115" s="76">
        <v>125.8</v>
      </c>
      <c r="H115" s="76">
        <v>122.2</v>
      </c>
      <c r="I115" s="76">
        <v>114.2</v>
      </c>
      <c r="J115" s="76">
        <v>129.5</v>
      </c>
      <c r="K115" s="76">
        <v>118.2</v>
      </c>
      <c r="L115" s="76">
        <v>132.1</v>
      </c>
      <c r="M115" s="76">
        <v>130.19999999999999</v>
      </c>
      <c r="N115" s="76">
        <v>125.2</v>
      </c>
      <c r="O115" s="76">
        <v>122.7</v>
      </c>
      <c r="P115" s="76">
        <v>119.7</v>
      </c>
      <c r="Q115" s="76">
        <v>116.4</v>
      </c>
      <c r="R115" s="76">
        <v>124.9</v>
      </c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40"/>
        <v>132.6</v>
      </c>
      <c r="AI115" s="49">
        <f t="shared" si="41"/>
        <v>114.2</v>
      </c>
    </row>
    <row r="116" spans="1:35" ht="15.75" thickBot="1" x14ac:dyDescent="0.3">
      <c r="A116" s="116" t="s">
        <v>139</v>
      </c>
      <c r="B116" s="105">
        <v>65.8</v>
      </c>
      <c r="C116" s="105">
        <v>65.599999999999994</v>
      </c>
      <c r="D116" s="105">
        <v>65.599999999999994</v>
      </c>
      <c r="E116" s="105">
        <v>65.400000000000006</v>
      </c>
      <c r="F116" s="105">
        <v>65.5</v>
      </c>
      <c r="G116" s="105">
        <v>65.5</v>
      </c>
      <c r="H116" s="105">
        <v>65.599999999999994</v>
      </c>
      <c r="I116" s="105">
        <v>65.8</v>
      </c>
      <c r="J116" s="105">
        <v>66.3</v>
      </c>
      <c r="K116" s="105">
        <v>65.3</v>
      </c>
      <c r="L116" s="105">
        <v>65</v>
      </c>
      <c r="M116" s="105">
        <v>65.5</v>
      </c>
      <c r="N116" s="105">
        <v>64.2</v>
      </c>
      <c r="O116" s="105">
        <v>63</v>
      </c>
      <c r="P116" s="105">
        <v>64</v>
      </c>
      <c r="Q116" s="105">
        <v>63.9</v>
      </c>
      <c r="R116" s="105">
        <v>63.9</v>
      </c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21"/>
      <c r="AH116" s="48">
        <f t="shared" si="40"/>
        <v>66.3</v>
      </c>
      <c r="AI116" s="49">
        <f t="shared" si="41"/>
        <v>63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40"/>
        <v>0</v>
      </c>
      <c r="AI117" s="49">
        <f t="shared" si="41"/>
        <v>0</v>
      </c>
    </row>
    <row r="118" spans="1:35" ht="15.75" thickBot="1" x14ac:dyDescent="0.3">
      <c r="A118" s="123" t="s">
        <v>141</v>
      </c>
      <c r="B118" s="124">
        <f t="shared" ref="B118:C118" si="75">SUM(B22,B28,B31:B32,B66,B68:B69,B71,B73,B119:B123,B155,B161,B167,B176,B178,B190,B197,B200:B201,B208,B210,B212,B216:B218,B220:B222,B227,B233:B234,B236:B238,B246,B251)</f>
        <v>107.54</v>
      </c>
      <c r="C118" s="124">
        <f t="shared" si="75"/>
        <v>60.239999999999959</v>
      </c>
      <c r="D118" s="124">
        <f t="shared" ref="D118" si="76">SUM(D22,D28,D31:D32,D66,D68:D69,D71,D73,D119:D123,D155,D161,D167,D176,D178,D190,D197,D200:D201,D208,D210,D212,D216:D218,D220:D222,D227,D233:D234,D236:D238,D246,D251)</f>
        <v>60.239999999999959</v>
      </c>
      <c r="E118" s="124">
        <f t="shared" ref="E118:O118" si="77">SUM(E22,E28,E31:E32,E66,E68:E69,E71,E73,E119:E123,E155,E161,E167,E176,E178,E190,E197,E200:E201,E208,E210,E212,E216:E218,E220:E222,E227,E233:E234,E236:E238,E246,E251)</f>
        <v>75.840000000000032</v>
      </c>
      <c r="F118" s="124">
        <f t="shared" si="77"/>
        <v>83.740000000000038</v>
      </c>
      <c r="G118" s="124">
        <f t="shared" si="77"/>
        <v>100.04000000000002</v>
      </c>
      <c r="H118" s="124">
        <f t="shared" si="77"/>
        <v>134.54</v>
      </c>
      <c r="I118" s="124">
        <f t="shared" si="77"/>
        <v>157.44</v>
      </c>
      <c r="J118" s="124">
        <f t="shared" si="77"/>
        <v>193.83999999999997</v>
      </c>
      <c r="K118" s="124">
        <f t="shared" si="77"/>
        <v>214.04000000000002</v>
      </c>
      <c r="L118" s="124">
        <f t="shared" si="77"/>
        <v>250.54000000000002</v>
      </c>
      <c r="M118" s="124">
        <f t="shared" si="77"/>
        <v>213.64</v>
      </c>
      <c r="N118" s="124">
        <f t="shared" si="77"/>
        <v>241.34000000000003</v>
      </c>
      <c r="O118" s="124">
        <f t="shared" si="77"/>
        <v>242.94000000000003</v>
      </c>
      <c r="P118" s="124">
        <v>42</v>
      </c>
      <c r="Q118" s="124">
        <f t="shared" ref="Q118:X118" si="78">SUM(Q22,Q28,Q31:Q32,Q66,Q68:Q69,Q71,Q73,Q119:Q123,Q155,Q161,Q167,Q176,Q178,Q190,Q197,Q200:Q201,Q208,Q210,Q212,Q216:Q218,Q220:Q222,Q227,Q233:Q234,Q236:Q238,Q246,Q251)</f>
        <v>235.14000000000001</v>
      </c>
      <c r="R118" s="124">
        <f t="shared" si="78"/>
        <v>250.23999999999998</v>
      </c>
      <c r="S118" s="124">
        <f t="shared" si="78"/>
        <v>0.94</v>
      </c>
      <c r="T118" s="124">
        <f t="shared" si="78"/>
        <v>0.94</v>
      </c>
      <c r="U118" s="124">
        <f t="shared" si="78"/>
        <v>0.94</v>
      </c>
      <c r="V118" s="124">
        <f t="shared" si="78"/>
        <v>0.94</v>
      </c>
      <c r="W118" s="124">
        <f t="shared" si="78"/>
        <v>0.94</v>
      </c>
      <c r="X118" s="124">
        <f t="shared" si="78"/>
        <v>0.94</v>
      </c>
      <c r="Y118" s="124">
        <f>SUM(Y20,Y26,Y37:Y38,Y66,Y68:Y69,Y71,Y73,Y119:Y123,Y148,Y154,Y160,Y169,Y171,Y183,Y190,Y193:Y194,Y201,Y203,Y205,Y209:Y211,Y213:Y215,Y220,Y226:Y227,Y229:Y231,Y239,Y244)</f>
        <v>0</v>
      </c>
      <c r="Z118" s="124">
        <f>SUM(Z20,Z26,Z37:Z38,Z66,Z68:Z69,Z71,Z73,Z119:Z123,Z148,Z154,Z160,Z169,Z171,Z183,Z190,Z193:Z194,Z201,Z203,Z205,Z209:Z211,Z213:Z215,Z220,Z226:Z227,Z229:Z231,Z239,Z244)</f>
        <v>0</v>
      </c>
      <c r="AA118" s="124">
        <f t="shared" ref="AA118:AF118" si="79">SUM(AA22,AA28,AA31:AA32,AA66,AA68:AA69,AA71,AA73,AA119:AA123,AA155,AA161,AA167,AA176,AA178,AA190,AA197,AA200:AA201,AA208,AA210,AA212,AA216:AA218,AA220:AA222,AA227,AA233:AA234,AA236:AA238,AA246,AA251)</f>
        <v>0.94</v>
      </c>
      <c r="AB118" s="124">
        <f t="shared" si="79"/>
        <v>0.94</v>
      </c>
      <c r="AC118" s="124">
        <f t="shared" si="79"/>
        <v>0.94</v>
      </c>
      <c r="AD118" s="124">
        <f t="shared" si="79"/>
        <v>0.94</v>
      </c>
      <c r="AE118" s="124">
        <f t="shared" si="79"/>
        <v>0.94</v>
      </c>
      <c r="AF118" s="124">
        <f t="shared" si="79"/>
        <v>0.94</v>
      </c>
      <c r="AG118" s="125"/>
      <c r="AH118" s="48">
        <f t="shared" si="40"/>
        <v>250.54000000000002</v>
      </c>
      <c r="AI118" s="49">
        <f t="shared" si="41"/>
        <v>0</v>
      </c>
    </row>
    <row r="119" spans="1:35" x14ac:dyDescent="0.25">
      <c r="A119" s="126" t="s">
        <v>142</v>
      </c>
      <c r="B119" s="127">
        <v>60.3</v>
      </c>
      <c r="C119" s="127">
        <v>30.6</v>
      </c>
      <c r="D119" s="127">
        <v>30.6</v>
      </c>
      <c r="E119" s="127">
        <v>63.8</v>
      </c>
      <c r="F119" s="127">
        <v>68.8</v>
      </c>
      <c r="G119" s="127">
        <v>69.400000000000006</v>
      </c>
      <c r="H119" s="127">
        <v>65.3</v>
      </c>
      <c r="I119" s="127">
        <v>55.9</v>
      </c>
      <c r="J119" s="127">
        <v>57.3</v>
      </c>
      <c r="K119" s="127">
        <v>60.3</v>
      </c>
      <c r="L119" s="127">
        <v>48.6</v>
      </c>
      <c r="M119" s="127">
        <v>46.4</v>
      </c>
      <c r="N119" s="127">
        <v>49.3</v>
      </c>
      <c r="O119" s="127">
        <v>35.5</v>
      </c>
      <c r="P119" s="127">
        <v>49</v>
      </c>
      <c r="Q119" s="127">
        <v>41.2</v>
      </c>
      <c r="R119" s="127">
        <v>27.9</v>
      </c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8">
        <v>75</v>
      </c>
      <c r="AH119" s="48">
        <f t="shared" si="40"/>
        <v>69.400000000000006</v>
      </c>
      <c r="AI119" s="49">
        <f t="shared" si="41"/>
        <v>27.9</v>
      </c>
    </row>
    <row r="120" spans="1:35" x14ac:dyDescent="0.25">
      <c r="A120" s="129" t="s">
        <v>143</v>
      </c>
      <c r="B120" s="130">
        <v>89.3</v>
      </c>
      <c r="C120" s="130">
        <v>87.8</v>
      </c>
      <c r="D120" s="130">
        <v>87.8</v>
      </c>
      <c r="E120" s="130">
        <v>92.5</v>
      </c>
      <c r="F120" s="130">
        <v>100.1</v>
      </c>
      <c r="G120" s="130">
        <v>99.5</v>
      </c>
      <c r="H120" s="130">
        <v>93.5</v>
      </c>
      <c r="I120" s="130">
        <v>82.8</v>
      </c>
      <c r="J120" s="130">
        <v>81.7</v>
      </c>
      <c r="K120" s="130">
        <v>89.8</v>
      </c>
      <c r="L120" s="130">
        <v>70.5</v>
      </c>
      <c r="M120" s="130">
        <v>67.5</v>
      </c>
      <c r="N120" s="130">
        <v>71.8</v>
      </c>
      <c r="O120" s="130">
        <v>49.9</v>
      </c>
      <c r="P120" s="130">
        <v>67.900000000000006</v>
      </c>
      <c r="Q120" s="130">
        <v>60.3</v>
      </c>
      <c r="R120" s="130">
        <v>37</v>
      </c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28">
        <v>240</v>
      </c>
      <c r="AH120" s="48">
        <f t="shared" si="40"/>
        <v>100.1</v>
      </c>
      <c r="AI120" s="49">
        <f t="shared" si="41"/>
        <v>37</v>
      </c>
    </row>
    <row r="121" spans="1:35" x14ac:dyDescent="0.25">
      <c r="A121" s="129" t="s">
        <v>144</v>
      </c>
      <c r="B121" s="130">
        <v>-159.80000000000001</v>
      </c>
      <c r="C121" s="130">
        <v>-150.80000000000001</v>
      </c>
      <c r="D121" s="130">
        <v>-150.80000000000001</v>
      </c>
      <c r="E121" s="130">
        <f>-75.7-83</f>
        <v>-158.69999999999999</v>
      </c>
      <c r="F121" s="130">
        <f>-76.6-84.6</f>
        <v>-161.19999999999999</v>
      </c>
      <c r="G121" s="130">
        <f>-75.2-80.7</f>
        <v>-155.9</v>
      </c>
      <c r="H121" s="130">
        <f>-66.2-74.1</f>
        <v>-140.30000000000001</v>
      </c>
      <c r="I121" s="130">
        <f>-57.9-65.1</f>
        <v>-123</v>
      </c>
      <c r="J121" s="130">
        <f>-51.2-60.6</f>
        <v>-111.80000000000001</v>
      </c>
      <c r="K121" s="130">
        <f>-53.4-65</f>
        <v>-118.4</v>
      </c>
      <c r="L121" s="130">
        <f>-34.3-43.8</f>
        <v>-78.099999999999994</v>
      </c>
      <c r="M121" s="130">
        <v>-115</v>
      </c>
      <c r="N121" s="130">
        <v>-96</v>
      </c>
      <c r="O121" s="130">
        <v>-90</v>
      </c>
      <c r="P121" s="130">
        <v>-92.8</v>
      </c>
      <c r="Q121" s="130">
        <v>-99</v>
      </c>
      <c r="R121" s="130">
        <v>-65</v>
      </c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28">
        <v>240</v>
      </c>
      <c r="AH121" s="48">
        <f t="shared" si="40"/>
        <v>-65</v>
      </c>
      <c r="AI121" s="49">
        <f t="shared" si="41"/>
        <v>-161.19999999999999</v>
      </c>
    </row>
    <row r="122" spans="1:35" ht="15.75" thickBot="1" x14ac:dyDescent="0.3">
      <c r="A122" s="129" t="s">
        <v>145</v>
      </c>
      <c r="B122" s="130">
        <v>-19</v>
      </c>
      <c r="C122" s="130">
        <v>-11.9</v>
      </c>
      <c r="D122" s="130">
        <v>-11.9</v>
      </c>
      <c r="E122" s="130">
        <v>-18.100000000000001</v>
      </c>
      <c r="F122" s="130">
        <v>-20.3</v>
      </c>
      <c r="G122" s="130">
        <v>-23.1</v>
      </c>
      <c r="H122" s="130">
        <v>-12.5</v>
      </c>
      <c r="I122" s="130">
        <v>-0.7</v>
      </c>
      <c r="J122" s="130">
        <v>5.5</v>
      </c>
      <c r="K122" s="130">
        <v>8.1999999999999993</v>
      </c>
      <c r="L122" s="130">
        <v>14.3</v>
      </c>
      <c r="M122" s="130">
        <v>19.100000000000001</v>
      </c>
      <c r="N122" s="130">
        <v>7.6</v>
      </c>
      <c r="O122" s="130">
        <v>18.3</v>
      </c>
      <c r="P122" s="130">
        <v>21.5</v>
      </c>
      <c r="Q122" s="130">
        <v>17.7</v>
      </c>
      <c r="R122" s="130">
        <v>24.7</v>
      </c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28">
        <v>60</v>
      </c>
      <c r="AH122" s="48">
        <f t="shared" si="40"/>
        <v>24.7</v>
      </c>
      <c r="AI122" s="49">
        <f t="shared" si="41"/>
        <v>-23.1</v>
      </c>
    </row>
    <row r="123" spans="1:35" x14ac:dyDescent="0.25">
      <c r="A123" s="126" t="s">
        <v>146</v>
      </c>
      <c r="B123" s="131">
        <v>-4.2</v>
      </c>
      <c r="C123" s="131">
        <v>-36.4</v>
      </c>
      <c r="D123" s="131">
        <v>-36.4</v>
      </c>
      <c r="E123" s="131">
        <v>-42.6</v>
      </c>
      <c r="F123" s="131">
        <v>-40.799999999999997</v>
      </c>
      <c r="G123" s="131">
        <v>-28.5</v>
      </c>
      <c r="H123" s="131">
        <v>-10.1</v>
      </c>
      <c r="I123" s="131">
        <v>2.5</v>
      </c>
      <c r="J123" s="131">
        <v>21.2</v>
      </c>
      <c r="K123" s="131">
        <v>34.200000000000003</v>
      </c>
      <c r="L123" s="131">
        <v>50.7</v>
      </c>
      <c r="M123" s="131">
        <v>48.3</v>
      </c>
      <c r="N123" s="131">
        <v>57.4</v>
      </c>
      <c r="O123" s="131">
        <v>75</v>
      </c>
      <c r="P123" s="131">
        <v>52.9</v>
      </c>
      <c r="Q123" s="131">
        <v>58.9</v>
      </c>
      <c r="R123" s="131">
        <v>71</v>
      </c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2">
        <v>120</v>
      </c>
      <c r="AH123" s="48">
        <f t="shared" si="40"/>
        <v>75</v>
      </c>
      <c r="AI123" s="49">
        <f t="shared" si="41"/>
        <v>-42.6</v>
      </c>
    </row>
    <row r="124" spans="1:35" x14ac:dyDescent="0.25">
      <c r="A124" s="129" t="s">
        <v>147</v>
      </c>
      <c r="B124" s="131">
        <v>51.5</v>
      </c>
      <c r="C124" s="131">
        <v>35.6</v>
      </c>
      <c r="D124" s="131">
        <v>35.6</v>
      </c>
      <c r="E124" s="131">
        <v>33.299999999999997</v>
      </c>
      <c r="F124" s="131">
        <v>33.299999999999997</v>
      </c>
      <c r="G124" s="131">
        <v>39.200000000000003</v>
      </c>
      <c r="H124" s="131">
        <v>47.6</v>
      </c>
      <c r="I124" s="131">
        <v>53.8</v>
      </c>
      <c r="J124" s="131">
        <v>63.3</v>
      </c>
      <c r="K124" s="131">
        <v>69.900000000000006</v>
      </c>
      <c r="L124" s="131">
        <v>77.8</v>
      </c>
      <c r="M124" s="131">
        <v>76</v>
      </c>
      <c r="N124" s="131">
        <v>79</v>
      </c>
      <c r="O124" s="131">
        <v>87.5</v>
      </c>
      <c r="P124" s="131">
        <v>75.8</v>
      </c>
      <c r="Q124" s="131">
        <v>73.099999999999994</v>
      </c>
      <c r="R124" s="131">
        <v>84.2</v>
      </c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2"/>
      <c r="AH124" s="48">
        <f t="shared" si="40"/>
        <v>87.5</v>
      </c>
      <c r="AI124" s="49">
        <f t="shared" si="41"/>
        <v>33.299999999999997</v>
      </c>
    </row>
    <row r="125" spans="1:35" x14ac:dyDescent="0.25">
      <c r="A125" s="129" t="s">
        <v>148</v>
      </c>
      <c r="B125" s="131">
        <v>9.3000000000000007</v>
      </c>
      <c r="C125" s="131">
        <v>-8.6999999999999993</v>
      </c>
      <c r="D125" s="131">
        <v>-8.6999999999999993</v>
      </c>
      <c r="E125" s="131">
        <v>9.1999999999999993</v>
      </c>
      <c r="F125" s="131">
        <v>-10.1</v>
      </c>
      <c r="G125" s="131">
        <v>-13.1</v>
      </c>
      <c r="H125" s="131">
        <v>-13.1</v>
      </c>
      <c r="I125" s="131">
        <v>-11.7</v>
      </c>
      <c r="J125" s="131">
        <v>-14.2</v>
      </c>
      <c r="K125" s="131">
        <v>-15.8</v>
      </c>
      <c r="L125" s="131">
        <v>-16.2</v>
      </c>
      <c r="M125" s="131">
        <v>-14.9</v>
      </c>
      <c r="N125" s="131">
        <v>-6.3</v>
      </c>
      <c r="O125" s="131">
        <v>4</v>
      </c>
      <c r="P125" s="131">
        <v>-17.8</v>
      </c>
      <c r="Q125" s="131">
        <v>-7.4</v>
      </c>
      <c r="R125" s="131">
        <v>1.1000000000000001</v>
      </c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2"/>
      <c r="AH125" s="48">
        <f t="shared" si="40"/>
        <v>9.3000000000000007</v>
      </c>
      <c r="AI125" s="49">
        <f t="shared" si="41"/>
        <v>-17.8</v>
      </c>
    </row>
    <row r="126" spans="1:35" ht="15.75" thickBot="1" x14ac:dyDescent="0.3">
      <c r="A126" s="129" t="s">
        <v>149</v>
      </c>
      <c r="B126" s="131">
        <v>31.6</v>
      </c>
      <c r="C126" s="131">
        <v>21.2</v>
      </c>
      <c r="D126" s="131">
        <v>21.2</v>
      </c>
      <c r="E126" s="131">
        <v>21.6</v>
      </c>
      <c r="F126" s="131">
        <v>21</v>
      </c>
      <c r="G126" s="131">
        <v>23.1</v>
      </c>
      <c r="H126" s="131">
        <v>17.3</v>
      </c>
      <c r="I126" s="131">
        <v>15.5</v>
      </c>
      <c r="J126" s="131">
        <v>11.8</v>
      </c>
      <c r="K126" s="131">
        <v>5.2</v>
      </c>
      <c r="L126" s="131">
        <v>27.5</v>
      </c>
      <c r="M126" s="131">
        <v>24.1</v>
      </c>
      <c r="N126" s="131">
        <v>45.2</v>
      </c>
      <c r="O126" s="131">
        <v>55.7</v>
      </c>
      <c r="P126" s="131">
        <v>51.6</v>
      </c>
      <c r="Q126" s="131">
        <v>50.2</v>
      </c>
      <c r="R126" s="131">
        <v>62.5</v>
      </c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28"/>
      <c r="AH126" s="48">
        <f>MAX(B126:AF126)</f>
        <v>62.5</v>
      </c>
      <c r="AI126" s="49">
        <f>MIN(B126:AF126)</f>
        <v>5.2</v>
      </c>
    </row>
    <row r="127" spans="1:35" x14ac:dyDescent="0.25">
      <c r="A127" s="126" t="s">
        <v>150</v>
      </c>
      <c r="B127" s="131">
        <v>-167.2</v>
      </c>
      <c r="C127" s="131">
        <v>-338.6</v>
      </c>
      <c r="D127" s="131">
        <v>-338.6</v>
      </c>
      <c r="E127" s="131">
        <v>-340.2</v>
      </c>
      <c r="F127" s="131">
        <v>-326.10000000000002</v>
      </c>
      <c r="G127" s="131">
        <v>-321.10000000000002</v>
      </c>
      <c r="H127" s="131">
        <v>-316.10000000000002</v>
      </c>
      <c r="I127" s="131">
        <v>-310</v>
      </c>
      <c r="J127" s="131">
        <v>-247.8</v>
      </c>
      <c r="K127" s="131">
        <v>-265</v>
      </c>
      <c r="L127" s="131">
        <v>-280.7</v>
      </c>
      <c r="M127" s="131">
        <v>-278.39999999999998</v>
      </c>
      <c r="N127" s="131">
        <v>-184.6</v>
      </c>
      <c r="O127" s="131">
        <v>-204.7</v>
      </c>
      <c r="P127" s="131">
        <v>-96.4</v>
      </c>
      <c r="Q127" s="131">
        <v>-122.5</v>
      </c>
      <c r="R127" s="131">
        <v>-87.7</v>
      </c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28"/>
      <c r="AH127" s="48">
        <f>MAX(B127:AF127)</f>
        <v>-87.7</v>
      </c>
      <c r="AI127" s="49">
        <f>MIN(B127:AF127)</f>
        <v>-340.2</v>
      </c>
    </row>
    <row r="128" spans="1:35" x14ac:dyDescent="0.25">
      <c r="A128" s="129" t="s">
        <v>151</v>
      </c>
      <c r="B128" s="119">
        <v>-3.4</v>
      </c>
      <c r="C128" s="119">
        <v>30.7</v>
      </c>
      <c r="D128" s="119">
        <v>30.7</v>
      </c>
      <c r="E128" s="119">
        <v>-5.5</v>
      </c>
      <c r="F128" s="119">
        <v>24.8</v>
      </c>
      <c r="G128" s="119">
        <v>22.4</v>
      </c>
      <c r="H128" s="119">
        <v>24.1</v>
      </c>
      <c r="I128" s="119">
        <v>24.4</v>
      </c>
      <c r="J128" s="119">
        <v>24.8</v>
      </c>
      <c r="K128" s="119">
        <v>17.5</v>
      </c>
      <c r="L128" s="119">
        <v>15.9</v>
      </c>
      <c r="M128" s="119">
        <v>18.600000000000001</v>
      </c>
      <c r="N128" s="119">
        <v>13.4</v>
      </c>
      <c r="O128" s="119">
        <v>5.0999999999999996</v>
      </c>
      <c r="P128" s="119">
        <v>4.5999999999999996</v>
      </c>
      <c r="Q128" s="119">
        <v>6.5</v>
      </c>
      <c r="R128" s="119">
        <v>4.0999999999999996</v>
      </c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28"/>
      <c r="AH128" s="48">
        <f>MAX(B128:AF128)</f>
        <v>30.7</v>
      </c>
      <c r="AI128" s="49">
        <f>MIN(B128:AF128)</f>
        <v>-5.5</v>
      </c>
    </row>
    <row r="129" spans="1:37" x14ac:dyDescent="0.25">
      <c r="A129" s="129" t="s">
        <v>152</v>
      </c>
      <c r="B129" s="119">
        <v>82.6</v>
      </c>
      <c r="C129" s="119">
        <v>64.3</v>
      </c>
      <c r="D129" s="119">
        <v>64.3</v>
      </c>
      <c r="E129" s="119">
        <v>84.5</v>
      </c>
      <c r="F129" s="119">
        <v>19</v>
      </c>
      <c r="G129" s="119">
        <v>56.4</v>
      </c>
      <c r="H129" s="119">
        <v>53.4</v>
      </c>
      <c r="I129" s="119">
        <v>54.3</v>
      </c>
      <c r="J129" s="119">
        <v>54.4</v>
      </c>
      <c r="K129" s="119">
        <v>73.599999999999994</v>
      </c>
      <c r="L129" s="119">
        <v>72.599999999999994</v>
      </c>
      <c r="M129" s="119">
        <v>71.3</v>
      </c>
      <c r="N129" s="119">
        <v>76.099999999999994</v>
      </c>
      <c r="O129" s="119">
        <v>86.9</v>
      </c>
      <c r="P129" s="119">
        <v>81.3</v>
      </c>
      <c r="Q129" s="119">
        <v>88.9</v>
      </c>
      <c r="R129" s="119">
        <v>59.6</v>
      </c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28"/>
      <c r="AH129" s="48">
        <f>MAX(B129:AF129)</f>
        <v>88.9</v>
      </c>
      <c r="AI129" s="49">
        <f>MIN(B129:AF129)</f>
        <v>19</v>
      </c>
    </row>
    <row r="130" spans="1:37" ht="15.75" thickBot="1" x14ac:dyDescent="0.3">
      <c r="A130" s="129" t="s">
        <v>153</v>
      </c>
      <c r="B130" s="119">
        <v>100.9</v>
      </c>
      <c r="C130" s="119">
        <v>75.599999999999994</v>
      </c>
      <c r="D130" s="119">
        <v>75.599999999999994</v>
      </c>
      <c r="E130" s="119">
        <v>91.2</v>
      </c>
      <c r="F130" s="119">
        <v>73.599999999999994</v>
      </c>
      <c r="G130" s="119">
        <v>65.900000000000006</v>
      </c>
      <c r="H130" s="119">
        <v>63</v>
      </c>
      <c r="I130" s="119">
        <v>64</v>
      </c>
      <c r="J130" s="119">
        <v>64.8</v>
      </c>
      <c r="K130" s="119">
        <v>83.9</v>
      </c>
      <c r="L130" s="119">
        <v>84.9</v>
      </c>
      <c r="M130" s="119">
        <v>81</v>
      </c>
      <c r="N130" s="119">
        <v>85.5</v>
      </c>
      <c r="O130" s="119">
        <v>100.8</v>
      </c>
      <c r="P130" s="119">
        <v>95.1</v>
      </c>
      <c r="Q130" s="119">
        <v>109.2</v>
      </c>
      <c r="R130" s="119">
        <v>73.5</v>
      </c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28"/>
      <c r="AH130" s="48">
        <f>MAX(B130:AF130)</f>
        <v>109.2</v>
      </c>
      <c r="AI130" s="49">
        <f>MIN(B130:AF130)</f>
        <v>63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>
        <v>1986.7</v>
      </c>
      <c r="C132" s="137">
        <v>1986.55</v>
      </c>
      <c r="D132" s="137"/>
      <c r="E132" s="137">
        <v>1985.98</v>
      </c>
      <c r="F132" s="137">
        <v>1985.55</v>
      </c>
      <c r="G132" s="137">
        <v>1985.15</v>
      </c>
      <c r="H132" s="137"/>
      <c r="I132" s="137">
        <v>1984.72</v>
      </c>
      <c r="J132" s="137"/>
      <c r="K132" s="137">
        <v>1984.42</v>
      </c>
      <c r="L132" s="137"/>
      <c r="M132" s="137">
        <v>1983.85</v>
      </c>
      <c r="N132" s="137">
        <v>1983.55</v>
      </c>
      <c r="O132" s="137">
        <v>1983.48</v>
      </c>
      <c r="P132" s="137">
        <v>1983.38</v>
      </c>
      <c r="Q132" s="137">
        <v>1983.8</v>
      </c>
      <c r="R132" s="137">
        <v>1984.2</v>
      </c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8"/>
      <c r="AG132" s="139"/>
      <c r="AH132" s="48"/>
      <c r="AI132" s="49"/>
    </row>
    <row r="133" spans="1:37" x14ac:dyDescent="0.25">
      <c r="A133" s="136" t="s">
        <v>156</v>
      </c>
      <c r="B133" s="140">
        <v>522.55999999999995</v>
      </c>
      <c r="C133" s="140">
        <v>522.55999999999995</v>
      </c>
      <c r="D133" s="140"/>
      <c r="E133" s="140">
        <v>523.22</v>
      </c>
      <c r="F133" s="140">
        <v>523.76</v>
      </c>
      <c r="G133" s="140">
        <v>523.78</v>
      </c>
      <c r="H133" s="140"/>
      <c r="I133" s="140">
        <v>623.66</v>
      </c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1"/>
      <c r="AG133" s="139"/>
      <c r="AH133" s="48"/>
      <c r="AI133" s="49"/>
    </row>
    <row r="134" spans="1:37" x14ac:dyDescent="0.25">
      <c r="A134" s="136" t="s">
        <v>157</v>
      </c>
      <c r="B134" s="140">
        <v>625</v>
      </c>
      <c r="C134" s="140">
        <v>624.97</v>
      </c>
      <c r="D134" s="140"/>
      <c r="E134" s="140">
        <v>624.77</v>
      </c>
      <c r="F134" s="140">
        <v>624.66</v>
      </c>
      <c r="G134" s="140">
        <v>624.54</v>
      </c>
      <c r="H134" s="140"/>
      <c r="I134" s="140">
        <v>624.73</v>
      </c>
      <c r="J134" s="140"/>
      <c r="K134" s="140">
        <v>624.80999999999995</v>
      </c>
      <c r="L134" s="140"/>
      <c r="M134" s="140">
        <v>624.92999999999995</v>
      </c>
      <c r="N134" s="140"/>
      <c r="O134" s="140">
        <v>624.83000000000004</v>
      </c>
      <c r="P134" s="140">
        <v>624.84</v>
      </c>
      <c r="Q134" s="140">
        <v>624.76</v>
      </c>
      <c r="R134" s="140">
        <v>624.62</v>
      </c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1"/>
      <c r="AG134" s="139"/>
      <c r="AH134" s="48"/>
      <c r="AI134" s="49"/>
    </row>
    <row r="135" spans="1:37" x14ac:dyDescent="0.25">
      <c r="A135" s="136" t="s">
        <v>158</v>
      </c>
      <c r="B135" s="140">
        <v>337.22</v>
      </c>
      <c r="C135" s="140">
        <v>337.21</v>
      </c>
      <c r="D135" s="140"/>
      <c r="E135" s="140">
        <v>337.16</v>
      </c>
      <c r="F135" s="140">
        <v>337.29</v>
      </c>
      <c r="G135" s="140">
        <v>337.66</v>
      </c>
      <c r="H135" s="140"/>
      <c r="I135" s="140">
        <v>337.8</v>
      </c>
      <c r="J135" s="140"/>
      <c r="K135" s="140"/>
      <c r="L135" s="140"/>
      <c r="M135" s="140">
        <v>337.6</v>
      </c>
      <c r="N135" s="140">
        <v>337.54</v>
      </c>
      <c r="O135" s="140">
        <v>337.45</v>
      </c>
      <c r="P135" s="140">
        <v>337.5</v>
      </c>
      <c r="Q135" s="140">
        <v>337.46</v>
      </c>
      <c r="R135" s="140">
        <v>337.43</v>
      </c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1"/>
      <c r="AG135" s="139"/>
      <c r="AH135" s="48"/>
      <c r="AI135" s="49"/>
    </row>
    <row r="136" spans="1:37" x14ac:dyDescent="0.25">
      <c r="A136" s="136" t="s">
        <v>159</v>
      </c>
      <c r="B136" s="140">
        <v>884.5</v>
      </c>
      <c r="C136" s="140"/>
      <c r="D136" s="140"/>
      <c r="E136" s="140">
        <v>885.6</v>
      </c>
      <c r="F136" s="140">
        <v>885.1</v>
      </c>
      <c r="G136" s="140">
        <v>884.6</v>
      </c>
      <c r="H136" s="140"/>
      <c r="I136" s="140">
        <v>884.1</v>
      </c>
      <c r="J136" s="140"/>
      <c r="K136" s="140"/>
      <c r="L136" s="140"/>
      <c r="M136" s="140">
        <v>885.6</v>
      </c>
      <c r="N136" s="140">
        <v>885.1</v>
      </c>
      <c r="O136" s="140">
        <v>885.1</v>
      </c>
      <c r="P136" s="140">
        <v>884.6</v>
      </c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>
        <v>1492.16</v>
      </c>
      <c r="C137" s="142"/>
      <c r="D137" s="142"/>
      <c r="E137" s="142"/>
      <c r="F137" s="142"/>
      <c r="G137" s="142"/>
      <c r="H137" s="142"/>
      <c r="I137" s="142">
        <v>1492.09</v>
      </c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80">SUM(B139:B243)</f>
        <v>0</v>
      </c>
      <c r="C244" s="161">
        <f t="shared" si="80"/>
        <v>0</v>
      </c>
      <c r="D244" s="161">
        <f t="shared" si="80"/>
        <v>0</v>
      </c>
      <c r="E244" s="161">
        <f t="shared" si="80"/>
        <v>0</v>
      </c>
      <c r="F244" s="161">
        <f t="shared" si="80"/>
        <v>0</v>
      </c>
      <c r="G244" s="161">
        <f t="shared" si="80"/>
        <v>0</v>
      </c>
      <c r="H244" s="161">
        <f t="shared" si="80"/>
        <v>0</v>
      </c>
      <c r="I244" s="161">
        <f t="shared" si="80"/>
        <v>0</v>
      </c>
      <c r="J244" s="161">
        <f t="shared" si="80"/>
        <v>0</v>
      </c>
      <c r="K244" s="161">
        <f t="shared" si="80"/>
        <v>0</v>
      </c>
      <c r="L244" s="161">
        <f t="shared" si="80"/>
        <v>0</v>
      </c>
      <c r="M244" s="161">
        <f t="shared" si="80"/>
        <v>0</v>
      </c>
      <c r="N244" s="161">
        <f t="shared" si="80"/>
        <v>0</v>
      </c>
      <c r="O244" s="161">
        <f t="shared" si="80"/>
        <v>0</v>
      </c>
      <c r="P244" s="161">
        <f t="shared" si="80"/>
        <v>0</v>
      </c>
      <c r="Q244" s="161">
        <f t="shared" si="80"/>
        <v>0</v>
      </c>
      <c r="R244" s="161">
        <f t="shared" si="80"/>
        <v>0</v>
      </c>
      <c r="S244" s="161">
        <f t="shared" si="80"/>
        <v>0</v>
      </c>
      <c r="T244" s="161">
        <f t="shared" si="80"/>
        <v>0</v>
      </c>
      <c r="U244" s="161">
        <f t="shared" si="80"/>
        <v>0</v>
      </c>
      <c r="V244" s="161">
        <f t="shared" si="80"/>
        <v>0</v>
      </c>
      <c r="W244" s="161">
        <f t="shared" si="80"/>
        <v>0</v>
      </c>
      <c r="X244" s="161">
        <f t="shared" si="80"/>
        <v>0</v>
      </c>
      <c r="Y244" s="161">
        <f t="shared" si="80"/>
        <v>0</v>
      </c>
      <c r="Z244" s="161">
        <f t="shared" si="80"/>
        <v>0</v>
      </c>
      <c r="AA244" s="161">
        <f t="shared" si="80"/>
        <v>0</v>
      </c>
      <c r="AB244" s="161">
        <f t="shared" si="80"/>
        <v>0</v>
      </c>
      <c r="AC244" s="161">
        <f t="shared" si="80"/>
        <v>0</v>
      </c>
      <c r="AD244" s="161">
        <f t="shared" si="80"/>
        <v>0</v>
      </c>
      <c r="AE244" s="161">
        <f t="shared" si="80"/>
        <v>0</v>
      </c>
      <c r="AF244" s="162">
        <f t="shared" si="80"/>
        <v>0</v>
      </c>
      <c r="AG244" s="163">
        <f t="shared" si="80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81">AF246</f>
        <v>0.3</v>
      </c>
      <c r="C246" s="166">
        <v>0.3</v>
      </c>
      <c r="D246" s="166">
        <f t="shared" ref="D246:S251" si="82">C246</f>
        <v>0.3</v>
      </c>
      <c r="E246" s="166">
        <f t="shared" si="82"/>
        <v>0.3</v>
      </c>
      <c r="F246" s="166">
        <f t="shared" si="82"/>
        <v>0.3</v>
      </c>
      <c r="G246" s="166">
        <f t="shared" si="82"/>
        <v>0.3</v>
      </c>
      <c r="H246" s="166">
        <f t="shared" si="82"/>
        <v>0.3</v>
      </c>
      <c r="I246" s="166">
        <f t="shared" si="82"/>
        <v>0.3</v>
      </c>
      <c r="J246" s="166">
        <f t="shared" si="82"/>
        <v>0.3</v>
      </c>
      <c r="K246" s="166">
        <f t="shared" si="82"/>
        <v>0.3</v>
      </c>
      <c r="L246" s="166">
        <f t="shared" si="82"/>
        <v>0.3</v>
      </c>
      <c r="M246" s="166">
        <f t="shared" si="82"/>
        <v>0.3</v>
      </c>
      <c r="N246" s="166">
        <f t="shared" si="82"/>
        <v>0.3</v>
      </c>
      <c r="O246" s="166">
        <f t="shared" si="82"/>
        <v>0.3</v>
      </c>
      <c r="P246" s="166">
        <f t="shared" si="82"/>
        <v>0.3</v>
      </c>
      <c r="Q246" s="166">
        <f t="shared" si="82"/>
        <v>0.3</v>
      </c>
      <c r="R246" s="166">
        <f t="shared" si="82"/>
        <v>0.3</v>
      </c>
      <c r="S246" s="166">
        <f t="shared" si="82"/>
        <v>0.3</v>
      </c>
      <c r="T246" s="166">
        <f t="shared" ref="T246:AF251" si="83">S246</f>
        <v>0.3</v>
      </c>
      <c r="U246" s="166">
        <f t="shared" si="83"/>
        <v>0.3</v>
      </c>
      <c r="V246" s="166">
        <f t="shared" si="83"/>
        <v>0.3</v>
      </c>
      <c r="W246" s="166">
        <f t="shared" si="83"/>
        <v>0.3</v>
      </c>
      <c r="X246" s="166">
        <f t="shared" si="83"/>
        <v>0.3</v>
      </c>
      <c r="Y246" s="166">
        <f t="shared" si="83"/>
        <v>0.3</v>
      </c>
      <c r="Z246" s="166">
        <f t="shared" si="83"/>
        <v>0.3</v>
      </c>
      <c r="AA246" s="166">
        <f t="shared" si="83"/>
        <v>0.3</v>
      </c>
      <c r="AB246" s="166">
        <f t="shared" si="83"/>
        <v>0.3</v>
      </c>
      <c r="AC246" s="166">
        <f t="shared" si="83"/>
        <v>0.3</v>
      </c>
      <c r="AD246" s="166">
        <f t="shared" si="83"/>
        <v>0.3</v>
      </c>
      <c r="AE246" s="166">
        <f t="shared" si="83"/>
        <v>0.3</v>
      </c>
      <c r="AF246" s="166">
        <f t="shared" si="83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81"/>
        <v>0.4</v>
      </c>
      <c r="C247" s="152">
        <v>0.4</v>
      </c>
      <c r="D247" s="152">
        <f t="shared" si="82"/>
        <v>0.4</v>
      </c>
      <c r="E247" s="152">
        <f t="shared" si="82"/>
        <v>0.4</v>
      </c>
      <c r="F247" s="152">
        <f t="shared" si="82"/>
        <v>0.4</v>
      </c>
      <c r="G247" s="152">
        <f t="shared" si="82"/>
        <v>0.4</v>
      </c>
      <c r="H247" s="152">
        <f t="shared" si="82"/>
        <v>0.4</v>
      </c>
      <c r="I247" s="152">
        <f t="shared" si="82"/>
        <v>0.4</v>
      </c>
      <c r="J247" s="152">
        <f t="shared" si="82"/>
        <v>0.4</v>
      </c>
      <c r="K247" s="152">
        <f t="shared" si="82"/>
        <v>0.4</v>
      </c>
      <c r="L247" s="152">
        <f t="shared" si="82"/>
        <v>0.4</v>
      </c>
      <c r="M247" s="152">
        <f t="shared" si="82"/>
        <v>0.4</v>
      </c>
      <c r="N247" s="152">
        <f t="shared" si="82"/>
        <v>0.4</v>
      </c>
      <c r="O247" s="152">
        <f t="shared" si="82"/>
        <v>0.4</v>
      </c>
      <c r="P247" s="152">
        <f t="shared" si="82"/>
        <v>0.4</v>
      </c>
      <c r="Q247" s="152">
        <f t="shared" si="82"/>
        <v>0.4</v>
      </c>
      <c r="R247" s="152">
        <f t="shared" si="82"/>
        <v>0.4</v>
      </c>
      <c r="S247" s="152">
        <f t="shared" si="82"/>
        <v>0.4</v>
      </c>
      <c r="T247" s="152">
        <f t="shared" si="83"/>
        <v>0.4</v>
      </c>
      <c r="U247" s="152">
        <f t="shared" si="83"/>
        <v>0.4</v>
      </c>
      <c r="V247" s="152">
        <f t="shared" si="83"/>
        <v>0.4</v>
      </c>
      <c r="W247" s="152">
        <f t="shared" si="83"/>
        <v>0.4</v>
      </c>
      <c r="X247" s="152">
        <f t="shared" si="83"/>
        <v>0.4</v>
      </c>
      <c r="Y247" s="152">
        <f t="shared" si="83"/>
        <v>0.4</v>
      </c>
      <c r="Z247" s="152">
        <f t="shared" si="83"/>
        <v>0.4</v>
      </c>
      <c r="AA247" s="152">
        <f t="shared" si="83"/>
        <v>0.4</v>
      </c>
      <c r="AB247" s="152">
        <f t="shared" si="83"/>
        <v>0.4</v>
      </c>
      <c r="AC247" s="152">
        <f t="shared" si="83"/>
        <v>0.4</v>
      </c>
      <c r="AD247" s="152">
        <f t="shared" si="83"/>
        <v>0.4</v>
      </c>
      <c r="AE247" s="152">
        <f t="shared" si="83"/>
        <v>0.4</v>
      </c>
      <c r="AF247" s="152">
        <f t="shared" si="83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81"/>
        <v>1.5</v>
      </c>
      <c r="C248" s="152">
        <v>1.5</v>
      </c>
      <c r="D248" s="152">
        <f t="shared" si="82"/>
        <v>1.5</v>
      </c>
      <c r="E248" s="152">
        <f t="shared" si="82"/>
        <v>1.5</v>
      </c>
      <c r="F248" s="152">
        <f t="shared" si="82"/>
        <v>1.5</v>
      </c>
      <c r="G248" s="152">
        <f t="shared" si="82"/>
        <v>1.5</v>
      </c>
      <c r="H248" s="152">
        <f t="shared" si="82"/>
        <v>1.5</v>
      </c>
      <c r="I248" s="152">
        <f t="shared" si="82"/>
        <v>1.5</v>
      </c>
      <c r="J248" s="152">
        <f t="shared" si="82"/>
        <v>1.5</v>
      </c>
      <c r="K248" s="152">
        <f t="shared" si="82"/>
        <v>1.5</v>
      </c>
      <c r="L248" s="152">
        <f t="shared" si="82"/>
        <v>1.5</v>
      </c>
      <c r="M248" s="152">
        <f t="shared" si="82"/>
        <v>1.5</v>
      </c>
      <c r="N248" s="152">
        <f t="shared" si="82"/>
        <v>1.5</v>
      </c>
      <c r="O248" s="152">
        <f t="shared" si="82"/>
        <v>1.5</v>
      </c>
      <c r="P248" s="152">
        <f t="shared" si="82"/>
        <v>1.5</v>
      </c>
      <c r="Q248" s="152">
        <f t="shared" si="82"/>
        <v>1.5</v>
      </c>
      <c r="R248" s="152">
        <f t="shared" si="82"/>
        <v>1.5</v>
      </c>
      <c r="S248" s="152">
        <f t="shared" si="82"/>
        <v>1.5</v>
      </c>
      <c r="T248" s="152">
        <f t="shared" si="83"/>
        <v>1.5</v>
      </c>
      <c r="U248" s="152">
        <f t="shared" si="83"/>
        <v>1.5</v>
      </c>
      <c r="V248" s="152">
        <f t="shared" si="83"/>
        <v>1.5</v>
      </c>
      <c r="W248" s="152">
        <f t="shared" si="83"/>
        <v>1.5</v>
      </c>
      <c r="X248" s="152">
        <f t="shared" si="83"/>
        <v>1.5</v>
      </c>
      <c r="Y248" s="152">
        <f t="shared" si="83"/>
        <v>1.5</v>
      </c>
      <c r="Z248" s="152">
        <f t="shared" si="83"/>
        <v>1.5</v>
      </c>
      <c r="AA248" s="152">
        <f t="shared" si="83"/>
        <v>1.5</v>
      </c>
      <c r="AB248" s="152">
        <f t="shared" si="83"/>
        <v>1.5</v>
      </c>
      <c r="AC248" s="152">
        <f t="shared" si="83"/>
        <v>1.5</v>
      </c>
      <c r="AD248" s="152">
        <f t="shared" si="83"/>
        <v>1.5</v>
      </c>
      <c r="AE248" s="152">
        <f t="shared" si="83"/>
        <v>1.5</v>
      </c>
      <c r="AF248" s="152">
        <f t="shared" si="83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81"/>
        <v>0.3</v>
      </c>
      <c r="C249" s="152">
        <v>0.3</v>
      </c>
      <c r="D249" s="152">
        <f t="shared" si="82"/>
        <v>0.3</v>
      </c>
      <c r="E249" s="152">
        <f t="shared" si="82"/>
        <v>0.3</v>
      </c>
      <c r="F249" s="152">
        <f t="shared" si="82"/>
        <v>0.3</v>
      </c>
      <c r="G249" s="152">
        <f t="shared" si="82"/>
        <v>0.3</v>
      </c>
      <c r="H249" s="152">
        <f t="shared" si="82"/>
        <v>0.3</v>
      </c>
      <c r="I249" s="152">
        <f t="shared" si="82"/>
        <v>0.3</v>
      </c>
      <c r="J249" s="152">
        <f t="shared" si="82"/>
        <v>0.3</v>
      </c>
      <c r="K249" s="152">
        <f t="shared" si="82"/>
        <v>0.3</v>
      </c>
      <c r="L249" s="152">
        <f t="shared" si="82"/>
        <v>0.3</v>
      </c>
      <c r="M249" s="152">
        <f t="shared" si="82"/>
        <v>0.3</v>
      </c>
      <c r="N249" s="152">
        <f t="shared" si="82"/>
        <v>0.3</v>
      </c>
      <c r="O249" s="152">
        <f t="shared" si="82"/>
        <v>0.3</v>
      </c>
      <c r="P249" s="152">
        <f t="shared" si="82"/>
        <v>0.3</v>
      </c>
      <c r="Q249" s="152">
        <f t="shared" si="82"/>
        <v>0.3</v>
      </c>
      <c r="R249" s="152">
        <f t="shared" si="82"/>
        <v>0.3</v>
      </c>
      <c r="S249" s="152">
        <f t="shared" si="82"/>
        <v>0.3</v>
      </c>
      <c r="T249" s="152">
        <f t="shared" si="83"/>
        <v>0.3</v>
      </c>
      <c r="U249" s="152">
        <f t="shared" si="83"/>
        <v>0.3</v>
      </c>
      <c r="V249" s="152">
        <f t="shared" si="83"/>
        <v>0.3</v>
      </c>
      <c r="W249" s="152">
        <f t="shared" si="83"/>
        <v>0.3</v>
      </c>
      <c r="X249" s="152">
        <f t="shared" si="83"/>
        <v>0.3</v>
      </c>
      <c r="Y249" s="152">
        <f t="shared" si="83"/>
        <v>0.3</v>
      </c>
      <c r="Z249" s="152">
        <f t="shared" si="83"/>
        <v>0.3</v>
      </c>
      <c r="AA249" s="152">
        <f t="shared" si="83"/>
        <v>0.3</v>
      </c>
      <c r="AB249" s="152">
        <f t="shared" si="83"/>
        <v>0.3</v>
      </c>
      <c r="AC249" s="152">
        <f t="shared" si="83"/>
        <v>0.3</v>
      </c>
      <c r="AD249" s="152">
        <f t="shared" si="83"/>
        <v>0.3</v>
      </c>
      <c r="AE249" s="152">
        <f t="shared" si="83"/>
        <v>0.3</v>
      </c>
      <c r="AF249" s="152">
        <f t="shared" si="83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81"/>
        <v>0.4</v>
      </c>
      <c r="C250" s="152">
        <v>0.4</v>
      </c>
      <c r="D250" s="152">
        <f t="shared" si="82"/>
        <v>0.4</v>
      </c>
      <c r="E250" s="152">
        <f t="shared" si="82"/>
        <v>0.4</v>
      </c>
      <c r="F250" s="152">
        <f t="shared" si="82"/>
        <v>0.4</v>
      </c>
      <c r="G250" s="152">
        <f t="shared" si="82"/>
        <v>0.4</v>
      </c>
      <c r="H250" s="152">
        <f t="shared" si="82"/>
        <v>0.4</v>
      </c>
      <c r="I250" s="152">
        <f t="shared" si="82"/>
        <v>0.4</v>
      </c>
      <c r="J250" s="152">
        <f t="shared" si="82"/>
        <v>0.4</v>
      </c>
      <c r="K250" s="152">
        <f t="shared" si="82"/>
        <v>0.4</v>
      </c>
      <c r="L250" s="152">
        <f t="shared" si="82"/>
        <v>0.4</v>
      </c>
      <c r="M250" s="152">
        <f t="shared" si="82"/>
        <v>0.4</v>
      </c>
      <c r="N250" s="152">
        <f t="shared" si="82"/>
        <v>0.4</v>
      </c>
      <c r="O250" s="152">
        <f t="shared" si="82"/>
        <v>0.4</v>
      </c>
      <c r="P250" s="152">
        <f t="shared" si="82"/>
        <v>0.4</v>
      </c>
      <c r="Q250" s="152">
        <f t="shared" si="82"/>
        <v>0.4</v>
      </c>
      <c r="R250" s="152">
        <f t="shared" si="82"/>
        <v>0.4</v>
      </c>
      <c r="S250" s="152">
        <f t="shared" si="82"/>
        <v>0.4</v>
      </c>
      <c r="T250" s="152">
        <f t="shared" si="83"/>
        <v>0.4</v>
      </c>
      <c r="U250" s="152">
        <f t="shared" si="83"/>
        <v>0.4</v>
      </c>
      <c r="V250" s="152">
        <f t="shared" si="83"/>
        <v>0.4</v>
      </c>
      <c r="W250" s="152">
        <f t="shared" si="83"/>
        <v>0.4</v>
      </c>
      <c r="X250" s="152">
        <f t="shared" si="83"/>
        <v>0.4</v>
      </c>
      <c r="Y250" s="152">
        <f t="shared" si="83"/>
        <v>0.4</v>
      </c>
      <c r="Z250" s="152">
        <f t="shared" si="83"/>
        <v>0.4</v>
      </c>
      <c r="AA250" s="152">
        <f t="shared" si="83"/>
        <v>0.4</v>
      </c>
      <c r="AB250" s="152">
        <f t="shared" si="83"/>
        <v>0.4</v>
      </c>
      <c r="AC250" s="152">
        <f t="shared" si="83"/>
        <v>0.4</v>
      </c>
      <c r="AD250" s="152">
        <f t="shared" si="83"/>
        <v>0.4</v>
      </c>
      <c r="AE250" s="152">
        <f t="shared" si="83"/>
        <v>0.4</v>
      </c>
      <c r="AF250" s="152">
        <f t="shared" si="83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81"/>
        <v>0.64</v>
      </c>
      <c r="C251" s="157">
        <v>0.64</v>
      </c>
      <c r="D251" s="157">
        <f t="shared" si="82"/>
        <v>0.64</v>
      </c>
      <c r="E251" s="157">
        <f t="shared" si="82"/>
        <v>0.64</v>
      </c>
      <c r="F251" s="157">
        <f t="shared" si="82"/>
        <v>0.64</v>
      </c>
      <c r="G251" s="157">
        <f t="shared" si="82"/>
        <v>0.64</v>
      </c>
      <c r="H251" s="157">
        <f t="shared" si="82"/>
        <v>0.64</v>
      </c>
      <c r="I251" s="157">
        <f t="shared" si="82"/>
        <v>0.64</v>
      </c>
      <c r="J251" s="157">
        <f t="shared" si="82"/>
        <v>0.64</v>
      </c>
      <c r="K251" s="157">
        <f t="shared" si="82"/>
        <v>0.64</v>
      </c>
      <c r="L251" s="157">
        <f t="shared" si="82"/>
        <v>0.64</v>
      </c>
      <c r="M251" s="157">
        <f t="shared" si="82"/>
        <v>0.64</v>
      </c>
      <c r="N251" s="157">
        <f t="shared" si="82"/>
        <v>0.64</v>
      </c>
      <c r="O251" s="157">
        <f t="shared" si="82"/>
        <v>0.64</v>
      </c>
      <c r="P251" s="157">
        <f t="shared" si="82"/>
        <v>0.64</v>
      </c>
      <c r="Q251" s="157">
        <f t="shared" si="82"/>
        <v>0.64</v>
      </c>
      <c r="R251" s="157">
        <f t="shared" si="82"/>
        <v>0.64</v>
      </c>
      <c r="S251" s="157">
        <f t="shared" si="82"/>
        <v>0.64</v>
      </c>
      <c r="T251" s="157">
        <f t="shared" si="83"/>
        <v>0.64</v>
      </c>
      <c r="U251" s="157">
        <f t="shared" si="83"/>
        <v>0.64</v>
      </c>
      <c r="V251" s="157">
        <f t="shared" si="83"/>
        <v>0.64</v>
      </c>
      <c r="W251" s="157">
        <f t="shared" si="83"/>
        <v>0.64</v>
      </c>
      <c r="X251" s="157">
        <f t="shared" si="83"/>
        <v>0.64</v>
      </c>
      <c r="Y251" s="157">
        <f t="shared" si="83"/>
        <v>0.64</v>
      </c>
      <c r="Z251" s="157">
        <f t="shared" si="83"/>
        <v>0.64</v>
      </c>
      <c r="AA251" s="157">
        <f t="shared" si="83"/>
        <v>0.64</v>
      </c>
      <c r="AB251" s="157">
        <f t="shared" si="83"/>
        <v>0.64</v>
      </c>
      <c r="AC251" s="157">
        <f t="shared" si="83"/>
        <v>0.64</v>
      </c>
      <c r="AD251" s="157">
        <f t="shared" si="83"/>
        <v>0.64</v>
      </c>
      <c r="AE251" s="157">
        <f t="shared" si="83"/>
        <v>0.64</v>
      </c>
      <c r="AF251" s="157">
        <f t="shared" si="83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84">SUM(B246:B251)</f>
        <v>3.54</v>
      </c>
      <c r="C252" s="161">
        <f t="shared" si="84"/>
        <v>3.54</v>
      </c>
      <c r="D252" s="161">
        <f t="shared" si="84"/>
        <v>3.54</v>
      </c>
      <c r="E252" s="161">
        <f t="shared" si="84"/>
        <v>3.54</v>
      </c>
      <c r="F252" s="161">
        <f t="shared" si="84"/>
        <v>3.54</v>
      </c>
      <c r="G252" s="161">
        <f t="shared" si="84"/>
        <v>3.54</v>
      </c>
      <c r="H252" s="161">
        <f t="shared" si="84"/>
        <v>3.54</v>
      </c>
      <c r="I252" s="161">
        <f t="shared" si="84"/>
        <v>3.54</v>
      </c>
      <c r="J252" s="161">
        <f t="shared" si="84"/>
        <v>3.54</v>
      </c>
      <c r="K252" s="161">
        <f t="shared" si="84"/>
        <v>3.54</v>
      </c>
      <c r="L252" s="161">
        <f t="shared" si="84"/>
        <v>3.54</v>
      </c>
      <c r="M252" s="161">
        <f t="shared" si="84"/>
        <v>3.54</v>
      </c>
      <c r="N252" s="161">
        <f t="shared" si="84"/>
        <v>3.54</v>
      </c>
      <c r="O252" s="161">
        <f t="shared" si="84"/>
        <v>3.54</v>
      </c>
      <c r="P252" s="161">
        <f t="shared" si="84"/>
        <v>3.54</v>
      </c>
      <c r="Q252" s="161">
        <f t="shared" si="84"/>
        <v>3.54</v>
      </c>
      <c r="R252" s="161">
        <f t="shared" si="84"/>
        <v>3.54</v>
      </c>
      <c r="S252" s="161">
        <f t="shared" si="84"/>
        <v>3.54</v>
      </c>
      <c r="T252" s="161">
        <f t="shared" si="84"/>
        <v>3.54</v>
      </c>
      <c r="U252" s="161">
        <f t="shared" si="84"/>
        <v>3.54</v>
      </c>
      <c r="V252" s="161">
        <f t="shared" si="84"/>
        <v>3.54</v>
      </c>
      <c r="W252" s="161">
        <f t="shared" si="84"/>
        <v>3.54</v>
      </c>
      <c r="X252" s="161">
        <f t="shared" si="84"/>
        <v>3.54</v>
      </c>
      <c r="Y252" s="161">
        <f t="shared" si="84"/>
        <v>3.54</v>
      </c>
      <c r="Z252" s="161">
        <f t="shared" si="84"/>
        <v>3.54</v>
      </c>
      <c r="AA252" s="161">
        <f t="shared" si="84"/>
        <v>3.54</v>
      </c>
      <c r="AB252" s="161">
        <f t="shared" si="84"/>
        <v>3.54</v>
      </c>
      <c r="AC252" s="161">
        <f t="shared" si="84"/>
        <v>3.54</v>
      </c>
      <c r="AD252" s="161">
        <f t="shared" si="84"/>
        <v>3.54</v>
      </c>
      <c r="AE252" s="161">
        <f t="shared" si="84"/>
        <v>3.54</v>
      </c>
      <c r="AF252" s="161">
        <f t="shared" si="84"/>
        <v>3.54</v>
      </c>
      <c r="AG252" s="171">
        <f t="shared" si="84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2084.14</v>
      </c>
      <c r="C256" s="174">
        <f>INDEX(G9:N9,1,MATCH(MAX(G99:N99),G99:N99,0))</f>
        <v>0.33333333333333331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str">
        <f ca="1">"Pie Chart of Daily Peak Demand(Inclusive of Export) of Nepal ("&amp;A4&amp;" "&amp;B4&amp;")"</f>
        <v>Pie Chart of Daily Peak Demand(Inclusive of Export) of Nepal (Nepali Date: 2080/10/16)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644" priority="89">
      <formula>$AH11=0</formula>
    </cfRule>
  </conditionalFormatting>
  <conditionalFormatting sqref="A132:A253">
    <cfRule type="expression" dxfId="2643" priority="90">
      <formula>$AH132=0</formula>
    </cfRule>
  </conditionalFormatting>
  <conditionalFormatting sqref="B8">
    <cfRule type="expression" dxfId="2642" priority="144">
      <formula>AND(C$9&gt;=14/24,C$9&lt;20/24)</formula>
    </cfRule>
    <cfRule type="expression" dxfId="2641" priority="145">
      <formula>AND(C$9&gt;=8/24,C$9&lt;14/24)</formula>
    </cfRule>
    <cfRule type="expression" dxfId="2640" priority="146">
      <formula>C$9&lt;8/24</formula>
    </cfRule>
    <cfRule type="expression" dxfId="2639" priority="147">
      <formula>C$9&gt;=20/24</formula>
    </cfRule>
  </conditionalFormatting>
  <conditionalFormatting sqref="B11:R52 S13:V52 W20:X52 B59:D74 E68:K74 E69:AF74 B77:AF99 B9:AF10 B101:AF117 B119:AF137 B244:AF244 B246:B252">
    <cfRule type="expression" dxfId="2638" priority="41">
      <formula>B$9&gt;=20/24</formula>
    </cfRule>
  </conditionalFormatting>
  <conditionalFormatting sqref="B9:AF10 B11:R52 S13:V52 W20:X52 B59:D74 E68:K74 E69:AF74 B77:AF99 B101:AF117 B119:AF137 B244:AF244 B246:B252">
    <cfRule type="expression" dxfId="2637" priority="42">
      <formula>AND(B$9&gt;=14/24,B$9&lt;20/24)</formula>
    </cfRule>
    <cfRule type="expression" dxfId="2636" priority="43">
      <formula>AND(B$9&gt;=8/24,B$9&lt;14/24)</formula>
    </cfRule>
    <cfRule type="expression" dxfId="2635" priority="44">
      <formula>B$9&lt;8/24</formula>
    </cfRule>
  </conditionalFormatting>
  <conditionalFormatting sqref="D246:AF252">
    <cfRule type="expression" dxfId="2634" priority="129">
      <formula>D$9&gt;=20/24</formula>
    </cfRule>
    <cfRule type="expression" dxfId="2633" priority="130">
      <formula>AND(D$9&gt;=14/24,D$9&lt;20/24)</formula>
    </cfRule>
    <cfRule type="expression" dxfId="2632" priority="131">
      <formula>AND(D$9&gt;=8/24,D$9&lt;14/24)</formula>
    </cfRule>
    <cfRule type="expression" dxfId="2631" priority="132">
      <formula>D$9&lt;8/24</formula>
    </cfRule>
  </conditionalFormatting>
  <conditionalFormatting sqref="E63:K68">
    <cfRule type="expression" dxfId="2630" priority="49">
      <formula>E$9&gt;=20/24</formula>
    </cfRule>
    <cfRule type="expression" dxfId="2629" priority="50">
      <formula>AND(E$9&gt;=14/24,E$9&lt;20/24)</formula>
    </cfRule>
    <cfRule type="expression" dxfId="2628" priority="51">
      <formula>AND(E$9&gt;=8/24,E$9&lt;14/24)</formula>
    </cfRule>
    <cfRule type="expression" dxfId="2627" priority="52">
      <formula>E$9&lt;8/24</formula>
    </cfRule>
  </conditionalFormatting>
  <conditionalFormatting sqref="E11:N55 O11:R57 B11:D80 S13:V54 W20:X54 C56:N56 S56:AF56 C13:M13 C18:F18 S55:X55 E57:N57 S57:Z57 AA57:AF61 E58:Z61 E62:AG62 E63:AF80 AG80">
    <cfRule type="expression" dxfId="2626" priority="40">
      <formula>B11&gt;$AG11</formula>
    </cfRule>
  </conditionalFormatting>
  <conditionalFormatting sqref="E59:AF62">
    <cfRule type="expression" dxfId="2625" priority="67">
      <formula>E$9&gt;=20/24</formula>
    </cfRule>
    <cfRule type="expression" dxfId="2624" priority="68">
      <formula>AND(E$9&gt;=14/24,E$9&lt;20/24)</formula>
    </cfRule>
    <cfRule type="expression" dxfId="2623" priority="69">
      <formula>AND(E$9&gt;=8/24,E$9&lt;14/24)</formula>
    </cfRule>
    <cfRule type="expression" dxfId="2622" priority="70">
      <formula>E$9&lt;8/24</formula>
    </cfRule>
  </conditionalFormatting>
  <conditionalFormatting sqref="F63:M65">
    <cfRule type="expression" dxfId="2621" priority="81">
      <formula>F$9&gt;=20/24</formula>
    </cfRule>
    <cfRule type="expression" dxfId="2620" priority="82">
      <formula>AND(F$9&gt;=14/24,F$9&lt;20/24)</formula>
    </cfRule>
    <cfRule type="expression" dxfId="2619" priority="83">
      <formula>AND(F$9&gt;=8/24,F$9&lt;14/24)</formula>
    </cfRule>
    <cfRule type="expression" dxfId="2618" priority="84">
      <formula>F$9&lt;8/24</formula>
    </cfRule>
  </conditionalFormatting>
  <conditionalFormatting sqref="L68:V68">
    <cfRule type="expression" dxfId="2617" priority="77">
      <formula>L$9&gt;=20/24</formula>
    </cfRule>
    <cfRule type="expression" dxfId="2616" priority="78">
      <formula>AND(L$9&gt;=14/24,L$9&lt;20/24)</formula>
    </cfRule>
    <cfRule type="expression" dxfId="2615" priority="79">
      <formula>AND(L$9&gt;=8/24,L$9&lt;14/24)</formula>
    </cfRule>
    <cfRule type="expression" dxfId="2614" priority="80">
      <formula>L$9&lt;8/24</formula>
    </cfRule>
  </conditionalFormatting>
  <conditionalFormatting sqref="M8 S8 AB8">
    <cfRule type="expression" dxfId="2613" priority="136">
      <formula>AND(N$9&gt;=14/24,N$9&lt;20/24)</formula>
    </cfRule>
    <cfRule type="expression" dxfId="2612" priority="137">
      <formula>AND(N$9&gt;=8/24,N$9&lt;14/24)</formula>
    </cfRule>
    <cfRule type="expression" dxfId="2611" priority="138">
      <formula>N$9&lt;8/24</formula>
    </cfRule>
  </conditionalFormatting>
  <conditionalFormatting sqref="M63:V67">
    <cfRule type="expression" dxfId="2610" priority="85">
      <formula>M$9&gt;=20/24</formula>
    </cfRule>
    <cfRule type="expression" dxfId="2609" priority="86">
      <formula>AND(M$9&gt;=14/24,M$9&lt;20/24)</formula>
    </cfRule>
    <cfRule type="expression" dxfId="2608" priority="87">
      <formula>AND(M$9&gt;=8/24,M$9&lt;14/24)</formula>
    </cfRule>
    <cfRule type="expression" dxfId="2607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606" priority="135">
      <formula>N$9&gt;=20/24</formula>
    </cfRule>
  </conditionalFormatting>
  <conditionalFormatting sqref="S8">
    <cfRule type="expression" dxfId="2605" priority="122">
      <formula>U$9&gt;=20/24</formula>
    </cfRule>
    <cfRule type="expression" dxfId="2604" priority="123">
      <formula>AND(U$9&gt;=14/24,U$9&lt;20/24)</formula>
    </cfRule>
    <cfRule type="expression" dxfId="2603" priority="124">
      <formula>AND(U$9&gt;=8/24,U$9&lt;14/24)</formula>
    </cfRule>
    <cfRule type="expression" dxfId="2602" priority="125">
      <formula>U$9&lt;8/24</formula>
    </cfRule>
  </conditionalFormatting>
  <conditionalFormatting sqref="S53:X55 B53:R57 S56:AF57">
    <cfRule type="expression" dxfId="2601" priority="53">
      <formula>B$9&lt;8/24</formula>
    </cfRule>
  </conditionalFormatting>
  <conditionalFormatting sqref="S53:AF54 E53:N55 O53:R56 B53:D57 C56:N56 S56:AF56">
    <cfRule type="expression" dxfId="2600" priority="37">
      <formula>B$9&gt;=20/24</formula>
    </cfRule>
    <cfRule type="expression" dxfId="2599" priority="38">
      <formula>AND(B$9&gt;=14/24,B$9&lt;20/24)</formula>
    </cfRule>
    <cfRule type="expression" dxfId="2598" priority="39">
      <formula>AND(B$9&gt;=8/24,B$9&lt;14/24)</formula>
    </cfRule>
  </conditionalFormatting>
  <conditionalFormatting sqref="S55:AF55 E57:AF57">
    <cfRule type="expression" dxfId="2597" priority="46">
      <formula>E$9&gt;=20/24</formula>
    </cfRule>
    <cfRule type="expression" dxfId="2596" priority="47">
      <formula>AND(E$9&gt;=14/24,E$9&lt;20/24)</formula>
    </cfRule>
    <cfRule type="expression" dxfId="2595" priority="48">
      <formula>AND(E$9&gt;=8/24,E$9&lt;14/24)</formula>
    </cfRule>
  </conditionalFormatting>
  <conditionalFormatting sqref="T63:AF68">
    <cfRule type="expression" dxfId="2594" priority="71">
      <formula>T$9&gt;=20/24</formula>
    </cfRule>
    <cfRule type="expression" dxfId="2593" priority="72">
      <formula>AND(T$9&gt;=14/24,T$9&lt;20/24)</formula>
    </cfRule>
    <cfRule type="expression" dxfId="2592" priority="73">
      <formula>AND(T$9&gt;=8/24,T$9&lt;14/24)</formula>
    </cfRule>
    <cfRule type="expression" dxfId="2591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11:W11 S11:U12 X11:X19 Y11:AF52 V12 W12:W19">
    <cfRule type="expression" dxfId="2590" priority="58">
      <formula>S11&gt;$AG11</formula>
    </cfRule>
    <cfRule type="expression" dxfId="2589" priority="59">
      <formula>S$9&gt;=20/24</formula>
    </cfRule>
    <cfRule type="expression" dxfId="2588" priority="60">
      <formula>AND(S$9&gt;=14/24,S$9&lt;20/24)</formula>
    </cfRule>
    <cfRule type="expression" dxfId="2587" priority="61">
      <formula>AND(S$9&gt;=8/24,S$9&lt;14/24)</formula>
    </cfRule>
  </conditionalFormatting>
  <conditionalFormatting sqref="V11:W11 S11:U12 X11:X19 Y11:AF55 V12 W12:W19">
    <cfRule type="expression" dxfId="2586" priority="62">
      <formula>S$9&lt;8/24</formula>
    </cfRule>
  </conditionalFormatting>
  <conditionalFormatting sqref="Y53:AF55">
    <cfRule type="expression" dxfId="2585" priority="76">
      <formula>Y53&gt;$AG53</formula>
    </cfRule>
  </conditionalFormatting>
  <conditionalFormatting sqref="AB8">
    <cfRule type="expression" dxfId="2584" priority="118">
      <formula>AD$9&gt;=20/24</formula>
    </cfRule>
    <cfRule type="expression" dxfId="2583" priority="119">
      <formula>AND(AD$9&gt;=14/24,AD$9&lt;20/24)</formula>
    </cfRule>
    <cfRule type="expression" dxfId="2582" priority="120">
      <formula>AND(AD$9&gt;=8/24,AD$9&lt;14/24)</formula>
    </cfRule>
    <cfRule type="expression" dxfId="2581" priority="121">
      <formula>AD$9&lt;8/24</formula>
    </cfRule>
  </conditionalFormatting>
  <conditionalFormatting sqref="AG58">
    <cfRule type="expression" dxfId="2580" priority="113">
      <formula>AG58&gt;$AG58</formula>
    </cfRule>
  </conditionalFormatting>
  <conditionalFormatting sqref="AG62">
    <cfRule type="expression" dxfId="2579" priority="96">
      <formula>AG$9&gt;=20/24</formula>
    </cfRule>
    <cfRule type="expression" dxfId="2578" priority="97">
      <formula>AND(AG$9&gt;=14/24,AG$9&lt;20/24)</formula>
    </cfRule>
    <cfRule type="expression" dxfId="2577" priority="98">
      <formula>AND(AG$9&gt;=8/24,AG$9&lt;14/24)</formula>
    </cfRule>
    <cfRule type="expression" dxfId="2576" priority="99">
      <formula>AG$9&lt;8/24</formula>
    </cfRule>
  </conditionalFormatting>
  <conditionalFormatting sqref="AG75:AG76">
    <cfRule type="expression" dxfId="2575" priority="91">
      <formula>AG75&gt;$AG75</formula>
    </cfRule>
  </conditionalFormatting>
  <conditionalFormatting sqref="AG80">
    <cfRule type="expression" dxfId="2574" priority="92">
      <formula>AG$9&gt;=20/24</formula>
    </cfRule>
    <cfRule type="expression" dxfId="2573" priority="93">
      <formula>AND(AG$9&gt;=14/24,AG$9&lt;20/24)</formula>
    </cfRule>
    <cfRule type="expression" dxfId="2572" priority="94">
      <formula>AND(AG$9&gt;=8/24,AG$9&lt;14/24)</formula>
    </cfRule>
    <cfRule type="expression" dxfId="2571" priority="95">
      <formula>AG$9&lt;8/24</formula>
    </cfRule>
  </conditionalFormatting>
  <conditionalFormatting sqref="AG97">
    <cfRule type="expression" dxfId="2570" priority="114">
      <formula>AG$9&gt;=20/24</formula>
    </cfRule>
    <cfRule type="expression" dxfId="2569" priority="115">
      <formula>AND(AG$9&gt;=14/24,AG$9&lt;20/24)</formula>
    </cfRule>
    <cfRule type="expression" dxfId="2568" priority="116">
      <formula>AND(AG$9&gt;=8/24,AG$9&lt;14/24)</formula>
    </cfRule>
    <cfRule type="expression" dxfId="2567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66" priority="139">
      <formula>AJ$9&gt;=20/24</formula>
    </cfRule>
    <cfRule type="expression" dxfId="2565" priority="140">
      <formula>AND(AJ$9&gt;=14/24,AJ$9&lt;20/24)</formula>
    </cfRule>
    <cfRule type="expression" dxfId="2564" priority="141">
      <formula>AND(AJ$9&gt;=8/24,AJ$9&lt;14/24)</formula>
    </cfRule>
    <cfRule type="expression" dxfId="2563" priority="142">
      <formula>AJ$9&lt;8/24</formula>
    </cfRule>
  </conditionalFormatting>
  <conditionalFormatting sqref="AL88:AN88 AL94:AN94">
    <cfRule type="expression" dxfId="2562" priority="106">
      <formula>AL$9&gt;=20/24</formula>
    </cfRule>
    <cfRule type="expression" dxfId="2561" priority="107">
      <formula>AND(AL$9&gt;=14/24,AL$9&lt;20/24)</formula>
    </cfRule>
    <cfRule type="expression" dxfId="2560" priority="108">
      <formula>AND(AL$9&gt;=8/24,AL$9&lt;14/24)</formula>
    </cfRule>
    <cfRule type="expression" dxfId="2559" priority="109">
      <formula>AL$9&lt;8/24</formula>
    </cfRule>
  </conditionalFormatting>
  <conditionalFormatting sqref="AM15:AM21 AN16:AR21">
    <cfRule type="expression" dxfId="2558" priority="13">
      <formula>AX$9&gt;=20/24</formula>
    </cfRule>
    <cfRule type="expression" dxfId="2557" priority="14">
      <formula>AND(AX$9&gt;=14/24,AX$9&lt;20/24)</formula>
    </cfRule>
    <cfRule type="expression" dxfId="2556" priority="15">
      <formula>AND(AX$9&gt;=8/24,AX$9&lt;14/24)</formula>
    </cfRule>
    <cfRule type="expression" dxfId="2555" priority="16">
      <formula>AX$9&lt;8/24</formula>
    </cfRule>
  </conditionalFormatting>
  <conditionalFormatting sqref="AN89:AN92">
    <cfRule type="expression" dxfId="2554" priority="102">
      <formula>AN$9&gt;=20/24</formula>
    </cfRule>
    <cfRule type="expression" dxfId="2553" priority="103">
      <formula>AND(AN$9&gt;=14/24,AN$9&lt;20/24)</formula>
    </cfRule>
    <cfRule type="expression" dxfId="2552" priority="104">
      <formula>AND(AN$9&gt;=8/24,AN$9&lt;14/24)</formula>
    </cfRule>
    <cfRule type="expression" dxfId="2551" priority="105">
      <formula>AN$9&lt;8/24</formula>
    </cfRule>
  </conditionalFormatting>
  <conditionalFormatting sqref="AN15:AR15">
    <cfRule type="expression" dxfId="2550" priority="1">
      <formula>U$9&gt;=20/24</formula>
    </cfRule>
    <cfRule type="expression" dxfId="2549" priority="2">
      <formula>AND(U$9&gt;=14/24,U$9&lt;20/24)</formula>
    </cfRule>
    <cfRule type="expression" dxfId="2548" priority="3">
      <formula>AND(U$9&gt;=8/24,U$9&lt;14/24)</formula>
    </cfRule>
    <cfRule type="expression" dxfId="2547" priority="4">
      <formula>U$9&lt;8/24</formula>
    </cfRule>
  </conditionalFormatting>
  <conditionalFormatting sqref="AS15">
    <cfRule type="expression" dxfId="2546" priority="9">
      <formula>AA$9&gt;=20/24</formula>
    </cfRule>
    <cfRule type="expression" dxfId="2545" priority="10">
      <formula>AND(AA$9&gt;=14/24,AA$9&lt;20/24)</formula>
    </cfRule>
    <cfRule type="expression" dxfId="2544" priority="11">
      <formula>AND(AA$9&gt;=8/24,AA$9&lt;14/24)</formula>
    </cfRule>
    <cfRule type="expression" dxfId="2543" priority="12">
      <formula>AA$9&lt;8/24</formula>
    </cfRule>
  </conditionalFormatting>
  <conditionalFormatting sqref="AS16:AS21">
    <cfRule type="expression" dxfId="2542" priority="17">
      <formula>BE$9&gt;=20/24</formula>
    </cfRule>
    <cfRule type="expression" dxfId="2541" priority="18">
      <formula>AND(BE$9&gt;=14/24,BE$9&lt;20/24)</formula>
    </cfRule>
    <cfRule type="expression" dxfId="2540" priority="19">
      <formula>AND(BE$9&gt;=8/24,BE$9&lt;14/24)</formula>
    </cfRule>
    <cfRule type="expression" dxfId="2539" priority="20">
      <formula>BE$9&lt;8/24</formula>
    </cfRule>
  </conditionalFormatting>
  <conditionalFormatting sqref="AT15 AX15:BJ15">
    <cfRule type="expression" dxfId="2538" priority="21">
      <formula>AC$9&gt;=20/24</formula>
    </cfRule>
    <cfRule type="expression" dxfId="2537" priority="22">
      <formula>AND(AC$9&gt;=14/24,AC$9&lt;20/24)</formula>
    </cfRule>
    <cfRule type="expression" dxfId="2536" priority="23">
      <formula>AND(AC$9&gt;=8/24,AC$9&lt;14/24)</formula>
    </cfRule>
    <cfRule type="expression" dxfId="2535" priority="24">
      <formula>AC$9&lt;8/24</formula>
    </cfRule>
  </conditionalFormatting>
  <conditionalFormatting sqref="AT16:AT21">
    <cfRule type="expression" dxfId="2534" priority="25">
      <formula>BG$9&gt;=20/24</formula>
    </cfRule>
    <cfRule type="expression" dxfId="2533" priority="26">
      <formula>AND(BG$9&gt;=14/24,BG$9&lt;20/24)</formula>
    </cfRule>
    <cfRule type="expression" dxfId="2532" priority="27">
      <formula>AND(BG$9&gt;=8/24,BG$9&lt;14/24)</formula>
    </cfRule>
    <cfRule type="expression" dxfId="2531" priority="28">
      <formula>BG$9&lt;8/24</formula>
    </cfRule>
  </conditionalFormatting>
  <conditionalFormatting sqref="AU15:AV15">
    <cfRule type="expression" dxfId="2530" priority="29">
      <formula>AE$9&gt;=20/24</formula>
    </cfRule>
    <cfRule type="expression" dxfId="2529" priority="30">
      <formula>AND(AE$9&gt;=14/24,AE$9&lt;20/24)</formula>
    </cfRule>
    <cfRule type="expression" dxfId="2528" priority="31">
      <formula>AND(AE$9&gt;=8/24,AE$9&lt;14/24)</formula>
    </cfRule>
    <cfRule type="expression" dxfId="2527" priority="32">
      <formula>AE$9&lt;8/24</formula>
    </cfRule>
  </conditionalFormatting>
  <conditionalFormatting sqref="AU16:BJ21">
    <cfRule type="expression" dxfId="2526" priority="33">
      <formula>BI$9&gt;=20/24</formula>
    </cfRule>
    <cfRule type="expression" dxfId="2525" priority="34">
      <formula>AND(BI$9&gt;=14/24,BI$9&lt;20/24)</formula>
    </cfRule>
    <cfRule type="expression" dxfId="2524" priority="35">
      <formula>AND(BI$9&gt;=8/24,BI$9&lt;14/24)</formula>
    </cfRule>
    <cfRule type="expression" dxfId="2523" priority="36">
      <formula>BI$9&lt;8/24</formula>
    </cfRule>
  </conditionalFormatting>
  <conditionalFormatting sqref="AW15">
    <cfRule type="expression" dxfId="2522" priority="5">
      <formula>B$9&gt;=20/24</formula>
    </cfRule>
    <cfRule type="expression" dxfId="2521" priority="6">
      <formula>AND(B$9&gt;=14/24,B$9&lt;20/24)</formula>
    </cfRule>
    <cfRule type="expression" dxfId="2520" priority="7">
      <formula>AND(B$9&gt;=8/24,B$9&lt;14/24)</formula>
    </cfRule>
    <cfRule type="expression" dxfId="251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951D-590B-4542-B8AA-950CA05072CA}">
  <sheetPr codeName="Sheet17"/>
  <dimension ref="A1:CJ297"/>
  <sheetViews>
    <sheetView zoomScale="106" workbookViewId="0">
      <pane xSplit="1" ySplit="10" topLeftCell="B11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S135" sqref="S1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2080/10/16</v>
      </c>
      <c r="C4" s="187"/>
      <c r="D4" s="187"/>
      <c r="E4" s="188" t="str">
        <f ca="1">"2080/"&amp;"10/"&amp;INT(MID(CELL("filename",G6),FIND("]",CELL("filename",G6))+1,200))</f>
        <v>2080/10/16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30.9</v>
      </c>
      <c r="C5" s="30">
        <f t="shared" si="0"/>
        <v>30.9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105.1</v>
      </c>
      <c r="J5" s="30">
        <f t="shared" si="0"/>
        <v>139.10000000000002</v>
      </c>
      <c r="K5" s="30">
        <f t="shared" si="0"/>
        <v>149</v>
      </c>
      <c r="L5" s="30">
        <f t="shared" si="0"/>
        <v>162.60000000000002</v>
      </c>
      <c r="M5" s="30">
        <f t="shared" si="0"/>
        <v>149.5</v>
      </c>
      <c r="N5" s="30">
        <f t="shared" si="0"/>
        <v>179.7</v>
      </c>
      <c r="O5" s="30">
        <f t="shared" si="0"/>
        <v>322.7</v>
      </c>
      <c r="P5" s="30">
        <f t="shared" si="0"/>
        <v>391.1</v>
      </c>
      <c r="Q5" s="30">
        <f t="shared" si="0"/>
        <v>343.4</v>
      </c>
      <c r="R5" s="30">
        <f t="shared" si="0"/>
        <v>442.5</v>
      </c>
      <c r="S5" s="30">
        <f t="shared" si="0"/>
        <v>421.6</v>
      </c>
      <c r="T5" s="30">
        <f t="shared" si="0"/>
        <v>498</v>
      </c>
      <c r="U5" s="30">
        <f t="shared" si="0"/>
        <v>465.2</v>
      </c>
      <c r="V5" s="30">
        <f t="shared" si="0"/>
        <v>405.3</v>
      </c>
      <c r="W5" s="30">
        <f t="shared" si="0"/>
        <v>407.3</v>
      </c>
      <c r="X5" s="30">
        <f t="shared" si="0"/>
        <v>137.1</v>
      </c>
      <c r="Y5" s="30">
        <f t="shared" si="0"/>
        <v>60.3</v>
      </c>
      <c r="Z5" s="30">
        <f t="shared" si="0"/>
        <v>55.3</v>
      </c>
      <c r="AA5" s="30">
        <f t="shared" si="0"/>
        <v>50.1</v>
      </c>
      <c r="AB5" s="30">
        <f t="shared" si="0"/>
        <v>47.5</v>
      </c>
      <c r="AC5" s="30">
        <f t="shared" si="0"/>
        <v>53.2</v>
      </c>
      <c r="AD5" s="30">
        <f t="shared" si="0"/>
        <v>61.9</v>
      </c>
      <c r="AE5" s="30">
        <f t="shared" si="0"/>
        <v>50.8</v>
      </c>
      <c r="AF5" s="30">
        <f>B95</f>
        <v>16.100000000000001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2121MW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Load=1463</v>
      </c>
      <c r="B7" s="35">
        <f t="shared" ref="B7:AF7" si="1">B103</f>
        <v>1591.04</v>
      </c>
      <c r="C7" s="35">
        <f t="shared" si="1"/>
        <v>1543.44</v>
      </c>
      <c r="D7" s="35">
        <f t="shared" si="1"/>
        <v>1543.44</v>
      </c>
      <c r="E7" s="35">
        <f t="shared" si="1"/>
        <v>1515.44</v>
      </c>
      <c r="F7" s="35">
        <f t="shared" si="1"/>
        <v>1465.77</v>
      </c>
      <c r="G7" s="35">
        <f t="shared" si="1"/>
        <v>1463.27</v>
      </c>
      <c r="H7" s="35">
        <f t="shared" si="1"/>
        <v>1472.1699999999998</v>
      </c>
      <c r="I7" s="35">
        <f t="shared" si="1"/>
        <v>1513.04</v>
      </c>
      <c r="J7" s="35">
        <f t="shared" si="1"/>
        <v>1655.6399999999999</v>
      </c>
      <c r="K7" s="35">
        <f t="shared" si="1"/>
        <v>1744.3400000000001</v>
      </c>
      <c r="L7" s="35">
        <f t="shared" si="1"/>
        <v>1800.3400000000001</v>
      </c>
      <c r="M7" s="35">
        <f t="shared" si="1"/>
        <v>1828.74</v>
      </c>
      <c r="N7" s="35">
        <f t="shared" si="1"/>
        <v>1826.74</v>
      </c>
      <c r="O7" s="35">
        <f t="shared" si="1"/>
        <v>1970.74</v>
      </c>
      <c r="P7" s="35">
        <f t="shared" si="1"/>
        <v>1911.4399999999998</v>
      </c>
      <c r="Q7" s="35">
        <f t="shared" si="1"/>
        <v>2021.2399999999998</v>
      </c>
      <c r="R7" s="35">
        <f t="shared" si="1"/>
        <v>1898.94</v>
      </c>
      <c r="S7" s="35">
        <f t="shared" si="1"/>
        <v>1998.04</v>
      </c>
      <c r="T7" s="35">
        <f t="shared" si="1"/>
        <v>1967.8400000000001</v>
      </c>
      <c r="U7" s="35">
        <f t="shared" si="1"/>
        <v>1984.1399999999999</v>
      </c>
      <c r="V7" s="35">
        <f t="shared" si="1"/>
        <v>1943.0400000000002</v>
      </c>
      <c r="W7" s="35">
        <f t="shared" si="1"/>
        <v>1813.4399999999998</v>
      </c>
      <c r="X7" s="35">
        <f t="shared" si="1"/>
        <v>1815.4399999999998</v>
      </c>
      <c r="Y7" s="35">
        <f t="shared" si="1"/>
        <v>1636.6</v>
      </c>
      <c r="Z7" s="35">
        <f t="shared" si="1"/>
        <v>1615.8</v>
      </c>
      <c r="AA7" s="35">
        <f t="shared" si="1"/>
        <v>1737.5</v>
      </c>
      <c r="AB7" s="35">
        <f t="shared" si="1"/>
        <v>2131.44</v>
      </c>
      <c r="AC7" s="35">
        <f t="shared" si="1"/>
        <v>2108.9399999999996</v>
      </c>
      <c r="AD7" s="35">
        <f t="shared" si="1"/>
        <v>2080.0399999999995</v>
      </c>
      <c r="AE7" s="35">
        <f t="shared" si="1"/>
        <v>1992.9399999999996</v>
      </c>
      <c r="AF7" s="35">
        <f t="shared" si="1"/>
        <v>1873.8399999999997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2304.94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2131.44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35.9</v>
      </c>
      <c r="C11" s="46">
        <v>35.9</v>
      </c>
      <c r="D11" s="46">
        <v>35.9</v>
      </c>
      <c r="E11" s="46">
        <v>35.9</v>
      </c>
      <c r="F11" s="46">
        <v>35.9</v>
      </c>
      <c r="G11" s="46">
        <v>35.9</v>
      </c>
      <c r="H11" s="46">
        <v>35.9</v>
      </c>
      <c r="I11" s="46">
        <v>35.9</v>
      </c>
      <c r="J11" s="46">
        <v>35.9</v>
      </c>
      <c r="K11" s="46">
        <v>35.9</v>
      </c>
      <c r="L11" s="46">
        <v>35.9</v>
      </c>
      <c r="M11" s="46">
        <v>30.5</v>
      </c>
      <c r="N11" s="46">
        <v>30.5</v>
      </c>
      <c r="O11" s="46">
        <v>30.5</v>
      </c>
      <c r="P11" s="46">
        <v>30.5</v>
      </c>
      <c r="Q11" s="46">
        <v>30.5</v>
      </c>
      <c r="R11" s="46">
        <v>30.5</v>
      </c>
      <c r="S11" s="46">
        <v>30.5</v>
      </c>
      <c r="T11" s="46">
        <v>30.5</v>
      </c>
      <c r="U11" s="46">
        <v>30.5</v>
      </c>
      <c r="V11" s="46">
        <v>30.5</v>
      </c>
      <c r="W11" s="46">
        <v>30.5</v>
      </c>
      <c r="X11" s="46">
        <v>30.5</v>
      </c>
      <c r="Y11" s="46">
        <v>30.5</v>
      </c>
      <c r="Z11" s="46">
        <v>30.5</v>
      </c>
      <c r="AA11" s="46">
        <v>30.5</v>
      </c>
      <c r="AB11" s="46">
        <v>25.5</v>
      </c>
      <c r="AC11" s="46">
        <v>22.3</v>
      </c>
      <c r="AD11" s="46">
        <v>26.1</v>
      </c>
      <c r="AE11" s="46">
        <v>26.1</v>
      </c>
      <c r="AF11" s="46">
        <v>26.1</v>
      </c>
      <c r="AG11" s="47">
        <v>86</v>
      </c>
      <c r="AH11" s="48">
        <f t="shared" ref="AH11:AH74" si="2">MAX(B11:AF11)</f>
        <v>35.9</v>
      </c>
      <c r="AI11" s="49">
        <f t="shared" ref="AI11:AI74" si="3">MIN(B11:AF11)</f>
        <v>22.3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31</v>
      </c>
      <c r="C12" s="46">
        <v>31</v>
      </c>
      <c r="D12" s="46">
        <v>31</v>
      </c>
      <c r="E12" s="46">
        <v>31</v>
      </c>
      <c r="F12" s="46">
        <v>31</v>
      </c>
      <c r="G12" s="46">
        <v>31</v>
      </c>
      <c r="H12" s="46">
        <v>31</v>
      </c>
      <c r="I12" s="46">
        <v>31</v>
      </c>
      <c r="J12" s="46">
        <v>31</v>
      </c>
      <c r="K12" s="46">
        <v>31</v>
      </c>
      <c r="L12" s="46">
        <v>31</v>
      </c>
      <c r="M12" s="46">
        <v>31</v>
      </c>
      <c r="N12" s="46">
        <v>31</v>
      </c>
      <c r="O12" s="46">
        <v>31</v>
      </c>
      <c r="P12" s="46">
        <v>31</v>
      </c>
      <c r="Q12" s="46">
        <v>31</v>
      </c>
      <c r="R12" s="46">
        <v>31</v>
      </c>
      <c r="S12" s="46">
        <v>31</v>
      </c>
      <c r="T12" s="46">
        <v>31</v>
      </c>
      <c r="U12" s="46">
        <v>31</v>
      </c>
      <c r="V12" s="46">
        <v>31</v>
      </c>
      <c r="W12" s="46">
        <v>31</v>
      </c>
      <c r="X12" s="46">
        <v>31</v>
      </c>
      <c r="Y12" s="46">
        <v>31</v>
      </c>
      <c r="Z12" s="46">
        <v>31</v>
      </c>
      <c r="AA12" s="46">
        <v>31</v>
      </c>
      <c r="AB12" s="46">
        <v>31</v>
      </c>
      <c r="AC12" s="46">
        <v>31</v>
      </c>
      <c r="AD12" s="46">
        <v>31</v>
      </c>
      <c r="AE12" s="46">
        <v>31</v>
      </c>
      <c r="AF12" s="46">
        <v>31</v>
      </c>
      <c r="AG12" s="50">
        <v>77</v>
      </c>
      <c r="AH12" s="48">
        <f t="shared" si="2"/>
        <v>31</v>
      </c>
      <c r="AI12" s="49">
        <f t="shared" si="3"/>
        <v>31</v>
      </c>
      <c r="AK12" s="51"/>
      <c r="AL12" s="52" t="str">
        <f ca="1">MID(CELL("filename",C7),FIND("]",CELL("filename",C7))+1,600)</f>
        <v>16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65.2</v>
      </c>
      <c r="C13" s="46">
        <v>65.2</v>
      </c>
      <c r="D13" s="46">
        <v>65.2</v>
      </c>
      <c r="E13" s="46">
        <v>65.2</v>
      </c>
      <c r="F13" s="46">
        <v>65.2</v>
      </c>
      <c r="G13" s="46">
        <v>65.2</v>
      </c>
      <c r="H13" s="46">
        <v>65.2</v>
      </c>
      <c r="I13" s="46">
        <v>65.2</v>
      </c>
      <c r="J13" s="46">
        <v>65.2</v>
      </c>
      <c r="K13" s="46">
        <v>65.2</v>
      </c>
      <c r="L13" s="46">
        <v>65.2</v>
      </c>
      <c r="M13" s="46">
        <v>65.2</v>
      </c>
      <c r="N13" s="46">
        <v>65.2</v>
      </c>
      <c r="O13" s="46">
        <v>65.2</v>
      </c>
      <c r="P13" s="46">
        <v>65.2</v>
      </c>
      <c r="Q13" s="46">
        <v>65.2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68</v>
      </c>
      <c r="AC13" s="46">
        <v>68</v>
      </c>
      <c r="AD13" s="46">
        <v>69.7</v>
      </c>
      <c r="AE13" s="46">
        <v>69.7</v>
      </c>
      <c r="AF13" s="46">
        <v>69.7</v>
      </c>
      <c r="AG13" s="50">
        <v>73</v>
      </c>
      <c r="AH13" s="48">
        <f t="shared" si="2"/>
        <v>69.7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2080/10/16)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40.6</v>
      </c>
      <c r="C14" s="46">
        <v>40.6</v>
      </c>
      <c r="D14" s="46">
        <v>40.6</v>
      </c>
      <c r="E14" s="46">
        <v>40.6</v>
      </c>
      <c r="F14" s="46">
        <v>40.6</v>
      </c>
      <c r="G14" s="46">
        <v>40.6</v>
      </c>
      <c r="H14" s="46">
        <v>40.6</v>
      </c>
      <c r="I14" s="46">
        <v>40.6</v>
      </c>
      <c r="J14" s="46">
        <v>40.6</v>
      </c>
      <c r="K14" s="46">
        <v>40.6</v>
      </c>
      <c r="L14" s="46">
        <v>40.6</v>
      </c>
      <c r="M14" s="46">
        <v>40.6</v>
      </c>
      <c r="N14" s="46">
        <v>40.6</v>
      </c>
      <c r="O14" s="46">
        <v>40.6</v>
      </c>
      <c r="P14" s="46">
        <v>40.6</v>
      </c>
      <c r="Q14" s="46">
        <v>40.6</v>
      </c>
      <c r="R14" s="46">
        <v>40.6</v>
      </c>
      <c r="S14" s="46">
        <v>40.6</v>
      </c>
      <c r="T14" s="46">
        <v>40.6</v>
      </c>
      <c r="U14" s="46">
        <v>40.6</v>
      </c>
      <c r="V14" s="46">
        <v>40.6</v>
      </c>
      <c r="W14" s="46">
        <v>40.6</v>
      </c>
      <c r="X14" s="46">
        <v>40.6</v>
      </c>
      <c r="Y14" s="46">
        <v>40.6</v>
      </c>
      <c r="Z14" s="46">
        <v>40.6</v>
      </c>
      <c r="AA14" s="46">
        <v>40.6</v>
      </c>
      <c r="AB14" s="46">
        <v>40.6</v>
      </c>
      <c r="AC14" s="46">
        <v>40.6</v>
      </c>
      <c r="AD14" s="46">
        <v>40.6</v>
      </c>
      <c r="AE14" s="46">
        <v>40.6</v>
      </c>
      <c r="AF14" s="46">
        <v>40.6</v>
      </c>
      <c r="AG14" s="50">
        <v>71</v>
      </c>
      <c r="AH14" s="48">
        <f t="shared" si="2"/>
        <v>40.6</v>
      </c>
      <c r="AI14" s="49">
        <f t="shared" si="3"/>
        <v>40.6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45</v>
      </c>
      <c r="C15" s="46">
        <v>45</v>
      </c>
      <c r="D15" s="46">
        <v>45</v>
      </c>
      <c r="E15" s="46">
        <v>45</v>
      </c>
      <c r="F15" s="46">
        <v>45</v>
      </c>
      <c r="G15" s="46">
        <v>45</v>
      </c>
      <c r="H15" s="46">
        <v>45</v>
      </c>
      <c r="I15" s="46">
        <v>45</v>
      </c>
      <c r="J15" s="46">
        <v>45</v>
      </c>
      <c r="K15" s="46">
        <v>45</v>
      </c>
      <c r="L15" s="46">
        <v>45</v>
      </c>
      <c r="M15" s="46">
        <v>45</v>
      </c>
      <c r="N15" s="46">
        <v>45</v>
      </c>
      <c r="O15" s="46">
        <v>45</v>
      </c>
      <c r="P15" s="46">
        <v>45</v>
      </c>
      <c r="Q15" s="46">
        <v>45</v>
      </c>
      <c r="R15" s="46">
        <v>45</v>
      </c>
      <c r="S15" s="46">
        <v>45</v>
      </c>
      <c r="T15" s="46">
        <v>45</v>
      </c>
      <c r="U15" s="46">
        <v>45</v>
      </c>
      <c r="V15" s="46">
        <v>45</v>
      </c>
      <c r="W15" s="46">
        <v>45</v>
      </c>
      <c r="X15" s="46">
        <v>45</v>
      </c>
      <c r="Y15" s="46">
        <v>45</v>
      </c>
      <c r="Z15" s="46">
        <v>45</v>
      </c>
      <c r="AA15" s="46">
        <v>45</v>
      </c>
      <c r="AB15" s="46">
        <v>45</v>
      </c>
      <c r="AC15" s="46">
        <v>45</v>
      </c>
      <c r="AD15" s="46">
        <v>45</v>
      </c>
      <c r="AE15" s="46">
        <v>45</v>
      </c>
      <c r="AF15" s="46">
        <v>45</v>
      </c>
      <c r="AG15" s="50">
        <v>54</v>
      </c>
      <c r="AH15" s="48">
        <f t="shared" si="2"/>
        <v>45</v>
      </c>
      <c r="AI15" s="49">
        <f t="shared" si="3"/>
        <v>45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</v>
      </c>
      <c r="C16" s="46">
        <v>27</v>
      </c>
      <c r="D16" s="46">
        <v>27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>
        <v>27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27</v>
      </c>
      <c r="AG16" s="50">
        <v>54</v>
      </c>
      <c r="AH16" s="48">
        <f t="shared" si="2"/>
        <v>27</v>
      </c>
      <c r="AI16" s="49">
        <f t="shared" si="3"/>
        <v>27</v>
      </c>
      <c r="AK16" s="51"/>
      <c r="AL16" s="54" t="s">
        <v>7</v>
      </c>
      <c r="AM16" s="59">
        <f t="shared" ref="AM16:AR16" si="4">B61</f>
        <v>936.6</v>
      </c>
      <c r="AN16" s="59">
        <f t="shared" si="4"/>
        <v>936.6</v>
      </c>
      <c r="AO16" s="59">
        <f t="shared" si="4"/>
        <v>936.6</v>
      </c>
      <c r="AP16" s="59">
        <f t="shared" si="4"/>
        <v>936.6</v>
      </c>
      <c r="AQ16" s="59">
        <f t="shared" si="4"/>
        <v>936.6</v>
      </c>
      <c r="AR16" s="59">
        <f t="shared" si="4"/>
        <v>936.6</v>
      </c>
      <c r="AS16" s="59">
        <f>I61</f>
        <v>936.6</v>
      </c>
      <c r="AT16" s="59">
        <f>K61</f>
        <v>936.6</v>
      </c>
      <c r="AU16" s="59">
        <f t="shared" ref="AU16:BD16" si="5">M61</f>
        <v>931.19999999999993</v>
      </c>
      <c r="AV16" s="59">
        <f t="shared" si="5"/>
        <v>931.19999999999993</v>
      </c>
      <c r="AW16" s="59">
        <f t="shared" si="5"/>
        <v>931.19999999999993</v>
      </c>
      <c r="AX16" s="59">
        <f t="shared" si="5"/>
        <v>931.19999999999993</v>
      </c>
      <c r="AY16" s="59">
        <f t="shared" si="5"/>
        <v>931.19999999999993</v>
      </c>
      <c r="AZ16" s="59">
        <f t="shared" si="5"/>
        <v>865.99999999999989</v>
      </c>
      <c r="BA16" s="59">
        <f t="shared" si="5"/>
        <v>865.99999999999989</v>
      </c>
      <c r="BB16" s="59">
        <f t="shared" si="5"/>
        <v>865.99999999999989</v>
      </c>
      <c r="BC16" s="59">
        <f t="shared" si="5"/>
        <v>865.99999999999989</v>
      </c>
      <c r="BD16" s="59">
        <f t="shared" si="5"/>
        <v>865.99999999999989</v>
      </c>
      <c r="BE16" s="60">
        <f>X61</f>
        <v>865.99999999999989</v>
      </c>
      <c r="BF16" s="60">
        <f>Z61</f>
        <v>865.99999999999989</v>
      </c>
      <c r="BG16" s="60">
        <f>AB61</f>
        <v>880.9</v>
      </c>
      <c r="BH16" s="60">
        <f>AD61</f>
        <v>871.5999999999998</v>
      </c>
      <c r="BI16" s="60">
        <f>AE61</f>
        <v>871.5999999999998</v>
      </c>
      <c r="BJ16" s="60">
        <f>AF61</f>
        <v>871.5999999999998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20</v>
      </c>
      <c r="C17" s="46">
        <v>20</v>
      </c>
      <c r="D17" s="46">
        <v>20</v>
      </c>
      <c r="E17" s="46">
        <v>20</v>
      </c>
      <c r="F17" s="46">
        <v>20</v>
      </c>
      <c r="G17" s="46">
        <v>20</v>
      </c>
      <c r="H17" s="46">
        <v>20</v>
      </c>
      <c r="I17" s="46">
        <v>20</v>
      </c>
      <c r="J17" s="46">
        <v>20</v>
      </c>
      <c r="K17" s="46">
        <v>20</v>
      </c>
      <c r="L17" s="46">
        <v>20</v>
      </c>
      <c r="M17" s="46">
        <v>20</v>
      </c>
      <c r="N17" s="46">
        <v>20</v>
      </c>
      <c r="O17" s="46">
        <v>20</v>
      </c>
      <c r="P17" s="46">
        <v>20</v>
      </c>
      <c r="Q17" s="46">
        <v>20</v>
      </c>
      <c r="R17" s="46">
        <v>20</v>
      </c>
      <c r="S17" s="46">
        <v>20</v>
      </c>
      <c r="T17" s="46">
        <v>20</v>
      </c>
      <c r="U17" s="46">
        <v>20</v>
      </c>
      <c r="V17" s="46">
        <v>20</v>
      </c>
      <c r="W17" s="46">
        <v>20</v>
      </c>
      <c r="X17" s="46">
        <v>20</v>
      </c>
      <c r="Y17" s="46">
        <v>20</v>
      </c>
      <c r="Z17" s="46">
        <v>20</v>
      </c>
      <c r="AA17" s="46">
        <v>20</v>
      </c>
      <c r="AB17" s="46">
        <v>20</v>
      </c>
      <c r="AC17" s="46">
        <v>20</v>
      </c>
      <c r="AD17" s="46">
        <v>26.5</v>
      </c>
      <c r="AE17" s="46">
        <v>26.5</v>
      </c>
      <c r="AF17" s="46">
        <v>26.5</v>
      </c>
      <c r="AG17" s="47">
        <v>52.4</v>
      </c>
      <c r="AH17" s="48">
        <f t="shared" si="2"/>
        <v>26.5</v>
      </c>
      <c r="AI17" s="49">
        <f t="shared" si="3"/>
        <v>20</v>
      </c>
      <c r="AK17" s="51"/>
      <c r="AL17" s="54" t="s">
        <v>27</v>
      </c>
      <c r="AM17" s="59">
        <f t="shared" ref="AM17:AR17" si="6">B65</f>
        <v>204.29999999999998</v>
      </c>
      <c r="AN17" s="59">
        <f t="shared" si="6"/>
        <v>528.70000000000005</v>
      </c>
      <c r="AO17" s="59">
        <f t="shared" si="6"/>
        <v>528.70000000000005</v>
      </c>
      <c r="AP17" s="59">
        <f t="shared" si="6"/>
        <v>537.20000000000005</v>
      </c>
      <c r="AQ17" s="59">
        <f t="shared" si="6"/>
        <v>511.90000000000003</v>
      </c>
      <c r="AR17" s="59">
        <f t="shared" si="6"/>
        <v>522.9</v>
      </c>
      <c r="AS17" s="59">
        <f>I65</f>
        <v>534.1</v>
      </c>
      <c r="AT17" s="59">
        <f>K65</f>
        <v>478.80000000000007</v>
      </c>
      <c r="AU17" s="59">
        <f t="shared" ref="AU17:BD17" si="7">M65</f>
        <v>528.6</v>
      </c>
      <c r="AV17" s="59">
        <f t="shared" si="7"/>
        <v>339.3</v>
      </c>
      <c r="AW17" s="59">
        <f t="shared" si="7"/>
        <v>404.40000000000003</v>
      </c>
      <c r="AX17" s="59">
        <f t="shared" si="7"/>
        <v>188.5</v>
      </c>
      <c r="AY17" s="59">
        <f t="shared" si="7"/>
        <v>223</v>
      </c>
      <c r="AZ17" s="59">
        <f t="shared" si="7"/>
        <v>170.1</v>
      </c>
      <c r="BA17" s="59">
        <f t="shared" si="7"/>
        <v>170.1</v>
      </c>
      <c r="BB17" s="59">
        <f t="shared" si="7"/>
        <v>167.5</v>
      </c>
      <c r="BC17" s="59">
        <f t="shared" si="7"/>
        <v>149</v>
      </c>
      <c r="BD17" s="59">
        <f t="shared" si="7"/>
        <v>167.5</v>
      </c>
      <c r="BE17" s="60">
        <f>X65</f>
        <v>127.5</v>
      </c>
      <c r="BF17" s="60">
        <f>Z65</f>
        <v>523.5</v>
      </c>
      <c r="BG17" s="60">
        <f>AB65</f>
        <v>521.5</v>
      </c>
      <c r="BH17" s="60">
        <f>AD65</f>
        <v>520.29999999999995</v>
      </c>
      <c r="BI17" s="60">
        <f>AE65</f>
        <v>521.1</v>
      </c>
      <c r="BJ17" s="60">
        <f>AF65</f>
        <v>521.1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50.3</v>
      </c>
      <c r="Y18" s="46">
        <v>50.3</v>
      </c>
      <c r="Z18" s="46">
        <v>50.3</v>
      </c>
      <c r="AA18" s="53">
        <v>50.3</v>
      </c>
      <c r="AB18" s="53">
        <v>50.3</v>
      </c>
      <c r="AC18" s="53">
        <v>50.3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397.43999999999994</v>
      </c>
      <c r="AN18" s="59">
        <f t="shared" si="8"/>
        <v>404.43999999999994</v>
      </c>
      <c r="AO18" s="59">
        <f t="shared" si="8"/>
        <v>404.43999999999994</v>
      </c>
      <c r="AP18" s="59">
        <f t="shared" si="8"/>
        <v>404.93999999999994</v>
      </c>
      <c r="AQ18" s="59">
        <f t="shared" si="8"/>
        <v>403.77</v>
      </c>
      <c r="AR18" s="59">
        <f t="shared" si="8"/>
        <v>400.46999999999997</v>
      </c>
      <c r="AS18" s="59">
        <f>I79</f>
        <v>400.73999999999995</v>
      </c>
      <c r="AT18" s="59">
        <f>K79</f>
        <v>400.93999999999994</v>
      </c>
      <c r="AU18" s="59">
        <f t="shared" ref="AU18:BD18" si="9">M79</f>
        <v>399.74</v>
      </c>
      <c r="AV18" s="59">
        <f t="shared" si="9"/>
        <v>412.94</v>
      </c>
      <c r="AW18" s="59">
        <f t="shared" si="9"/>
        <v>423.24</v>
      </c>
      <c r="AX18" s="59">
        <f t="shared" si="9"/>
        <v>378.24</v>
      </c>
      <c r="AY18" s="59">
        <f t="shared" si="9"/>
        <v>377.74</v>
      </c>
      <c r="AZ18" s="59">
        <f t="shared" si="9"/>
        <v>421.24</v>
      </c>
      <c r="BA18" s="59">
        <f t="shared" si="9"/>
        <v>421.24</v>
      </c>
      <c r="BB18" s="59">
        <f t="shared" si="9"/>
        <v>414.53999999999996</v>
      </c>
      <c r="BC18" s="59">
        <f t="shared" si="9"/>
        <v>404.14</v>
      </c>
      <c r="BD18" s="59">
        <f t="shared" si="9"/>
        <v>392.44</v>
      </c>
      <c r="BE18" s="60">
        <f>X79</f>
        <v>392.44</v>
      </c>
      <c r="BF18" s="60">
        <f>Z79</f>
        <v>388.7</v>
      </c>
      <c r="BG18" s="60">
        <f>AB79</f>
        <v>401.84000000000003</v>
      </c>
      <c r="BH18" s="60">
        <f>AD79</f>
        <v>399.84</v>
      </c>
      <c r="BI18" s="60">
        <f>AE79</f>
        <v>400.23999999999995</v>
      </c>
      <c r="BJ18" s="60">
        <f>AF79</f>
        <v>400.23999999999995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16.100000000000001</v>
      </c>
      <c r="AN19" s="59">
        <f t="shared" si="10"/>
        <v>30.9</v>
      </c>
      <c r="AO19" s="59">
        <f t="shared" si="10"/>
        <v>30.9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139.10000000000002</v>
      </c>
      <c r="AU19" s="59">
        <f t="shared" ref="AU19:BD19" si="11">M95</f>
        <v>162.60000000000002</v>
      </c>
      <c r="AV19" s="59">
        <f t="shared" si="11"/>
        <v>149.5</v>
      </c>
      <c r="AW19" s="59">
        <f t="shared" si="11"/>
        <v>179.7</v>
      </c>
      <c r="AX19" s="59">
        <f t="shared" si="11"/>
        <v>322.7</v>
      </c>
      <c r="AY19" s="59">
        <f t="shared" si="11"/>
        <v>391.1</v>
      </c>
      <c r="AZ19" s="59">
        <f t="shared" si="11"/>
        <v>343.4</v>
      </c>
      <c r="BA19" s="59">
        <f t="shared" si="11"/>
        <v>442.5</v>
      </c>
      <c r="BB19" s="59">
        <f t="shared" si="11"/>
        <v>421.6</v>
      </c>
      <c r="BC19" s="59">
        <f t="shared" si="11"/>
        <v>498</v>
      </c>
      <c r="BD19" s="59">
        <f t="shared" si="11"/>
        <v>465.2</v>
      </c>
      <c r="BE19" s="60">
        <f>X95</f>
        <v>407.3</v>
      </c>
      <c r="BF19" s="60">
        <f>Z95</f>
        <v>60.3</v>
      </c>
      <c r="BG19" s="60">
        <f>AB95</f>
        <v>50.1</v>
      </c>
      <c r="BH19" s="60">
        <f>AD95</f>
        <v>53.2</v>
      </c>
      <c r="BI19" s="60">
        <f>AE95</f>
        <v>61.9</v>
      </c>
      <c r="BJ19" s="60">
        <f>AF95</f>
        <v>50.8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30</v>
      </c>
      <c r="C20" s="46">
        <v>30</v>
      </c>
      <c r="D20" s="46">
        <v>30</v>
      </c>
      <c r="E20" s="46">
        <v>30</v>
      </c>
      <c r="F20" s="46">
        <v>30</v>
      </c>
      <c r="G20" s="46">
        <v>30</v>
      </c>
      <c r="H20" s="46">
        <v>30</v>
      </c>
      <c r="I20" s="46">
        <v>30</v>
      </c>
      <c r="J20" s="46">
        <v>30</v>
      </c>
      <c r="K20" s="46">
        <v>30</v>
      </c>
      <c r="L20" s="46">
        <v>30</v>
      </c>
      <c r="M20" s="46">
        <v>30</v>
      </c>
      <c r="N20" s="46">
        <v>30</v>
      </c>
      <c r="O20" s="46">
        <v>30</v>
      </c>
      <c r="P20" s="46">
        <v>30</v>
      </c>
      <c r="Q20" s="46">
        <v>30</v>
      </c>
      <c r="R20" s="46">
        <v>30</v>
      </c>
      <c r="S20" s="46">
        <v>30</v>
      </c>
      <c r="T20" s="46">
        <v>30</v>
      </c>
      <c r="U20" s="46">
        <v>30</v>
      </c>
      <c r="V20" s="46">
        <v>30</v>
      </c>
      <c r="W20" s="46">
        <v>30</v>
      </c>
      <c r="X20" s="46">
        <v>30</v>
      </c>
      <c r="Y20" s="46">
        <v>30</v>
      </c>
      <c r="Z20" s="46">
        <v>30</v>
      </c>
      <c r="AA20" s="46">
        <v>30</v>
      </c>
      <c r="AB20" s="46">
        <v>30</v>
      </c>
      <c r="AC20" s="46">
        <v>30</v>
      </c>
      <c r="AD20" s="46">
        <v>32.9</v>
      </c>
      <c r="AE20" s="46">
        <v>32.9</v>
      </c>
      <c r="AF20" s="46">
        <v>32.9</v>
      </c>
      <c r="AG20" s="50">
        <v>44</v>
      </c>
      <c r="AH20" s="48">
        <f t="shared" si="2"/>
        <v>32.9</v>
      </c>
      <c r="AI20" s="49">
        <f t="shared" si="3"/>
        <v>30</v>
      </c>
      <c r="AK20" s="51"/>
      <c r="AL20" s="54" t="s">
        <v>33</v>
      </c>
      <c r="AM20" s="59">
        <f t="shared" ref="AM20:AR20" si="12">B83</f>
        <v>36.599999999999994</v>
      </c>
      <c r="AN20" s="59">
        <f t="shared" si="12"/>
        <v>50.8</v>
      </c>
      <c r="AO20" s="59">
        <f t="shared" si="12"/>
        <v>50.8</v>
      </c>
      <c r="AP20" s="59">
        <f t="shared" si="12"/>
        <v>41.3</v>
      </c>
      <c r="AQ20" s="59">
        <f t="shared" si="12"/>
        <v>23.099999999999998</v>
      </c>
      <c r="AR20" s="59">
        <f t="shared" si="12"/>
        <v>29.599999999999998</v>
      </c>
      <c r="AS20" s="59">
        <f>I83</f>
        <v>61.3</v>
      </c>
      <c r="AT20" s="59">
        <f>K83</f>
        <v>100.9</v>
      </c>
      <c r="AU20" s="59">
        <f t="shared" ref="AU20:BD20" si="13">M83</f>
        <v>98.800000000000011</v>
      </c>
      <c r="AV20" s="59">
        <f t="shared" si="13"/>
        <v>61.800000000000004</v>
      </c>
      <c r="AW20" s="59">
        <f t="shared" si="13"/>
        <v>98.9</v>
      </c>
      <c r="AX20" s="59">
        <f t="shared" si="13"/>
        <v>90.8</v>
      </c>
      <c r="AY20" s="59">
        <f t="shared" si="13"/>
        <v>98.2</v>
      </c>
      <c r="AZ20" s="59">
        <f t="shared" si="13"/>
        <v>98.2</v>
      </c>
      <c r="BA20" s="59">
        <f t="shared" si="13"/>
        <v>98.2</v>
      </c>
      <c r="BB20" s="59">
        <f t="shared" si="13"/>
        <v>98.2</v>
      </c>
      <c r="BC20" s="59">
        <f t="shared" si="13"/>
        <v>67</v>
      </c>
      <c r="BD20" s="59">
        <f t="shared" si="13"/>
        <v>51.9</v>
      </c>
      <c r="BE20" s="60">
        <f>X83</f>
        <v>22.200000000000003</v>
      </c>
      <c r="BF20" s="60">
        <f>Z83</f>
        <v>67.3</v>
      </c>
      <c r="BG20" s="60">
        <f>AB83</f>
        <v>100.10000000000001</v>
      </c>
      <c r="BH20" s="60">
        <f>AD83</f>
        <v>100.10000000000001</v>
      </c>
      <c r="BI20" s="60">
        <f>AE83</f>
        <v>100.10000000000001</v>
      </c>
      <c r="BJ20" s="60">
        <f>AF83</f>
        <v>100.10000000000001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350</v>
      </c>
      <c r="BH21" s="60">
        <f>AD101</f>
        <v>350</v>
      </c>
      <c r="BI21" s="60">
        <f>AE101</f>
        <v>350</v>
      </c>
      <c r="BJ21" s="60">
        <f>AF101</f>
        <v>350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28.1</v>
      </c>
      <c r="C22" s="46">
        <v>28.1</v>
      </c>
      <c r="D22" s="46">
        <v>28.1</v>
      </c>
      <c r="E22" s="46">
        <v>28.1</v>
      </c>
      <c r="F22" s="46">
        <v>28.1</v>
      </c>
      <c r="G22" s="46">
        <v>28.1</v>
      </c>
      <c r="H22" s="46">
        <v>28.1</v>
      </c>
      <c r="I22" s="46">
        <v>28.1</v>
      </c>
      <c r="J22" s="46">
        <v>28.1</v>
      </c>
      <c r="K22" s="46">
        <v>28.1</v>
      </c>
      <c r="L22" s="46">
        <v>28.1</v>
      </c>
      <c r="M22" s="46">
        <v>28.1</v>
      </c>
      <c r="N22" s="46">
        <v>28.1</v>
      </c>
      <c r="O22" s="46">
        <v>28.1</v>
      </c>
      <c r="P22" s="46">
        <v>28.1</v>
      </c>
      <c r="Q22" s="46">
        <v>28.1</v>
      </c>
      <c r="R22" s="46">
        <v>28.1</v>
      </c>
      <c r="S22" s="46">
        <v>28.1</v>
      </c>
      <c r="T22" s="46">
        <v>28.1</v>
      </c>
      <c r="U22" s="46">
        <v>28.1</v>
      </c>
      <c r="V22" s="46">
        <v>28.1</v>
      </c>
      <c r="W22" s="46">
        <v>28.1</v>
      </c>
      <c r="X22" s="46">
        <v>28.1</v>
      </c>
      <c r="Y22" s="46">
        <v>28.1</v>
      </c>
      <c r="Z22" s="46">
        <v>28.1</v>
      </c>
      <c r="AA22" s="46">
        <v>28.1</v>
      </c>
      <c r="AB22" s="46">
        <v>28.1</v>
      </c>
      <c r="AC22" s="46">
        <v>28.1</v>
      </c>
      <c r="AD22" s="46">
        <v>15</v>
      </c>
      <c r="AE22" s="46">
        <v>15</v>
      </c>
      <c r="AF22" s="46">
        <v>15</v>
      </c>
      <c r="AG22" s="50">
        <v>38.46</v>
      </c>
      <c r="AH22" s="48">
        <f t="shared" si="2"/>
        <v>28.1</v>
      </c>
      <c r="AI22" s="49">
        <f t="shared" si="3"/>
        <v>15</v>
      </c>
      <c r="AK22" s="51"/>
      <c r="AL22" s="62" t="s">
        <v>37</v>
      </c>
      <c r="AM22" s="63">
        <f t="shared" ref="AM22:BJ22" si="16">SUM(AM16:AM21)</f>
        <v>1591.04</v>
      </c>
      <c r="AN22" s="63">
        <f t="shared" si="16"/>
        <v>1951.4400000000003</v>
      </c>
      <c r="AO22" s="63">
        <f t="shared" si="16"/>
        <v>1951.4400000000003</v>
      </c>
      <c r="AP22" s="63">
        <f t="shared" si="16"/>
        <v>1920.0400000000002</v>
      </c>
      <c r="AQ22" s="63">
        <f t="shared" si="16"/>
        <v>1875.37</v>
      </c>
      <c r="AR22" s="63">
        <f t="shared" si="16"/>
        <v>1889.57</v>
      </c>
      <c r="AS22" s="63">
        <f t="shared" si="16"/>
        <v>1932.74</v>
      </c>
      <c r="AT22" s="63">
        <f t="shared" si="16"/>
        <v>2056.34</v>
      </c>
      <c r="AU22" s="63">
        <f t="shared" si="16"/>
        <v>2120.94</v>
      </c>
      <c r="AV22" s="63">
        <f t="shared" si="16"/>
        <v>1894.74</v>
      </c>
      <c r="AW22" s="63">
        <f t="shared" si="16"/>
        <v>2037.44</v>
      </c>
      <c r="AX22" s="63">
        <f t="shared" si="16"/>
        <v>1911.4399999999998</v>
      </c>
      <c r="AY22" s="63">
        <f t="shared" si="16"/>
        <v>2021.24</v>
      </c>
      <c r="AZ22" s="63">
        <f t="shared" si="16"/>
        <v>1898.9399999999998</v>
      </c>
      <c r="BA22" s="63">
        <f t="shared" si="16"/>
        <v>1998.04</v>
      </c>
      <c r="BB22" s="63">
        <f t="shared" si="16"/>
        <v>1967.84</v>
      </c>
      <c r="BC22" s="63">
        <f t="shared" si="16"/>
        <v>1984.1399999999999</v>
      </c>
      <c r="BD22" s="63">
        <f t="shared" si="16"/>
        <v>1943.0400000000002</v>
      </c>
      <c r="BE22" s="63">
        <f t="shared" si="16"/>
        <v>1815.4399999999998</v>
      </c>
      <c r="BF22" s="63">
        <f t="shared" si="16"/>
        <v>1905.8</v>
      </c>
      <c r="BG22" s="63">
        <f t="shared" si="16"/>
        <v>2304.44</v>
      </c>
      <c r="BH22" s="63">
        <f t="shared" si="16"/>
        <v>2295.0399999999995</v>
      </c>
      <c r="BI22" s="63">
        <f t="shared" si="16"/>
        <v>2304.9399999999996</v>
      </c>
      <c r="BJ22" s="63">
        <f t="shared" si="16"/>
        <v>2293.8399999999997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0</v>
      </c>
      <c r="AN23" s="63">
        <f t="shared" si="17"/>
        <v>-408</v>
      </c>
      <c r="AO23" s="63">
        <f t="shared" si="17"/>
        <v>-408</v>
      </c>
      <c r="AP23" s="63">
        <f t="shared" si="17"/>
        <v>-404.6</v>
      </c>
      <c r="AQ23" s="63">
        <f t="shared" si="17"/>
        <v>-409.6</v>
      </c>
      <c r="AR23" s="63">
        <f t="shared" si="17"/>
        <v>-426.3</v>
      </c>
      <c r="AS23" s="63">
        <f>I110*-1</f>
        <v>-419.7</v>
      </c>
      <c r="AT23" s="63">
        <f>K110*-1</f>
        <v>-312</v>
      </c>
      <c r="AU23" s="63">
        <f t="shared" ref="AU23:BD23" si="18">M110*-1</f>
        <v>-292.2</v>
      </c>
      <c r="AV23" s="63">
        <f t="shared" si="18"/>
        <v>-68</v>
      </c>
      <c r="AW23" s="63">
        <f t="shared" si="18"/>
        <v>-66.7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-290</v>
      </c>
      <c r="BG23" s="63">
        <f>AB110*-1</f>
        <v>-173</v>
      </c>
      <c r="BH23" s="63">
        <f>AD110*-1</f>
        <v>-215</v>
      </c>
      <c r="BI23" s="63">
        <f>AE110*-1</f>
        <v>-312</v>
      </c>
      <c r="BJ23" s="63">
        <f>AF110*-1</f>
        <v>-420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1591.04</v>
      </c>
      <c r="AN24" s="63">
        <f t="shared" si="19"/>
        <v>1543.4400000000003</v>
      </c>
      <c r="AO24" s="63">
        <f t="shared" si="19"/>
        <v>1543.4400000000003</v>
      </c>
      <c r="AP24" s="63">
        <f t="shared" si="19"/>
        <v>1515.44</v>
      </c>
      <c r="AQ24" s="63">
        <f t="shared" si="19"/>
        <v>1465.77</v>
      </c>
      <c r="AR24" s="63">
        <f t="shared" si="19"/>
        <v>1463.27</v>
      </c>
      <c r="AS24" s="63">
        <f t="shared" si="19"/>
        <v>1513.04</v>
      </c>
      <c r="AT24" s="63">
        <f t="shared" si="19"/>
        <v>1744.3400000000001</v>
      </c>
      <c r="AU24" s="63">
        <f t="shared" si="19"/>
        <v>1828.74</v>
      </c>
      <c r="AV24" s="63">
        <f t="shared" si="19"/>
        <v>1826.74</v>
      </c>
      <c r="AW24" s="63">
        <f t="shared" si="19"/>
        <v>1970.74</v>
      </c>
      <c r="AX24" s="63">
        <f t="shared" si="19"/>
        <v>1911.4399999999998</v>
      </c>
      <c r="AY24" s="63">
        <f t="shared" si="19"/>
        <v>2021.24</v>
      </c>
      <c r="AZ24" s="63">
        <f t="shared" si="19"/>
        <v>1898.9399999999998</v>
      </c>
      <c r="BA24" s="63">
        <f t="shared" si="19"/>
        <v>1998.04</v>
      </c>
      <c r="BB24" s="63">
        <f t="shared" si="19"/>
        <v>1967.84</v>
      </c>
      <c r="BC24" s="63">
        <f t="shared" si="19"/>
        <v>1984.1399999999999</v>
      </c>
      <c r="BD24" s="63">
        <f t="shared" si="19"/>
        <v>1943.0400000000002</v>
      </c>
      <c r="BE24" s="63">
        <f t="shared" si="19"/>
        <v>1815.4399999999998</v>
      </c>
      <c r="BF24" s="63">
        <f t="shared" si="19"/>
        <v>1615.8</v>
      </c>
      <c r="BG24" s="63">
        <f t="shared" si="19"/>
        <v>2131.44</v>
      </c>
      <c r="BH24" s="63">
        <f t="shared" si="19"/>
        <v>2080.0399999999995</v>
      </c>
      <c r="BI24" s="63">
        <f t="shared" si="19"/>
        <v>1992.9399999999996</v>
      </c>
      <c r="BJ24" s="63">
        <f t="shared" si="19"/>
        <v>1873.8399999999997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30</v>
      </c>
      <c r="C25" s="46">
        <v>30</v>
      </c>
      <c r="D25" s="46">
        <v>30</v>
      </c>
      <c r="E25" s="46">
        <v>30</v>
      </c>
      <c r="F25" s="46">
        <v>30</v>
      </c>
      <c r="G25" s="46">
        <v>30</v>
      </c>
      <c r="H25" s="46">
        <v>30</v>
      </c>
      <c r="I25" s="46">
        <v>30</v>
      </c>
      <c r="J25" s="46">
        <v>30</v>
      </c>
      <c r="K25" s="46">
        <v>30</v>
      </c>
      <c r="L25" s="46">
        <v>30</v>
      </c>
      <c r="M25" s="46">
        <v>30</v>
      </c>
      <c r="N25" s="46">
        <v>30</v>
      </c>
      <c r="O25" s="46">
        <v>30</v>
      </c>
      <c r="P25" s="46">
        <v>30</v>
      </c>
      <c r="Q25" s="46">
        <v>30</v>
      </c>
      <c r="R25" s="46">
        <v>30</v>
      </c>
      <c r="S25" s="46">
        <v>30</v>
      </c>
      <c r="T25" s="46">
        <v>30</v>
      </c>
      <c r="U25" s="46">
        <v>30</v>
      </c>
      <c r="V25" s="46">
        <v>30</v>
      </c>
      <c r="W25" s="46">
        <v>30</v>
      </c>
      <c r="X25" s="46">
        <v>30</v>
      </c>
      <c r="Y25" s="46">
        <v>30</v>
      </c>
      <c r="Z25" s="46">
        <v>30</v>
      </c>
      <c r="AA25" s="46">
        <v>30</v>
      </c>
      <c r="AB25" s="46">
        <v>19.5</v>
      </c>
      <c r="AC25" s="46">
        <v>19.3</v>
      </c>
      <c r="AD25" s="46">
        <v>19.3</v>
      </c>
      <c r="AE25" s="46">
        <v>19.3</v>
      </c>
      <c r="AF25" s="46">
        <v>19.3</v>
      </c>
      <c r="AG25" s="61">
        <v>30</v>
      </c>
      <c r="AH25" s="48">
        <f t="shared" si="2"/>
        <v>30</v>
      </c>
      <c r="AI25" s="49">
        <f t="shared" si="3"/>
        <v>19.3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29</v>
      </c>
      <c r="C26" s="46">
        <v>29</v>
      </c>
      <c r="D26" s="46">
        <v>29</v>
      </c>
      <c r="E26" s="46">
        <v>29</v>
      </c>
      <c r="F26" s="46">
        <v>29</v>
      </c>
      <c r="G26" s="46">
        <v>29</v>
      </c>
      <c r="H26" s="46">
        <v>29</v>
      </c>
      <c r="I26" s="46">
        <v>29</v>
      </c>
      <c r="J26" s="46">
        <v>29</v>
      </c>
      <c r="K26" s="46">
        <v>29</v>
      </c>
      <c r="L26" s="46">
        <v>29</v>
      </c>
      <c r="M26" s="46">
        <v>29</v>
      </c>
      <c r="N26" s="46">
        <v>29</v>
      </c>
      <c r="O26" s="46">
        <v>29</v>
      </c>
      <c r="P26" s="46">
        <v>29</v>
      </c>
      <c r="Q26" s="46">
        <v>29</v>
      </c>
      <c r="R26" s="46">
        <v>29</v>
      </c>
      <c r="S26" s="46">
        <v>29</v>
      </c>
      <c r="T26" s="46">
        <v>29</v>
      </c>
      <c r="U26" s="46">
        <v>29</v>
      </c>
      <c r="V26" s="46">
        <v>29</v>
      </c>
      <c r="W26" s="46">
        <v>29</v>
      </c>
      <c r="X26" s="46">
        <v>29</v>
      </c>
      <c r="Y26" s="46">
        <v>29</v>
      </c>
      <c r="Z26" s="46">
        <v>29</v>
      </c>
      <c r="AA26" s="46">
        <v>29</v>
      </c>
      <c r="AB26" s="46">
        <v>14.9</v>
      </c>
      <c r="AC26" s="46">
        <v>14.9</v>
      </c>
      <c r="AD26" s="46">
        <v>14.9</v>
      </c>
      <c r="AE26" s="46">
        <v>14.9</v>
      </c>
      <c r="AF26" s="46">
        <v>14.9</v>
      </c>
      <c r="AG26" s="50">
        <v>24.2</v>
      </c>
      <c r="AH26" s="48">
        <f t="shared" si="2"/>
        <v>29</v>
      </c>
      <c r="AI26" s="49">
        <f t="shared" si="3"/>
        <v>14.9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23</v>
      </c>
      <c r="C27" s="46">
        <v>23</v>
      </c>
      <c r="D27" s="46">
        <v>23</v>
      </c>
      <c r="E27" s="46">
        <v>23</v>
      </c>
      <c r="F27" s="46">
        <v>23</v>
      </c>
      <c r="G27" s="46">
        <v>23</v>
      </c>
      <c r="H27" s="46">
        <v>23</v>
      </c>
      <c r="I27" s="46">
        <v>23</v>
      </c>
      <c r="J27" s="46">
        <v>23</v>
      </c>
      <c r="K27" s="46">
        <v>23</v>
      </c>
      <c r="L27" s="46">
        <v>23</v>
      </c>
      <c r="M27" s="46">
        <v>23</v>
      </c>
      <c r="N27" s="46">
        <v>23</v>
      </c>
      <c r="O27" s="46">
        <v>23</v>
      </c>
      <c r="P27" s="46">
        <v>23</v>
      </c>
      <c r="Q27" s="46">
        <v>23</v>
      </c>
      <c r="R27" s="46">
        <v>23</v>
      </c>
      <c r="S27" s="46">
        <v>23</v>
      </c>
      <c r="T27" s="46">
        <v>23</v>
      </c>
      <c r="U27" s="46">
        <v>23</v>
      </c>
      <c r="V27" s="46">
        <v>23</v>
      </c>
      <c r="W27" s="46">
        <v>23</v>
      </c>
      <c r="X27" s="46">
        <v>23</v>
      </c>
      <c r="Y27" s="46">
        <v>23</v>
      </c>
      <c r="Z27" s="46">
        <v>23</v>
      </c>
      <c r="AA27" s="46">
        <v>23</v>
      </c>
      <c r="AB27" s="46">
        <v>12.5</v>
      </c>
      <c r="AC27" s="46">
        <v>12.5</v>
      </c>
      <c r="AD27" s="46">
        <v>12.2</v>
      </c>
      <c r="AE27" s="46">
        <v>12.2</v>
      </c>
      <c r="AF27" s="46">
        <v>12.2</v>
      </c>
      <c r="AG27" s="50">
        <v>28</v>
      </c>
      <c r="AH27" s="48">
        <f t="shared" si="2"/>
        <v>23</v>
      </c>
      <c r="AI27" s="49">
        <f t="shared" si="3"/>
        <v>12.2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25</v>
      </c>
      <c r="C28" s="46">
        <v>25</v>
      </c>
      <c r="D28" s="46">
        <v>25</v>
      </c>
      <c r="E28" s="46">
        <v>25</v>
      </c>
      <c r="F28" s="46">
        <v>25</v>
      </c>
      <c r="G28" s="46">
        <v>25</v>
      </c>
      <c r="H28" s="46">
        <v>25</v>
      </c>
      <c r="I28" s="46">
        <v>25</v>
      </c>
      <c r="J28" s="46">
        <v>25</v>
      </c>
      <c r="K28" s="46">
        <v>25</v>
      </c>
      <c r="L28" s="46">
        <v>25</v>
      </c>
      <c r="M28" s="46">
        <v>25</v>
      </c>
      <c r="N28" s="46">
        <v>25</v>
      </c>
      <c r="O28" s="46">
        <v>25</v>
      </c>
      <c r="P28" s="46">
        <v>25</v>
      </c>
      <c r="Q28" s="46">
        <v>25</v>
      </c>
      <c r="R28" s="46">
        <v>25</v>
      </c>
      <c r="S28" s="46">
        <v>25</v>
      </c>
      <c r="T28" s="46">
        <v>25</v>
      </c>
      <c r="U28" s="46">
        <v>25</v>
      </c>
      <c r="V28" s="46">
        <v>25</v>
      </c>
      <c r="W28" s="46">
        <v>25</v>
      </c>
      <c r="X28" s="46">
        <v>25</v>
      </c>
      <c r="Y28" s="46">
        <v>25</v>
      </c>
      <c r="Z28" s="46">
        <v>25</v>
      </c>
      <c r="AA28" s="46">
        <v>25</v>
      </c>
      <c r="AB28" s="46">
        <v>18.899999999999999</v>
      </c>
      <c r="AC28" s="46">
        <v>19</v>
      </c>
      <c r="AD28" s="46">
        <v>18.899999999999999</v>
      </c>
      <c r="AE28" s="46">
        <v>18.899999999999999</v>
      </c>
      <c r="AF28" s="46">
        <v>18.899999999999999</v>
      </c>
      <c r="AG28" s="61">
        <v>30</v>
      </c>
      <c r="AH28" s="48">
        <f t="shared" si="2"/>
        <v>25</v>
      </c>
      <c r="AI28" s="49">
        <f t="shared" si="3"/>
        <v>18.899999999999999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23</v>
      </c>
      <c r="C29" s="46">
        <v>23</v>
      </c>
      <c r="D29" s="46">
        <v>23</v>
      </c>
      <c r="E29" s="46">
        <v>23</v>
      </c>
      <c r="F29" s="46">
        <v>23</v>
      </c>
      <c r="G29" s="46">
        <v>23</v>
      </c>
      <c r="H29" s="46">
        <v>23</v>
      </c>
      <c r="I29" s="46">
        <v>23</v>
      </c>
      <c r="J29" s="46">
        <v>23</v>
      </c>
      <c r="K29" s="46">
        <v>23</v>
      </c>
      <c r="L29" s="46">
        <v>23</v>
      </c>
      <c r="M29" s="46">
        <v>23</v>
      </c>
      <c r="N29" s="46">
        <v>23</v>
      </c>
      <c r="O29" s="46">
        <v>23</v>
      </c>
      <c r="P29" s="46">
        <v>23</v>
      </c>
      <c r="Q29" s="46">
        <v>23</v>
      </c>
      <c r="R29" s="46">
        <v>23</v>
      </c>
      <c r="S29" s="46">
        <v>23</v>
      </c>
      <c r="T29" s="46">
        <v>23</v>
      </c>
      <c r="U29" s="46">
        <v>23</v>
      </c>
      <c r="V29" s="46">
        <v>23</v>
      </c>
      <c r="W29" s="46">
        <v>23</v>
      </c>
      <c r="X29" s="46">
        <v>23</v>
      </c>
      <c r="Y29" s="46">
        <v>23</v>
      </c>
      <c r="Z29" s="46">
        <v>23</v>
      </c>
      <c r="AA29" s="46">
        <v>23</v>
      </c>
      <c r="AB29" s="46">
        <v>16.100000000000001</v>
      </c>
      <c r="AC29" s="46">
        <v>16.100000000000001</v>
      </c>
      <c r="AD29" s="46">
        <v>16.100000000000001</v>
      </c>
      <c r="AE29" s="46">
        <v>16.100000000000001</v>
      </c>
      <c r="AF29" s="46">
        <v>16.100000000000001</v>
      </c>
      <c r="AG29" s="50">
        <v>25</v>
      </c>
      <c r="AH29" s="48">
        <f t="shared" si="2"/>
        <v>23</v>
      </c>
      <c r="AI29" s="49">
        <f t="shared" si="3"/>
        <v>16.100000000000001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18</v>
      </c>
      <c r="C30" s="46">
        <v>18</v>
      </c>
      <c r="D30" s="46">
        <v>18</v>
      </c>
      <c r="E30" s="46">
        <v>18</v>
      </c>
      <c r="F30" s="46">
        <v>18</v>
      </c>
      <c r="G30" s="46">
        <v>18</v>
      </c>
      <c r="H30" s="46">
        <v>18</v>
      </c>
      <c r="I30" s="46">
        <v>18</v>
      </c>
      <c r="J30" s="46">
        <v>18</v>
      </c>
      <c r="K30" s="46">
        <v>18</v>
      </c>
      <c r="L30" s="46">
        <v>18</v>
      </c>
      <c r="M30" s="46">
        <v>18</v>
      </c>
      <c r="N30" s="46">
        <v>18</v>
      </c>
      <c r="O30" s="46">
        <v>18</v>
      </c>
      <c r="P30" s="46">
        <v>18</v>
      </c>
      <c r="Q30" s="46">
        <v>18</v>
      </c>
      <c r="R30" s="46">
        <v>18</v>
      </c>
      <c r="S30" s="46">
        <v>18</v>
      </c>
      <c r="T30" s="46">
        <v>18</v>
      </c>
      <c r="U30" s="46">
        <v>18</v>
      </c>
      <c r="V30" s="46">
        <v>18</v>
      </c>
      <c r="W30" s="46">
        <v>18</v>
      </c>
      <c r="X30" s="46">
        <v>18</v>
      </c>
      <c r="Y30" s="46">
        <v>18</v>
      </c>
      <c r="Z30" s="46">
        <v>18</v>
      </c>
      <c r="AA30" s="46">
        <v>18</v>
      </c>
      <c r="AB30" s="46">
        <v>18</v>
      </c>
      <c r="AC30" s="46">
        <v>18</v>
      </c>
      <c r="AD30" s="46">
        <v>18</v>
      </c>
      <c r="AE30" s="46">
        <v>18</v>
      </c>
      <c r="AF30" s="46">
        <v>18</v>
      </c>
      <c r="AG30" s="50">
        <v>25</v>
      </c>
      <c r="AH30" s="48">
        <f t="shared" si="2"/>
        <v>18</v>
      </c>
      <c r="AI30" s="49">
        <f t="shared" si="3"/>
        <v>18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</v>
      </c>
      <c r="C32" s="46">
        <v>25</v>
      </c>
      <c r="D32" s="46">
        <v>25</v>
      </c>
      <c r="E32" s="46">
        <v>25</v>
      </c>
      <c r="F32" s="46">
        <v>25</v>
      </c>
      <c r="G32" s="46">
        <v>25</v>
      </c>
      <c r="H32" s="46">
        <v>25</v>
      </c>
      <c r="I32" s="46">
        <v>25</v>
      </c>
      <c r="J32" s="46">
        <v>25</v>
      </c>
      <c r="K32" s="46">
        <v>25</v>
      </c>
      <c r="L32" s="46">
        <v>25</v>
      </c>
      <c r="M32" s="46">
        <v>25</v>
      </c>
      <c r="N32" s="46">
        <v>25</v>
      </c>
      <c r="O32" s="46">
        <v>25</v>
      </c>
      <c r="P32" s="46">
        <v>25</v>
      </c>
      <c r="Q32" s="46">
        <v>25</v>
      </c>
      <c r="R32" s="46">
        <v>25</v>
      </c>
      <c r="S32" s="46">
        <v>25</v>
      </c>
      <c r="T32" s="46">
        <v>25</v>
      </c>
      <c r="U32" s="46">
        <v>25</v>
      </c>
      <c r="V32" s="46">
        <v>25</v>
      </c>
      <c r="W32" s="46">
        <v>25</v>
      </c>
      <c r="X32" s="46">
        <v>25</v>
      </c>
      <c r="Y32" s="46">
        <v>25</v>
      </c>
      <c r="Z32" s="46">
        <v>25</v>
      </c>
      <c r="AA32" s="46">
        <v>25</v>
      </c>
      <c r="AB32" s="46">
        <v>25</v>
      </c>
      <c r="AC32" s="46">
        <v>25</v>
      </c>
      <c r="AD32" s="46">
        <v>24</v>
      </c>
      <c r="AE32" s="46">
        <v>24</v>
      </c>
      <c r="AF32" s="46">
        <v>24</v>
      </c>
      <c r="AG32" s="50">
        <v>25</v>
      </c>
      <c r="AH32" s="48">
        <f t="shared" si="2"/>
        <v>25</v>
      </c>
      <c r="AI32" s="49">
        <f t="shared" si="3"/>
        <v>24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14</v>
      </c>
      <c r="C33" s="46">
        <v>14</v>
      </c>
      <c r="D33" s="46">
        <v>14</v>
      </c>
      <c r="E33" s="46">
        <v>14</v>
      </c>
      <c r="F33" s="46">
        <v>14</v>
      </c>
      <c r="G33" s="46">
        <v>14</v>
      </c>
      <c r="H33" s="46">
        <v>14</v>
      </c>
      <c r="I33" s="46">
        <v>14</v>
      </c>
      <c r="J33" s="46">
        <v>14</v>
      </c>
      <c r="K33" s="46">
        <v>14</v>
      </c>
      <c r="L33" s="46">
        <v>14</v>
      </c>
      <c r="M33" s="46">
        <v>14</v>
      </c>
      <c r="N33" s="46">
        <v>14</v>
      </c>
      <c r="O33" s="46">
        <v>14</v>
      </c>
      <c r="P33" s="46">
        <v>14</v>
      </c>
      <c r="Q33" s="46">
        <v>14</v>
      </c>
      <c r="R33" s="46">
        <v>14</v>
      </c>
      <c r="S33" s="46">
        <v>14</v>
      </c>
      <c r="T33" s="46">
        <v>14</v>
      </c>
      <c r="U33" s="46">
        <v>14</v>
      </c>
      <c r="V33" s="46">
        <v>14</v>
      </c>
      <c r="W33" s="46">
        <v>14</v>
      </c>
      <c r="X33" s="46">
        <v>14</v>
      </c>
      <c r="Y33" s="46">
        <v>14</v>
      </c>
      <c r="Z33" s="46">
        <v>14</v>
      </c>
      <c r="AA33" s="46">
        <v>14</v>
      </c>
      <c r="AB33" s="46">
        <v>14</v>
      </c>
      <c r="AC33" s="46">
        <v>14</v>
      </c>
      <c r="AD33" s="46">
        <v>8.1</v>
      </c>
      <c r="AE33" s="46">
        <v>8.1</v>
      </c>
      <c r="AF33" s="46">
        <v>8.1</v>
      </c>
      <c r="AG33" s="50">
        <v>23.5</v>
      </c>
      <c r="AH33" s="48">
        <f t="shared" si="2"/>
        <v>14</v>
      </c>
      <c r="AI33" s="49">
        <f t="shared" si="3"/>
        <v>8.1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14.9</v>
      </c>
      <c r="C37" s="46">
        <v>14.9</v>
      </c>
      <c r="D37" s="46">
        <v>14.9</v>
      </c>
      <c r="E37" s="46">
        <v>14.9</v>
      </c>
      <c r="F37" s="46">
        <v>14.9</v>
      </c>
      <c r="G37" s="46">
        <v>14.9</v>
      </c>
      <c r="H37" s="46">
        <v>14.9</v>
      </c>
      <c r="I37" s="46">
        <v>14.9</v>
      </c>
      <c r="J37" s="46">
        <v>14.9</v>
      </c>
      <c r="K37" s="46">
        <v>14.9</v>
      </c>
      <c r="L37" s="46">
        <v>14.9</v>
      </c>
      <c r="M37" s="46">
        <v>14.9</v>
      </c>
      <c r="N37" s="46">
        <v>14.9</v>
      </c>
      <c r="O37" s="46">
        <v>14.9</v>
      </c>
      <c r="P37" s="46">
        <v>14.9</v>
      </c>
      <c r="Q37" s="46">
        <v>14.9</v>
      </c>
      <c r="R37" s="46">
        <v>14.9</v>
      </c>
      <c r="S37" s="46">
        <v>14.9</v>
      </c>
      <c r="T37" s="46">
        <v>14.9</v>
      </c>
      <c r="U37" s="46">
        <v>14.9</v>
      </c>
      <c r="V37" s="46">
        <v>14.9</v>
      </c>
      <c r="W37" s="46">
        <v>14.9</v>
      </c>
      <c r="X37" s="46">
        <v>14.9</v>
      </c>
      <c r="Y37" s="46">
        <v>14.9</v>
      </c>
      <c r="Z37" s="46">
        <v>14.9</v>
      </c>
      <c r="AA37" s="46">
        <v>14.9</v>
      </c>
      <c r="AB37" s="46">
        <v>14.9</v>
      </c>
      <c r="AC37" s="46">
        <v>14.9</v>
      </c>
      <c r="AD37" s="46">
        <v>11.1</v>
      </c>
      <c r="AE37" s="46">
        <v>11.1</v>
      </c>
      <c r="AF37" s="46">
        <v>11.1</v>
      </c>
      <c r="AG37" s="50">
        <v>22</v>
      </c>
      <c r="AH37" s="48">
        <f t="shared" si="2"/>
        <v>14.9</v>
      </c>
      <c r="AI37" s="49">
        <f t="shared" si="3"/>
        <v>11.1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18.8</v>
      </c>
      <c r="C38" s="46">
        <v>18.8</v>
      </c>
      <c r="D38" s="46">
        <v>18.8</v>
      </c>
      <c r="E38" s="46">
        <v>18.8</v>
      </c>
      <c r="F38" s="46">
        <v>18.8</v>
      </c>
      <c r="G38" s="46">
        <v>18.8</v>
      </c>
      <c r="H38" s="46">
        <v>18.8</v>
      </c>
      <c r="I38" s="46">
        <v>18.8</v>
      </c>
      <c r="J38" s="46">
        <v>18.8</v>
      </c>
      <c r="K38" s="46">
        <v>18.8</v>
      </c>
      <c r="L38" s="46">
        <v>18.8</v>
      </c>
      <c r="M38" s="46">
        <v>18.8</v>
      </c>
      <c r="N38" s="46">
        <v>18.8</v>
      </c>
      <c r="O38" s="46">
        <v>18.8</v>
      </c>
      <c r="P38" s="46">
        <v>18.8</v>
      </c>
      <c r="Q38" s="46">
        <v>18.8</v>
      </c>
      <c r="R38" s="46">
        <v>18.8</v>
      </c>
      <c r="S38" s="46">
        <v>18.8</v>
      </c>
      <c r="T38" s="46">
        <v>18.8</v>
      </c>
      <c r="U38" s="46">
        <v>18.8</v>
      </c>
      <c r="V38" s="46">
        <v>18.8</v>
      </c>
      <c r="W38" s="46">
        <v>18.8</v>
      </c>
      <c r="X38" s="46">
        <v>18.8</v>
      </c>
      <c r="Y38" s="46">
        <v>18.8</v>
      </c>
      <c r="Z38" s="46">
        <v>18.8</v>
      </c>
      <c r="AA38" s="46">
        <v>18.8</v>
      </c>
      <c r="AB38" s="46">
        <v>18.8</v>
      </c>
      <c r="AC38" s="46">
        <v>18.8</v>
      </c>
      <c r="AD38" s="46">
        <v>18.8</v>
      </c>
      <c r="AE38" s="46">
        <v>18.8</v>
      </c>
      <c r="AF38" s="46">
        <v>18.8</v>
      </c>
      <c r="AG38" s="50">
        <v>20</v>
      </c>
      <c r="AH38" s="48">
        <f t="shared" si="2"/>
        <v>18.8</v>
      </c>
      <c r="AI38" s="49">
        <f t="shared" si="3"/>
        <v>18.8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11.7</v>
      </c>
      <c r="C40" s="46">
        <v>11.7</v>
      </c>
      <c r="D40" s="46">
        <v>11.7</v>
      </c>
      <c r="E40" s="46">
        <v>11.7</v>
      </c>
      <c r="F40" s="46">
        <v>11.7</v>
      </c>
      <c r="G40" s="46">
        <v>11.7</v>
      </c>
      <c r="H40" s="46">
        <v>11.7</v>
      </c>
      <c r="I40" s="46">
        <v>11.7</v>
      </c>
      <c r="J40" s="46">
        <v>11.7</v>
      </c>
      <c r="K40" s="46">
        <v>11.7</v>
      </c>
      <c r="L40" s="46">
        <v>11.7</v>
      </c>
      <c r="M40" s="46">
        <v>11.7</v>
      </c>
      <c r="N40" s="46">
        <v>11.7</v>
      </c>
      <c r="O40" s="46">
        <v>11.7</v>
      </c>
      <c r="P40" s="46">
        <v>11.7</v>
      </c>
      <c r="Q40" s="46">
        <v>11.7</v>
      </c>
      <c r="R40" s="46">
        <v>11.7</v>
      </c>
      <c r="S40" s="46">
        <v>11.7</v>
      </c>
      <c r="T40" s="46">
        <v>11.7</v>
      </c>
      <c r="U40" s="46">
        <v>11.7</v>
      </c>
      <c r="V40" s="46">
        <v>11.7</v>
      </c>
      <c r="W40" s="46">
        <v>11.7</v>
      </c>
      <c r="X40" s="46">
        <v>11.7</v>
      </c>
      <c r="Y40" s="46">
        <v>11.7</v>
      </c>
      <c r="Z40" s="46">
        <v>11.7</v>
      </c>
      <c r="AA40" s="46">
        <v>11.7</v>
      </c>
      <c r="AB40" s="46">
        <v>11.7</v>
      </c>
      <c r="AC40" s="46">
        <v>11.7</v>
      </c>
      <c r="AD40" s="46">
        <v>14.9</v>
      </c>
      <c r="AE40" s="46">
        <v>14.9</v>
      </c>
      <c r="AF40" s="46">
        <v>14.9</v>
      </c>
      <c r="AG40" s="50">
        <v>18</v>
      </c>
      <c r="AH40" s="48">
        <f t="shared" si="2"/>
        <v>14.9</v>
      </c>
      <c r="AI40" s="49">
        <f t="shared" si="3"/>
        <v>11.7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6.8</v>
      </c>
      <c r="C41" s="46">
        <v>6.8</v>
      </c>
      <c r="D41" s="46">
        <v>6.8</v>
      </c>
      <c r="E41" s="46">
        <v>6.8</v>
      </c>
      <c r="F41" s="46">
        <v>6.8</v>
      </c>
      <c r="G41" s="46">
        <v>6.8</v>
      </c>
      <c r="H41" s="46">
        <v>6.8</v>
      </c>
      <c r="I41" s="46">
        <v>6.8</v>
      </c>
      <c r="J41" s="46">
        <v>6.8</v>
      </c>
      <c r="K41" s="46">
        <v>6.8</v>
      </c>
      <c r="L41" s="46">
        <v>6.8</v>
      </c>
      <c r="M41" s="46">
        <v>6.8</v>
      </c>
      <c r="N41" s="46">
        <v>6.8</v>
      </c>
      <c r="O41" s="46">
        <v>6.8</v>
      </c>
      <c r="P41" s="46">
        <v>6.8</v>
      </c>
      <c r="Q41" s="46">
        <v>6.8</v>
      </c>
      <c r="R41" s="46">
        <v>6.8</v>
      </c>
      <c r="S41" s="46">
        <v>6.8</v>
      </c>
      <c r="T41" s="46">
        <v>6.8</v>
      </c>
      <c r="U41" s="46">
        <v>6.8</v>
      </c>
      <c r="V41" s="46">
        <v>6.8</v>
      </c>
      <c r="W41" s="46">
        <v>6.8</v>
      </c>
      <c r="X41" s="46">
        <v>6.8</v>
      </c>
      <c r="Y41" s="46">
        <v>6.8</v>
      </c>
      <c r="Z41" s="46">
        <v>6.8</v>
      </c>
      <c r="AA41" s="46">
        <v>6.8</v>
      </c>
      <c r="AB41" s="46">
        <v>6.8</v>
      </c>
      <c r="AC41" s="46">
        <v>6.8</v>
      </c>
      <c r="AD41" s="46">
        <v>6.8</v>
      </c>
      <c r="AE41" s="46">
        <v>6.8</v>
      </c>
      <c r="AF41" s="46">
        <v>6.8</v>
      </c>
      <c r="AG41" s="50">
        <v>15.33</v>
      </c>
      <c r="AH41" s="48">
        <f t="shared" si="2"/>
        <v>6.8</v>
      </c>
      <c r="AI41" s="49">
        <f t="shared" si="3"/>
        <v>6.8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5</v>
      </c>
      <c r="C44" s="46">
        <v>5</v>
      </c>
      <c r="D44" s="46">
        <v>5</v>
      </c>
      <c r="E44" s="46">
        <v>5</v>
      </c>
      <c r="F44" s="46">
        <v>5</v>
      </c>
      <c r="G44" s="46">
        <v>5</v>
      </c>
      <c r="H44" s="46">
        <v>5</v>
      </c>
      <c r="I44" s="46">
        <v>5</v>
      </c>
      <c r="J44" s="46">
        <v>5</v>
      </c>
      <c r="K44" s="46">
        <v>5</v>
      </c>
      <c r="L44" s="46">
        <v>5</v>
      </c>
      <c r="M44" s="46">
        <v>5</v>
      </c>
      <c r="N44" s="46">
        <v>5</v>
      </c>
      <c r="O44" s="46">
        <v>5</v>
      </c>
      <c r="P44" s="46">
        <v>5</v>
      </c>
      <c r="Q44" s="46">
        <v>5</v>
      </c>
      <c r="R44" s="46">
        <v>5</v>
      </c>
      <c r="S44" s="46">
        <v>5</v>
      </c>
      <c r="T44" s="46">
        <v>5</v>
      </c>
      <c r="U44" s="46">
        <v>5</v>
      </c>
      <c r="V44" s="46">
        <v>5</v>
      </c>
      <c r="W44" s="46">
        <v>5</v>
      </c>
      <c r="X44" s="46">
        <v>5</v>
      </c>
      <c r="Y44" s="46">
        <v>5</v>
      </c>
      <c r="Z44" s="46">
        <v>5</v>
      </c>
      <c r="AA44" s="46">
        <v>5</v>
      </c>
      <c r="AB44" s="46">
        <v>5</v>
      </c>
      <c r="AC44" s="46">
        <v>5</v>
      </c>
      <c r="AD44" s="46">
        <v>5</v>
      </c>
      <c r="AE44" s="46">
        <v>5</v>
      </c>
      <c r="AF44" s="46">
        <v>5</v>
      </c>
      <c r="AG44" s="50">
        <v>14.8</v>
      </c>
      <c r="AH44" s="48">
        <f t="shared" si="2"/>
        <v>5</v>
      </c>
      <c r="AI44" s="49">
        <f t="shared" si="3"/>
        <v>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2.7</v>
      </c>
      <c r="C46" s="46">
        <v>2.7</v>
      </c>
      <c r="D46" s="46">
        <v>2.7</v>
      </c>
      <c r="E46" s="46">
        <v>2.7</v>
      </c>
      <c r="F46" s="46">
        <v>2.7</v>
      </c>
      <c r="G46" s="46">
        <v>2.7</v>
      </c>
      <c r="H46" s="46">
        <v>2.7</v>
      </c>
      <c r="I46" s="46">
        <v>2.7</v>
      </c>
      <c r="J46" s="46">
        <v>2.7</v>
      </c>
      <c r="K46" s="46">
        <v>2.7</v>
      </c>
      <c r="L46" s="46">
        <v>2.7</v>
      </c>
      <c r="M46" s="46">
        <v>2.7</v>
      </c>
      <c r="N46" s="46">
        <v>2.7</v>
      </c>
      <c r="O46" s="46">
        <v>2.7</v>
      </c>
      <c r="P46" s="46">
        <v>2.7</v>
      </c>
      <c r="Q46" s="46">
        <v>2.7</v>
      </c>
      <c r="R46" s="46">
        <v>2.7</v>
      </c>
      <c r="S46" s="46">
        <v>2.7</v>
      </c>
      <c r="T46" s="46">
        <v>2.7</v>
      </c>
      <c r="U46" s="46">
        <v>2.7</v>
      </c>
      <c r="V46" s="46">
        <v>2.7</v>
      </c>
      <c r="W46" s="46">
        <v>2.7</v>
      </c>
      <c r="X46" s="46">
        <v>2.7</v>
      </c>
      <c r="Y46" s="46">
        <v>2.7</v>
      </c>
      <c r="Z46" s="46">
        <v>2.7</v>
      </c>
      <c r="AA46" s="46">
        <v>2.7</v>
      </c>
      <c r="AB46" s="46">
        <v>2.7</v>
      </c>
      <c r="AC46" s="46">
        <v>2.7</v>
      </c>
      <c r="AD46" s="46">
        <v>2.7</v>
      </c>
      <c r="AE46" s="46">
        <v>2.7</v>
      </c>
      <c r="AF46" s="46">
        <v>2.7</v>
      </c>
      <c r="AG46" s="50">
        <v>14</v>
      </c>
      <c r="AH46" s="48">
        <f t="shared" si="2"/>
        <v>2.7</v>
      </c>
      <c r="AI46" s="49">
        <f t="shared" si="3"/>
        <v>2.7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2</v>
      </c>
      <c r="C48" s="46">
        <v>2</v>
      </c>
      <c r="D48" s="46">
        <v>2</v>
      </c>
      <c r="E48" s="46">
        <v>2</v>
      </c>
      <c r="F48" s="46">
        <v>2</v>
      </c>
      <c r="G48" s="46">
        <v>2</v>
      </c>
      <c r="H48" s="46">
        <v>2</v>
      </c>
      <c r="I48" s="46">
        <v>2</v>
      </c>
      <c r="J48" s="46">
        <v>2</v>
      </c>
      <c r="K48" s="46">
        <v>2</v>
      </c>
      <c r="L48" s="46">
        <v>2</v>
      </c>
      <c r="M48" s="46">
        <v>2</v>
      </c>
      <c r="N48" s="46">
        <v>2</v>
      </c>
      <c r="O48" s="46">
        <v>2</v>
      </c>
      <c r="P48" s="46">
        <v>2</v>
      </c>
      <c r="Q48" s="46">
        <v>2</v>
      </c>
      <c r="R48" s="46">
        <v>2</v>
      </c>
      <c r="S48" s="46">
        <v>2</v>
      </c>
      <c r="T48" s="46">
        <v>2</v>
      </c>
      <c r="U48" s="46">
        <v>2</v>
      </c>
      <c r="V48" s="46">
        <v>2</v>
      </c>
      <c r="W48" s="46">
        <v>2</v>
      </c>
      <c r="X48" s="46">
        <v>2</v>
      </c>
      <c r="Y48" s="46">
        <v>2</v>
      </c>
      <c r="Z48" s="46">
        <v>2</v>
      </c>
      <c r="AA48" s="46">
        <v>2</v>
      </c>
      <c r="AB48" s="46">
        <v>2</v>
      </c>
      <c r="AC48" s="46">
        <v>2</v>
      </c>
      <c r="AD48" s="46">
        <v>2</v>
      </c>
      <c r="AE48" s="46">
        <v>2</v>
      </c>
      <c r="AF48" s="46">
        <v>2</v>
      </c>
      <c r="AG48" s="50">
        <v>13</v>
      </c>
      <c r="AH48" s="48">
        <f t="shared" si="2"/>
        <v>2</v>
      </c>
      <c r="AI48" s="49">
        <f t="shared" si="3"/>
        <v>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8.8000000000000007</v>
      </c>
      <c r="C49" s="46">
        <v>8.8000000000000007</v>
      </c>
      <c r="D49" s="46">
        <v>8.8000000000000007</v>
      </c>
      <c r="E49" s="46">
        <v>8.8000000000000007</v>
      </c>
      <c r="F49" s="46">
        <v>8.8000000000000007</v>
      </c>
      <c r="G49" s="46">
        <v>8.8000000000000007</v>
      </c>
      <c r="H49" s="46">
        <v>8.8000000000000007</v>
      </c>
      <c r="I49" s="46">
        <v>8.8000000000000007</v>
      </c>
      <c r="J49" s="46">
        <v>8.8000000000000007</v>
      </c>
      <c r="K49" s="46">
        <v>8.8000000000000007</v>
      </c>
      <c r="L49" s="46">
        <v>8.8000000000000007</v>
      </c>
      <c r="M49" s="46">
        <v>8.8000000000000007</v>
      </c>
      <c r="N49" s="46">
        <v>8.8000000000000007</v>
      </c>
      <c r="O49" s="46">
        <v>8.8000000000000007</v>
      </c>
      <c r="P49" s="46">
        <v>8.8000000000000007</v>
      </c>
      <c r="Q49" s="46">
        <v>8.8000000000000007</v>
      </c>
      <c r="R49" s="46">
        <v>8.8000000000000007</v>
      </c>
      <c r="S49" s="46">
        <v>8.8000000000000007</v>
      </c>
      <c r="T49" s="46">
        <v>8.8000000000000007</v>
      </c>
      <c r="U49" s="46">
        <v>8.8000000000000007</v>
      </c>
      <c r="V49" s="46">
        <v>8.8000000000000007</v>
      </c>
      <c r="W49" s="46">
        <v>8.8000000000000007</v>
      </c>
      <c r="X49" s="46">
        <v>8.8000000000000007</v>
      </c>
      <c r="Y49" s="46">
        <v>8.8000000000000007</v>
      </c>
      <c r="Z49" s="46">
        <v>8.8000000000000007</v>
      </c>
      <c r="AA49" s="46">
        <v>8.8000000000000007</v>
      </c>
      <c r="AB49" s="46">
        <v>8.8000000000000007</v>
      </c>
      <c r="AC49" s="46">
        <v>8.8000000000000007</v>
      </c>
      <c r="AD49" s="46">
        <v>8.8000000000000007</v>
      </c>
      <c r="AE49" s="46">
        <v>8.8000000000000007</v>
      </c>
      <c r="AF49" s="46">
        <v>8.8000000000000007</v>
      </c>
      <c r="AG49" s="50">
        <v>12</v>
      </c>
      <c r="AH49" s="48">
        <f t="shared" si="2"/>
        <v>8.8000000000000007</v>
      </c>
      <c r="AI49" s="49">
        <f t="shared" si="3"/>
        <v>8.8000000000000007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1.9</v>
      </c>
      <c r="C55" s="46">
        <v>1.9</v>
      </c>
      <c r="D55" s="46">
        <v>1.9</v>
      </c>
      <c r="E55" s="46">
        <v>1.9</v>
      </c>
      <c r="F55" s="46">
        <v>1.9</v>
      </c>
      <c r="G55" s="46">
        <v>1.9</v>
      </c>
      <c r="H55" s="46">
        <v>1.9</v>
      </c>
      <c r="I55" s="46">
        <v>1.9</v>
      </c>
      <c r="J55" s="46">
        <v>1.9</v>
      </c>
      <c r="K55" s="46">
        <v>1.9</v>
      </c>
      <c r="L55" s="46">
        <v>1.9</v>
      </c>
      <c r="M55" s="46">
        <v>1.9</v>
      </c>
      <c r="N55" s="46">
        <v>1.9</v>
      </c>
      <c r="O55" s="46">
        <v>1.9</v>
      </c>
      <c r="P55" s="46">
        <v>1.9</v>
      </c>
      <c r="Q55" s="46">
        <v>1.9</v>
      </c>
      <c r="R55" s="46">
        <v>1.9</v>
      </c>
      <c r="S55" s="46">
        <v>1.9</v>
      </c>
      <c r="T55" s="46">
        <v>1.9</v>
      </c>
      <c r="U55" s="46">
        <v>1.9</v>
      </c>
      <c r="V55" s="46">
        <v>1.9</v>
      </c>
      <c r="W55" s="46">
        <v>1.9</v>
      </c>
      <c r="X55" s="46">
        <v>1.9</v>
      </c>
      <c r="Y55" s="46">
        <v>1.9</v>
      </c>
      <c r="Z55" s="46">
        <v>1.9</v>
      </c>
      <c r="AA55" s="46">
        <v>1.9</v>
      </c>
      <c r="AB55" s="46">
        <v>1.9</v>
      </c>
      <c r="AC55" s="46">
        <v>1.9</v>
      </c>
      <c r="AD55" s="46">
        <v>1.9</v>
      </c>
      <c r="AE55" s="46">
        <v>1.9</v>
      </c>
      <c r="AF55" s="46">
        <v>1.9</v>
      </c>
      <c r="AG55" s="66">
        <v>11</v>
      </c>
      <c r="AH55" s="48">
        <f t="shared" si="2"/>
        <v>1.9</v>
      </c>
      <c r="AI55" s="49">
        <f t="shared" si="3"/>
        <v>1.9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/>
      <c r="C60" s="68"/>
      <c r="D60" s="68"/>
      <c r="E60" s="68"/>
      <c r="F60" s="68"/>
      <c r="G60" s="68"/>
      <c r="H60" s="68"/>
      <c r="I60" s="68"/>
      <c r="J60" s="68"/>
      <c r="K60" s="53"/>
      <c r="L60" s="53"/>
      <c r="M60" s="53"/>
      <c r="N60" s="53"/>
      <c r="O60" s="53"/>
      <c r="P60" s="53"/>
      <c r="Q60" s="53"/>
      <c r="R60" s="53"/>
      <c r="S60" s="53"/>
      <c r="T60" s="53">
        <v>70.2</v>
      </c>
      <c r="U60" s="53">
        <v>68.5</v>
      </c>
      <c r="V60" s="53">
        <v>68.5</v>
      </c>
      <c r="W60" s="53">
        <v>68.5</v>
      </c>
      <c r="X60" s="53">
        <v>68.5</v>
      </c>
      <c r="Y60" s="53">
        <v>68.5</v>
      </c>
      <c r="Z60" s="53">
        <v>68.5</v>
      </c>
      <c r="AA60" s="68">
        <v>65</v>
      </c>
      <c r="AB60" s="68">
        <f>36.3+26.5</f>
        <v>62.8</v>
      </c>
      <c r="AC60" s="68">
        <f>36.2+26.5</f>
        <v>62.7</v>
      </c>
      <c r="AD60" s="68">
        <f>27+37.2</f>
        <v>64.2</v>
      </c>
      <c r="AE60" s="68">
        <f>26.9+36.7</f>
        <v>63.6</v>
      </c>
      <c r="AF60" s="68">
        <f>26.9+36.7</f>
        <v>63.6</v>
      </c>
      <c r="AG60" s="66">
        <v>240</v>
      </c>
      <c r="AH60" s="48">
        <f t="shared" si="2"/>
        <v>70.2</v>
      </c>
      <c r="AI60" s="49">
        <f t="shared" si="3"/>
        <v>62.7</v>
      </c>
      <c r="AK60" s="51"/>
    </row>
    <row r="61" spans="1:88" ht="15.75" thickBot="1" x14ac:dyDescent="0.3">
      <c r="A61" s="70" t="s">
        <v>75</v>
      </c>
      <c r="B61" s="71">
        <f>SUM(B11:B59)</f>
        <v>936.6</v>
      </c>
      <c r="C61" s="71">
        <f t="shared" ref="C61:AG61" si="20">SUM(C11:C59)</f>
        <v>936.6</v>
      </c>
      <c r="D61" s="71">
        <f t="shared" si="20"/>
        <v>936.6</v>
      </c>
      <c r="E61" s="71">
        <f t="shared" si="20"/>
        <v>936.6</v>
      </c>
      <c r="F61" s="71">
        <f t="shared" si="20"/>
        <v>936.6</v>
      </c>
      <c r="G61" s="71">
        <f t="shared" si="20"/>
        <v>936.6</v>
      </c>
      <c r="H61" s="71">
        <f t="shared" si="20"/>
        <v>936.6</v>
      </c>
      <c r="I61" s="71">
        <f t="shared" si="20"/>
        <v>936.6</v>
      </c>
      <c r="J61" s="71">
        <f t="shared" si="20"/>
        <v>936.6</v>
      </c>
      <c r="K61" s="71">
        <f t="shared" si="20"/>
        <v>936.6</v>
      </c>
      <c r="L61" s="71">
        <f t="shared" si="20"/>
        <v>936.6</v>
      </c>
      <c r="M61" s="71">
        <f t="shared" si="20"/>
        <v>931.19999999999993</v>
      </c>
      <c r="N61" s="71">
        <f t="shared" si="20"/>
        <v>931.19999999999993</v>
      </c>
      <c r="O61" s="71">
        <f t="shared" si="20"/>
        <v>931.19999999999993</v>
      </c>
      <c r="P61" s="71">
        <f t="shared" si="20"/>
        <v>931.19999999999993</v>
      </c>
      <c r="Q61" s="71">
        <f t="shared" si="20"/>
        <v>931.19999999999993</v>
      </c>
      <c r="R61" s="71">
        <f t="shared" si="20"/>
        <v>865.99999999999989</v>
      </c>
      <c r="S61" s="71">
        <f t="shared" si="20"/>
        <v>865.99999999999989</v>
      </c>
      <c r="T61" s="71">
        <f t="shared" si="20"/>
        <v>865.99999999999989</v>
      </c>
      <c r="U61" s="71">
        <f t="shared" si="20"/>
        <v>865.99999999999989</v>
      </c>
      <c r="V61" s="71">
        <f t="shared" si="20"/>
        <v>865.99999999999989</v>
      </c>
      <c r="W61" s="71">
        <f t="shared" si="20"/>
        <v>865.99999999999989</v>
      </c>
      <c r="X61" s="71">
        <f t="shared" si="20"/>
        <v>865.99999999999989</v>
      </c>
      <c r="Y61" s="71">
        <f t="shared" si="20"/>
        <v>865.99999999999989</v>
      </c>
      <c r="Z61" s="71">
        <f t="shared" si="20"/>
        <v>865.99999999999989</v>
      </c>
      <c r="AA61" s="71">
        <v>865.99999999999989</v>
      </c>
      <c r="AB61" s="71">
        <f t="shared" si="20"/>
        <v>880.9</v>
      </c>
      <c r="AC61" s="71">
        <f t="shared" si="20"/>
        <v>877.59999999999991</v>
      </c>
      <c r="AD61" s="71">
        <f t="shared" ref="AD61:AE61" si="21">SUM(AD11:AD59)</f>
        <v>871.5999999999998</v>
      </c>
      <c r="AE61" s="71">
        <f t="shared" si="21"/>
        <v>871.5999999999998</v>
      </c>
      <c r="AF61" s="71">
        <f t="shared" ref="AF61" si="22">SUM(AF11:AF59)</f>
        <v>871.5999999999998</v>
      </c>
      <c r="AG61" s="71">
        <f t="shared" si="20"/>
        <v>1466.0300000000002</v>
      </c>
      <c r="AH61" s="48">
        <f t="shared" si="2"/>
        <v>936.6</v>
      </c>
      <c r="AI61" s="49">
        <f t="shared" si="3"/>
        <v>865.99999999999989</v>
      </c>
      <c r="AK61" s="51"/>
    </row>
    <row r="62" spans="1:88" x14ac:dyDescent="0.25">
      <c r="A62" s="73" t="s">
        <v>76</v>
      </c>
      <c r="B62" s="46">
        <v>120.7</v>
      </c>
      <c r="C62" s="46">
        <v>445.1</v>
      </c>
      <c r="D62" s="46">
        <v>445.1</v>
      </c>
      <c r="E62" s="46">
        <v>459</v>
      </c>
      <c r="F62" s="46">
        <v>434.1</v>
      </c>
      <c r="G62" s="46">
        <v>446</v>
      </c>
      <c r="H62" s="46">
        <v>457.8</v>
      </c>
      <c r="I62" s="46">
        <v>457.8</v>
      </c>
      <c r="J62" s="46">
        <v>350.2</v>
      </c>
      <c r="K62" s="46">
        <v>404.1</v>
      </c>
      <c r="L62" s="46">
        <v>457.6</v>
      </c>
      <c r="M62" s="46">
        <v>457.2</v>
      </c>
      <c r="N62" s="74">
        <v>271</v>
      </c>
      <c r="O62" s="74">
        <v>341.8</v>
      </c>
      <c r="P62" s="74">
        <v>120</v>
      </c>
      <c r="Q62" s="74">
        <v>150.80000000000001</v>
      </c>
      <c r="R62" s="74">
        <v>100</v>
      </c>
      <c r="S62" s="74">
        <v>100</v>
      </c>
      <c r="T62" s="74">
        <v>100</v>
      </c>
      <c r="U62" s="74">
        <v>81.5</v>
      </c>
      <c r="V62" s="74">
        <v>100</v>
      </c>
      <c r="W62" s="74">
        <v>60</v>
      </c>
      <c r="X62" s="74">
        <v>60</v>
      </c>
      <c r="Y62" s="74">
        <v>400</v>
      </c>
      <c r="Z62" s="74">
        <v>456</v>
      </c>
      <c r="AA62" s="46">
        <v>456</v>
      </c>
      <c r="AB62" s="46">
        <v>460.2</v>
      </c>
      <c r="AC62" s="46">
        <v>459.8</v>
      </c>
      <c r="AD62" s="46">
        <v>458.8</v>
      </c>
      <c r="AE62" s="46">
        <v>458.8</v>
      </c>
      <c r="AF62" s="46">
        <v>458.8</v>
      </c>
      <c r="AG62" s="61">
        <v>456</v>
      </c>
      <c r="AH62" s="48">
        <f t="shared" si="2"/>
        <v>460.2</v>
      </c>
      <c r="AI62" s="49">
        <f t="shared" si="3"/>
        <v>60</v>
      </c>
      <c r="AK62" s="51"/>
    </row>
    <row r="63" spans="1:88" x14ac:dyDescent="0.25">
      <c r="A63" s="75" t="s">
        <v>77</v>
      </c>
      <c r="B63" s="76">
        <v>61</v>
      </c>
      <c r="C63" s="76">
        <v>61</v>
      </c>
      <c r="D63" s="76">
        <v>61</v>
      </c>
      <c r="E63" s="76">
        <v>55.6</v>
      </c>
      <c r="F63" s="76">
        <v>55.2</v>
      </c>
      <c r="G63" s="76">
        <v>54.3</v>
      </c>
      <c r="H63" s="76">
        <v>53.6</v>
      </c>
      <c r="I63" s="76">
        <v>53.7</v>
      </c>
      <c r="J63" s="76">
        <v>53</v>
      </c>
      <c r="K63" s="76">
        <v>52.1</v>
      </c>
      <c r="L63" s="76">
        <v>50.8</v>
      </c>
      <c r="M63" s="76">
        <v>48.8</v>
      </c>
      <c r="N63" s="76">
        <v>45.8</v>
      </c>
      <c r="O63" s="76">
        <v>40</v>
      </c>
      <c r="P63" s="76">
        <v>45.9</v>
      </c>
      <c r="Q63" s="76">
        <v>49.7</v>
      </c>
      <c r="R63" s="76">
        <v>47.6</v>
      </c>
      <c r="S63" s="76">
        <v>47.6</v>
      </c>
      <c r="T63" s="76">
        <v>45</v>
      </c>
      <c r="U63" s="76">
        <v>45</v>
      </c>
      <c r="V63" s="76">
        <v>45</v>
      </c>
      <c r="W63" s="76">
        <v>45</v>
      </c>
      <c r="X63" s="76">
        <v>45</v>
      </c>
      <c r="Y63" s="76">
        <v>45</v>
      </c>
      <c r="Z63" s="76">
        <v>45</v>
      </c>
      <c r="AA63" s="76">
        <v>40</v>
      </c>
      <c r="AB63" s="76">
        <v>38.700000000000003</v>
      </c>
      <c r="AC63" s="76">
        <v>38.4</v>
      </c>
      <c r="AD63" s="76">
        <v>38.9</v>
      </c>
      <c r="AE63" s="76">
        <v>39.700000000000003</v>
      </c>
      <c r="AF63" s="76">
        <v>39.700000000000003</v>
      </c>
      <c r="AG63" s="66">
        <v>60</v>
      </c>
      <c r="AH63" s="48">
        <f t="shared" si="2"/>
        <v>61</v>
      </c>
      <c r="AI63" s="49">
        <f t="shared" si="3"/>
        <v>38.4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22.5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22.5</v>
      </c>
      <c r="O64" s="78">
        <v>22.6</v>
      </c>
      <c r="P64" s="78">
        <v>22.6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3">SUM(B62:B64)</f>
        <v>204.29999999999998</v>
      </c>
      <c r="C65" s="71">
        <f t="shared" si="23"/>
        <v>528.70000000000005</v>
      </c>
      <c r="D65" s="71">
        <f t="shared" si="23"/>
        <v>528.70000000000005</v>
      </c>
      <c r="E65" s="71">
        <f t="shared" si="23"/>
        <v>537.20000000000005</v>
      </c>
      <c r="F65" s="71">
        <f t="shared" si="23"/>
        <v>511.90000000000003</v>
      </c>
      <c r="G65" s="71">
        <f t="shared" si="23"/>
        <v>522.9</v>
      </c>
      <c r="H65" s="71">
        <f t="shared" si="23"/>
        <v>533.90000000000009</v>
      </c>
      <c r="I65" s="71">
        <f t="shared" si="23"/>
        <v>534.1</v>
      </c>
      <c r="J65" s="71">
        <f t="shared" si="23"/>
        <v>425.8</v>
      </c>
      <c r="K65" s="71">
        <f t="shared" si="23"/>
        <v>478.80000000000007</v>
      </c>
      <c r="L65" s="71">
        <f t="shared" si="23"/>
        <v>531</v>
      </c>
      <c r="M65" s="71">
        <f t="shared" si="23"/>
        <v>528.6</v>
      </c>
      <c r="N65" s="71">
        <f t="shared" si="23"/>
        <v>339.3</v>
      </c>
      <c r="O65" s="71">
        <f t="shared" si="23"/>
        <v>404.40000000000003</v>
      </c>
      <c r="P65" s="71">
        <f t="shared" si="23"/>
        <v>188.5</v>
      </c>
      <c r="Q65" s="71">
        <f t="shared" si="23"/>
        <v>223</v>
      </c>
      <c r="R65" s="71">
        <f t="shared" si="23"/>
        <v>170.1</v>
      </c>
      <c r="S65" s="71">
        <f t="shared" si="23"/>
        <v>170.1</v>
      </c>
      <c r="T65" s="71">
        <f t="shared" si="23"/>
        <v>167.5</v>
      </c>
      <c r="U65" s="71">
        <f>SUM(U62:U64)</f>
        <v>149</v>
      </c>
      <c r="V65" s="71">
        <f t="shared" si="23"/>
        <v>167.5</v>
      </c>
      <c r="W65" s="71">
        <f t="shared" si="23"/>
        <v>127.5</v>
      </c>
      <c r="X65" s="71">
        <f t="shared" si="23"/>
        <v>127.5</v>
      </c>
      <c r="Y65" s="71">
        <f t="shared" si="23"/>
        <v>467.5</v>
      </c>
      <c r="Z65" s="71">
        <f t="shared" si="23"/>
        <v>523.5</v>
      </c>
      <c r="AA65" s="71">
        <v>518.5</v>
      </c>
      <c r="AB65" s="71">
        <f t="shared" si="23"/>
        <v>521.5</v>
      </c>
      <c r="AC65" s="71">
        <f t="shared" si="23"/>
        <v>520.79999999999995</v>
      </c>
      <c r="AD65" s="71">
        <f t="shared" ref="AD65:AE65" si="24">SUM(AD62:AD64)</f>
        <v>520.29999999999995</v>
      </c>
      <c r="AE65" s="71">
        <f t="shared" si="24"/>
        <v>521.1</v>
      </c>
      <c r="AF65" s="71">
        <f t="shared" ref="AF65" si="25">SUM(AF62:AF64)</f>
        <v>521.1</v>
      </c>
      <c r="AG65" s="72">
        <f t="shared" si="23"/>
        <v>538.1</v>
      </c>
      <c r="AH65" s="48">
        <f t="shared" si="2"/>
        <v>537.20000000000005</v>
      </c>
      <c r="AI65" s="49">
        <f t="shared" si="3"/>
        <v>127.5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143.5</v>
      </c>
      <c r="C66" s="46">
        <v>143.5</v>
      </c>
      <c r="D66" s="46">
        <v>143.5</v>
      </c>
      <c r="E66" s="46">
        <v>142.69999999999999</v>
      </c>
      <c r="F66" s="46">
        <v>142.69999999999999</v>
      </c>
      <c r="G66" s="46">
        <v>142.69999999999999</v>
      </c>
      <c r="H66" s="46">
        <v>142.69999999999999</v>
      </c>
      <c r="I66" s="46">
        <v>142.69999999999999</v>
      </c>
      <c r="J66" s="46">
        <v>144.1</v>
      </c>
      <c r="K66" s="46">
        <v>144.1</v>
      </c>
      <c r="L66" s="46">
        <v>144</v>
      </c>
      <c r="M66" s="46">
        <v>144</v>
      </c>
      <c r="N66" s="46">
        <v>144</v>
      </c>
      <c r="O66" s="46">
        <v>144</v>
      </c>
      <c r="P66" s="46">
        <v>96</v>
      </c>
      <c r="Q66" s="46">
        <v>96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>
        <v>144</v>
      </c>
      <c r="Y66" s="46">
        <v>144</v>
      </c>
      <c r="Z66" s="46">
        <v>144</v>
      </c>
      <c r="AA66" s="46">
        <v>145</v>
      </c>
      <c r="AB66" s="46">
        <v>145.30000000000001</v>
      </c>
      <c r="AC66" s="46">
        <v>143</v>
      </c>
      <c r="AD66" s="46">
        <v>145</v>
      </c>
      <c r="AE66" s="46">
        <v>145</v>
      </c>
      <c r="AF66" s="46">
        <v>145</v>
      </c>
      <c r="AG66" s="61">
        <v>144</v>
      </c>
      <c r="AH66" s="48">
        <f t="shared" si="2"/>
        <v>145.30000000000001</v>
      </c>
      <c r="AI66" s="49">
        <f t="shared" si="3"/>
        <v>96</v>
      </c>
      <c r="AK66" s="51"/>
      <c r="AY66" s="1" t="s">
        <v>86</v>
      </c>
      <c r="AZ66" s="82">
        <f>ROUND(C84,0)</f>
        <v>31</v>
      </c>
      <c r="BA66" s="81">
        <f t="shared" ref="BA66:BD70" si="26">D84</f>
        <v>30.9</v>
      </c>
      <c r="BB66" s="81">
        <f t="shared" si="26"/>
        <v>-15.6</v>
      </c>
      <c r="BC66" s="81">
        <f t="shared" si="26"/>
        <v>-14.6</v>
      </c>
      <c r="BD66" s="81">
        <f t="shared" si="26"/>
        <v>-15.3</v>
      </c>
      <c r="BE66" s="82">
        <f>I84</f>
        <v>-17.7</v>
      </c>
      <c r="BF66" s="82">
        <f>K84</f>
        <v>50.7</v>
      </c>
      <c r="BG66" s="82">
        <f t="shared" ref="BG66:BP70" si="27">M84</f>
        <v>50.2</v>
      </c>
      <c r="BH66" s="82">
        <f t="shared" si="27"/>
        <v>42.3</v>
      </c>
      <c r="BI66" s="82">
        <f t="shared" si="27"/>
        <v>49.6</v>
      </c>
      <c r="BJ66" s="82">
        <f t="shared" si="27"/>
        <v>62.7</v>
      </c>
      <c r="BK66" s="82">
        <f t="shared" si="27"/>
        <v>61</v>
      </c>
      <c r="BL66" s="82">
        <f t="shared" si="27"/>
        <v>66.400000000000006</v>
      </c>
      <c r="BM66" s="82">
        <f t="shared" si="27"/>
        <v>60.5</v>
      </c>
      <c r="BN66" s="82">
        <f t="shared" si="27"/>
        <v>72.5</v>
      </c>
      <c r="BO66" s="82">
        <f t="shared" si="27"/>
        <v>56.3</v>
      </c>
      <c r="BP66" s="82">
        <f t="shared" si="27"/>
        <v>65.099999999999994</v>
      </c>
      <c r="BQ66" s="82">
        <f>X84</f>
        <v>60</v>
      </c>
      <c r="BR66" s="82">
        <f>Z84</f>
        <v>60.3</v>
      </c>
      <c r="BS66" s="81">
        <f>AB84</f>
        <v>50.1</v>
      </c>
      <c r="BT66" s="81">
        <f t="shared" ref="BT66:BV70" si="28">AD84</f>
        <v>53.2</v>
      </c>
      <c r="BU66" s="81">
        <f t="shared" si="28"/>
        <v>61.9</v>
      </c>
      <c r="BV66" s="81">
        <f t="shared" si="28"/>
        <v>50.8</v>
      </c>
      <c r="BW66" s="81">
        <f>B84</f>
        <v>11.3</v>
      </c>
    </row>
    <row r="67" spans="1:75" x14ac:dyDescent="0.25">
      <c r="A67" s="65" t="s">
        <v>81</v>
      </c>
      <c r="B67" s="76">
        <v>60.1</v>
      </c>
      <c r="C67" s="76">
        <v>58.8</v>
      </c>
      <c r="D67" s="76">
        <v>58.8</v>
      </c>
      <c r="E67" s="76">
        <v>59.3</v>
      </c>
      <c r="F67" s="76">
        <v>59.3</v>
      </c>
      <c r="G67" s="76">
        <v>53.9</v>
      </c>
      <c r="H67" s="76">
        <v>56.6</v>
      </c>
      <c r="I67" s="76">
        <v>56.3</v>
      </c>
      <c r="J67" s="76">
        <v>56.5</v>
      </c>
      <c r="K67" s="76">
        <v>56.5</v>
      </c>
      <c r="L67" s="76">
        <v>56.1</v>
      </c>
      <c r="M67" s="76">
        <v>56.1</v>
      </c>
      <c r="N67" s="76">
        <v>59.3</v>
      </c>
      <c r="O67" s="76">
        <v>59.3</v>
      </c>
      <c r="P67" s="76">
        <v>60</v>
      </c>
      <c r="Q67" s="76">
        <v>60</v>
      </c>
      <c r="R67" s="76">
        <v>57.3</v>
      </c>
      <c r="S67" s="76">
        <v>57.3</v>
      </c>
      <c r="T67" s="76">
        <v>57.3</v>
      </c>
      <c r="U67" s="76">
        <v>59.3</v>
      </c>
      <c r="V67" s="76">
        <v>51.2</v>
      </c>
      <c r="W67" s="76">
        <v>51.2</v>
      </c>
      <c r="X67" s="76">
        <v>51.2</v>
      </c>
      <c r="Y67" s="76">
        <v>59.1</v>
      </c>
      <c r="Z67" s="76">
        <v>59.1</v>
      </c>
      <c r="AA67" s="46">
        <v>64</v>
      </c>
      <c r="AB67" s="46">
        <v>55.9</v>
      </c>
      <c r="AC67" s="46">
        <v>56.3</v>
      </c>
      <c r="AD67" s="46">
        <v>57.9</v>
      </c>
      <c r="AE67" s="46">
        <v>57.9</v>
      </c>
      <c r="AF67" s="46">
        <v>57.9</v>
      </c>
      <c r="AG67" s="66">
        <v>70</v>
      </c>
      <c r="AH67" s="48">
        <f t="shared" si="2"/>
        <v>64</v>
      </c>
      <c r="AI67" s="49">
        <f t="shared" si="3"/>
        <v>51.2</v>
      </c>
      <c r="AK67" s="51"/>
      <c r="AY67" s="1" t="s">
        <v>88</v>
      </c>
      <c r="AZ67" s="82">
        <f>ROUND(C85,0)</f>
        <v>0</v>
      </c>
      <c r="BA67" s="81">
        <f t="shared" si="26"/>
        <v>0</v>
      </c>
      <c r="BB67" s="81">
        <f t="shared" si="26"/>
        <v>0</v>
      </c>
      <c r="BC67" s="81">
        <f t="shared" si="26"/>
        <v>0</v>
      </c>
      <c r="BD67" s="81">
        <f t="shared" si="26"/>
        <v>0</v>
      </c>
      <c r="BE67" s="82">
        <f>I85</f>
        <v>0</v>
      </c>
      <c r="BF67" s="82">
        <f>K85</f>
        <v>0</v>
      </c>
      <c r="BG67" s="82">
        <f t="shared" si="27"/>
        <v>0</v>
      </c>
      <c r="BH67" s="82">
        <f t="shared" si="27"/>
        <v>0</v>
      </c>
      <c r="BI67" s="82">
        <f t="shared" si="27"/>
        <v>0</v>
      </c>
      <c r="BJ67" s="82">
        <f t="shared" si="27"/>
        <v>0</v>
      </c>
      <c r="BK67" s="82">
        <f t="shared" si="27"/>
        <v>0</v>
      </c>
      <c r="BL67" s="82">
        <f t="shared" si="27"/>
        <v>0</v>
      </c>
      <c r="BM67" s="82">
        <f t="shared" si="27"/>
        <v>118</v>
      </c>
      <c r="BN67" s="82">
        <f t="shared" si="27"/>
        <v>95</v>
      </c>
      <c r="BO67" s="82">
        <f t="shared" si="27"/>
        <v>123.6</v>
      </c>
      <c r="BP67" s="82">
        <f t="shared" si="27"/>
        <v>79</v>
      </c>
      <c r="BQ67" s="82">
        <f>X85</f>
        <v>70.400000000000006</v>
      </c>
      <c r="BR67" s="82">
        <f>Z85</f>
        <v>0</v>
      </c>
      <c r="BS67" s="81">
        <f>AB85</f>
        <v>0</v>
      </c>
      <c r="BT67" s="81">
        <f t="shared" si="28"/>
        <v>0</v>
      </c>
      <c r="BU67" s="81">
        <f t="shared" si="28"/>
        <v>0</v>
      </c>
      <c r="BV67" s="81">
        <f t="shared" si="28"/>
        <v>0</v>
      </c>
      <c r="BW67" s="81">
        <f>B85</f>
        <v>0</v>
      </c>
    </row>
    <row r="68" spans="1:75" x14ac:dyDescent="0.25">
      <c r="A68" s="65" t="s">
        <v>82</v>
      </c>
      <c r="B68" s="76">
        <v>60.8</v>
      </c>
      <c r="C68" s="76">
        <v>69.099999999999994</v>
      </c>
      <c r="D68" s="76">
        <v>69.099999999999994</v>
      </c>
      <c r="E68" s="76">
        <v>67.099999999999994</v>
      </c>
      <c r="F68" s="76">
        <v>69.53</v>
      </c>
      <c r="G68" s="76">
        <v>69.53</v>
      </c>
      <c r="H68" s="76">
        <v>69.53</v>
      </c>
      <c r="I68" s="76">
        <v>70</v>
      </c>
      <c r="J68" s="76">
        <v>68.599999999999994</v>
      </c>
      <c r="K68" s="76">
        <v>68.599999999999994</v>
      </c>
      <c r="L68" s="76">
        <v>68.7</v>
      </c>
      <c r="M68" s="76">
        <v>68.7</v>
      </c>
      <c r="N68" s="76">
        <v>69.7</v>
      </c>
      <c r="O68" s="76">
        <v>69.7</v>
      </c>
      <c r="P68" s="76">
        <v>69.7</v>
      </c>
      <c r="Q68" s="76">
        <v>69.7</v>
      </c>
      <c r="R68" s="76">
        <v>69.5</v>
      </c>
      <c r="S68" s="76">
        <v>69.5</v>
      </c>
      <c r="T68" s="76">
        <v>69.5</v>
      </c>
      <c r="U68" s="76">
        <v>69.5</v>
      </c>
      <c r="V68" s="76">
        <v>69.5</v>
      </c>
      <c r="W68" s="76">
        <v>69.5</v>
      </c>
      <c r="X68" s="76">
        <v>69.5</v>
      </c>
      <c r="Y68" s="76">
        <v>69.5</v>
      </c>
      <c r="Z68" s="76">
        <v>69.5</v>
      </c>
      <c r="AA68" s="46">
        <v>69.5</v>
      </c>
      <c r="AB68" s="46">
        <v>70.5</v>
      </c>
      <c r="AC68" s="46">
        <v>70.400000000000006</v>
      </c>
      <c r="AD68" s="46">
        <v>69.599999999999994</v>
      </c>
      <c r="AE68" s="46">
        <v>70</v>
      </c>
      <c r="AF68" s="46">
        <v>70</v>
      </c>
      <c r="AG68" s="66">
        <v>69</v>
      </c>
      <c r="AH68" s="48">
        <f t="shared" si="2"/>
        <v>70.5</v>
      </c>
      <c r="AI68" s="49">
        <f t="shared" si="3"/>
        <v>60.8</v>
      </c>
      <c r="AK68" s="51"/>
      <c r="AL68" s="83"/>
      <c r="AO68" s="83"/>
      <c r="AY68" s="1" t="s">
        <v>90</v>
      </c>
      <c r="AZ68" s="82">
        <f>ROUND(C86,0)</f>
        <v>-408</v>
      </c>
      <c r="BA68" s="81">
        <f t="shared" si="26"/>
        <v>-408</v>
      </c>
      <c r="BB68" s="81">
        <f t="shared" si="26"/>
        <v>-389</v>
      </c>
      <c r="BC68" s="81">
        <f t="shared" si="26"/>
        <v>-395</v>
      </c>
      <c r="BD68" s="81">
        <f t="shared" si="26"/>
        <v>-411</v>
      </c>
      <c r="BE68" s="82">
        <f>I86</f>
        <v>-402</v>
      </c>
      <c r="BF68" s="82">
        <f>K86</f>
        <v>-312</v>
      </c>
      <c r="BG68" s="82">
        <f t="shared" si="27"/>
        <v>-292.2</v>
      </c>
      <c r="BH68" s="82">
        <f t="shared" si="27"/>
        <v>-68</v>
      </c>
      <c r="BI68" s="82">
        <f t="shared" si="27"/>
        <v>-66.7</v>
      </c>
      <c r="BJ68" s="82">
        <f t="shared" si="27"/>
        <v>120</v>
      </c>
      <c r="BK68" s="82">
        <f t="shared" si="27"/>
        <v>137.80000000000001</v>
      </c>
      <c r="BL68" s="82">
        <f t="shared" si="27"/>
        <v>135</v>
      </c>
      <c r="BM68" s="82">
        <f t="shared" si="27"/>
        <v>134</v>
      </c>
      <c r="BN68" s="82">
        <f t="shared" si="27"/>
        <v>155.19999999999999</v>
      </c>
      <c r="BO68" s="82">
        <f t="shared" si="27"/>
        <v>178</v>
      </c>
      <c r="BP68" s="82">
        <f t="shared" si="27"/>
        <v>205.6</v>
      </c>
      <c r="BQ68" s="82">
        <f>X86</f>
        <v>161.4</v>
      </c>
      <c r="BR68" s="82">
        <f>Z86</f>
        <v>-290</v>
      </c>
      <c r="BS68" s="81">
        <f>AB86</f>
        <v>-173</v>
      </c>
      <c r="BT68" s="81">
        <f t="shared" si="28"/>
        <v>-215</v>
      </c>
      <c r="BU68" s="81">
        <f t="shared" si="28"/>
        <v>-312</v>
      </c>
      <c r="BV68" s="81">
        <f t="shared" si="28"/>
        <v>-420</v>
      </c>
      <c r="BW68" s="81">
        <f>B86</f>
        <v>4.8</v>
      </c>
    </row>
    <row r="69" spans="1:75" s="83" customFormat="1" x14ac:dyDescent="0.25">
      <c r="A69" s="65" t="s">
        <v>83</v>
      </c>
      <c r="B69" s="76">
        <v>60.9</v>
      </c>
      <c r="C69" s="76">
        <v>60.9</v>
      </c>
      <c r="D69" s="76">
        <v>60.9</v>
      </c>
      <c r="E69" s="76">
        <v>58.9</v>
      </c>
      <c r="F69" s="76">
        <v>58.9</v>
      </c>
      <c r="G69" s="76">
        <v>60.4</v>
      </c>
      <c r="H69" s="76">
        <v>60.4</v>
      </c>
      <c r="I69" s="76">
        <v>60.7</v>
      </c>
      <c r="J69" s="76">
        <v>60.7</v>
      </c>
      <c r="K69" s="76">
        <v>60.7</v>
      </c>
      <c r="L69" s="68">
        <v>60.2</v>
      </c>
      <c r="M69" s="68">
        <v>60.2</v>
      </c>
      <c r="N69" s="76">
        <v>60.2</v>
      </c>
      <c r="O69" s="76">
        <v>60.2</v>
      </c>
      <c r="P69" s="76">
        <v>60.2</v>
      </c>
      <c r="Q69" s="76">
        <v>60.2</v>
      </c>
      <c r="R69" s="76">
        <v>60.2</v>
      </c>
      <c r="S69" s="76">
        <v>60.2</v>
      </c>
      <c r="T69" s="76">
        <v>60.2</v>
      </c>
      <c r="U69" s="76">
        <v>60.2</v>
      </c>
      <c r="V69" s="76">
        <v>60.2</v>
      </c>
      <c r="W69" s="76">
        <v>60.2</v>
      </c>
      <c r="X69" s="76">
        <v>60.2</v>
      </c>
      <c r="Y69" s="76">
        <v>60.2</v>
      </c>
      <c r="Z69" s="76">
        <v>60.2</v>
      </c>
      <c r="AA69" s="46">
        <v>60.2</v>
      </c>
      <c r="AB69" s="46">
        <v>61.7</v>
      </c>
      <c r="AC69" s="46">
        <v>61.7</v>
      </c>
      <c r="AD69" s="46">
        <v>61.7</v>
      </c>
      <c r="AE69" s="46">
        <v>61.7</v>
      </c>
      <c r="AF69" s="46">
        <v>61.7</v>
      </c>
      <c r="AG69" s="66">
        <v>60</v>
      </c>
      <c r="AH69" s="48">
        <f t="shared" si="2"/>
        <v>61.7</v>
      </c>
      <c r="AI69" s="49">
        <f t="shared" si="3"/>
        <v>58.9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6"/>
        <v>0</v>
      </c>
      <c r="BB69" s="81">
        <f t="shared" si="26"/>
        <v>0</v>
      </c>
      <c r="BC69" s="81">
        <f t="shared" si="26"/>
        <v>0</v>
      </c>
      <c r="BD69" s="81">
        <f t="shared" si="26"/>
        <v>0</v>
      </c>
      <c r="BE69" s="82">
        <f>I87</f>
        <v>0</v>
      </c>
      <c r="BF69" s="82">
        <f>K87</f>
        <v>0</v>
      </c>
      <c r="BG69" s="82">
        <f t="shared" si="27"/>
        <v>0</v>
      </c>
      <c r="BH69" s="82">
        <f t="shared" si="27"/>
        <v>0</v>
      </c>
      <c r="BI69" s="82">
        <f t="shared" si="27"/>
        <v>0</v>
      </c>
      <c r="BJ69" s="82">
        <f t="shared" si="27"/>
        <v>0</v>
      </c>
      <c r="BK69" s="82">
        <f t="shared" si="27"/>
        <v>0</v>
      </c>
      <c r="BL69" s="82">
        <f t="shared" si="27"/>
        <v>0</v>
      </c>
      <c r="BM69" s="82">
        <f t="shared" si="27"/>
        <v>0</v>
      </c>
      <c r="BN69" s="82">
        <f t="shared" si="27"/>
        <v>0</v>
      </c>
      <c r="BO69" s="82">
        <f t="shared" si="27"/>
        <v>0</v>
      </c>
      <c r="BP69" s="82">
        <f t="shared" si="27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8"/>
        <v>0</v>
      </c>
      <c r="BU69" s="81">
        <f t="shared" si="28"/>
        <v>0</v>
      </c>
      <c r="BV69" s="81">
        <f t="shared" si="28"/>
        <v>0</v>
      </c>
      <c r="BW69" s="81">
        <f>B87</f>
        <v>0</v>
      </c>
    </row>
    <row r="70" spans="1:75" x14ac:dyDescent="0.25">
      <c r="A70" s="65" t="s">
        <v>84</v>
      </c>
      <c r="B70" s="46">
        <v>23.1</v>
      </c>
      <c r="C70" s="46">
        <v>23.1</v>
      </c>
      <c r="D70" s="46">
        <v>23.1</v>
      </c>
      <c r="E70" s="76">
        <v>27.9</v>
      </c>
      <c r="F70" s="76">
        <v>26.1</v>
      </c>
      <c r="G70" s="76">
        <v>26.7</v>
      </c>
      <c r="H70" s="76">
        <v>26.7</v>
      </c>
      <c r="I70" s="76">
        <v>22.8</v>
      </c>
      <c r="J70" s="76">
        <v>22.8</v>
      </c>
      <c r="K70" s="76">
        <v>22.8</v>
      </c>
      <c r="L70" s="68">
        <v>14.6</v>
      </c>
      <c r="M70" s="68">
        <v>14.6</v>
      </c>
      <c r="N70" s="76">
        <v>14.8</v>
      </c>
      <c r="O70" s="76">
        <v>22.1</v>
      </c>
      <c r="P70" s="76">
        <v>22.1</v>
      </c>
      <c r="Q70" s="76">
        <v>22.1</v>
      </c>
      <c r="R70" s="76">
        <v>21.9</v>
      </c>
      <c r="S70" s="76">
        <v>21.9</v>
      </c>
      <c r="T70" s="76">
        <v>21.9</v>
      </c>
      <c r="U70" s="76">
        <v>14</v>
      </c>
      <c r="V70" s="76">
        <v>14</v>
      </c>
      <c r="W70" s="76">
        <v>14</v>
      </c>
      <c r="X70" s="76">
        <v>14</v>
      </c>
      <c r="Y70" s="76">
        <v>0</v>
      </c>
      <c r="Z70" s="76">
        <v>0</v>
      </c>
      <c r="AA70" s="46">
        <v>0</v>
      </c>
      <c r="AB70" s="46">
        <v>14.9</v>
      </c>
      <c r="AC70" s="46">
        <v>15</v>
      </c>
      <c r="AD70" s="46">
        <v>15</v>
      </c>
      <c r="AE70" s="46">
        <v>15</v>
      </c>
      <c r="AF70" s="46">
        <v>15</v>
      </c>
      <c r="AG70" s="66">
        <v>30</v>
      </c>
      <c r="AH70" s="48">
        <f t="shared" si="2"/>
        <v>27.9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6"/>
        <v>0</v>
      </c>
      <c r="BB70" s="81">
        <f t="shared" si="26"/>
        <v>0</v>
      </c>
      <c r="BC70" s="81">
        <f t="shared" si="26"/>
        <v>0</v>
      </c>
      <c r="BD70" s="81">
        <f t="shared" si="26"/>
        <v>0</v>
      </c>
      <c r="BE70" s="82">
        <f>I88</f>
        <v>0</v>
      </c>
      <c r="BF70" s="82">
        <f>K88</f>
        <v>88.4</v>
      </c>
      <c r="BG70" s="82">
        <f t="shared" si="27"/>
        <v>112.4</v>
      </c>
      <c r="BH70" s="82">
        <f t="shared" si="27"/>
        <v>107.2</v>
      </c>
      <c r="BI70" s="82">
        <f t="shared" si="27"/>
        <v>130.1</v>
      </c>
      <c r="BJ70" s="82">
        <f t="shared" si="27"/>
        <v>140</v>
      </c>
      <c r="BK70" s="82">
        <f t="shared" si="27"/>
        <v>143</v>
      </c>
      <c r="BL70" s="82">
        <f t="shared" si="27"/>
        <v>142</v>
      </c>
      <c r="BM70" s="82">
        <f t="shared" si="27"/>
        <v>130</v>
      </c>
      <c r="BN70" s="82">
        <f t="shared" si="27"/>
        <v>98.9</v>
      </c>
      <c r="BO70" s="82">
        <f t="shared" si="27"/>
        <v>140.1</v>
      </c>
      <c r="BP70" s="82">
        <f t="shared" si="27"/>
        <v>115.5</v>
      </c>
      <c r="BQ70" s="82">
        <f>X88</f>
        <v>115.5</v>
      </c>
      <c r="BR70" s="82">
        <f>Z88</f>
        <v>0</v>
      </c>
      <c r="BS70" s="81">
        <f>AB88</f>
        <v>0</v>
      </c>
      <c r="BT70" s="81">
        <f t="shared" si="28"/>
        <v>0</v>
      </c>
      <c r="BU70" s="81">
        <f t="shared" si="28"/>
        <v>0</v>
      </c>
      <c r="BV70" s="81">
        <f t="shared" si="2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0.9</v>
      </c>
      <c r="J71" s="46">
        <v>0.9</v>
      </c>
      <c r="K71" s="46">
        <v>0.9</v>
      </c>
      <c r="L71" s="76">
        <v>6</v>
      </c>
      <c r="M71" s="76">
        <v>8.8000000000000007</v>
      </c>
      <c r="N71" s="76">
        <v>12.2</v>
      </c>
      <c r="O71" s="76">
        <v>15.2</v>
      </c>
      <c r="P71" s="76">
        <v>17.5</v>
      </c>
      <c r="Q71" s="76">
        <v>17</v>
      </c>
      <c r="R71" s="76">
        <v>15.6</v>
      </c>
      <c r="S71" s="76">
        <v>15.6</v>
      </c>
      <c r="T71" s="76">
        <v>10.9</v>
      </c>
      <c r="U71" s="76">
        <v>6.4</v>
      </c>
      <c r="V71" s="76">
        <v>2.8</v>
      </c>
      <c r="W71" s="76">
        <v>2.8</v>
      </c>
      <c r="X71" s="76">
        <v>2.8</v>
      </c>
      <c r="Y71" s="76">
        <v>0.4</v>
      </c>
      <c r="Z71" s="76">
        <v>0.4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17.5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9">M94</f>
        <v>0</v>
      </c>
      <c r="BH71" s="82">
        <f t="shared" si="29"/>
        <v>0</v>
      </c>
      <c r="BI71" s="82">
        <f t="shared" si="29"/>
        <v>0</v>
      </c>
      <c r="BJ71" s="82">
        <f t="shared" si="29"/>
        <v>0</v>
      </c>
      <c r="BK71" s="82">
        <f t="shared" si="29"/>
        <v>0</v>
      </c>
      <c r="BL71" s="82">
        <f t="shared" si="29"/>
        <v>0</v>
      </c>
      <c r="BM71" s="82">
        <f t="shared" si="29"/>
        <v>0</v>
      </c>
      <c r="BN71" s="82">
        <f t="shared" si="29"/>
        <v>0</v>
      </c>
      <c r="BO71" s="82">
        <f t="shared" si="29"/>
        <v>0</v>
      </c>
      <c r="BP71" s="82">
        <f t="shared" si="2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12.9</v>
      </c>
      <c r="C72" s="76">
        <v>12.9</v>
      </c>
      <c r="D72" s="76">
        <v>12.9</v>
      </c>
      <c r="E72" s="76">
        <v>12.9</v>
      </c>
      <c r="F72" s="76">
        <v>11.1</v>
      </c>
      <c r="G72" s="76">
        <v>11.1</v>
      </c>
      <c r="H72" s="76">
        <v>11.1</v>
      </c>
      <c r="I72" s="76">
        <v>11.2</v>
      </c>
      <c r="J72" s="76">
        <v>11.2</v>
      </c>
      <c r="K72" s="76">
        <v>11.2</v>
      </c>
      <c r="L72" s="76">
        <v>11.2</v>
      </c>
      <c r="M72" s="76">
        <v>11.2</v>
      </c>
      <c r="N72" s="76">
        <v>13.4</v>
      </c>
      <c r="O72" s="76">
        <v>13.4</v>
      </c>
      <c r="P72" s="76">
        <v>13.4</v>
      </c>
      <c r="Q72" s="76">
        <v>13.4</v>
      </c>
      <c r="R72" s="76">
        <v>13.4</v>
      </c>
      <c r="S72" s="76">
        <v>13.4</v>
      </c>
      <c r="T72" s="76">
        <v>13.4</v>
      </c>
      <c r="U72" s="76">
        <v>13.4</v>
      </c>
      <c r="V72" s="76">
        <v>13.4</v>
      </c>
      <c r="W72" s="76">
        <v>13.4</v>
      </c>
      <c r="X72" s="76">
        <v>13.4</v>
      </c>
      <c r="Y72" s="76">
        <v>13.4</v>
      </c>
      <c r="Z72" s="76">
        <v>13.4</v>
      </c>
      <c r="AA72" s="76">
        <v>13.4</v>
      </c>
      <c r="AB72" s="76">
        <v>13.4</v>
      </c>
      <c r="AC72" s="76">
        <v>13.4</v>
      </c>
      <c r="AD72" s="76">
        <v>10.9</v>
      </c>
      <c r="AE72" s="76">
        <v>10.9</v>
      </c>
      <c r="AF72" s="76">
        <v>10.9</v>
      </c>
      <c r="AG72" s="66">
        <v>24</v>
      </c>
      <c r="AH72" s="48">
        <f t="shared" si="2"/>
        <v>13.4</v>
      </c>
      <c r="AI72" s="49">
        <f t="shared" si="3"/>
        <v>10.9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</v>
      </c>
      <c r="C73" s="76">
        <v>2</v>
      </c>
      <c r="D73" s="76">
        <v>2</v>
      </c>
      <c r="E73" s="76">
        <v>2</v>
      </c>
      <c r="F73" s="76">
        <v>2</v>
      </c>
      <c r="G73" s="76">
        <v>2</v>
      </c>
      <c r="H73" s="76">
        <v>2</v>
      </c>
      <c r="I73" s="76">
        <v>2</v>
      </c>
      <c r="J73" s="76">
        <v>2</v>
      </c>
      <c r="K73" s="76">
        <v>2</v>
      </c>
      <c r="L73" s="76">
        <v>2</v>
      </c>
      <c r="M73" s="76">
        <v>2</v>
      </c>
      <c r="N73" s="76">
        <v>2</v>
      </c>
      <c r="O73" s="76">
        <v>2</v>
      </c>
      <c r="P73" s="76">
        <v>2</v>
      </c>
      <c r="Q73" s="76">
        <v>2</v>
      </c>
      <c r="R73" s="76">
        <v>2</v>
      </c>
      <c r="S73" s="76">
        <v>2</v>
      </c>
      <c r="T73" s="76">
        <v>2</v>
      </c>
      <c r="U73" s="76">
        <v>2</v>
      </c>
      <c r="V73" s="76">
        <v>2</v>
      </c>
      <c r="W73" s="76">
        <v>2</v>
      </c>
      <c r="X73" s="76">
        <v>2</v>
      </c>
      <c r="Y73" s="76">
        <v>2</v>
      </c>
      <c r="Z73" s="76">
        <v>2</v>
      </c>
      <c r="AA73" s="76">
        <v>2</v>
      </c>
      <c r="AB73" s="76">
        <v>2</v>
      </c>
      <c r="AC73" s="76">
        <v>2</v>
      </c>
      <c r="AD73" s="76">
        <v>2</v>
      </c>
      <c r="AE73" s="76">
        <v>2</v>
      </c>
      <c r="AF73" s="76">
        <v>2</v>
      </c>
      <c r="AG73" s="66">
        <v>15</v>
      </c>
      <c r="AH73" s="48">
        <f t="shared" si="2"/>
        <v>2</v>
      </c>
      <c r="AI73" s="49">
        <f t="shared" si="3"/>
        <v>2</v>
      </c>
      <c r="AK73" s="51"/>
      <c r="AZ73" s="82">
        <f t="shared" ref="AZ73:BW78" si="30">VALUE(AZ66)</f>
        <v>31</v>
      </c>
      <c r="BA73" s="82">
        <f t="shared" si="30"/>
        <v>30.9</v>
      </c>
      <c r="BB73" s="82">
        <f t="shared" si="30"/>
        <v>-15.6</v>
      </c>
      <c r="BC73" s="82">
        <f t="shared" si="30"/>
        <v>-14.6</v>
      </c>
      <c r="BD73" s="82">
        <f t="shared" si="30"/>
        <v>-15.3</v>
      </c>
      <c r="BE73" s="82">
        <f t="shared" si="30"/>
        <v>-17.7</v>
      </c>
      <c r="BF73" s="82">
        <f t="shared" si="30"/>
        <v>50.7</v>
      </c>
      <c r="BG73" s="82">
        <f t="shared" si="30"/>
        <v>50.2</v>
      </c>
      <c r="BH73" s="82">
        <f t="shared" si="30"/>
        <v>42.3</v>
      </c>
      <c r="BI73" s="82">
        <f t="shared" si="30"/>
        <v>49.6</v>
      </c>
      <c r="BJ73" s="82">
        <f t="shared" si="30"/>
        <v>62.7</v>
      </c>
      <c r="BK73" s="82">
        <f t="shared" si="30"/>
        <v>61</v>
      </c>
      <c r="BL73" s="82">
        <f t="shared" si="30"/>
        <v>66.400000000000006</v>
      </c>
      <c r="BM73" s="82">
        <f t="shared" si="30"/>
        <v>60.5</v>
      </c>
      <c r="BN73" s="82">
        <f t="shared" si="30"/>
        <v>72.5</v>
      </c>
      <c r="BO73" s="82">
        <f t="shared" si="30"/>
        <v>56.3</v>
      </c>
      <c r="BP73" s="82">
        <f t="shared" si="30"/>
        <v>65.099999999999994</v>
      </c>
      <c r="BQ73" s="82">
        <f t="shared" si="30"/>
        <v>60</v>
      </c>
      <c r="BR73" s="82">
        <f t="shared" si="30"/>
        <v>60.3</v>
      </c>
      <c r="BS73" s="82">
        <f t="shared" si="30"/>
        <v>50.1</v>
      </c>
      <c r="BT73" s="82">
        <f t="shared" si="30"/>
        <v>53.2</v>
      </c>
      <c r="BU73" s="82">
        <f t="shared" si="30"/>
        <v>61.9</v>
      </c>
      <c r="BV73" s="82">
        <f t="shared" si="30"/>
        <v>50.8</v>
      </c>
      <c r="BW73" s="82">
        <f t="shared" si="30"/>
        <v>11.3</v>
      </c>
    </row>
    <row r="74" spans="1:75" x14ac:dyDescent="0.25">
      <c r="A74" s="65" t="s">
        <v>91</v>
      </c>
      <c r="B74" s="76">
        <v>11.7</v>
      </c>
      <c r="C74" s="76">
        <v>11.7</v>
      </c>
      <c r="D74" s="76">
        <v>11.7</v>
      </c>
      <c r="E74" s="76">
        <v>11.7</v>
      </c>
      <c r="F74" s="76">
        <v>11.7</v>
      </c>
      <c r="G74" s="76">
        <v>11.7</v>
      </c>
      <c r="H74" s="76">
        <v>11.7</v>
      </c>
      <c r="I74" s="76">
        <v>11.7</v>
      </c>
      <c r="J74" s="76">
        <v>11.7</v>
      </c>
      <c r="K74" s="76">
        <v>11.7</v>
      </c>
      <c r="L74" s="76">
        <v>11.7</v>
      </c>
      <c r="M74" s="76">
        <v>11.7</v>
      </c>
      <c r="N74" s="76">
        <v>10</v>
      </c>
      <c r="O74" s="76">
        <v>10</v>
      </c>
      <c r="P74" s="76">
        <v>10</v>
      </c>
      <c r="Q74" s="76">
        <v>10</v>
      </c>
      <c r="R74" s="76">
        <v>10</v>
      </c>
      <c r="S74" s="76">
        <v>10</v>
      </c>
      <c r="T74" s="76">
        <v>8</v>
      </c>
      <c r="U74" s="76">
        <v>8</v>
      </c>
      <c r="V74" s="76">
        <v>8</v>
      </c>
      <c r="W74" s="76">
        <v>8</v>
      </c>
      <c r="X74" s="76">
        <v>8</v>
      </c>
      <c r="Y74" s="76">
        <v>10</v>
      </c>
      <c r="Z74" s="76">
        <v>10</v>
      </c>
      <c r="AA74" s="76">
        <v>10</v>
      </c>
      <c r="AB74" s="76">
        <v>10</v>
      </c>
      <c r="AC74" s="76">
        <v>10</v>
      </c>
      <c r="AD74" s="76">
        <v>9</v>
      </c>
      <c r="AE74" s="76">
        <v>9</v>
      </c>
      <c r="AF74" s="76">
        <v>9</v>
      </c>
      <c r="AG74" s="66">
        <v>14.1</v>
      </c>
      <c r="AH74" s="48">
        <f t="shared" si="2"/>
        <v>11.7</v>
      </c>
      <c r="AI74" s="49">
        <f t="shared" si="3"/>
        <v>8</v>
      </c>
      <c r="AK74" s="51"/>
      <c r="AZ74" s="82">
        <f t="shared" si="30"/>
        <v>0</v>
      </c>
      <c r="BA74" s="82">
        <f t="shared" si="30"/>
        <v>0</v>
      </c>
      <c r="BB74" s="82">
        <f t="shared" si="30"/>
        <v>0</v>
      </c>
      <c r="BC74" s="82">
        <f t="shared" si="30"/>
        <v>0</v>
      </c>
      <c r="BD74" s="82">
        <f t="shared" si="30"/>
        <v>0</v>
      </c>
      <c r="BE74" s="82">
        <f t="shared" si="30"/>
        <v>0</v>
      </c>
      <c r="BF74" s="82">
        <f t="shared" si="30"/>
        <v>0</v>
      </c>
      <c r="BG74" s="82">
        <f t="shared" si="30"/>
        <v>0</v>
      </c>
      <c r="BH74" s="82">
        <f t="shared" si="30"/>
        <v>0</v>
      </c>
      <c r="BI74" s="82">
        <f t="shared" si="30"/>
        <v>0</v>
      </c>
      <c r="BJ74" s="82">
        <f t="shared" si="30"/>
        <v>0</v>
      </c>
      <c r="BK74" s="82">
        <f t="shared" si="30"/>
        <v>0</v>
      </c>
      <c r="BL74" s="82">
        <f t="shared" si="30"/>
        <v>0</v>
      </c>
      <c r="BM74" s="82">
        <f t="shared" si="30"/>
        <v>118</v>
      </c>
      <c r="BN74" s="82">
        <f t="shared" si="30"/>
        <v>95</v>
      </c>
      <c r="BO74" s="82">
        <f t="shared" si="30"/>
        <v>123.6</v>
      </c>
      <c r="BP74" s="82">
        <f t="shared" si="30"/>
        <v>79</v>
      </c>
      <c r="BQ74" s="82">
        <f t="shared" si="30"/>
        <v>70.400000000000006</v>
      </c>
      <c r="BR74" s="82">
        <f t="shared" si="30"/>
        <v>0</v>
      </c>
      <c r="BS74" s="82">
        <f t="shared" si="30"/>
        <v>0</v>
      </c>
      <c r="BT74" s="82">
        <f t="shared" si="30"/>
        <v>0</v>
      </c>
      <c r="BU74" s="82">
        <f t="shared" si="30"/>
        <v>0</v>
      </c>
      <c r="BV74" s="82">
        <f t="shared" si="30"/>
        <v>0</v>
      </c>
      <c r="BW74" s="82">
        <f t="shared" si="30"/>
        <v>0</v>
      </c>
    </row>
    <row r="75" spans="1:75" x14ac:dyDescent="0.25">
      <c r="A75" s="84" t="s">
        <v>93</v>
      </c>
      <c r="B75" s="76">
        <v>7.4</v>
      </c>
      <c r="C75" s="76">
        <v>7.4</v>
      </c>
      <c r="D75" s="76">
        <v>7.4</v>
      </c>
      <c r="E75" s="76">
        <v>7.4</v>
      </c>
      <c r="F75" s="76">
        <v>7.4</v>
      </c>
      <c r="G75" s="76">
        <v>7.4</v>
      </c>
      <c r="H75" s="76">
        <v>7.4</v>
      </c>
      <c r="I75" s="76">
        <v>7.4</v>
      </c>
      <c r="J75" s="76">
        <v>7.4</v>
      </c>
      <c r="K75" s="76">
        <v>7.4</v>
      </c>
      <c r="L75" s="76">
        <v>7.4</v>
      </c>
      <c r="M75" s="76">
        <v>7.4</v>
      </c>
      <c r="N75" s="76">
        <v>12.3</v>
      </c>
      <c r="O75" s="76">
        <v>12.3</v>
      </c>
      <c r="P75" s="76">
        <v>12.3</v>
      </c>
      <c r="Q75" s="76">
        <v>12.3</v>
      </c>
      <c r="R75" s="76">
        <v>12.3</v>
      </c>
      <c r="S75" s="76">
        <v>12.3</v>
      </c>
      <c r="T75" s="76">
        <v>12.3</v>
      </c>
      <c r="U75" s="76">
        <v>12.3</v>
      </c>
      <c r="V75" s="76">
        <v>12.3</v>
      </c>
      <c r="W75" s="76">
        <v>12.3</v>
      </c>
      <c r="X75" s="76">
        <v>12.3</v>
      </c>
      <c r="Y75" s="76">
        <v>13.1</v>
      </c>
      <c r="Z75" s="76">
        <v>13.1</v>
      </c>
      <c r="AA75" s="76">
        <v>13.1</v>
      </c>
      <c r="AB75" s="76">
        <v>13.1</v>
      </c>
      <c r="AC75" s="76">
        <v>13.1</v>
      </c>
      <c r="AD75" s="76">
        <v>13.7</v>
      </c>
      <c r="AE75" s="76">
        <v>13.7</v>
      </c>
      <c r="AF75" s="76">
        <v>13.7</v>
      </c>
      <c r="AG75" s="66">
        <v>14</v>
      </c>
      <c r="AH75" s="48">
        <f t="shared" ref="AH75:AH128" si="31">MAX(B75:AF75)</f>
        <v>13.7</v>
      </c>
      <c r="AI75" s="49">
        <f t="shared" ref="AI75:AI128" si="32">MIN(B75:AF75)</f>
        <v>7.4</v>
      </c>
      <c r="AK75" s="51"/>
      <c r="AZ75" s="82">
        <f t="shared" si="30"/>
        <v>-408</v>
      </c>
      <c r="BA75" s="82">
        <f t="shared" si="30"/>
        <v>-408</v>
      </c>
      <c r="BB75" s="82">
        <f t="shared" si="30"/>
        <v>-389</v>
      </c>
      <c r="BC75" s="82">
        <f t="shared" si="30"/>
        <v>-395</v>
      </c>
      <c r="BD75" s="82">
        <f t="shared" si="30"/>
        <v>-411</v>
      </c>
      <c r="BE75" s="82">
        <f t="shared" si="30"/>
        <v>-402</v>
      </c>
      <c r="BF75" s="82">
        <f t="shared" si="30"/>
        <v>-312</v>
      </c>
      <c r="BG75" s="82">
        <f t="shared" si="30"/>
        <v>-292.2</v>
      </c>
      <c r="BH75" s="82">
        <f t="shared" si="30"/>
        <v>-68</v>
      </c>
      <c r="BI75" s="82">
        <f t="shared" si="30"/>
        <v>-66.7</v>
      </c>
      <c r="BJ75" s="82">
        <f t="shared" si="30"/>
        <v>120</v>
      </c>
      <c r="BK75" s="82">
        <f t="shared" si="30"/>
        <v>137.80000000000001</v>
      </c>
      <c r="BL75" s="82">
        <f t="shared" si="30"/>
        <v>135</v>
      </c>
      <c r="BM75" s="82">
        <f t="shared" si="30"/>
        <v>134</v>
      </c>
      <c r="BN75" s="82">
        <f t="shared" si="30"/>
        <v>155.19999999999999</v>
      </c>
      <c r="BO75" s="82">
        <f t="shared" si="30"/>
        <v>178</v>
      </c>
      <c r="BP75" s="82">
        <f t="shared" si="30"/>
        <v>205.6</v>
      </c>
      <c r="BQ75" s="82">
        <f t="shared" si="30"/>
        <v>161.4</v>
      </c>
      <c r="BR75" s="82">
        <f t="shared" si="30"/>
        <v>-290</v>
      </c>
      <c r="BS75" s="82">
        <f t="shared" si="30"/>
        <v>-173</v>
      </c>
      <c r="BT75" s="82">
        <f t="shared" si="30"/>
        <v>-215</v>
      </c>
      <c r="BU75" s="82">
        <f t="shared" si="30"/>
        <v>-312</v>
      </c>
      <c r="BV75" s="82">
        <f t="shared" si="30"/>
        <v>-420</v>
      </c>
      <c r="BW75" s="82">
        <f t="shared" si="30"/>
        <v>4.8</v>
      </c>
    </row>
    <row r="76" spans="1:75" x14ac:dyDescent="0.25">
      <c r="A76" s="65" t="s">
        <v>95</v>
      </c>
      <c r="B76" s="76">
        <v>8.5</v>
      </c>
      <c r="C76" s="76">
        <v>8.5</v>
      </c>
      <c r="D76" s="76">
        <v>8.5</v>
      </c>
      <c r="E76" s="76">
        <v>8.5</v>
      </c>
      <c r="F76" s="76">
        <v>8.5</v>
      </c>
      <c r="G76" s="76">
        <v>8.5</v>
      </c>
      <c r="H76" s="76">
        <v>8.5</v>
      </c>
      <c r="I76" s="76">
        <v>8.5</v>
      </c>
      <c r="J76" s="76">
        <v>8.5</v>
      </c>
      <c r="K76" s="76">
        <v>8.5</v>
      </c>
      <c r="L76" s="76">
        <v>8.5</v>
      </c>
      <c r="M76" s="76">
        <v>8.5</v>
      </c>
      <c r="N76" s="76">
        <v>8.5</v>
      </c>
      <c r="O76" s="76">
        <v>8.5</v>
      </c>
      <c r="P76" s="76">
        <v>8.5</v>
      </c>
      <c r="Q76" s="76">
        <v>8.5</v>
      </c>
      <c r="R76" s="76">
        <v>8.5</v>
      </c>
      <c r="S76" s="76">
        <v>8.5</v>
      </c>
      <c r="T76" s="76">
        <v>8.5</v>
      </c>
      <c r="U76" s="76">
        <v>8.5</v>
      </c>
      <c r="V76" s="76">
        <v>8.5</v>
      </c>
      <c r="W76" s="76">
        <v>8.5</v>
      </c>
      <c r="X76" s="76">
        <v>8.5</v>
      </c>
      <c r="Y76" s="76">
        <v>8.5</v>
      </c>
      <c r="Z76" s="76">
        <v>8.5</v>
      </c>
      <c r="AA76" s="76">
        <v>8.5</v>
      </c>
      <c r="AB76" s="76">
        <v>8.5</v>
      </c>
      <c r="AC76" s="76">
        <v>8.5</v>
      </c>
      <c r="AD76" s="76">
        <v>8.5</v>
      </c>
      <c r="AE76" s="76">
        <v>8.5</v>
      </c>
      <c r="AF76" s="76">
        <v>8.5</v>
      </c>
      <c r="AG76" s="66">
        <v>10.050000000000001</v>
      </c>
      <c r="AH76" s="48">
        <f t="shared" si="31"/>
        <v>8.5</v>
      </c>
      <c r="AI76" s="49">
        <f t="shared" si="32"/>
        <v>8.5</v>
      </c>
      <c r="AK76" s="51"/>
      <c r="AZ76" s="82">
        <f t="shared" si="30"/>
        <v>0</v>
      </c>
      <c r="BA76" s="82">
        <f t="shared" si="30"/>
        <v>0</v>
      </c>
      <c r="BB76" s="82">
        <f t="shared" si="30"/>
        <v>0</v>
      </c>
      <c r="BC76" s="82">
        <f t="shared" si="30"/>
        <v>0</v>
      </c>
      <c r="BD76" s="82">
        <f t="shared" si="30"/>
        <v>0</v>
      </c>
      <c r="BE76" s="82">
        <f t="shared" si="30"/>
        <v>0</v>
      </c>
      <c r="BF76" s="82">
        <f t="shared" si="30"/>
        <v>0</v>
      </c>
      <c r="BG76" s="82">
        <f t="shared" si="30"/>
        <v>0</v>
      </c>
      <c r="BH76" s="82">
        <f t="shared" si="30"/>
        <v>0</v>
      </c>
      <c r="BI76" s="82">
        <f t="shared" si="30"/>
        <v>0</v>
      </c>
      <c r="BJ76" s="82">
        <f t="shared" si="30"/>
        <v>0</v>
      </c>
      <c r="BK76" s="82">
        <f t="shared" si="30"/>
        <v>0</v>
      </c>
      <c r="BL76" s="82">
        <f t="shared" si="30"/>
        <v>0</v>
      </c>
      <c r="BM76" s="82">
        <f t="shared" si="30"/>
        <v>0</v>
      </c>
      <c r="BN76" s="82">
        <f t="shared" si="30"/>
        <v>0</v>
      </c>
      <c r="BO76" s="82">
        <f t="shared" si="30"/>
        <v>0</v>
      </c>
      <c r="BP76" s="82">
        <f t="shared" si="30"/>
        <v>0</v>
      </c>
      <c r="BQ76" s="82">
        <f t="shared" si="30"/>
        <v>0</v>
      </c>
      <c r="BR76" s="82">
        <f t="shared" si="30"/>
        <v>0</v>
      </c>
      <c r="BS76" s="82">
        <f t="shared" si="30"/>
        <v>0</v>
      </c>
      <c r="BT76" s="82">
        <f t="shared" si="30"/>
        <v>0</v>
      </c>
      <c r="BU76" s="82">
        <f t="shared" si="30"/>
        <v>0</v>
      </c>
      <c r="BV76" s="82">
        <f t="shared" si="30"/>
        <v>0</v>
      </c>
      <c r="BW76" s="82">
        <f t="shared" si="30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1"/>
        <v>3</v>
      </c>
      <c r="AI77" s="49">
        <f t="shared" si="32"/>
        <v>3</v>
      </c>
      <c r="AK77" s="51"/>
      <c r="AZ77" s="82">
        <f t="shared" si="30"/>
        <v>0</v>
      </c>
      <c r="BA77" s="82">
        <f t="shared" si="30"/>
        <v>0</v>
      </c>
      <c r="BB77" s="82">
        <f t="shared" si="30"/>
        <v>0</v>
      </c>
      <c r="BC77" s="82">
        <f t="shared" si="30"/>
        <v>0</v>
      </c>
      <c r="BD77" s="82">
        <f t="shared" si="30"/>
        <v>0</v>
      </c>
      <c r="BE77" s="82">
        <f t="shared" si="30"/>
        <v>0</v>
      </c>
      <c r="BF77" s="82">
        <f t="shared" si="30"/>
        <v>88.4</v>
      </c>
      <c r="BG77" s="82">
        <f t="shared" si="30"/>
        <v>112.4</v>
      </c>
      <c r="BH77" s="82">
        <f t="shared" si="30"/>
        <v>107.2</v>
      </c>
      <c r="BI77" s="82">
        <f t="shared" si="30"/>
        <v>130.1</v>
      </c>
      <c r="BJ77" s="82">
        <f t="shared" si="30"/>
        <v>140</v>
      </c>
      <c r="BK77" s="82">
        <f t="shared" si="30"/>
        <v>143</v>
      </c>
      <c r="BL77" s="82">
        <f t="shared" si="30"/>
        <v>142</v>
      </c>
      <c r="BM77" s="82">
        <f t="shared" si="30"/>
        <v>130</v>
      </c>
      <c r="BN77" s="82">
        <f t="shared" si="30"/>
        <v>98.9</v>
      </c>
      <c r="BO77" s="82">
        <f t="shared" si="30"/>
        <v>140.1</v>
      </c>
      <c r="BP77" s="82">
        <f t="shared" si="30"/>
        <v>115.5</v>
      </c>
      <c r="BQ77" s="82">
        <f t="shared" si="30"/>
        <v>115.5</v>
      </c>
      <c r="BR77" s="82">
        <f t="shared" si="30"/>
        <v>0</v>
      </c>
      <c r="BS77" s="82">
        <f t="shared" si="30"/>
        <v>0</v>
      </c>
      <c r="BT77" s="82">
        <f t="shared" si="30"/>
        <v>0</v>
      </c>
      <c r="BU77" s="82">
        <f t="shared" si="30"/>
        <v>0</v>
      </c>
      <c r="BV77" s="82">
        <f t="shared" si="30"/>
        <v>0</v>
      </c>
      <c r="BW77" s="82">
        <f t="shared" si="3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1"/>
        <v>5.5</v>
      </c>
      <c r="AI78" s="49">
        <f t="shared" si="32"/>
        <v>3.5</v>
      </c>
      <c r="AK78" s="51"/>
      <c r="AZ78" s="82">
        <f t="shared" si="30"/>
        <v>0</v>
      </c>
      <c r="BA78" s="82">
        <f t="shared" si="30"/>
        <v>0</v>
      </c>
      <c r="BB78" s="82">
        <f t="shared" si="30"/>
        <v>0</v>
      </c>
      <c r="BC78" s="82">
        <f t="shared" si="30"/>
        <v>0</v>
      </c>
      <c r="BD78" s="82">
        <f t="shared" si="30"/>
        <v>0</v>
      </c>
      <c r="BE78" s="82">
        <f t="shared" si="30"/>
        <v>0</v>
      </c>
      <c r="BF78" s="82">
        <f t="shared" si="30"/>
        <v>0</v>
      </c>
      <c r="BG78" s="82">
        <f t="shared" si="30"/>
        <v>0</v>
      </c>
      <c r="BH78" s="82">
        <f t="shared" si="30"/>
        <v>0</v>
      </c>
      <c r="BI78" s="82">
        <f t="shared" si="30"/>
        <v>0</v>
      </c>
      <c r="BJ78" s="82">
        <f t="shared" si="30"/>
        <v>0</v>
      </c>
      <c r="BK78" s="82">
        <f t="shared" si="30"/>
        <v>0</v>
      </c>
      <c r="BL78" s="82">
        <f t="shared" si="30"/>
        <v>0</v>
      </c>
      <c r="BM78" s="82">
        <f t="shared" si="30"/>
        <v>0</v>
      </c>
      <c r="BN78" s="82">
        <f t="shared" si="30"/>
        <v>0</v>
      </c>
      <c r="BO78" s="82">
        <f t="shared" si="30"/>
        <v>0</v>
      </c>
      <c r="BP78" s="82">
        <f t="shared" si="30"/>
        <v>0</v>
      </c>
      <c r="BQ78" s="82">
        <f t="shared" si="30"/>
        <v>0</v>
      </c>
      <c r="BR78" s="82">
        <f t="shared" si="30"/>
        <v>0</v>
      </c>
      <c r="BS78" s="82">
        <f t="shared" si="30"/>
        <v>0</v>
      </c>
      <c r="BT78" s="82">
        <f t="shared" si="30"/>
        <v>0</v>
      </c>
      <c r="BU78" s="82">
        <f t="shared" si="30"/>
        <v>0</v>
      </c>
      <c r="BV78" s="82">
        <f t="shared" si="30"/>
        <v>0</v>
      </c>
      <c r="BW78" s="82">
        <f t="shared" si="30"/>
        <v>0</v>
      </c>
    </row>
    <row r="79" spans="1:75" ht="15.75" thickBot="1" x14ac:dyDescent="0.3">
      <c r="A79" s="87" t="s">
        <v>99</v>
      </c>
      <c r="B79" s="71">
        <f t="shared" ref="B79:AG79" si="33">SUM(B66:B78)</f>
        <v>397.43999999999994</v>
      </c>
      <c r="C79" s="71">
        <f t="shared" si="33"/>
        <v>404.43999999999994</v>
      </c>
      <c r="D79" s="71">
        <f t="shared" si="33"/>
        <v>404.43999999999994</v>
      </c>
      <c r="E79" s="71">
        <f t="shared" si="33"/>
        <v>404.93999999999994</v>
      </c>
      <c r="F79" s="71">
        <f t="shared" si="33"/>
        <v>403.77</v>
      </c>
      <c r="G79" s="71">
        <f t="shared" si="33"/>
        <v>400.46999999999997</v>
      </c>
      <c r="H79" s="71">
        <f t="shared" si="33"/>
        <v>403.16999999999996</v>
      </c>
      <c r="I79" s="71">
        <f t="shared" si="33"/>
        <v>400.73999999999995</v>
      </c>
      <c r="J79" s="71">
        <f t="shared" si="33"/>
        <v>400.93999999999994</v>
      </c>
      <c r="K79" s="71">
        <f t="shared" si="33"/>
        <v>400.93999999999994</v>
      </c>
      <c r="L79" s="71">
        <f t="shared" si="33"/>
        <v>396.94</v>
      </c>
      <c r="M79" s="71">
        <f t="shared" si="33"/>
        <v>399.74</v>
      </c>
      <c r="N79" s="71">
        <f t="shared" si="33"/>
        <v>412.94</v>
      </c>
      <c r="O79" s="71">
        <f t="shared" si="33"/>
        <v>423.24</v>
      </c>
      <c r="P79" s="71">
        <f t="shared" si="33"/>
        <v>378.24</v>
      </c>
      <c r="Q79" s="71">
        <f t="shared" si="33"/>
        <v>377.74</v>
      </c>
      <c r="R79" s="71">
        <f t="shared" si="33"/>
        <v>421.24</v>
      </c>
      <c r="S79" s="71">
        <f t="shared" si="33"/>
        <v>421.24</v>
      </c>
      <c r="T79" s="71">
        <f t="shared" si="33"/>
        <v>414.53999999999996</v>
      </c>
      <c r="U79" s="71">
        <f t="shared" si="33"/>
        <v>404.14</v>
      </c>
      <c r="V79" s="71">
        <f t="shared" si="33"/>
        <v>392.44</v>
      </c>
      <c r="W79" s="71">
        <f t="shared" si="33"/>
        <v>392.44</v>
      </c>
      <c r="X79" s="71">
        <f t="shared" si="33"/>
        <v>392.44</v>
      </c>
      <c r="Y79" s="71">
        <f t="shared" si="33"/>
        <v>386.7</v>
      </c>
      <c r="Z79" s="71">
        <f t="shared" si="33"/>
        <v>388.7</v>
      </c>
      <c r="AA79" s="71">
        <v>394.2</v>
      </c>
      <c r="AB79" s="71">
        <f t="shared" si="33"/>
        <v>401.84000000000003</v>
      </c>
      <c r="AC79" s="71">
        <f t="shared" si="33"/>
        <v>399.94000000000005</v>
      </c>
      <c r="AD79" s="71">
        <f t="shared" ref="AD79:AE79" si="34">SUM(AD66:AD78)</f>
        <v>399.84</v>
      </c>
      <c r="AE79" s="71">
        <f t="shared" si="34"/>
        <v>400.23999999999995</v>
      </c>
      <c r="AF79" s="71">
        <f t="shared" ref="AF79" si="35">SUM(AF66:AF78)</f>
        <v>400.23999999999995</v>
      </c>
      <c r="AG79" s="72">
        <f t="shared" si="33"/>
        <v>489.91</v>
      </c>
      <c r="AH79" s="48">
        <f t="shared" si="31"/>
        <v>423.24</v>
      </c>
      <c r="AI79" s="49">
        <f t="shared" si="32"/>
        <v>377.74</v>
      </c>
      <c r="AK79" s="51"/>
      <c r="AY79" s="82"/>
    </row>
    <row r="80" spans="1:75" x14ac:dyDescent="0.25">
      <c r="A80" s="45" t="s">
        <v>100</v>
      </c>
      <c r="B80" s="46">
        <v>19.899999999999999</v>
      </c>
      <c r="C80" s="46">
        <v>30.3</v>
      </c>
      <c r="D80" s="46">
        <v>30.3</v>
      </c>
      <c r="E80" s="46">
        <v>24.8</v>
      </c>
      <c r="F80" s="46">
        <v>14</v>
      </c>
      <c r="G80" s="46">
        <v>9.6999999999999993</v>
      </c>
      <c r="H80" s="46">
        <v>13.8</v>
      </c>
      <c r="I80" s="46">
        <v>39.299999999999997</v>
      </c>
      <c r="J80" s="46">
        <v>50</v>
      </c>
      <c r="K80" s="46">
        <v>60</v>
      </c>
      <c r="L80" s="46">
        <v>54.4</v>
      </c>
      <c r="M80" s="46">
        <v>60</v>
      </c>
      <c r="N80" s="46">
        <v>38.6</v>
      </c>
      <c r="O80" s="46">
        <v>59.5</v>
      </c>
      <c r="P80" s="46">
        <v>54.2</v>
      </c>
      <c r="Q80" s="46">
        <v>59.4</v>
      </c>
      <c r="R80" s="46">
        <v>59.4</v>
      </c>
      <c r="S80" s="46">
        <v>59.4</v>
      </c>
      <c r="T80" s="46">
        <v>59.4</v>
      </c>
      <c r="U80" s="46">
        <v>39.6</v>
      </c>
      <c r="V80" s="46">
        <v>34</v>
      </c>
      <c r="W80" s="46">
        <v>14.2</v>
      </c>
      <c r="X80" s="46">
        <v>14.2</v>
      </c>
      <c r="Y80" s="46">
        <v>42.7</v>
      </c>
      <c r="Z80" s="46">
        <v>42.7</v>
      </c>
      <c r="AA80" s="46">
        <v>59.6</v>
      </c>
      <c r="AB80" s="46">
        <v>59.7</v>
      </c>
      <c r="AC80" s="46">
        <v>59.7</v>
      </c>
      <c r="AD80" s="46">
        <v>59.7</v>
      </c>
      <c r="AE80" s="46">
        <v>59.7</v>
      </c>
      <c r="AF80" s="46">
        <v>59.7</v>
      </c>
      <c r="AG80" s="61">
        <v>60</v>
      </c>
      <c r="AH80" s="48">
        <f t="shared" si="31"/>
        <v>60</v>
      </c>
      <c r="AI80" s="49">
        <f t="shared" si="32"/>
        <v>9.6999999999999993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12.2</v>
      </c>
      <c r="C81" s="76">
        <v>15</v>
      </c>
      <c r="D81" s="76">
        <v>15</v>
      </c>
      <c r="E81" s="76">
        <v>12.1</v>
      </c>
      <c r="F81" s="76">
        <v>6.7</v>
      </c>
      <c r="G81" s="76">
        <v>14.6</v>
      </c>
      <c r="H81" s="76">
        <v>16</v>
      </c>
      <c r="I81" s="76">
        <v>16.100000000000001</v>
      </c>
      <c r="J81" s="76">
        <v>23.6</v>
      </c>
      <c r="K81" s="76">
        <v>30</v>
      </c>
      <c r="L81" s="76">
        <v>25.2</v>
      </c>
      <c r="M81" s="76">
        <v>28.4</v>
      </c>
      <c r="N81" s="76">
        <v>17</v>
      </c>
      <c r="O81" s="76">
        <v>28.9</v>
      </c>
      <c r="P81" s="76">
        <v>26.8</v>
      </c>
      <c r="Q81" s="76">
        <v>28.4</v>
      </c>
      <c r="R81" s="76">
        <v>28.4</v>
      </c>
      <c r="S81" s="76">
        <v>28.4</v>
      </c>
      <c r="T81" s="76">
        <v>28.4</v>
      </c>
      <c r="U81" s="76">
        <v>20.100000000000001</v>
      </c>
      <c r="V81" s="76">
        <v>13.1</v>
      </c>
      <c r="W81" s="76">
        <v>5.9</v>
      </c>
      <c r="X81" s="76">
        <v>5.9</v>
      </c>
      <c r="Y81" s="76">
        <v>17.8</v>
      </c>
      <c r="Z81" s="76">
        <v>17.8</v>
      </c>
      <c r="AA81" s="76">
        <v>30</v>
      </c>
      <c r="AB81" s="76">
        <v>29.6</v>
      </c>
      <c r="AC81" s="76">
        <v>29.6</v>
      </c>
      <c r="AD81" s="76">
        <v>29.6</v>
      </c>
      <c r="AE81" s="76">
        <v>29.6</v>
      </c>
      <c r="AF81" s="76">
        <v>29.6</v>
      </c>
      <c r="AG81" s="66">
        <v>32</v>
      </c>
      <c r="AH81" s="48">
        <f t="shared" si="31"/>
        <v>30</v>
      </c>
      <c r="AI81" s="49">
        <f t="shared" si="32"/>
        <v>5.9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4.5</v>
      </c>
      <c r="C82" s="78">
        <v>5.5</v>
      </c>
      <c r="D82" s="78">
        <v>5.5</v>
      </c>
      <c r="E82" s="78">
        <v>4.4000000000000004</v>
      </c>
      <c r="F82" s="78">
        <v>2.4</v>
      </c>
      <c r="G82" s="78">
        <v>5.3</v>
      </c>
      <c r="H82" s="78">
        <v>5.9</v>
      </c>
      <c r="I82" s="78">
        <v>5.9</v>
      </c>
      <c r="J82" s="78">
        <v>8.6</v>
      </c>
      <c r="K82" s="78">
        <v>10.9</v>
      </c>
      <c r="L82" s="78">
        <v>9.1999999999999993</v>
      </c>
      <c r="M82" s="78">
        <v>10.4</v>
      </c>
      <c r="N82" s="78">
        <v>6.2</v>
      </c>
      <c r="O82" s="78">
        <v>10.5</v>
      </c>
      <c r="P82" s="78">
        <v>9.8000000000000007</v>
      </c>
      <c r="Q82" s="78">
        <v>10.4</v>
      </c>
      <c r="R82" s="78">
        <v>10.4</v>
      </c>
      <c r="S82" s="78">
        <v>10.4</v>
      </c>
      <c r="T82" s="78">
        <v>10.4</v>
      </c>
      <c r="U82" s="78">
        <v>7.3</v>
      </c>
      <c r="V82" s="78">
        <v>4.8</v>
      </c>
      <c r="W82" s="78">
        <v>2.1</v>
      </c>
      <c r="X82" s="78">
        <v>2.1</v>
      </c>
      <c r="Y82" s="78">
        <v>6.8</v>
      </c>
      <c r="Z82" s="78">
        <v>6.8</v>
      </c>
      <c r="AA82" s="78">
        <v>10.9</v>
      </c>
      <c r="AB82" s="78">
        <v>10.8</v>
      </c>
      <c r="AC82" s="78">
        <v>10.8</v>
      </c>
      <c r="AD82" s="78">
        <v>10.8</v>
      </c>
      <c r="AE82" s="78">
        <v>10.8</v>
      </c>
      <c r="AF82" s="78">
        <v>10.8</v>
      </c>
      <c r="AG82" s="79">
        <v>14</v>
      </c>
      <c r="AH82" s="48">
        <f t="shared" si="31"/>
        <v>10.9</v>
      </c>
      <c r="AI82" s="49">
        <f t="shared" si="32"/>
        <v>2.1</v>
      </c>
      <c r="AK82" s="51"/>
      <c r="AY82" s="82"/>
      <c r="BF82" s="81"/>
      <c r="BG82" s="82">
        <f t="array" ref="BG82:BL105">TRANSPOSE(AZ66:BW71)</f>
        <v>31</v>
      </c>
      <c r="BH82" s="82">
        <v>0</v>
      </c>
      <c r="BI82" s="82">
        <v>-408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C83" si="36">B80+B81+B82</f>
        <v>36.599999999999994</v>
      </c>
      <c r="C83" s="71">
        <f t="shared" si="36"/>
        <v>50.8</v>
      </c>
      <c r="D83" s="71">
        <f t="shared" si="36"/>
        <v>50.8</v>
      </c>
      <c r="E83" s="71">
        <f t="shared" si="36"/>
        <v>41.3</v>
      </c>
      <c r="F83" s="71">
        <f t="shared" si="36"/>
        <v>23.099999999999998</v>
      </c>
      <c r="G83" s="71">
        <f t="shared" si="36"/>
        <v>29.599999999999998</v>
      </c>
      <c r="H83" s="71">
        <f t="shared" si="36"/>
        <v>35.700000000000003</v>
      </c>
      <c r="I83" s="71">
        <f t="shared" si="36"/>
        <v>61.3</v>
      </c>
      <c r="J83" s="71">
        <f t="shared" si="36"/>
        <v>82.199999999999989</v>
      </c>
      <c r="K83" s="71">
        <f t="shared" si="36"/>
        <v>100.9</v>
      </c>
      <c r="L83" s="71">
        <f t="shared" si="36"/>
        <v>88.8</v>
      </c>
      <c r="M83" s="71">
        <f t="shared" si="36"/>
        <v>98.800000000000011</v>
      </c>
      <c r="N83" s="71">
        <f t="shared" si="36"/>
        <v>61.800000000000004</v>
      </c>
      <c r="O83" s="71">
        <f t="shared" si="36"/>
        <v>98.9</v>
      </c>
      <c r="P83" s="71">
        <f t="shared" si="36"/>
        <v>90.8</v>
      </c>
      <c r="Q83" s="71">
        <f t="shared" si="36"/>
        <v>98.2</v>
      </c>
      <c r="R83" s="71">
        <f t="shared" si="36"/>
        <v>98.2</v>
      </c>
      <c r="S83" s="71">
        <f t="shared" si="36"/>
        <v>98.2</v>
      </c>
      <c r="T83" s="71">
        <f t="shared" si="36"/>
        <v>98.2</v>
      </c>
      <c r="U83" s="71">
        <f t="shared" si="36"/>
        <v>67</v>
      </c>
      <c r="V83" s="71">
        <f t="shared" si="36"/>
        <v>51.9</v>
      </c>
      <c r="W83" s="71">
        <f t="shared" si="36"/>
        <v>22.200000000000003</v>
      </c>
      <c r="X83" s="71">
        <f t="shared" si="36"/>
        <v>22.200000000000003</v>
      </c>
      <c r="Y83" s="71">
        <f t="shared" si="36"/>
        <v>67.3</v>
      </c>
      <c r="Z83" s="71">
        <f t="shared" si="36"/>
        <v>67.3</v>
      </c>
      <c r="AA83" s="71">
        <v>100.5</v>
      </c>
      <c r="AB83" s="71">
        <f t="shared" si="36"/>
        <v>100.10000000000001</v>
      </c>
      <c r="AC83" s="71">
        <f t="shared" si="36"/>
        <v>100.10000000000001</v>
      </c>
      <c r="AD83" s="71">
        <f t="shared" ref="AD83:AE83" si="37">AD80+AD81+AD82</f>
        <v>100.10000000000001</v>
      </c>
      <c r="AE83" s="71">
        <f t="shared" si="37"/>
        <v>100.10000000000001</v>
      </c>
      <c r="AF83" s="71">
        <f t="shared" ref="AF83" si="38">AF80+AF81+AF82</f>
        <v>100.10000000000001</v>
      </c>
      <c r="AG83" s="72">
        <f>SUM(AG80:AG82)</f>
        <v>106</v>
      </c>
      <c r="AH83" s="48">
        <f t="shared" si="31"/>
        <v>100.9</v>
      </c>
      <c r="AI83" s="49">
        <f t="shared" si="32"/>
        <v>22.200000000000003</v>
      </c>
      <c r="AK83" s="51"/>
      <c r="AY83" s="82"/>
      <c r="BF83" s="81"/>
      <c r="BG83" s="82">
        <v>30.9</v>
      </c>
      <c r="BH83" s="82">
        <v>0</v>
      </c>
      <c r="BI83" s="82">
        <v>-408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11.3</v>
      </c>
      <c r="C84" s="46">
        <v>30.9</v>
      </c>
      <c r="D84" s="46">
        <v>30.9</v>
      </c>
      <c r="E84" s="46">
        <v>-15.6</v>
      </c>
      <c r="F84" s="46">
        <v>-14.6</v>
      </c>
      <c r="G84" s="46">
        <v>-15.3</v>
      </c>
      <c r="H84" s="46">
        <v>-16.100000000000001</v>
      </c>
      <c r="I84" s="46">
        <v>-17.7</v>
      </c>
      <c r="J84" s="46">
        <v>35.1</v>
      </c>
      <c r="K84" s="46">
        <v>50.7</v>
      </c>
      <c r="L84" s="46">
        <v>48</v>
      </c>
      <c r="M84" s="46">
        <v>50.2</v>
      </c>
      <c r="N84" s="46">
        <v>42.3</v>
      </c>
      <c r="O84" s="46">
        <v>49.6</v>
      </c>
      <c r="P84" s="46">
        <v>62.7</v>
      </c>
      <c r="Q84" s="46">
        <v>61</v>
      </c>
      <c r="R84" s="46">
        <v>66.400000000000006</v>
      </c>
      <c r="S84" s="46">
        <v>60.5</v>
      </c>
      <c r="T84" s="46">
        <v>72.5</v>
      </c>
      <c r="U84" s="46">
        <v>56.3</v>
      </c>
      <c r="V84" s="46">
        <v>65.099999999999994</v>
      </c>
      <c r="W84" s="46">
        <v>58</v>
      </c>
      <c r="X84" s="46">
        <v>60</v>
      </c>
      <c r="Y84" s="46">
        <v>47.5</v>
      </c>
      <c r="Z84" s="46">
        <v>60.3</v>
      </c>
      <c r="AA84" s="46">
        <v>55.3</v>
      </c>
      <c r="AB84" s="46">
        <v>50.1</v>
      </c>
      <c r="AC84" s="46">
        <v>47.5</v>
      </c>
      <c r="AD84" s="46">
        <v>53.2</v>
      </c>
      <c r="AE84" s="46">
        <v>61.9</v>
      </c>
      <c r="AF84" s="46">
        <v>50.8</v>
      </c>
      <c r="AG84" s="61"/>
      <c r="AH84" s="48">
        <f t="shared" si="31"/>
        <v>72.5</v>
      </c>
      <c r="AI84" s="49">
        <f t="shared" si="32"/>
        <v>-17.7</v>
      </c>
      <c r="AK84" s="51"/>
      <c r="AY84" s="82"/>
      <c r="BF84" s="81"/>
      <c r="BG84" s="82">
        <v>-15.6</v>
      </c>
      <c r="BH84" s="82">
        <v>0</v>
      </c>
      <c r="BI84" s="82">
        <v>-389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118</v>
      </c>
      <c r="T85" s="76">
        <v>95</v>
      </c>
      <c r="U85" s="76">
        <v>123.6</v>
      </c>
      <c r="V85" s="76">
        <v>79</v>
      </c>
      <c r="W85" s="76">
        <v>70.400000000000006</v>
      </c>
      <c r="X85" s="76">
        <v>70.400000000000006</v>
      </c>
      <c r="Y85" s="76">
        <v>0</v>
      </c>
      <c r="Z85" s="76">
        <v>0</v>
      </c>
      <c r="AA85" s="76"/>
      <c r="AB85" s="76"/>
      <c r="AC85" s="76"/>
      <c r="AD85" s="76">
        <v>0</v>
      </c>
      <c r="AE85" s="76">
        <v>0</v>
      </c>
      <c r="AF85" s="76">
        <v>0</v>
      </c>
      <c r="AG85" s="66"/>
      <c r="AH85" s="48">
        <f t="shared" si="31"/>
        <v>123.6</v>
      </c>
      <c r="AI85" s="49">
        <f t="shared" si="32"/>
        <v>0</v>
      </c>
      <c r="AK85" s="51"/>
      <c r="AL85" s="91" t="s">
        <v>111</v>
      </c>
      <c r="AM85" s="91"/>
      <c r="AY85" s="82"/>
      <c r="BF85" s="82"/>
      <c r="BG85" s="82">
        <v>-14.6</v>
      </c>
      <c r="BH85" s="82">
        <v>0</v>
      </c>
      <c r="BI85" s="82">
        <v>-395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4.8</v>
      </c>
      <c r="C86" s="76">
        <v>-408</v>
      </c>
      <c r="D86" s="76">
        <v>-408</v>
      </c>
      <c r="E86" s="76">
        <v>-389</v>
      </c>
      <c r="F86" s="76">
        <v>-395</v>
      </c>
      <c r="G86" s="76">
        <v>-411</v>
      </c>
      <c r="H86" s="76">
        <v>-421.1</v>
      </c>
      <c r="I86" s="76">
        <v>-402</v>
      </c>
      <c r="J86" s="76">
        <v>-295</v>
      </c>
      <c r="K86" s="76">
        <v>-312</v>
      </c>
      <c r="L86" s="76">
        <v>-302</v>
      </c>
      <c r="M86" s="76">
        <v>-292.2</v>
      </c>
      <c r="N86" s="76">
        <v>-68</v>
      </c>
      <c r="O86" s="76">
        <v>-66.7</v>
      </c>
      <c r="P86" s="76">
        <v>120</v>
      </c>
      <c r="Q86" s="76">
        <v>137.80000000000001</v>
      </c>
      <c r="R86" s="76">
        <v>135</v>
      </c>
      <c r="S86" s="76">
        <v>134</v>
      </c>
      <c r="T86" s="76">
        <v>155.19999999999999</v>
      </c>
      <c r="U86" s="76">
        <v>178</v>
      </c>
      <c r="V86" s="76">
        <v>205.6</v>
      </c>
      <c r="W86" s="76">
        <v>161.4</v>
      </c>
      <c r="X86" s="76">
        <v>161.4</v>
      </c>
      <c r="Y86" s="76">
        <v>-288</v>
      </c>
      <c r="Z86" s="76">
        <v>-290</v>
      </c>
      <c r="AA86" s="76">
        <v>-197</v>
      </c>
      <c r="AB86" s="76">
        <v>-173</v>
      </c>
      <c r="AC86" s="76">
        <v>-187</v>
      </c>
      <c r="AD86" s="76">
        <v>-215</v>
      </c>
      <c r="AE86" s="76">
        <v>-312</v>
      </c>
      <c r="AF86" s="76">
        <v>-420</v>
      </c>
      <c r="AG86" s="88"/>
      <c r="AH86" s="48">
        <f t="shared" si="31"/>
        <v>205.6</v>
      </c>
      <c r="AI86" s="49">
        <f t="shared" si="32"/>
        <v>-421.1</v>
      </c>
      <c r="AK86" s="92"/>
      <c r="AL86" s="93"/>
      <c r="AM86" s="93"/>
      <c r="AN86" s="94"/>
      <c r="AY86" s="82"/>
      <c r="BF86" s="82"/>
      <c r="BG86" s="82">
        <v>-15.3</v>
      </c>
      <c r="BH86" s="82">
        <v>0</v>
      </c>
      <c r="BI86" s="82">
        <v>-411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/>
      <c r="AB87" s="89"/>
      <c r="AC87" s="89"/>
      <c r="AD87" s="89"/>
      <c r="AE87" s="89"/>
      <c r="AF87" s="89"/>
      <c r="AG87" s="88"/>
      <c r="AH87" s="48">
        <f t="shared" si="31"/>
        <v>0</v>
      </c>
      <c r="AI87" s="49">
        <f t="shared" si="32"/>
        <v>0</v>
      </c>
      <c r="AK87" s="95" t="s">
        <v>114</v>
      </c>
      <c r="AL87" s="76"/>
      <c r="AM87" s="89"/>
      <c r="AN87" s="96"/>
      <c r="AY87" s="82"/>
      <c r="BF87" s="82"/>
      <c r="BG87" s="82">
        <v>-17.7</v>
      </c>
      <c r="BH87" s="82">
        <v>0</v>
      </c>
      <c r="BI87" s="82">
        <v>-402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70</v>
      </c>
      <c r="K88" s="46">
        <v>88.4</v>
      </c>
      <c r="L88" s="46">
        <v>101</v>
      </c>
      <c r="M88" s="46">
        <v>112.4</v>
      </c>
      <c r="N88" s="46">
        <v>107.2</v>
      </c>
      <c r="O88" s="46">
        <v>130.1</v>
      </c>
      <c r="P88" s="46">
        <v>140</v>
      </c>
      <c r="Q88" s="46">
        <v>143</v>
      </c>
      <c r="R88" s="46">
        <v>142</v>
      </c>
      <c r="S88" s="46">
        <v>130</v>
      </c>
      <c r="T88" s="46">
        <v>98.9</v>
      </c>
      <c r="U88" s="46">
        <v>140.1</v>
      </c>
      <c r="V88" s="46">
        <v>115.5</v>
      </c>
      <c r="W88" s="46">
        <v>115.5</v>
      </c>
      <c r="X88" s="46">
        <v>115.5</v>
      </c>
      <c r="Y88" s="46">
        <v>89.6</v>
      </c>
      <c r="Z88" s="46">
        <v>0</v>
      </c>
      <c r="AA88" s="46"/>
      <c r="AB88" s="46">
        <v>0</v>
      </c>
      <c r="AC88" s="46"/>
      <c r="AD88" s="46"/>
      <c r="AE88" s="46"/>
      <c r="AF88" s="46"/>
      <c r="AG88" s="88"/>
      <c r="AH88" s="48">
        <f t="shared" si="31"/>
        <v>143</v>
      </c>
      <c r="AI88" s="49">
        <f t="shared" si="32"/>
        <v>0</v>
      </c>
      <c r="AK88" s="95" t="s">
        <v>116</v>
      </c>
      <c r="AL88" s="89"/>
      <c r="AM88" s="89"/>
      <c r="AN88" s="96"/>
      <c r="AY88" s="82"/>
      <c r="BF88" s="82"/>
      <c r="BG88" s="82">
        <v>50.7</v>
      </c>
      <c r="BH88" s="82">
        <v>0</v>
      </c>
      <c r="BI88" s="82">
        <v>-312</v>
      </c>
      <c r="BJ88" s="82">
        <v>0</v>
      </c>
      <c r="BK88" s="82">
        <v>88.4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>
        <v>49.3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/>
      <c r="AB89" s="90"/>
      <c r="AC89" s="90"/>
      <c r="AD89" s="90"/>
      <c r="AE89" s="90"/>
      <c r="AF89" s="90"/>
      <c r="AG89" s="88"/>
      <c r="AH89" s="48">
        <f>MAX(B89:AF89)</f>
        <v>49.3</v>
      </c>
      <c r="AI89" s="49">
        <f t="shared" si="32"/>
        <v>0</v>
      </c>
      <c r="AK89" s="99"/>
      <c r="AL89" s="46"/>
      <c r="AM89" s="46"/>
      <c r="AN89" s="100"/>
      <c r="AY89" s="82"/>
      <c r="BF89" s="82"/>
      <c r="BG89" s="82">
        <v>50.2</v>
      </c>
      <c r="BH89" s="82">
        <v>0</v>
      </c>
      <c r="BI89" s="82">
        <v>-292.2</v>
      </c>
      <c r="BJ89" s="82">
        <v>0</v>
      </c>
      <c r="BK89" s="82">
        <v>112.4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1"/>
        <v>0</v>
      </c>
      <c r="AI90" s="49">
        <f t="shared" si="32"/>
        <v>0</v>
      </c>
      <c r="AK90" s="99"/>
      <c r="AL90" s="90"/>
      <c r="AM90" s="102"/>
      <c r="AN90" s="202"/>
      <c r="AY90" s="82"/>
      <c r="BF90" s="82"/>
      <c r="BG90" s="82">
        <v>42.3</v>
      </c>
      <c r="BH90" s="82">
        <v>0</v>
      </c>
      <c r="BI90" s="82">
        <v>-68</v>
      </c>
      <c r="BJ90" s="82">
        <v>0</v>
      </c>
      <c r="BK90" s="82">
        <v>107.2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1"/>
        <v>0</v>
      </c>
      <c r="AI91" s="49">
        <f t="shared" si="32"/>
        <v>0</v>
      </c>
      <c r="AK91" s="99"/>
      <c r="AL91" s="90"/>
      <c r="AM91" s="90"/>
      <c r="AN91" s="203"/>
      <c r="BF91" s="82"/>
      <c r="BG91" s="82">
        <v>49.6</v>
      </c>
      <c r="BH91" s="82">
        <v>0</v>
      </c>
      <c r="BI91" s="82">
        <v>-66.7</v>
      </c>
      <c r="BJ91" s="82">
        <v>0</v>
      </c>
      <c r="BK91" s="82">
        <v>130.1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1"/>
        <v>0</v>
      </c>
      <c r="AI92" s="49">
        <f t="shared" si="32"/>
        <v>0</v>
      </c>
      <c r="AK92" s="104"/>
      <c r="AL92" s="105"/>
      <c r="AM92" s="105"/>
      <c r="AN92" s="106"/>
      <c r="BF92" s="82"/>
      <c r="BG92" s="82">
        <v>62.7</v>
      </c>
      <c r="BH92" s="82">
        <v>0</v>
      </c>
      <c r="BI92" s="82">
        <v>120</v>
      </c>
      <c r="BJ92" s="82">
        <v>0</v>
      </c>
      <c r="BK92" s="82">
        <v>140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1"/>
        <v>0</v>
      </c>
      <c r="AI93" s="49">
        <f t="shared" si="32"/>
        <v>0</v>
      </c>
      <c r="BF93" s="82"/>
      <c r="BG93" s="82">
        <v>61</v>
      </c>
      <c r="BH93" s="82">
        <v>0</v>
      </c>
      <c r="BI93" s="82">
        <v>137.80000000000001</v>
      </c>
      <c r="BJ93" s="82">
        <v>0</v>
      </c>
      <c r="BK93" s="82">
        <v>143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1"/>
        <v>0</v>
      </c>
      <c r="AI94" s="49">
        <f t="shared" si="32"/>
        <v>0</v>
      </c>
      <c r="BF94" s="82"/>
      <c r="BG94" s="82">
        <v>66.400000000000006</v>
      </c>
      <c r="BH94" s="82">
        <v>0</v>
      </c>
      <c r="BI94" s="82">
        <v>135</v>
      </c>
      <c r="BJ94" s="82">
        <v>0</v>
      </c>
      <c r="BK94" s="82">
        <v>142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16.100000000000001</v>
      </c>
      <c r="C95" s="71">
        <f>SUMIF(C84:C94,"&gt;0")</f>
        <v>30.9</v>
      </c>
      <c r="D95" s="71">
        <f t="shared" ref="D95:AD95" si="39">SUMIF(D84:D94,"&gt;0")</f>
        <v>30.9</v>
      </c>
      <c r="E95" s="71">
        <f t="shared" si="39"/>
        <v>0</v>
      </c>
      <c r="F95" s="71">
        <f t="shared" si="39"/>
        <v>0</v>
      </c>
      <c r="G95" s="71">
        <f t="shared" si="39"/>
        <v>0</v>
      </c>
      <c r="H95" s="71">
        <f t="shared" si="39"/>
        <v>0</v>
      </c>
      <c r="I95" s="71">
        <f t="shared" si="39"/>
        <v>0</v>
      </c>
      <c r="J95" s="71">
        <f t="shared" si="39"/>
        <v>105.1</v>
      </c>
      <c r="K95" s="71">
        <f t="shared" si="39"/>
        <v>139.10000000000002</v>
      </c>
      <c r="L95" s="71">
        <f t="shared" si="39"/>
        <v>149</v>
      </c>
      <c r="M95" s="71">
        <f t="shared" si="39"/>
        <v>162.60000000000002</v>
      </c>
      <c r="N95" s="71">
        <f t="shared" si="39"/>
        <v>149.5</v>
      </c>
      <c r="O95" s="71">
        <f t="shared" si="39"/>
        <v>179.7</v>
      </c>
      <c r="P95" s="71">
        <f t="shared" si="39"/>
        <v>322.7</v>
      </c>
      <c r="Q95" s="71">
        <f t="shared" si="39"/>
        <v>391.1</v>
      </c>
      <c r="R95" s="71">
        <f t="shared" si="39"/>
        <v>343.4</v>
      </c>
      <c r="S95" s="71">
        <f t="shared" si="39"/>
        <v>442.5</v>
      </c>
      <c r="T95" s="71">
        <f t="shared" si="39"/>
        <v>421.6</v>
      </c>
      <c r="U95" s="71">
        <f>SUMIF(U84:U94,"&gt;0")</f>
        <v>498</v>
      </c>
      <c r="V95" s="71">
        <f t="shared" si="39"/>
        <v>465.2</v>
      </c>
      <c r="W95" s="71">
        <f t="shared" si="39"/>
        <v>405.3</v>
      </c>
      <c r="X95" s="71">
        <f t="shared" si="39"/>
        <v>407.3</v>
      </c>
      <c r="Y95" s="71">
        <f t="shared" si="39"/>
        <v>137.1</v>
      </c>
      <c r="Z95" s="71">
        <f t="shared" si="39"/>
        <v>60.3</v>
      </c>
      <c r="AA95" s="71">
        <f t="shared" si="39"/>
        <v>55.3</v>
      </c>
      <c r="AB95" s="71">
        <f t="shared" si="39"/>
        <v>50.1</v>
      </c>
      <c r="AC95" s="71">
        <f t="shared" si="39"/>
        <v>47.5</v>
      </c>
      <c r="AD95" s="71">
        <f t="shared" si="39"/>
        <v>53.2</v>
      </c>
      <c r="AE95" s="71">
        <f t="shared" ref="AE95:AF95" si="40">SUMIF(AE84:AE94,"&gt;0")</f>
        <v>61.9</v>
      </c>
      <c r="AF95" s="71">
        <f t="shared" si="40"/>
        <v>50.8</v>
      </c>
      <c r="AG95" s="101">
        <f>SUM(AG84:AG94)</f>
        <v>0</v>
      </c>
      <c r="AH95" s="48">
        <f t="shared" si="31"/>
        <v>498</v>
      </c>
      <c r="AI95" s="49">
        <f t="shared" si="32"/>
        <v>0</v>
      </c>
      <c r="BF95" s="82"/>
      <c r="BG95" s="82">
        <v>60.5</v>
      </c>
      <c r="BH95" s="82">
        <v>118</v>
      </c>
      <c r="BI95" s="82">
        <v>134</v>
      </c>
      <c r="BJ95" s="82">
        <v>0</v>
      </c>
      <c r="BK95" s="82">
        <v>130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1"/>
        <v>0</v>
      </c>
      <c r="AI96" s="49">
        <f t="shared" si="32"/>
        <v>0</v>
      </c>
      <c r="BF96" s="82"/>
      <c r="BG96" s="82">
        <v>72.5</v>
      </c>
      <c r="BH96" s="82">
        <v>95</v>
      </c>
      <c r="BI96" s="82">
        <v>155.19999999999999</v>
      </c>
      <c r="BJ96" s="82">
        <v>0</v>
      </c>
      <c r="BK96" s="82">
        <v>98.9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1"/>
        <v>0</v>
      </c>
      <c r="AI97" s="49">
        <f t="shared" si="32"/>
        <v>0</v>
      </c>
      <c r="BF97" s="82"/>
      <c r="BG97" s="82">
        <v>56.3</v>
      </c>
      <c r="BH97" s="82">
        <v>123.6</v>
      </c>
      <c r="BI97" s="82">
        <v>178</v>
      </c>
      <c r="BJ97" s="82">
        <v>0</v>
      </c>
      <c r="BK97" s="82">
        <v>140.1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1"/>
        <v>0</v>
      </c>
      <c r="AI98" s="49">
        <f t="shared" si="32"/>
        <v>0</v>
      </c>
      <c r="BF98" s="82"/>
      <c r="BG98" s="82">
        <v>65.099999999999994</v>
      </c>
      <c r="BH98" s="82">
        <v>79</v>
      </c>
      <c r="BI98" s="82">
        <v>205.6</v>
      </c>
      <c r="BJ98" s="82">
        <v>0</v>
      </c>
      <c r="BK98" s="82">
        <v>115.5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1"/>
        <v>0</v>
      </c>
      <c r="AI99" s="49">
        <f t="shared" si="32"/>
        <v>0</v>
      </c>
      <c r="BF99" s="81"/>
      <c r="BG99" s="82">
        <v>60</v>
      </c>
      <c r="BH99" s="82">
        <v>70.400000000000006</v>
      </c>
      <c r="BI99" s="82">
        <v>161.4</v>
      </c>
      <c r="BJ99" s="82">
        <v>0</v>
      </c>
      <c r="BK99" s="82">
        <v>115.5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41">B61+B65+B83+B79+B95+B99</f>
        <v>1591.04</v>
      </c>
      <c r="C100" s="108">
        <f t="shared" si="41"/>
        <v>1951.44</v>
      </c>
      <c r="D100" s="108">
        <f t="shared" si="41"/>
        <v>1951.44</v>
      </c>
      <c r="E100" s="108">
        <f t="shared" si="41"/>
        <v>1920.04</v>
      </c>
      <c r="F100" s="108">
        <f t="shared" si="41"/>
        <v>1875.37</v>
      </c>
      <c r="G100" s="108">
        <f t="shared" si="41"/>
        <v>1889.57</v>
      </c>
      <c r="H100" s="108">
        <f t="shared" si="41"/>
        <v>1909.37</v>
      </c>
      <c r="I100" s="108">
        <f t="shared" si="41"/>
        <v>1932.74</v>
      </c>
      <c r="J100" s="108">
        <f t="shared" si="41"/>
        <v>1950.6399999999999</v>
      </c>
      <c r="K100" s="108">
        <f t="shared" si="41"/>
        <v>2056.34</v>
      </c>
      <c r="L100" s="108">
        <f t="shared" si="41"/>
        <v>2102.34</v>
      </c>
      <c r="M100" s="108">
        <f t="shared" si="41"/>
        <v>2120.94</v>
      </c>
      <c r="N100" s="108">
        <f t="shared" si="41"/>
        <v>1894.74</v>
      </c>
      <c r="O100" s="108">
        <f t="shared" si="41"/>
        <v>2037.44</v>
      </c>
      <c r="P100" s="108">
        <f t="shared" si="41"/>
        <v>1911.4399999999998</v>
      </c>
      <c r="Q100" s="108">
        <f t="shared" si="41"/>
        <v>2021.2399999999998</v>
      </c>
      <c r="R100" s="108">
        <f t="shared" si="41"/>
        <v>1898.94</v>
      </c>
      <c r="S100" s="108">
        <f t="shared" si="41"/>
        <v>1998.04</v>
      </c>
      <c r="T100" s="108">
        <f t="shared" si="41"/>
        <v>1967.8400000000001</v>
      </c>
      <c r="U100" s="108">
        <f t="shared" si="41"/>
        <v>1984.1399999999999</v>
      </c>
      <c r="V100" s="108">
        <f t="shared" si="41"/>
        <v>1943.0400000000002</v>
      </c>
      <c r="W100" s="108">
        <f t="shared" si="41"/>
        <v>1813.4399999999998</v>
      </c>
      <c r="X100" s="108">
        <f t="shared" si="41"/>
        <v>1815.4399999999998</v>
      </c>
      <c r="Y100" s="108">
        <f t="shared" si="41"/>
        <v>1924.6</v>
      </c>
      <c r="Z100" s="108">
        <f t="shared" si="41"/>
        <v>1905.8</v>
      </c>
      <c r="AA100" s="108">
        <f t="shared" si="41"/>
        <v>1934.5</v>
      </c>
      <c r="AB100" s="108">
        <f t="shared" si="41"/>
        <v>1954.44</v>
      </c>
      <c r="AC100" s="108">
        <f t="shared" si="41"/>
        <v>1945.9399999999998</v>
      </c>
      <c r="AD100" s="108">
        <f t="shared" si="41"/>
        <v>1945.0399999999995</v>
      </c>
      <c r="AE100" s="108">
        <f t="shared" ref="AE100:AF100" si="42">AE61+AE65+AE83+AE79+AE95+AE99</f>
        <v>1954.9399999999998</v>
      </c>
      <c r="AF100" s="108">
        <f t="shared" si="42"/>
        <v>1943.8399999999997</v>
      </c>
      <c r="AG100" s="72">
        <f t="shared" si="41"/>
        <v>2655.44</v>
      </c>
      <c r="AH100" s="48">
        <f t="shared" si="31"/>
        <v>2120.94</v>
      </c>
      <c r="AI100" s="49">
        <f t="shared" si="32"/>
        <v>1591.04</v>
      </c>
      <c r="BF100" s="81"/>
      <c r="BG100" s="82">
        <v>60.3</v>
      </c>
      <c r="BH100" s="82">
        <v>0</v>
      </c>
      <c r="BI100" s="82">
        <v>-290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>
        <v>350</v>
      </c>
      <c r="AC101" s="110">
        <v>350</v>
      </c>
      <c r="AD101" s="110">
        <v>350</v>
      </c>
      <c r="AE101" s="110">
        <v>350</v>
      </c>
      <c r="AF101" s="110">
        <v>350</v>
      </c>
      <c r="AG101" s="101"/>
      <c r="AH101" s="48">
        <f t="shared" si="31"/>
        <v>350</v>
      </c>
      <c r="AI101" s="49">
        <f t="shared" si="32"/>
        <v>350</v>
      </c>
      <c r="BF101" s="81"/>
      <c r="BG101" s="82">
        <v>50.1</v>
      </c>
      <c r="BH101" s="82">
        <v>0</v>
      </c>
      <c r="BI101" s="82">
        <v>-173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1591.04</v>
      </c>
      <c r="C102" s="108">
        <f t="shared" ref="C102:AF102" si="43">C100+C101</f>
        <v>1951.44</v>
      </c>
      <c r="D102" s="108">
        <f t="shared" si="43"/>
        <v>1951.44</v>
      </c>
      <c r="E102" s="108">
        <f t="shared" si="43"/>
        <v>1920.04</v>
      </c>
      <c r="F102" s="108">
        <f t="shared" si="43"/>
        <v>1875.37</v>
      </c>
      <c r="G102" s="108">
        <f t="shared" si="43"/>
        <v>1889.57</v>
      </c>
      <c r="H102" s="108">
        <f t="shared" si="43"/>
        <v>1909.37</v>
      </c>
      <c r="I102" s="108">
        <f t="shared" si="43"/>
        <v>1932.74</v>
      </c>
      <c r="J102" s="108">
        <f t="shared" si="43"/>
        <v>1950.6399999999999</v>
      </c>
      <c r="K102" s="108">
        <f t="shared" si="43"/>
        <v>2056.34</v>
      </c>
      <c r="L102" s="108">
        <f t="shared" si="43"/>
        <v>2102.34</v>
      </c>
      <c r="M102" s="108">
        <f t="shared" si="43"/>
        <v>2120.94</v>
      </c>
      <c r="N102" s="108">
        <f t="shared" si="43"/>
        <v>1894.74</v>
      </c>
      <c r="O102" s="108">
        <f t="shared" si="43"/>
        <v>2037.44</v>
      </c>
      <c r="P102" s="108">
        <f t="shared" si="43"/>
        <v>1911.4399999999998</v>
      </c>
      <c r="Q102" s="108">
        <f t="shared" si="43"/>
        <v>2021.2399999999998</v>
      </c>
      <c r="R102" s="108">
        <f t="shared" si="43"/>
        <v>1898.94</v>
      </c>
      <c r="S102" s="108">
        <f t="shared" si="43"/>
        <v>1998.04</v>
      </c>
      <c r="T102" s="108">
        <f t="shared" si="43"/>
        <v>1967.8400000000001</v>
      </c>
      <c r="U102" s="108">
        <f t="shared" si="43"/>
        <v>1984.1399999999999</v>
      </c>
      <c r="V102" s="108">
        <f t="shared" si="43"/>
        <v>1943.0400000000002</v>
      </c>
      <c r="W102" s="108">
        <f t="shared" si="43"/>
        <v>1813.4399999999998</v>
      </c>
      <c r="X102" s="108">
        <f t="shared" si="43"/>
        <v>1815.4399999999998</v>
      </c>
      <c r="Y102" s="108">
        <f t="shared" si="43"/>
        <v>1924.6</v>
      </c>
      <c r="Z102" s="108">
        <f t="shared" si="43"/>
        <v>1905.8</v>
      </c>
      <c r="AA102" s="108">
        <f t="shared" si="43"/>
        <v>1934.5</v>
      </c>
      <c r="AB102" s="108">
        <f t="shared" si="43"/>
        <v>2304.44</v>
      </c>
      <c r="AC102" s="108">
        <f t="shared" si="43"/>
        <v>2295.9399999999996</v>
      </c>
      <c r="AD102" s="108">
        <f t="shared" si="43"/>
        <v>2295.0399999999995</v>
      </c>
      <c r="AE102" s="108">
        <f t="shared" si="43"/>
        <v>2304.9399999999996</v>
      </c>
      <c r="AF102" s="108">
        <f t="shared" si="43"/>
        <v>2293.8399999999997</v>
      </c>
      <c r="AG102" s="101">
        <f>AG99+AG95+AG83+AG79+AG61+AG101</f>
        <v>2117.34</v>
      </c>
      <c r="AH102" s="48">
        <f t="shared" si="31"/>
        <v>2304.9399999999996</v>
      </c>
      <c r="AI102" s="49">
        <f t="shared" si="32"/>
        <v>1591.04</v>
      </c>
      <c r="BF102" s="81"/>
      <c r="BG102" s="82">
        <v>53.2</v>
      </c>
      <c r="BH102" s="82">
        <v>0</v>
      </c>
      <c r="BI102" s="82">
        <v>-215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1591.04</v>
      </c>
      <c r="C103" s="108">
        <f t="shared" ref="C103:AF103" si="44">C102-(C110)</f>
        <v>1543.44</v>
      </c>
      <c r="D103" s="108">
        <f t="shared" si="44"/>
        <v>1543.44</v>
      </c>
      <c r="E103" s="108">
        <f t="shared" si="44"/>
        <v>1515.44</v>
      </c>
      <c r="F103" s="108">
        <f t="shared" si="44"/>
        <v>1465.77</v>
      </c>
      <c r="G103" s="108">
        <f t="shared" si="44"/>
        <v>1463.27</v>
      </c>
      <c r="H103" s="108">
        <f t="shared" si="44"/>
        <v>1472.1699999999998</v>
      </c>
      <c r="I103" s="108">
        <f t="shared" si="44"/>
        <v>1513.04</v>
      </c>
      <c r="J103" s="108">
        <f t="shared" si="44"/>
        <v>1655.6399999999999</v>
      </c>
      <c r="K103" s="108">
        <f t="shared" si="44"/>
        <v>1744.3400000000001</v>
      </c>
      <c r="L103" s="108">
        <f t="shared" si="44"/>
        <v>1800.3400000000001</v>
      </c>
      <c r="M103" s="108">
        <f t="shared" si="44"/>
        <v>1828.74</v>
      </c>
      <c r="N103" s="108">
        <f t="shared" si="44"/>
        <v>1826.74</v>
      </c>
      <c r="O103" s="108">
        <f t="shared" si="44"/>
        <v>1970.74</v>
      </c>
      <c r="P103" s="108">
        <f t="shared" si="44"/>
        <v>1911.4399999999998</v>
      </c>
      <c r="Q103" s="108">
        <f t="shared" si="44"/>
        <v>2021.2399999999998</v>
      </c>
      <c r="R103" s="108">
        <f t="shared" si="44"/>
        <v>1898.94</v>
      </c>
      <c r="S103" s="108">
        <f t="shared" si="44"/>
        <v>1998.04</v>
      </c>
      <c r="T103" s="108">
        <f t="shared" si="44"/>
        <v>1967.8400000000001</v>
      </c>
      <c r="U103" s="108">
        <f t="shared" si="44"/>
        <v>1984.1399999999999</v>
      </c>
      <c r="V103" s="108">
        <f t="shared" si="44"/>
        <v>1943.0400000000002</v>
      </c>
      <c r="W103" s="108">
        <f t="shared" si="44"/>
        <v>1813.4399999999998</v>
      </c>
      <c r="X103" s="108">
        <f t="shared" si="44"/>
        <v>1815.4399999999998</v>
      </c>
      <c r="Y103" s="108">
        <f t="shared" si="44"/>
        <v>1636.6</v>
      </c>
      <c r="Z103" s="108">
        <f t="shared" si="44"/>
        <v>1615.8</v>
      </c>
      <c r="AA103" s="108">
        <f t="shared" si="44"/>
        <v>1737.5</v>
      </c>
      <c r="AB103" s="108">
        <f t="shared" si="44"/>
        <v>2131.44</v>
      </c>
      <c r="AC103" s="108">
        <f t="shared" si="44"/>
        <v>2108.9399999999996</v>
      </c>
      <c r="AD103" s="108">
        <f t="shared" si="44"/>
        <v>2080.0399999999995</v>
      </c>
      <c r="AE103" s="108">
        <f t="shared" si="44"/>
        <v>1992.9399999999996</v>
      </c>
      <c r="AF103" s="108">
        <f t="shared" si="44"/>
        <v>1873.8399999999997</v>
      </c>
      <c r="AG103" s="101"/>
      <c r="AH103" s="48">
        <f t="shared" si="31"/>
        <v>2131.44</v>
      </c>
      <c r="AI103" s="49">
        <f t="shared" si="32"/>
        <v>1463.27</v>
      </c>
      <c r="BF103" s="81"/>
      <c r="BG103" s="82">
        <v>61.9</v>
      </c>
      <c r="BH103" s="82">
        <v>0</v>
      </c>
      <c r="BI103" s="82">
        <v>-312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45">IF(C84&lt;0,C84*-1,0)</f>
        <v>0</v>
      </c>
      <c r="D104" s="89">
        <f t="shared" si="45"/>
        <v>0</v>
      </c>
      <c r="E104" s="89">
        <f t="shared" si="45"/>
        <v>15.6</v>
      </c>
      <c r="F104" s="89">
        <f t="shared" si="45"/>
        <v>14.6</v>
      </c>
      <c r="G104" s="89">
        <f t="shared" si="45"/>
        <v>15.3</v>
      </c>
      <c r="H104" s="89">
        <f t="shared" si="45"/>
        <v>16.100000000000001</v>
      </c>
      <c r="I104" s="89">
        <f t="shared" si="45"/>
        <v>17.7</v>
      </c>
      <c r="J104" s="89">
        <f t="shared" si="45"/>
        <v>0</v>
      </c>
      <c r="K104" s="89">
        <f t="shared" si="45"/>
        <v>0</v>
      </c>
      <c r="L104" s="89">
        <f t="shared" si="45"/>
        <v>0</v>
      </c>
      <c r="M104" s="89">
        <f t="shared" si="45"/>
        <v>0</v>
      </c>
      <c r="N104" s="89">
        <f t="shared" si="45"/>
        <v>0</v>
      </c>
      <c r="O104" s="89">
        <f t="shared" si="45"/>
        <v>0</v>
      </c>
      <c r="P104" s="89">
        <f t="shared" si="45"/>
        <v>0</v>
      </c>
      <c r="Q104" s="89">
        <f t="shared" si="45"/>
        <v>0</v>
      </c>
      <c r="R104" s="89">
        <f t="shared" si="45"/>
        <v>0</v>
      </c>
      <c r="S104" s="89">
        <f t="shared" si="45"/>
        <v>0</v>
      </c>
      <c r="T104" s="89">
        <f t="shared" si="45"/>
        <v>0</v>
      </c>
      <c r="U104" s="89">
        <f t="shared" si="45"/>
        <v>0</v>
      </c>
      <c r="V104" s="89">
        <f t="shared" si="45"/>
        <v>0</v>
      </c>
      <c r="W104" s="89">
        <f t="shared" si="45"/>
        <v>0</v>
      </c>
      <c r="X104" s="89">
        <f t="shared" si="45"/>
        <v>0</v>
      </c>
      <c r="Y104" s="89">
        <f t="shared" si="45"/>
        <v>0</v>
      </c>
      <c r="Z104" s="89">
        <f t="shared" si="45"/>
        <v>0</v>
      </c>
      <c r="AA104" s="89">
        <f t="shared" si="45"/>
        <v>0</v>
      </c>
      <c r="AB104" s="89">
        <f t="shared" si="45"/>
        <v>0</v>
      </c>
      <c r="AC104" s="89">
        <f t="shared" si="45"/>
        <v>0</v>
      </c>
      <c r="AD104" s="89">
        <f t="shared" si="45"/>
        <v>0</v>
      </c>
      <c r="AE104" s="89">
        <f t="shared" si="45"/>
        <v>0</v>
      </c>
      <c r="AF104" s="89">
        <f t="shared" si="45"/>
        <v>0</v>
      </c>
      <c r="AG104" s="61"/>
      <c r="AH104" s="48">
        <f t="shared" si="31"/>
        <v>17.7</v>
      </c>
      <c r="AI104" s="49">
        <f t="shared" si="32"/>
        <v>0</v>
      </c>
      <c r="BG104" s="82">
        <v>50.8</v>
      </c>
      <c r="BH104" s="82">
        <v>0</v>
      </c>
      <c r="BI104" s="82">
        <v>-420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46">IF(B85&lt;0,B85*-1,0)</f>
        <v>0</v>
      </c>
      <c r="C105" s="89">
        <f t="shared" si="46"/>
        <v>0</v>
      </c>
      <c r="D105" s="89">
        <f t="shared" si="46"/>
        <v>0</v>
      </c>
      <c r="E105" s="89">
        <f t="shared" si="46"/>
        <v>0</v>
      </c>
      <c r="F105" s="89">
        <f t="shared" si="46"/>
        <v>0</v>
      </c>
      <c r="G105" s="89">
        <f t="shared" si="46"/>
        <v>0</v>
      </c>
      <c r="H105" s="89">
        <f t="shared" si="46"/>
        <v>0</v>
      </c>
      <c r="I105" s="89">
        <f t="shared" si="46"/>
        <v>0</v>
      </c>
      <c r="J105" s="89">
        <f t="shared" si="46"/>
        <v>0</v>
      </c>
      <c r="K105" s="89">
        <f t="shared" si="46"/>
        <v>0</v>
      </c>
      <c r="L105" s="89">
        <f t="shared" si="46"/>
        <v>0</v>
      </c>
      <c r="M105" s="89">
        <f t="shared" si="46"/>
        <v>0</v>
      </c>
      <c r="N105" s="89">
        <f t="shared" si="46"/>
        <v>0</v>
      </c>
      <c r="O105" s="89">
        <f t="shared" si="46"/>
        <v>0</v>
      </c>
      <c r="P105" s="89">
        <f t="shared" si="46"/>
        <v>0</v>
      </c>
      <c r="Q105" s="89">
        <f t="shared" si="46"/>
        <v>0</v>
      </c>
      <c r="R105" s="89">
        <f t="shared" si="45"/>
        <v>0</v>
      </c>
      <c r="S105" s="89">
        <f t="shared" si="45"/>
        <v>0</v>
      </c>
      <c r="T105" s="89">
        <f t="shared" si="45"/>
        <v>0</v>
      </c>
      <c r="U105" s="89">
        <f t="shared" si="45"/>
        <v>0</v>
      </c>
      <c r="V105" s="89">
        <f t="shared" si="45"/>
        <v>0</v>
      </c>
      <c r="W105" s="89">
        <f t="shared" si="45"/>
        <v>0</v>
      </c>
      <c r="X105" s="89">
        <f t="shared" si="45"/>
        <v>0</v>
      </c>
      <c r="Y105" s="89">
        <f t="shared" si="45"/>
        <v>0</v>
      </c>
      <c r="Z105" s="89">
        <f t="shared" si="45"/>
        <v>0</v>
      </c>
      <c r="AA105" s="89">
        <f t="shared" si="45"/>
        <v>0</v>
      </c>
      <c r="AB105" s="89">
        <f t="shared" si="45"/>
        <v>0</v>
      </c>
      <c r="AC105" s="89">
        <f t="shared" si="45"/>
        <v>0</v>
      </c>
      <c r="AD105" s="89">
        <f t="shared" si="45"/>
        <v>0</v>
      </c>
      <c r="AE105" s="89">
        <f t="shared" si="45"/>
        <v>0</v>
      </c>
      <c r="AF105" s="89">
        <f t="shared" si="45"/>
        <v>0</v>
      </c>
      <c r="AG105" s="66"/>
      <c r="AH105" s="48">
        <f t="shared" si="31"/>
        <v>0</v>
      </c>
      <c r="AI105" s="49">
        <f t="shared" si="32"/>
        <v>0</v>
      </c>
      <c r="AK105" s="51"/>
      <c r="BG105" s="82">
        <v>11.3</v>
      </c>
      <c r="BH105" s="82">
        <v>0</v>
      </c>
      <c r="BI105" s="82">
        <v>4.8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6"/>
        <v>0</v>
      </c>
      <c r="C106" s="89">
        <f t="shared" si="45"/>
        <v>408</v>
      </c>
      <c r="D106" s="89">
        <f t="shared" si="45"/>
        <v>408</v>
      </c>
      <c r="E106" s="89">
        <f t="shared" si="45"/>
        <v>389</v>
      </c>
      <c r="F106" s="89">
        <f t="shared" si="45"/>
        <v>395</v>
      </c>
      <c r="G106" s="89">
        <f t="shared" si="45"/>
        <v>411</v>
      </c>
      <c r="H106" s="89">
        <f t="shared" si="45"/>
        <v>421.1</v>
      </c>
      <c r="I106" s="89">
        <f t="shared" si="45"/>
        <v>402</v>
      </c>
      <c r="J106" s="89">
        <f t="shared" si="45"/>
        <v>295</v>
      </c>
      <c r="K106" s="89">
        <f t="shared" si="45"/>
        <v>312</v>
      </c>
      <c r="L106" s="89">
        <f t="shared" si="45"/>
        <v>302</v>
      </c>
      <c r="M106" s="89">
        <f t="shared" si="45"/>
        <v>292.2</v>
      </c>
      <c r="N106" s="89">
        <f t="shared" si="45"/>
        <v>68</v>
      </c>
      <c r="O106" s="89">
        <f t="shared" si="45"/>
        <v>66.7</v>
      </c>
      <c r="P106" s="89">
        <f t="shared" si="45"/>
        <v>0</v>
      </c>
      <c r="Q106" s="89">
        <f t="shared" si="45"/>
        <v>0</v>
      </c>
      <c r="R106" s="89">
        <f t="shared" si="45"/>
        <v>0</v>
      </c>
      <c r="S106" s="89">
        <f t="shared" si="45"/>
        <v>0</v>
      </c>
      <c r="T106" s="89">
        <f t="shared" si="45"/>
        <v>0</v>
      </c>
      <c r="U106" s="89">
        <f t="shared" si="45"/>
        <v>0</v>
      </c>
      <c r="V106" s="89">
        <f t="shared" si="45"/>
        <v>0</v>
      </c>
      <c r="W106" s="89">
        <f t="shared" si="45"/>
        <v>0</v>
      </c>
      <c r="X106" s="89">
        <f t="shared" si="45"/>
        <v>0</v>
      </c>
      <c r="Y106" s="89">
        <f t="shared" si="45"/>
        <v>288</v>
      </c>
      <c r="Z106" s="89">
        <f t="shared" si="45"/>
        <v>290</v>
      </c>
      <c r="AA106" s="89">
        <f t="shared" si="45"/>
        <v>197</v>
      </c>
      <c r="AB106" s="89">
        <f t="shared" si="45"/>
        <v>173</v>
      </c>
      <c r="AC106" s="89">
        <f t="shared" si="45"/>
        <v>187</v>
      </c>
      <c r="AD106" s="89">
        <f t="shared" si="45"/>
        <v>215</v>
      </c>
      <c r="AE106" s="89">
        <f t="shared" si="45"/>
        <v>312</v>
      </c>
      <c r="AF106" s="89">
        <f t="shared" si="45"/>
        <v>420</v>
      </c>
      <c r="AG106" s="111"/>
      <c r="AH106" s="48">
        <f t="shared" si="31"/>
        <v>421.1</v>
      </c>
      <c r="AI106" s="49">
        <f t="shared" si="32"/>
        <v>0</v>
      </c>
    </row>
    <row r="107" spans="1:64" x14ac:dyDescent="0.25">
      <c r="A107" s="97" t="s">
        <v>107</v>
      </c>
      <c r="B107" s="89">
        <f t="shared" si="46"/>
        <v>0</v>
      </c>
      <c r="C107" s="89">
        <f t="shared" si="45"/>
        <v>0</v>
      </c>
      <c r="D107" s="89">
        <f t="shared" si="45"/>
        <v>0</v>
      </c>
      <c r="E107" s="89">
        <f t="shared" si="45"/>
        <v>0</v>
      </c>
      <c r="F107" s="89">
        <f t="shared" si="45"/>
        <v>0</v>
      </c>
      <c r="G107" s="89">
        <f t="shared" si="45"/>
        <v>0</v>
      </c>
      <c r="H107" s="89">
        <f t="shared" si="45"/>
        <v>0</v>
      </c>
      <c r="I107" s="89">
        <f t="shared" si="45"/>
        <v>0</v>
      </c>
      <c r="J107" s="89">
        <f t="shared" si="45"/>
        <v>0</v>
      </c>
      <c r="K107" s="89">
        <f t="shared" si="45"/>
        <v>0</v>
      </c>
      <c r="L107" s="89">
        <f t="shared" si="45"/>
        <v>0</v>
      </c>
      <c r="M107" s="89">
        <f t="shared" si="45"/>
        <v>0</v>
      </c>
      <c r="N107" s="89">
        <f t="shared" si="45"/>
        <v>0</v>
      </c>
      <c r="O107" s="89">
        <f t="shared" si="45"/>
        <v>0</v>
      </c>
      <c r="P107" s="89">
        <f t="shared" si="45"/>
        <v>0</v>
      </c>
      <c r="Q107" s="89">
        <f t="shared" si="45"/>
        <v>0</v>
      </c>
      <c r="R107" s="89">
        <f t="shared" si="45"/>
        <v>0</v>
      </c>
      <c r="S107" s="89">
        <f t="shared" si="45"/>
        <v>0</v>
      </c>
      <c r="T107" s="89">
        <f t="shared" si="45"/>
        <v>0</v>
      </c>
      <c r="U107" s="89">
        <f t="shared" si="45"/>
        <v>0</v>
      </c>
      <c r="V107" s="89">
        <f t="shared" si="45"/>
        <v>0</v>
      </c>
      <c r="W107" s="89">
        <f t="shared" si="45"/>
        <v>0</v>
      </c>
      <c r="X107" s="89">
        <f t="shared" si="45"/>
        <v>0</v>
      </c>
      <c r="Y107" s="89">
        <f t="shared" si="45"/>
        <v>0</v>
      </c>
      <c r="Z107" s="89">
        <f t="shared" si="45"/>
        <v>0</v>
      </c>
      <c r="AA107" s="89">
        <f t="shared" si="45"/>
        <v>0</v>
      </c>
      <c r="AB107" s="89">
        <f t="shared" si="45"/>
        <v>0</v>
      </c>
      <c r="AC107" s="89">
        <f t="shared" si="45"/>
        <v>0</v>
      </c>
      <c r="AD107" s="89">
        <f t="shared" si="45"/>
        <v>0</v>
      </c>
      <c r="AE107" s="89">
        <f t="shared" si="45"/>
        <v>0</v>
      </c>
      <c r="AF107" s="89">
        <f t="shared" si="45"/>
        <v>0</v>
      </c>
      <c r="AG107" s="111"/>
      <c r="AH107" s="48">
        <f t="shared" si="31"/>
        <v>0</v>
      </c>
      <c r="AI107" s="49">
        <f t="shared" si="32"/>
        <v>0</v>
      </c>
    </row>
    <row r="108" spans="1:64" x14ac:dyDescent="0.25">
      <c r="A108" s="97" t="s">
        <v>108</v>
      </c>
      <c r="B108" s="89">
        <f t="shared" si="46"/>
        <v>0</v>
      </c>
      <c r="C108" s="89">
        <f t="shared" si="45"/>
        <v>0</v>
      </c>
      <c r="D108" s="89">
        <f t="shared" si="45"/>
        <v>0</v>
      </c>
      <c r="E108" s="89">
        <f t="shared" si="45"/>
        <v>0</v>
      </c>
      <c r="F108" s="89">
        <f t="shared" si="45"/>
        <v>0</v>
      </c>
      <c r="G108" s="89">
        <f t="shared" si="45"/>
        <v>0</v>
      </c>
      <c r="H108" s="89">
        <f t="shared" si="45"/>
        <v>0</v>
      </c>
      <c r="I108" s="89">
        <f t="shared" si="45"/>
        <v>0</v>
      </c>
      <c r="J108" s="89">
        <f t="shared" si="45"/>
        <v>0</v>
      </c>
      <c r="K108" s="89">
        <f t="shared" si="45"/>
        <v>0</v>
      </c>
      <c r="L108" s="89">
        <f t="shared" si="45"/>
        <v>0</v>
      </c>
      <c r="M108" s="89">
        <f t="shared" si="45"/>
        <v>0</v>
      </c>
      <c r="N108" s="89">
        <f t="shared" si="45"/>
        <v>0</v>
      </c>
      <c r="O108" s="89">
        <f t="shared" si="45"/>
        <v>0</v>
      </c>
      <c r="P108" s="89">
        <f t="shared" si="45"/>
        <v>0</v>
      </c>
      <c r="Q108" s="89">
        <f t="shared" si="45"/>
        <v>0</v>
      </c>
      <c r="R108" s="89">
        <f t="shared" si="45"/>
        <v>0</v>
      </c>
      <c r="S108" s="89">
        <f t="shared" si="45"/>
        <v>0</v>
      </c>
      <c r="T108" s="89">
        <f t="shared" si="45"/>
        <v>0</v>
      </c>
      <c r="U108" s="89">
        <f t="shared" si="45"/>
        <v>0</v>
      </c>
      <c r="V108" s="89">
        <f t="shared" si="45"/>
        <v>0</v>
      </c>
      <c r="W108" s="89">
        <f t="shared" si="45"/>
        <v>0</v>
      </c>
      <c r="X108" s="89">
        <f t="shared" si="45"/>
        <v>0</v>
      </c>
      <c r="Y108" s="89">
        <f t="shared" si="45"/>
        <v>0</v>
      </c>
      <c r="Z108" s="89">
        <f t="shared" si="45"/>
        <v>0</v>
      </c>
      <c r="AA108" s="89">
        <f t="shared" si="45"/>
        <v>0</v>
      </c>
      <c r="AB108" s="89">
        <f t="shared" si="45"/>
        <v>0</v>
      </c>
      <c r="AC108" s="89">
        <f t="shared" si="45"/>
        <v>0</v>
      </c>
      <c r="AD108" s="89">
        <f t="shared" si="45"/>
        <v>0</v>
      </c>
      <c r="AE108" s="89">
        <f t="shared" si="45"/>
        <v>0</v>
      </c>
      <c r="AF108" s="89">
        <f t="shared" si="45"/>
        <v>0</v>
      </c>
      <c r="AG108" s="111"/>
      <c r="AH108" s="48">
        <f t="shared" si="31"/>
        <v>0</v>
      </c>
      <c r="AI108" s="49">
        <f t="shared" si="32"/>
        <v>0</v>
      </c>
    </row>
    <row r="109" spans="1:64" ht="15.75" thickBot="1" x14ac:dyDescent="0.3">
      <c r="A109" s="97" t="s">
        <v>117</v>
      </c>
      <c r="B109" s="89">
        <f t="shared" si="46"/>
        <v>0</v>
      </c>
      <c r="C109" s="89">
        <f t="shared" si="45"/>
        <v>0</v>
      </c>
      <c r="D109" s="89">
        <f t="shared" si="45"/>
        <v>0</v>
      </c>
      <c r="E109" s="89">
        <f t="shared" si="45"/>
        <v>0</v>
      </c>
      <c r="F109" s="89">
        <f t="shared" si="45"/>
        <v>0</v>
      </c>
      <c r="G109" s="89">
        <f t="shared" si="45"/>
        <v>0</v>
      </c>
      <c r="H109" s="89">
        <f t="shared" si="45"/>
        <v>0</v>
      </c>
      <c r="I109" s="89">
        <f t="shared" si="45"/>
        <v>0</v>
      </c>
      <c r="J109" s="89">
        <f t="shared" si="45"/>
        <v>0</v>
      </c>
      <c r="K109" s="89">
        <f t="shared" si="45"/>
        <v>0</v>
      </c>
      <c r="L109" s="89">
        <f t="shared" si="45"/>
        <v>0</v>
      </c>
      <c r="M109" s="89">
        <f t="shared" si="45"/>
        <v>0</v>
      </c>
      <c r="N109" s="89">
        <f t="shared" si="45"/>
        <v>0</v>
      </c>
      <c r="O109" s="89">
        <f t="shared" si="45"/>
        <v>0</v>
      </c>
      <c r="P109" s="89">
        <f t="shared" si="45"/>
        <v>0</v>
      </c>
      <c r="Q109" s="89">
        <f t="shared" si="45"/>
        <v>0</v>
      </c>
      <c r="R109" s="89">
        <f t="shared" si="45"/>
        <v>0</v>
      </c>
      <c r="S109" s="89">
        <f t="shared" si="45"/>
        <v>0</v>
      </c>
      <c r="T109" s="89">
        <f t="shared" si="45"/>
        <v>0</v>
      </c>
      <c r="U109" s="89">
        <f t="shared" si="45"/>
        <v>0</v>
      </c>
      <c r="V109" s="89">
        <f t="shared" si="45"/>
        <v>0</v>
      </c>
      <c r="W109" s="89">
        <f t="shared" si="45"/>
        <v>0</v>
      </c>
      <c r="X109" s="89">
        <f t="shared" si="45"/>
        <v>0</v>
      </c>
      <c r="Y109" s="89">
        <f t="shared" si="45"/>
        <v>0</v>
      </c>
      <c r="Z109" s="89">
        <f t="shared" si="45"/>
        <v>0</v>
      </c>
      <c r="AA109" s="89">
        <f t="shared" si="45"/>
        <v>0</v>
      </c>
      <c r="AB109" s="89">
        <f t="shared" si="45"/>
        <v>0</v>
      </c>
      <c r="AC109" s="89">
        <f t="shared" si="45"/>
        <v>0</v>
      </c>
      <c r="AD109" s="89">
        <f t="shared" si="45"/>
        <v>0</v>
      </c>
      <c r="AE109" s="89">
        <f t="shared" si="45"/>
        <v>0</v>
      </c>
      <c r="AF109" s="89">
        <f t="shared" si="45"/>
        <v>0</v>
      </c>
      <c r="AG109" s="98"/>
      <c r="AH109" s="48">
        <f t="shared" si="31"/>
        <v>0</v>
      </c>
      <c r="AI109" s="49">
        <f t="shared" si="32"/>
        <v>0</v>
      </c>
    </row>
    <row r="110" spans="1:64" ht="15.75" thickBot="1" x14ac:dyDescent="0.3">
      <c r="A110" s="112" t="s">
        <v>130</v>
      </c>
      <c r="B110" s="71">
        <f>SUM(B104:B109)</f>
        <v>0</v>
      </c>
      <c r="C110" s="71">
        <f t="shared" ref="C110:AF110" si="47">SUM(C104:C109)</f>
        <v>408</v>
      </c>
      <c r="D110" s="71">
        <f t="shared" si="47"/>
        <v>408</v>
      </c>
      <c r="E110" s="71">
        <f t="shared" si="47"/>
        <v>404.6</v>
      </c>
      <c r="F110" s="71">
        <f t="shared" si="47"/>
        <v>409.6</v>
      </c>
      <c r="G110" s="71">
        <f t="shared" si="47"/>
        <v>426.3</v>
      </c>
      <c r="H110" s="71">
        <f t="shared" si="47"/>
        <v>437.20000000000005</v>
      </c>
      <c r="I110" s="71">
        <f t="shared" si="47"/>
        <v>419.7</v>
      </c>
      <c r="J110" s="71">
        <f t="shared" si="47"/>
        <v>295</v>
      </c>
      <c r="K110" s="71">
        <f t="shared" si="47"/>
        <v>312</v>
      </c>
      <c r="L110" s="71">
        <f t="shared" si="47"/>
        <v>302</v>
      </c>
      <c r="M110" s="71">
        <f t="shared" si="47"/>
        <v>292.2</v>
      </c>
      <c r="N110" s="71">
        <f t="shared" si="47"/>
        <v>68</v>
      </c>
      <c r="O110" s="71">
        <f t="shared" si="47"/>
        <v>66.7</v>
      </c>
      <c r="P110" s="71">
        <f t="shared" si="47"/>
        <v>0</v>
      </c>
      <c r="Q110" s="71">
        <f t="shared" si="47"/>
        <v>0</v>
      </c>
      <c r="R110" s="71">
        <f t="shared" si="47"/>
        <v>0</v>
      </c>
      <c r="S110" s="71">
        <f t="shared" si="47"/>
        <v>0</v>
      </c>
      <c r="T110" s="71">
        <f t="shared" si="47"/>
        <v>0</v>
      </c>
      <c r="U110" s="71">
        <f t="shared" si="47"/>
        <v>0</v>
      </c>
      <c r="V110" s="71">
        <f t="shared" si="47"/>
        <v>0</v>
      </c>
      <c r="W110" s="71">
        <f t="shared" si="47"/>
        <v>0</v>
      </c>
      <c r="X110" s="71">
        <f t="shared" si="47"/>
        <v>0</v>
      </c>
      <c r="Y110" s="71">
        <f t="shared" si="47"/>
        <v>288</v>
      </c>
      <c r="Z110" s="71">
        <f t="shared" si="47"/>
        <v>290</v>
      </c>
      <c r="AA110" s="71">
        <f t="shared" si="47"/>
        <v>197</v>
      </c>
      <c r="AB110" s="71">
        <f t="shared" si="47"/>
        <v>173</v>
      </c>
      <c r="AC110" s="71">
        <f t="shared" si="47"/>
        <v>187</v>
      </c>
      <c r="AD110" s="71">
        <f t="shared" si="47"/>
        <v>215</v>
      </c>
      <c r="AE110" s="71">
        <f t="shared" si="47"/>
        <v>312</v>
      </c>
      <c r="AF110" s="71">
        <f t="shared" si="47"/>
        <v>420</v>
      </c>
      <c r="AG110" s="101"/>
      <c r="AH110" s="48">
        <f t="shared" si="31"/>
        <v>437.20000000000005</v>
      </c>
      <c r="AI110" s="49">
        <f t="shared" si="32"/>
        <v>0</v>
      </c>
    </row>
    <row r="111" spans="1:64" ht="15.75" thickBot="1" x14ac:dyDescent="0.3">
      <c r="A111" s="87" t="s">
        <v>131</v>
      </c>
      <c r="B111" s="71">
        <f t="shared" ref="B111:AF111" si="48">B95-B110</f>
        <v>16.100000000000001</v>
      </c>
      <c r="C111" s="71">
        <f t="shared" si="48"/>
        <v>-377.1</v>
      </c>
      <c r="D111" s="71">
        <f t="shared" si="48"/>
        <v>-377.1</v>
      </c>
      <c r="E111" s="71">
        <f t="shared" si="48"/>
        <v>-404.6</v>
      </c>
      <c r="F111" s="71">
        <f t="shared" si="48"/>
        <v>-409.6</v>
      </c>
      <c r="G111" s="71">
        <f t="shared" si="48"/>
        <v>-426.3</v>
      </c>
      <c r="H111" s="71">
        <f t="shared" si="48"/>
        <v>-437.20000000000005</v>
      </c>
      <c r="I111" s="71">
        <f t="shared" si="48"/>
        <v>-419.7</v>
      </c>
      <c r="J111" s="71">
        <f t="shared" si="48"/>
        <v>-189.9</v>
      </c>
      <c r="K111" s="71">
        <f t="shared" si="48"/>
        <v>-172.89999999999998</v>
      </c>
      <c r="L111" s="71">
        <f t="shared" si="48"/>
        <v>-153</v>
      </c>
      <c r="M111" s="71">
        <f t="shared" si="48"/>
        <v>-129.59999999999997</v>
      </c>
      <c r="N111" s="71">
        <f t="shared" si="48"/>
        <v>81.5</v>
      </c>
      <c r="O111" s="71">
        <f t="shared" si="48"/>
        <v>112.99999999999999</v>
      </c>
      <c r="P111" s="71">
        <f t="shared" si="48"/>
        <v>322.7</v>
      </c>
      <c r="Q111" s="71">
        <f t="shared" si="48"/>
        <v>391.1</v>
      </c>
      <c r="R111" s="71">
        <f t="shared" si="48"/>
        <v>343.4</v>
      </c>
      <c r="S111" s="71">
        <f t="shared" si="48"/>
        <v>442.5</v>
      </c>
      <c r="T111" s="71">
        <f t="shared" si="48"/>
        <v>421.6</v>
      </c>
      <c r="U111" s="71">
        <f t="shared" si="48"/>
        <v>498</v>
      </c>
      <c r="V111" s="71">
        <f t="shared" si="48"/>
        <v>465.2</v>
      </c>
      <c r="W111" s="71">
        <f t="shared" si="48"/>
        <v>405.3</v>
      </c>
      <c r="X111" s="71">
        <f t="shared" si="48"/>
        <v>407.3</v>
      </c>
      <c r="Y111" s="71">
        <f t="shared" si="48"/>
        <v>-150.9</v>
      </c>
      <c r="Z111" s="71">
        <f t="shared" si="48"/>
        <v>-229.7</v>
      </c>
      <c r="AA111" s="71">
        <f t="shared" si="48"/>
        <v>-141.69999999999999</v>
      </c>
      <c r="AB111" s="71">
        <f t="shared" si="48"/>
        <v>-122.9</v>
      </c>
      <c r="AC111" s="71">
        <f t="shared" si="48"/>
        <v>-139.5</v>
      </c>
      <c r="AD111" s="71">
        <f t="shared" si="48"/>
        <v>-161.80000000000001</v>
      </c>
      <c r="AE111" s="71">
        <f t="shared" si="48"/>
        <v>-250.1</v>
      </c>
      <c r="AF111" s="71">
        <f t="shared" si="48"/>
        <v>-369.2</v>
      </c>
      <c r="AG111" s="101"/>
      <c r="AH111" s="48">
        <f t="shared" si="31"/>
        <v>498</v>
      </c>
      <c r="AI111" s="49">
        <f t="shared" si="32"/>
        <v>-437.20000000000005</v>
      </c>
    </row>
    <row r="112" spans="1:64" x14ac:dyDescent="0.25">
      <c r="A112" s="113" t="s">
        <v>132</v>
      </c>
      <c r="B112" s="114">
        <v>50.02</v>
      </c>
      <c r="C112" s="114">
        <v>50.04</v>
      </c>
      <c r="D112" s="114">
        <v>50.04</v>
      </c>
      <c r="E112" s="114">
        <v>50.06</v>
      </c>
      <c r="F112" s="114">
        <v>50.029000000000003</v>
      </c>
      <c r="G112" s="114">
        <v>50</v>
      </c>
      <c r="H112" s="114">
        <v>49.945999999999998</v>
      </c>
      <c r="I112" s="114">
        <v>49.951999999999998</v>
      </c>
      <c r="J112" s="114">
        <v>50.006999999999998</v>
      </c>
      <c r="K112" s="114">
        <v>50.057000000000002</v>
      </c>
      <c r="L112" s="114">
        <v>50.073</v>
      </c>
      <c r="M112" s="114">
        <v>50.018999999999998</v>
      </c>
      <c r="N112" s="114">
        <v>50.048000000000002</v>
      </c>
      <c r="O112" s="114">
        <v>49.991</v>
      </c>
      <c r="P112" s="114">
        <v>49.968000000000004</v>
      </c>
      <c r="Q112" s="114">
        <v>50.009</v>
      </c>
      <c r="R112" s="114">
        <v>49.941000000000003</v>
      </c>
      <c r="S112" s="114">
        <v>50.061</v>
      </c>
      <c r="T112" s="114">
        <v>50.003</v>
      </c>
      <c r="U112" s="114">
        <v>50.061</v>
      </c>
      <c r="V112" s="114">
        <v>50.088999999999999</v>
      </c>
      <c r="W112" s="114">
        <v>50.156999999999996</v>
      </c>
      <c r="X112" s="114">
        <v>50.058999999999997</v>
      </c>
      <c r="Y112" s="114">
        <v>50.097999999999999</v>
      </c>
      <c r="Z112" s="114">
        <v>50.012999999999998</v>
      </c>
      <c r="AA112" s="114">
        <v>50.012999999999998</v>
      </c>
      <c r="AB112" s="114">
        <v>50.042999999999999</v>
      </c>
      <c r="AC112" s="114">
        <v>49.984999999999999</v>
      </c>
      <c r="AD112" s="114">
        <v>49.9</v>
      </c>
      <c r="AE112" s="114">
        <v>50</v>
      </c>
      <c r="AF112" s="114">
        <v>50.01</v>
      </c>
      <c r="AG112" s="115"/>
      <c r="AH112" s="48">
        <f t="shared" si="31"/>
        <v>50.156999999999996</v>
      </c>
      <c r="AI112" s="49">
        <f t="shared" si="32"/>
        <v>49.9</v>
      </c>
    </row>
    <row r="113" spans="1:35" x14ac:dyDescent="0.25">
      <c r="A113" s="116" t="s">
        <v>133</v>
      </c>
      <c r="B113" s="76">
        <v>125.3</v>
      </c>
      <c r="C113" s="76">
        <v>124.7</v>
      </c>
      <c r="D113" s="76">
        <v>124.7</v>
      </c>
      <c r="E113" s="76">
        <v>124.2</v>
      </c>
      <c r="F113" s="76">
        <v>125</v>
      </c>
      <c r="G113" s="76">
        <v>125.2</v>
      </c>
      <c r="H113" s="76">
        <v>126.4</v>
      </c>
      <c r="I113" s="76">
        <v>126.8</v>
      </c>
      <c r="J113" s="76">
        <v>128.30000000000001</v>
      </c>
      <c r="K113" s="76">
        <v>126.8</v>
      </c>
      <c r="L113" s="76">
        <v>126.6</v>
      </c>
      <c r="M113" s="76">
        <v>127.3</v>
      </c>
      <c r="N113" s="76">
        <v>124.5</v>
      </c>
      <c r="O113" s="76">
        <v>123.1</v>
      </c>
      <c r="P113" s="76">
        <v>124.6</v>
      </c>
      <c r="Q113" s="76">
        <v>124</v>
      </c>
      <c r="R113" s="76">
        <v>124.7</v>
      </c>
      <c r="S113" s="76">
        <v>124.8</v>
      </c>
      <c r="T113" s="76">
        <v>124.1</v>
      </c>
      <c r="U113" s="76">
        <v>123.4</v>
      </c>
      <c r="V113" s="76">
        <v>124.3</v>
      </c>
      <c r="W113" s="76">
        <v>123.4</v>
      </c>
      <c r="X113" s="76">
        <v>128</v>
      </c>
      <c r="Y113" s="76">
        <v>127.7</v>
      </c>
      <c r="Z113" s="76">
        <v>125.8</v>
      </c>
      <c r="AA113" s="76">
        <v>125.8</v>
      </c>
      <c r="AB113" s="76">
        <v>126.2</v>
      </c>
      <c r="AC113" s="76">
        <v>126.3</v>
      </c>
      <c r="AD113" s="76">
        <v>126.8</v>
      </c>
      <c r="AE113" s="76">
        <v>126.3</v>
      </c>
      <c r="AF113" s="76">
        <v>127.4</v>
      </c>
      <c r="AG113" s="117"/>
      <c r="AH113" s="48">
        <f t="shared" si="31"/>
        <v>128.30000000000001</v>
      </c>
      <c r="AI113" s="49">
        <f t="shared" si="32"/>
        <v>123.1</v>
      </c>
    </row>
    <row r="114" spans="1:35" x14ac:dyDescent="0.25">
      <c r="A114" s="116" t="s">
        <v>134</v>
      </c>
      <c r="B114" s="76">
        <v>129.9</v>
      </c>
      <c r="C114" s="76">
        <v>129.69999999999999</v>
      </c>
      <c r="D114" s="76">
        <v>129.69999999999999</v>
      </c>
      <c r="E114" s="76">
        <v>128.80000000000001</v>
      </c>
      <c r="F114" s="76">
        <v>129.30000000000001</v>
      </c>
      <c r="G114" s="76">
        <v>129.30000000000001</v>
      </c>
      <c r="H114" s="76">
        <v>129.5</v>
      </c>
      <c r="I114" s="76">
        <v>130</v>
      </c>
      <c r="J114" s="76">
        <v>131.19999999999999</v>
      </c>
      <c r="K114" s="76">
        <v>129.4</v>
      </c>
      <c r="L114" s="76">
        <v>129.19999999999999</v>
      </c>
      <c r="M114" s="76">
        <v>130.19999999999999</v>
      </c>
      <c r="N114" s="76">
        <v>127.1</v>
      </c>
      <c r="O114" s="76">
        <v>125.7</v>
      </c>
      <c r="P114" s="76">
        <v>127.3</v>
      </c>
      <c r="Q114" s="76">
        <v>127</v>
      </c>
      <c r="R114" s="76">
        <v>127.3</v>
      </c>
      <c r="S114" s="76">
        <v>127.5</v>
      </c>
      <c r="T114" s="76">
        <v>127.3</v>
      </c>
      <c r="U114" s="76">
        <v>126.5</v>
      </c>
      <c r="V114" s="76">
        <v>127.2</v>
      </c>
      <c r="W114" s="76">
        <v>126.7</v>
      </c>
      <c r="X114" s="76">
        <v>130</v>
      </c>
      <c r="Y114" s="76">
        <v>129.6</v>
      </c>
      <c r="Z114" s="76">
        <v>128.19999999999999</v>
      </c>
      <c r="AA114" s="76">
        <v>128.19999999999999</v>
      </c>
      <c r="AB114" s="76">
        <v>128.80000000000001</v>
      </c>
      <c r="AC114" s="76">
        <v>128.80000000000001</v>
      </c>
      <c r="AD114" s="76">
        <v>129.80000000000001</v>
      </c>
      <c r="AE114" s="76">
        <v>129.9</v>
      </c>
      <c r="AF114" s="76">
        <v>131.1</v>
      </c>
      <c r="AG114" s="117"/>
      <c r="AH114" s="48">
        <f t="shared" si="31"/>
        <v>131.19999999999999</v>
      </c>
      <c r="AI114" s="49">
        <f t="shared" si="32"/>
        <v>125.7</v>
      </c>
    </row>
    <row r="115" spans="1:35" x14ac:dyDescent="0.25">
      <c r="A115" s="116" t="s">
        <v>135</v>
      </c>
      <c r="B115" s="76">
        <v>130.4</v>
      </c>
      <c r="C115" s="76">
        <v>129.5</v>
      </c>
      <c r="D115" s="76">
        <v>129.5</v>
      </c>
      <c r="E115" s="76">
        <v>127.9</v>
      </c>
      <c r="F115" s="76">
        <v>130.4</v>
      </c>
      <c r="G115" s="76">
        <v>131.69999999999999</v>
      </c>
      <c r="H115" s="76">
        <v>131.30000000000001</v>
      </c>
      <c r="I115" s="76">
        <v>131.5</v>
      </c>
      <c r="J115" s="76">
        <v>129.1</v>
      </c>
      <c r="K115" s="76">
        <v>127.3</v>
      </c>
      <c r="L115" s="76">
        <v>126</v>
      </c>
      <c r="M115" s="76">
        <v>127.6</v>
      </c>
      <c r="N115" s="76">
        <v>125.1</v>
      </c>
      <c r="O115" s="76">
        <v>128.80000000000001</v>
      </c>
      <c r="P115" s="76">
        <v>127</v>
      </c>
      <c r="Q115" s="76">
        <v>126.1</v>
      </c>
      <c r="R115" s="76">
        <v>124.4</v>
      </c>
      <c r="S115" s="76">
        <v>125.2</v>
      </c>
      <c r="T115" s="76">
        <v>128.19999999999999</v>
      </c>
      <c r="U115" s="76">
        <v>126.4</v>
      </c>
      <c r="V115" s="76">
        <v>127.2</v>
      </c>
      <c r="W115" s="76">
        <v>128.6</v>
      </c>
      <c r="X115" s="76">
        <v>129.4</v>
      </c>
      <c r="Y115" s="76">
        <v>130.6</v>
      </c>
      <c r="Z115" s="76">
        <v>130.6</v>
      </c>
      <c r="AA115" s="76">
        <v>130.6</v>
      </c>
      <c r="AB115" s="76">
        <v>127.7</v>
      </c>
      <c r="AC115" s="76">
        <v>127.7</v>
      </c>
      <c r="AD115" s="76">
        <v>130.1</v>
      </c>
      <c r="AE115" s="76">
        <v>130.6</v>
      </c>
      <c r="AF115" s="76">
        <v>132.9</v>
      </c>
      <c r="AG115" s="117"/>
      <c r="AH115" s="48">
        <f t="shared" si="31"/>
        <v>132.9</v>
      </c>
      <c r="AI115" s="49">
        <f t="shared" si="32"/>
        <v>124.4</v>
      </c>
    </row>
    <row r="116" spans="1:35" x14ac:dyDescent="0.25">
      <c r="A116" s="118" t="s">
        <v>136</v>
      </c>
      <c r="B116" s="76">
        <v>131.5</v>
      </c>
      <c r="C116" s="76">
        <v>130.80000000000001</v>
      </c>
      <c r="D116" s="76">
        <v>130.80000000000001</v>
      </c>
      <c r="E116" s="76">
        <v>127.4</v>
      </c>
      <c r="F116" s="76">
        <v>130.19999999999999</v>
      </c>
      <c r="G116" s="76">
        <v>131.30000000000001</v>
      </c>
      <c r="H116" s="76">
        <v>131.30000000000001</v>
      </c>
      <c r="I116" s="76">
        <v>130.5</v>
      </c>
      <c r="J116" s="76">
        <v>128.69999999999999</v>
      </c>
      <c r="K116" s="76">
        <v>129.6</v>
      </c>
      <c r="L116" s="76">
        <v>126.7</v>
      </c>
      <c r="M116" s="76">
        <v>131.19999999999999</v>
      </c>
      <c r="N116" s="76">
        <v>127</v>
      </c>
      <c r="O116" s="76">
        <v>129.9</v>
      </c>
      <c r="P116" s="76">
        <v>127.5</v>
      </c>
      <c r="Q116" s="76">
        <v>129.4</v>
      </c>
      <c r="R116" s="76">
        <v>126.5</v>
      </c>
      <c r="S116" s="76">
        <v>126.8</v>
      </c>
      <c r="T116" s="76">
        <v>128.80000000000001</v>
      </c>
      <c r="U116" s="76">
        <v>128.9</v>
      </c>
      <c r="V116" s="76">
        <v>132.5</v>
      </c>
      <c r="W116" s="76">
        <v>128.5</v>
      </c>
      <c r="X116" s="76">
        <v>129.19999999999999</v>
      </c>
      <c r="Y116" s="76">
        <v>130.5</v>
      </c>
      <c r="Z116" s="76">
        <v>130.5</v>
      </c>
      <c r="AA116" s="76">
        <v>130.5</v>
      </c>
      <c r="AB116" s="76">
        <v>127.3</v>
      </c>
      <c r="AC116" s="76">
        <v>127.4</v>
      </c>
      <c r="AD116" s="76">
        <v>130.19999999999999</v>
      </c>
      <c r="AE116" s="76">
        <v>130.69999999999999</v>
      </c>
      <c r="AF116" s="76">
        <v>131.9</v>
      </c>
      <c r="AG116" s="117"/>
      <c r="AH116" s="48">
        <f t="shared" si="31"/>
        <v>132.5</v>
      </c>
      <c r="AI116" s="49">
        <f t="shared" si="32"/>
        <v>126.5</v>
      </c>
    </row>
    <row r="117" spans="1:35" x14ac:dyDescent="0.25">
      <c r="A117" s="118" t="s">
        <v>137</v>
      </c>
      <c r="B117" s="119">
        <v>132.19999999999999</v>
      </c>
      <c r="C117" s="119">
        <v>132.19999999999999</v>
      </c>
      <c r="D117" s="119">
        <v>132.19999999999999</v>
      </c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>
        <v>134.80000000000001</v>
      </c>
      <c r="Y117" s="119">
        <v>134.1</v>
      </c>
      <c r="Z117" s="119">
        <v>130.69999999999999</v>
      </c>
      <c r="AA117" s="119">
        <v>130.69999999999999</v>
      </c>
      <c r="AB117" s="119">
        <v>131.80000000000001</v>
      </c>
      <c r="AC117" s="119">
        <v>131.19999999999999</v>
      </c>
      <c r="AD117" s="119"/>
      <c r="AE117" s="119"/>
      <c r="AF117" s="119"/>
      <c r="AG117" s="120"/>
      <c r="AH117" s="48">
        <f t="shared" si="31"/>
        <v>134.80000000000001</v>
      </c>
      <c r="AI117" s="49">
        <f t="shared" si="32"/>
        <v>130.69999999999999</v>
      </c>
    </row>
    <row r="118" spans="1:35" x14ac:dyDescent="0.25">
      <c r="A118" s="116" t="s">
        <v>138</v>
      </c>
      <c r="B118" s="76">
        <v>132.6</v>
      </c>
      <c r="C118" s="76">
        <v>131.6</v>
      </c>
      <c r="D118" s="76">
        <v>131.6</v>
      </c>
      <c r="E118" s="76">
        <v>123.4</v>
      </c>
      <c r="F118" s="76">
        <v>122.6</v>
      </c>
      <c r="G118" s="76">
        <v>125.8</v>
      </c>
      <c r="H118" s="76">
        <v>122.2</v>
      </c>
      <c r="I118" s="76">
        <v>114.2</v>
      </c>
      <c r="J118" s="76">
        <v>129.5</v>
      </c>
      <c r="K118" s="76">
        <v>118.2</v>
      </c>
      <c r="L118" s="76">
        <v>132.1</v>
      </c>
      <c r="M118" s="76">
        <v>130.19999999999999</v>
      </c>
      <c r="N118" s="76">
        <v>125.2</v>
      </c>
      <c r="O118" s="76">
        <v>122.7</v>
      </c>
      <c r="P118" s="76">
        <v>119.7</v>
      </c>
      <c r="Q118" s="76">
        <v>116.4</v>
      </c>
      <c r="R118" s="76">
        <v>124.9</v>
      </c>
      <c r="S118" s="76">
        <v>124.4</v>
      </c>
      <c r="T118" s="76">
        <v>122</v>
      </c>
      <c r="U118" s="76">
        <v>124.8</v>
      </c>
      <c r="V118" s="76">
        <v>125.4</v>
      </c>
      <c r="W118" s="76">
        <v>125.1</v>
      </c>
      <c r="X118" s="76">
        <v>121.3</v>
      </c>
      <c r="Y118" s="76">
        <v>117.2</v>
      </c>
      <c r="Z118" s="76">
        <v>132.19999999999999</v>
      </c>
      <c r="AA118" s="76">
        <v>132.19999999999999</v>
      </c>
      <c r="AB118" s="76">
        <v>122.8</v>
      </c>
      <c r="AC118" s="76">
        <v>120</v>
      </c>
      <c r="AD118" s="76">
        <v>128.19999999999999</v>
      </c>
      <c r="AE118" s="76">
        <v>122.5</v>
      </c>
      <c r="AF118" s="76">
        <v>123.4</v>
      </c>
      <c r="AG118" s="117"/>
      <c r="AH118" s="48">
        <f t="shared" si="31"/>
        <v>132.6</v>
      </c>
      <c r="AI118" s="49">
        <f t="shared" si="32"/>
        <v>114.2</v>
      </c>
    </row>
    <row r="119" spans="1:35" ht="15.75" thickBot="1" x14ac:dyDescent="0.3">
      <c r="A119" s="116" t="s">
        <v>139</v>
      </c>
      <c r="B119" s="105">
        <v>65.8</v>
      </c>
      <c r="C119" s="105">
        <v>65.599999999999994</v>
      </c>
      <c r="D119" s="105">
        <v>65.599999999999994</v>
      </c>
      <c r="E119" s="105">
        <v>65.400000000000006</v>
      </c>
      <c r="F119" s="105">
        <v>65.5</v>
      </c>
      <c r="G119" s="105">
        <v>65.5</v>
      </c>
      <c r="H119" s="105">
        <v>65.599999999999994</v>
      </c>
      <c r="I119" s="105">
        <v>65.8</v>
      </c>
      <c r="J119" s="105">
        <v>66.3</v>
      </c>
      <c r="K119" s="105">
        <v>65.3</v>
      </c>
      <c r="L119" s="105">
        <v>65</v>
      </c>
      <c r="M119" s="105">
        <v>65.5</v>
      </c>
      <c r="N119" s="105">
        <v>64.2</v>
      </c>
      <c r="O119" s="105">
        <v>63</v>
      </c>
      <c r="P119" s="105">
        <v>64</v>
      </c>
      <c r="Q119" s="105">
        <v>63.9</v>
      </c>
      <c r="R119" s="105">
        <v>63.9</v>
      </c>
      <c r="S119" s="105">
        <v>64.099999999999994</v>
      </c>
      <c r="T119" s="105">
        <v>64.3</v>
      </c>
      <c r="U119" s="105">
        <v>63.7</v>
      </c>
      <c r="V119" s="105">
        <v>127.5</v>
      </c>
      <c r="W119" s="105">
        <v>63.7</v>
      </c>
      <c r="X119" s="105">
        <v>65.5</v>
      </c>
      <c r="Y119" s="105">
        <v>65.599999999999994</v>
      </c>
      <c r="Z119" s="105">
        <v>64.8</v>
      </c>
      <c r="AA119" s="105">
        <v>64.8</v>
      </c>
      <c r="AB119" s="105">
        <v>64.900000000000006</v>
      </c>
      <c r="AC119" s="105">
        <v>64.900000000000006</v>
      </c>
      <c r="AD119" s="105">
        <v>65.2</v>
      </c>
      <c r="AE119" s="105">
        <v>65.400000000000006</v>
      </c>
      <c r="AF119" s="105">
        <v>65.900000000000006</v>
      </c>
      <c r="AG119" s="121"/>
      <c r="AH119" s="48">
        <f t="shared" si="31"/>
        <v>127.5</v>
      </c>
      <c r="AI119" s="49">
        <f t="shared" si="32"/>
        <v>63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1"/>
        <v>0</v>
      </c>
      <c r="AI120" s="49">
        <f t="shared" si="32"/>
        <v>0</v>
      </c>
    </row>
    <row r="121" spans="1:35" ht="15.75" thickBot="1" x14ac:dyDescent="0.3">
      <c r="A121" s="123" t="s">
        <v>141</v>
      </c>
      <c r="B121" s="124">
        <f t="shared" ref="B121:O121" si="49">SUM(B25,B31,B34:B35,B69,B71:B72,B74,B76,B122:B126,B158,B164,B170,B179,B181,B193,B200,B203:B204,B211,B213,B215,B219:B221,B223:B225,B230,B236:B237,B239:B241,B249,B254)</f>
        <v>107.54</v>
      </c>
      <c r="C121" s="124">
        <f t="shared" si="49"/>
        <v>60.239999999999959</v>
      </c>
      <c r="D121" s="124">
        <f t="shared" si="49"/>
        <v>60.239999999999959</v>
      </c>
      <c r="E121" s="124">
        <f t="shared" si="49"/>
        <v>75.840000000000032</v>
      </c>
      <c r="F121" s="124">
        <f t="shared" si="49"/>
        <v>83.740000000000038</v>
      </c>
      <c r="G121" s="124">
        <f t="shared" si="49"/>
        <v>100.04000000000002</v>
      </c>
      <c r="H121" s="124">
        <f t="shared" si="49"/>
        <v>134.54</v>
      </c>
      <c r="I121" s="124">
        <f t="shared" si="49"/>
        <v>157.44</v>
      </c>
      <c r="J121" s="124">
        <f t="shared" si="49"/>
        <v>193.83999999999997</v>
      </c>
      <c r="K121" s="124">
        <f t="shared" si="49"/>
        <v>214.04000000000002</v>
      </c>
      <c r="L121" s="124">
        <f t="shared" si="49"/>
        <v>250.54000000000002</v>
      </c>
      <c r="M121" s="124">
        <f t="shared" si="49"/>
        <v>213.64</v>
      </c>
      <c r="N121" s="124">
        <f t="shared" si="49"/>
        <v>241.34000000000003</v>
      </c>
      <c r="O121" s="124">
        <f t="shared" si="49"/>
        <v>242.94000000000003</v>
      </c>
      <c r="P121" s="124">
        <v>42</v>
      </c>
      <c r="Q121" s="124">
        <f t="shared" ref="Q121:X121" si="50">SUM(Q25,Q31,Q34:Q35,Q69,Q71:Q72,Q74,Q76,Q122:Q126,Q158,Q164,Q170,Q179,Q181,Q193,Q200,Q203:Q204,Q211,Q213,Q215,Q219:Q221,Q223:Q225,Q230,Q236:Q237,Q239:Q241,Q249,Q254)</f>
        <v>235.14000000000001</v>
      </c>
      <c r="R121" s="124">
        <f t="shared" si="50"/>
        <v>250.23999999999998</v>
      </c>
      <c r="S121" s="124">
        <f t="shared" si="50"/>
        <v>303.23999999999995</v>
      </c>
      <c r="T121" s="124">
        <f t="shared" si="50"/>
        <v>259.83999999999997</v>
      </c>
      <c r="U121" s="124">
        <f t="shared" si="50"/>
        <v>319.44</v>
      </c>
      <c r="V121" s="124">
        <f t="shared" si="50"/>
        <v>276.74</v>
      </c>
      <c r="W121" s="124">
        <f t="shared" si="50"/>
        <v>270.14</v>
      </c>
      <c r="X121" s="124">
        <f t="shared" si="50"/>
        <v>263.54000000000002</v>
      </c>
      <c r="Y121" s="124">
        <f>SUM(Y23,Y29,Y40:Y41,Y69,Y71:Y72,Y74,Y76,Y122:Y126,Y151,Y157,Y163,Y172,Y174,Y186,Y193,Y196:Y197,Y204,Y206,Y208,Y212:Y214,Y216:Y218,Y223,Y229:Y230,Y232:Y234,Y242,Y247)</f>
        <v>293</v>
      </c>
      <c r="Z121" s="124">
        <f>SUM(Z23,Z29,Z40:Z41,Z69,Z71:Z72,Z74,Z76,Z122:Z126,Z151,Z157,Z163,Z172,Z174,Z186,Z193,Z196:Z197,Z204,Z206,Z208,Z212:Z214,Z216:Z218,Z223,Z229:Z230,Z232:Z234,Z242,Z247)</f>
        <v>366.8</v>
      </c>
      <c r="AA121" s="124">
        <f t="shared" ref="AA121:AF121" si="51">SUM(AA25,AA31,AA34:AA35,AA69,AA71:AA72,AA74,AA76,AA122:AA126,AA158,AA164,AA170,AA179,AA181,AA193,AA200,AA203:AA204,AA211,AA213,AA215,AA219:AA221,AA223:AA225,AA230,AA236:AA237,AA239:AA241,AA249,AA254)</f>
        <v>341.84000000000003</v>
      </c>
      <c r="AB121" s="124">
        <f t="shared" si="51"/>
        <v>296.14</v>
      </c>
      <c r="AC121" s="124">
        <f t="shared" si="51"/>
        <v>276.94</v>
      </c>
      <c r="AD121" s="124">
        <f t="shared" si="51"/>
        <v>240.74</v>
      </c>
      <c r="AE121" s="124">
        <f t="shared" si="51"/>
        <v>185.34000000000003</v>
      </c>
      <c r="AF121" s="124">
        <f t="shared" si="51"/>
        <v>126.24</v>
      </c>
      <c r="AG121" s="125"/>
      <c r="AH121" s="48">
        <f t="shared" si="31"/>
        <v>366.8</v>
      </c>
      <c r="AI121" s="49">
        <f t="shared" si="32"/>
        <v>42</v>
      </c>
    </row>
    <row r="122" spans="1:35" x14ac:dyDescent="0.25">
      <c r="A122" s="126" t="s">
        <v>142</v>
      </c>
      <c r="B122" s="127">
        <v>60.3</v>
      </c>
      <c r="C122" s="127">
        <v>30.6</v>
      </c>
      <c r="D122" s="127">
        <v>30.6</v>
      </c>
      <c r="E122" s="127">
        <v>63.8</v>
      </c>
      <c r="F122" s="127">
        <v>68.8</v>
      </c>
      <c r="G122" s="127">
        <v>69.400000000000006</v>
      </c>
      <c r="H122" s="127">
        <v>65.3</v>
      </c>
      <c r="I122" s="127">
        <v>55.9</v>
      </c>
      <c r="J122" s="127">
        <v>57.3</v>
      </c>
      <c r="K122" s="127">
        <v>60.3</v>
      </c>
      <c r="L122" s="127">
        <v>48.6</v>
      </c>
      <c r="M122" s="127">
        <v>46.4</v>
      </c>
      <c r="N122" s="127">
        <v>49.3</v>
      </c>
      <c r="O122" s="127">
        <v>35.5</v>
      </c>
      <c r="P122" s="127">
        <v>49</v>
      </c>
      <c r="Q122" s="127">
        <v>41.2</v>
      </c>
      <c r="R122" s="127">
        <v>27.9</v>
      </c>
      <c r="S122" s="127">
        <v>32</v>
      </c>
      <c r="T122" s="127">
        <v>34.6</v>
      </c>
      <c r="U122" s="127">
        <v>30</v>
      </c>
      <c r="V122" s="127">
        <v>32</v>
      </c>
      <c r="W122" s="127">
        <v>31.8</v>
      </c>
      <c r="X122" s="127">
        <v>62.7</v>
      </c>
      <c r="Y122" s="127">
        <v>66.400000000000006</v>
      </c>
      <c r="Z122" s="127">
        <v>60</v>
      </c>
      <c r="AA122" s="127">
        <v>60</v>
      </c>
      <c r="AB122" s="127">
        <v>49.6</v>
      </c>
      <c r="AC122" s="127">
        <v>50.8</v>
      </c>
      <c r="AD122" s="127">
        <v>49.4</v>
      </c>
      <c r="AE122" s="127">
        <v>62.3</v>
      </c>
      <c r="AF122" s="127">
        <v>43.3</v>
      </c>
      <c r="AG122" s="128">
        <v>75</v>
      </c>
      <c r="AH122" s="48">
        <f t="shared" si="31"/>
        <v>69.400000000000006</v>
      </c>
      <c r="AI122" s="49">
        <f t="shared" si="32"/>
        <v>27.9</v>
      </c>
    </row>
    <row r="123" spans="1:35" x14ac:dyDescent="0.25">
      <c r="A123" s="129" t="s">
        <v>143</v>
      </c>
      <c r="B123" s="130">
        <v>89.3</v>
      </c>
      <c r="C123" s="130">
        <v>87.8</v>
      </c>
      <c r="D123" s="130">
        <v>87.8</v>
      </c>
      <c r="E123" s="130">
        <v>92.5</v>
      </c>
      <c r="F123" s="130">
        <v>100.1</v>
      </c>
      <c r="G123" s="130">
        <v>99.5</v>
      </c>
      <c r="H123" s="130">
        <v>93.5</v>
      </c>
      <c r="I123" s="130">
        <v>82.8</v>
      </c>
      <c r="J123" s="130">
        <v>81.7</v>
      </c>
      <c r="K123" s="130">
        <v>89.8</v>
      </c>
      <c r="L123" s="130">
        <v>70.5</v>
      </c>
      <c r="M123" s="130">
        <v>67.5</v>
      </c>
      <c r="N123" s="130">
        <v>71.8</v>
      </c>
      <c r="O123" s="130">
        <v>49.9</v>
      </c>
      <c r="P123" s="130">
        <v>67.900000000000006</v>
      </c>
      <c r="Q123" s="130">
        <v>60.3</v>
      </c>
      <c r="R123" s="130">
        <v>37</v>
      </c>
      <c r="S123" s="130">
        <v>46.1</v>
      </c>
      <c r="T123" s="130">
        <v>48.6</v>
      </c>
      <c r="U123" s="130">
        <v>42.2</v>
      </c>
      <c r="V123" s="130">
        <v>48.7</v>
      </c>
      <c r="W123" s="130">
        <v>50.3</v>
      </c>
      <c r="X123" s="130">
        <v>89.3</v>
      </c>
      <c r="Y123" s="130">
        <v>93.6</v>
      </c>
      <c r="Z123" s="130">
        <v>81.2</v>
      </c>
      <c r="AA123" s="130">
        <v>81.2</v>
      </c>
      <c r="AB123" s="130">
        <v>70.099999999999994</v>
      </c>
      <c r="AC123" s="130">
        <v>71.8</v>
      </c>
      <c r="AD123" s="130">
        <v>72.5</v>
      </c>
      <c r="AE123" s="130">
        <v>88.4</v>
      </c>
      <c r="AF123" s="130">
        <v>66.099999999999994</v>
      </c>
      <c r="AG123" s="128">
        <v>240</v>
      </c>
      <c r="AH123" s="48">
        <f t="shared" si="31"/>
        <v>100.1</v>
      </c>
      <c r="AI123" s="49">
        <f t="shared" si="32"/>
        <v>37</v>
      </c>
    </row>
    <row r="124" spans="1:35" x14ac:dyDescent="0.25">
      <c r="A124" s="129" t="s">
        <v>144</v>
      </c>
      <c r="B124" s="130">
        <v>-159.80000000000001</v>
      </c>
      <c r="C124" s="130">
        <v>-150.80000000000001</v>
      </c>
      <c r="D124" s="130">
        <v>-150.80000000000001</v>
      </c>
      <c r="E124" s="130">
        <f>-75.7-83</f>
        <v>-158.69999999999999</v>
      </c>
      <c r="F124" s="130">
        <f>-76.6-84.6</f>
        <v>-161.19999999999999</v>
      </c>
      <c r="G124" s="130">
        <f>-75.2-80.7</f>
        <v>-155.9</v>
      </c>
      <c r="H124" s="130">
        <f>-66.2-74.1</f>
        <v>-140.30000000000001</v>
      </c>
      <c r="I124" s="130">
        <f>-57.9-65.1</f>
        <v>-123</v>
      </c>
      <c r="J124" s="130">
        <f>-51.2-60.6</f>
        <v>-111.80000000000001</v>
      </c>
      <c r="K124" s="130">
        <f>-53.4-65</f>
        <v>-118.4</v>
      </c>
      <c r="L124" s="130">
        <f>-34.3-43.8</f>
        <v>-78.099999999999994</v>
      </c>
      <c r="M124" s="130">
        <v>-115</v>
      </c>
      <c r="N124" s="130">
        <v>-96</v>
      </c>
      <c r="O124" s="130">
        <v>-90</v>
      </c>
      <c r="P124" s="130">
        <v>-92.8</v>
      </c>
      <c r="Q124" s="130">
        <v>-99</v>
      </c>
      <c r="R124" s="130">
        <v>-65</v>
      </c>
      <c r="S124" s="130">
        <v>-29.5</v>
      </c>
      <c r="T124" s="130">
        <v>-69.900000000000006</v>
      </c>
      <c r="U124" s="130">
        <v>-14</v>
      </c>
      <c r="V124" s="130">
        <v>-38</v>
      </c>
      <c r="W124" s="130">
        <v>-37</v>
      </c>
      <c r="X124" s="130">
        <v>-85</v>
      </c>
      <c r="Y124" s="130">
        <v>-85</v>
      </c>
      <c r="Z124" s="130">
        <v>-54</v>
      </c>
      <c r="AA124" s="130">
        <v>-54</v>
      </c>
      <c r="AB124" s="130">
        <f>-24.8-35.8</f>
        <v>-60.599999999999994</v>
      </c>
      <c r="AC124" s="130">
        <f>-29.3-41.1</f>
        <v>-70.400000000000006</v>
      </c>
      <c r="AD124" s="130">
        <f>-36.7-47.7</f>
        <v>-84.4</v>
      </c>
      <c r="AE124" s="130">
        <f>-55-66.7</f>
        <v>-121.7</v>
      </c>
      <c r="AF124" s="130">
        <f>-50-57.5</f>
        <v>-107.5</v>
      </c>
      <c r="AG124" s="128">
        <v>240</v>
      </c>
      <c r="AH124" s="48">
        <f t="shared" si="31"/>
        <v>-14</v>
      </c>
      <c r="AI124" s="49">
        <f t="shared" si="32"/>
        <v>-161.19999999999999</v>
      </c>
    </row>
    <row r="125" spans="1:35" ht="15.75" thickBot="1" x14ac:dyDescent="0.3">
      <c r="A125" s="129" t="s">
        <v>145</v>
      </c>
      <c r="B125" s="130">
        <v>-19</v>
      </c>
      <c r="C125" s="130">
        <v>-11.9</v>
      </c>
      <c r="D125" s="130">
        <v>-11.9</v>
      </c>
      <c r="E125" s="130">
        <v>-18.100000000000001</v>
      </c>
      <c r="F125" s="130">
        <v>-20.3</v>
      </c>
      <c r="G125" s="130">
        <v>-23.1</v>
      </c>
      <c r="H125" s="130">
        <v>-12.5</v>
      </c>
      <c r="I125" s="130">
        <v>-0.7</v>
      </c>
      <c r="J125" s="130">
        <v>5.5</v>
      </c>
      <c r="K125" s="130">
        <v>8.1999999999999993</v>
      </c>
      <c r="L125" s="130">
        <v>14.3</v>
      </c>
      <c r="M125" s="130">
        <v>19.100000000000001</v>
      </c>
      <c r="N125" s="130">
        <v>7.6</v>
      </c>
      <c r="O125" s="130">
        <v>18.3</v>
      </c>
      <c r="P125" s="130">
        <v>21.5</v>
      </c>
      <c r="Q125" s="130">
        <v>17.7</v>
      </c>
      <c r="R125" s="130">
        <v>24.7</v>
      </c>
      <c r="S125" s="130">
        <v>24</v>
      </c>
      <c r="T125" s="130">
        <v>31.5</v>
      </c>
      <c r="U125" s="130">
        <v>16.2</v>
      </c>
      <c r="V125" s="130">
        <v>11.4</v>
      </c>
      <c r="W125" s="130">
        <v>2.2000000000000002</v>
      </c>
      <c r="X125" s="130">
        <v>24</v>
      </c>
      <c r="Y125" s="130">
        <v>24</v>
      </c>
      <c r="Z125" s="130">
        <v>34.6</v>
      </c>
      <c r="AA125" s="130">
        <v>34.6</v>
      </c>
      <c r="AB125" s="130">
        <v>32.299999999999997</v>
      </c>
      <c r="AC125" s="130">
        <v>30.2</v>
      </c>
      <c r="AD125" s="130">
        <v>26.9</v>
      </c>
      <c r="AE125" s="130">
        <v>17.899999999999999</v>
      </c>
      <c r="AF125" s="130">
        <v>8.8000000000000007</v>
      </c>
      <c r="AG125" s="128">
        <v>60</v>
      </c>
      <c r="AH125" s="48">
        <f t="shared" si="31"/>
        <v>34.6</v>
      </c>
      <c r="AI125" s="49">
        <f t="shared" si="32"/>
        <v>-23.1</v>
      </c>
    </row>
    <row r="126" spans="1:35" x14ac:dyDescent="0.25">
      <c r="A126" s="126" t="s">
        <v>146</v>
      </c>
      <c r="B126" s="131">
        <v>-4.2</v>
      </c>
      <c r="C126" s="131">
        <v>-36.4</v>
      </c>
      <c r="D126" s="131">
        <v>-36.4</v>
      </c>
      <c r="E126" s="131">
        <v>-42.6</v>
      </c>
      <c r="F126" s="131">
        <v>-40.799999999999997</v>
      </c>
      <c r="G126" s="131">
        <v>-28.5</v>
      </c>
      <c r="H126" s="131">
        <v>-10.1</v>
      </c>
      <c r="I126" s="131">
        <v>2.5</v>
      </c>
      <c r="J126" s="131">
        <v>21.2</v>
      </c>
      <c r="K126" s="131">
        <v>34.200000000000003</v>
      </c>
      <c r="L126" s="131">
        <v>50.7</v>
      </c>
      <c r="M126" s="131">
        <v>48.3</v>
      </c>
      <c r="N126" s="131">
        <v>57.4</v>
      </c>
      <c r="O126" s="131">
        <v>75</v>
      </c>
      <c r="P126" s="131">
        <v>52.9</v>
      </c>
      <c r="Q126" s="131">
        <v>58.9</v>
      </c>
      <c r="R126" s="131">
        <v>71</v>
      </c>
      <c r="S126" s="131">
        <v>76</v>
      </c>
      <c r="T126" s="131">
        <v>67.099999999999994</v>
      </c>
      <c r="U126" s="131">
        <v>101.6</v>
      </c>
      <c r="V126" s="131">
        <v>82.8</v>
      </c>
      <c r="W126" s="131">
        <v>83</v>
      </c>
      <c r="X126" s="131">
        <v>32.700000000000003</v>
      </c>
      <c r="Y126" s="131">
        <v>30</v>
      </c>
      <c r="Z126" s="131">
        <v>81</v>
      </c>
      <c r="AA126" s="131">
        <v>81</v>
      </c>
      <c r="AB126" s="131">
        <v>74.7</v>
      </c>
      <c r="AC126" s="131">
        <v>64.7</v>
      </c>
      <c r="AD126" s="131">
        <v>50</v>
      </c>
      <c r="AE126" s="131">
        <v>12.1</v>
      </c>
      <c r="AF126" s="131">
        <v>-10.8</v>
      </c>
      <c r="AG126" s="132">
        <v>120</v>
      </c>
      <c r="AH126" s="48">
        <f t="shared" si="31"/>
        <v>101.6</v>
      </c>
      <c r="AI126" s="49">
        <f t="shared" si="32"/>
        <v>-42.6</v>
      </c>
    </row>
    <row r="127" spans="1:35" x14ac:dyDescent="0.25">
      <c r="A127" s="129" t="s">
        <v>147</v>
      </c>
      <c r="B127" s="131">
        <v>51.5</v>
      </c>
      <c r="C127" s="131">
        <v>35.6</v>
      </c>
      <c r="D127" s="131">
        <v>35.6</v>
      </c>
      <c r="E127" s="131">
        <v>33.299999999999997</v>
      </c>
      <c r="F127" s="131">
        <v>33.299999999999997</v>
      </c>
      <c r="G127" s="131">
        <v>39.200000000000003</v>
      </c>
      <c r="H127" s="131">
        <v>47.6</v>
      </c>
      <c r="I127" s="131">
        <v>53.8</v>
      </c>
      <c r="J127" s="131">
        <v>63.3</v>
      </c>
      <c r="K127" s="131">
        <v>69.900000000000006</v>
      </c>
      <c r="L127" s="131">
        <v>77.8</v>
      </c>
      <c r="M127" s="131">
        <v>76</v>
      </c>
      <c r="N127" s="131">
        <v>79</v>
      </c>
      <c r="O127" s="131">
        <v>87.5</v>
      </c>
      <c r="P127" s="131">
        <v>75.8</v>
      </c>
      <c r="Q127" s="131">
        <v>73.099999999999994</v>
      </c>
      <c r="R127" s="131">
        <v>84.2</v>
      </c>
      <c r="S127" s="131">
        <v>81</v>
      </c>
      <c r="T127" s="131">
        <v>79.5</v>
      </c>
      <c r="U127" s="131">
        <v>96.5</v>
      </c>
      <c r="V127" s="131">
        <v>89</v>
      </c>
      <c r="W127" s="131">
        <v>91</v>
      </c>
      <c r="X127" s="131">
        <v>64.099999999999994</v>
      </c>
      <c r="Y127" s="131">
        <v>61.5</v>
      </c>
      <c r="Z127" s="131">
        <v>89</v>
      </c>
      <c r="AA127" s="131">
        <v>89</v>
      </c>
      <c r="AB127" s="131">
        <v>85.1</v>
      </c>
      <c r="AC127" s="131">
        <v>80.3</v>
      </c>
      <c r="AD127" s="131">
        <v>73.400000000000006</v>
      </c>
      <c r="AE127" s="131">
        <v>54.6</v>
      </c>
      <c r="AF127" s="131">
        <v>43.5</v>
      </c>
      <c r="AG127" s="132"/>
      <c r="AH127" s="48">
        <f t="shared" si="31"/>
        <v>96.5</v>
      </c>
      <c r="AI127" s="49">
        <f t="shared" si="32"/>
        <v>33.299999999999997</v>
      </c>
    </row>
    <row r="128" spans="1:35" x14ac:dyDescent="0.25">
      <c r="A128" s="129" t="s">
        <v>148</v>
      </c>
      <c r="B128" s="131">
        <v>9.3000000000000007</v>
      </c>
      <c r="C128" s="131">
        <v>-8.6999999999999993</v>
      </c>
      <c r="D128" s="131">
        <v>-8.6999999999999993</v>
      </c>
      <c r="E128" s="131">
        <v>9.1999999999999993</v>
      </c>
      <c r="F128" s="131">
        <v>-10.1</v>
      </c>
      <c r="G128" s="131">
        <v>-13.1</v>
      </c>
      <c r="H128" s="131">
        <v>-13.1</v>
      </c>
      <c r="I128" s="131">
        <v>-11.7</v>
      </c>
      <c r="J128" s="131">
        <v>-14.2</v>
      </c>
      <c r="K128" s="131">
        <v>-15.8</v>
      </c>
      <c r="L128" s="131">
        <v>-16.2</v>
      </c>
      <c r="M128" s="131">
        <v>-14.9</v>
      </c>
      <c r="N128" s="131">
        <v>-6.3</v>
      </c>
      <c r="O128" s="131">
        <v>4</v>
      </c>
      <c r="P128" s="131">
        <v>-17.8</v>
      </c>
      <c r="Q128" s="131">
        <v>-7.4</v>
      </c>
      <c r="R128" s="131">
        <v>1.1000000000000001</v>
      </c>
      <c r="S128" s="131">
        <v>-12.4</v>
      </c>
      <c r="T128" s="131">
        <v>-21</v>
      </c>
      <c r="U128" s="131">
        <v>12</v>
      </c>
      <c r="V128" s="131">
        <v>-10</v>
      </c>
      <c r="W128" s="131">
        <v>-12</v>
      </c>
      <c r="X128" s="131">
        <v>-45.1</v>
      </c>
      <c r="Y128" s="131">
        <v>-51</v>
      </c>
      <c r="Z128" s="131">
        <v>-51.3</v>
      </c>
      <c r="AA128" s="131">
        <v>-51.3</v>
      </c>
      <c r="AB128" s="131">
        <v>-37.1</v>
      </c>
      <c r="AC128" s="131">
        <v>-34.9</v>
      </c>
      <c r="AD128" s="131">
        <v>-29</v>
      </c>
      <c r="AE128" s="131">
        <v>-29.9</v>
      </c>
      <c r="AF128" s="131">
        <v>-16.2</v>
      </c>
      <c r="AG128" s="132"/>
      <c r="AH128" s="48">
        <f t="shared" si="31"/>
        <v>12</v>
      </c>
      <c r="AI128" s="49">
        <f t="shared" si="32"/>
        <v>-51.3</v>
      </c>
    </row>
    <row r="129" spans="1:37" ht="15.75" thickBot="1" x14ac:dyDescent="0.3">
      <c r="A129" s="129" t="s">
        <v>149</v>
      </c>
      <c r="B129" s="131">
        <v>31.6</v>
      </c>
      <c r="C129" s="131">
        <v>21.2</v>
      </c>
      <c r="D129" s="131">
        <v>21.2</v>
      </c>
      <c r="E129" s="131">
        <v>21.6</v>
      </c>
      <c r="F129" s="131">
        <v>21</v>
      </c>
      <c r="G129" s="131">
        <v>23.1</v>
      </c>
      <c r="H129" s="131">
        <v>17.3</v>
      </c>
      <c r="I129" s="131">
        <v>15.5</v>
      </c>
      <c r="J129" s="131">
        <v>11.8</v>
      </c>
      <c r="K129" s="131">
        <v>5.2</v>
      </c>
      <c r="L129" s="131">
        <v>27.5</v>
      </c>
      <c r="M129" s="131">
        <v>24.1</v>
      </c>
      <c r="N129" s="131">
        <v>45.2</v>
      </c>
      <c r="O129" s="131">
        <v>55.7</v>
      </c>
      <c r="P129" s="131">
        <v>51.6</v>
      </c>
      <c r="Q129" s="131">
        <v>50.2</v>
      </c>
      <c r="R129" s="131">
        <v>62.5</v>
      </c>
      <c r="S129" s="131">
        <v>58</v>
      </c>
      <c r="T129" s="131">
        <v>54.6</v>
      </c>
      <c r="U129" s="131">
        <v>82</v>
      </c>
      <c r="V129" s="131">
        <v>68.3</v>
      </c>
      <c r="W129" s="131">
        <v>74</v>
      </c>
      <c r="X129" s="131">
        <v>20</v>
      </c>
      <c r="Y129" s="131">
        <v>12</v>
      </c>
      <c r="Z129" s="131">
        <v>48</v>
      </c>
      <c r="AA129" s="131">
        <v>48</v>
      </c>
      <c r="AB129" s="131">
        <v>44.3</v>
      </c>
      <c r="AC129" s="131">
        <v>40.4</v>
      </c>
      <c r="AD129" s="131">
        <v>33.4</v>
      </c>
      <c r="AE129" s="131">
        <v>15.8</v>
      </c>
      <c r="AF129" s="131">
        <v>-3.8</v>
      </c>
      <c r="AG129" s="128"/>
      <c r="AH129" s="48">
        <f>MAX(B129:AF129)</f>
        <v>82</v>
      </c>
      <c r="AI129" s="49">
        <f>MIN(B129:AF129)</f>
        <v>-3.8</v>
      </c>
    </row>
    <row r="130" spans="1:37" x14ac:dyDescent="0.25">
      <c r="A130" s="126" t="s">
        <v>150</v>
      </c>
      <c r="B130" s="131">
        <v>-167.2</v>
      </c>
      <c r="C130" s="131">
        <v>-338.6</v>
      </c>
      <c r="D130" s="131">
        <v>-338.6</v>
      </c>
      <c r="E130" s="131">
        <v>-340.2</v>
      </c>
      <c r="F130" s="131">
        <v>-326.10000000000002</v>
      </c>
      <c r="G130" s="131">
        <v>-321.10000000000002</v>
      </c>
      <c r="H130" s="131">
        <v>-316.10000000000002</v>
      </c>
      <c r="I130" s="131">
        <v>-310</v>
      </c>
      <c r="J130" s="131">
        <v>-247.8</v>
      </c>
      <c r="K130" s="131">
        <v>-265</v>
      </c>
      <c r="L130" s="131">
        <v>-280.7</v>
      </c>
      <c r="M130" s="131">
        <v>-278.39999999999998</v>
      </c>
      <c r="N130" s="131">
        <v>-184.6</v>
      </c>
      <c r="O130" s="131">
        <v>-204.7</v>
      </c>
      <c r="P130" s="131">
        <v>-96.4</v>
      </c>
      <c r="Q130" s="131">
        <v>-122.5</v>
      </c>
      <c r="R130" s="131">
        <v>-87.7</v>
      </c>
      <c r="S130" s="131">
        <v>-87</v>
      </c>
      <c r="T130" s="131">
        <v>-79.599999999999994</v>
      </c>
      <c r="U130" s="131">
        <v>-72</v>
      </c>
      <c r="V130" s="131">
        <v>-82</v>
      </c>
      <c r="W130" s="131">
        <v>-64</v>
      </c>
      <c r="X130" s="131">
        <v>-209</v>
      </c>
      <c r="Y130" s="131">
        <v>-256</v>
      </c>
      <c r="Z130" s="131">
        <v>-255</v>
      </c>
      <c r="AA130" s="131">
        <v>-255</v>
      </c>
      <c r="AB130" s="131">
        <v>-258.89999999999998</v>
      </c>
      <c r="AC130" s="131">
        <v>-264.5</v>
      </c>
      <c r="AD130" s="131">
        <v>-272.2</v>
      </c>
      <c r="AE130" s="131">
        <v>-293.3</v>
      </c>
      <c r="AF130" s="131">
        <v>-303</v>
      </c>
      <c r="AG130" s="128"/>
      <c r="AH130" s="48">
        <f>MAX(B130:AF130)</f>
        <v>-64</v>
      </c>
      <c r="AI130" s="49">
        <f>MIN(B130:AF130)</f>
        <v>-340.2</v>
      </c>
    </row>
    <row r="131" spans="1:37" x14ac:dyDescent="0.25">
      <c r="A131" s="129" t="s">
        <v>151</v>
      </c>
      <c r="B131" s="119">
        <v>-3.4</v>
      </c>
      <c r="C131" s="119">
        <v>30.7</v>
      </c>
      <c r="D131" s="119">
        <v>30.7</v>
      </c>
      <c r="E131" s="119">
        <v>-5.5</v>
      </c>
      <c r="F131" s="119">
        <v>24.8</v>
      </c>
      <c r="G131" s="119">
        <v>22.4</v>
      </c>
      <c r="H131" s="119">
        <v>24.1</v>
      </c>
      <c r="I131" s="119">
        <v>24.4</v>
      </c>
      <c r="J131" s="119">
        <v>24.8</v>
      </c>
      <c r="K131" s="119">
        <v>17.5</v>
      </c>
      <c r="L131" s="119">
        <v>15.9</v>
      </c>
      <c r="M131" s="119">
        <v>18.600000000000001</v>
      </c>
      <c r="N131" s="119">
        <v>13.4</v>
      </c>
      <c r="O131" s="119">
        <v>5.0999999999999996</v>
      </c>
      <c r="P131" s="119">
        <v>4.5999999999999996</v>
      </c>
      <c r="Q131" s="119">
        <v>6.5</v>
      </c>
      <c r="R131" s="119">
        <v>4.0999999999999996</v>
      </c>
      <c r="S131" s="119">
        <v>0.8</v>
      </c>
      <c r="T131" s="119">
        <v>0.6</v>
      </c>
      <c r="U131" s="119">
        <v>0.7</v>
      </c>
      <c r="V131" s="119">
        <v>-17.600000000000001</v>
      </c>
      <c r="W131" s="119">
        <v>5.4</v>
      </c>
      <c r="X131" s="119">
        <v>-17</v>
      </c>
      <c r="Y131" s="119">
        <v>-16</v>
      </c>
      <c r="Z131" s="119">
        <v>-15.3</v>
      </c>
      <c r="AA131" s="119">
        <v>-15.3</v>
      </c>
      <c r="AB131" s="119">
        <v>-23.4</v>
      </c>
      <c r="AC131" s="119">
        <v>-23.5</v>
      </c>
      <c r="AD131" s="119">
        <v>-18.399999999999999</v>
      </c>
      <c r="AE131" s="119">
        <v>-20.7</v>
      </c>
      <c r="AF131" s="119">
        <v>-2.2999999999999998</v>
      </c>
      <c r="AG131" s="128"/>
      <c r="AH131" s="48">
        <f>MAX(B131:AF131)</f>
        <v>30.7</v>
      </c>
      <c r="AI131" s="49">
        <f>MIN(B131:AF131)</f>
        <v>-23.5</v>
      </c>
    </row>
    <row r="132" spans="1:37" x14ac:dyDescent="0.25">
      <c r="A132" s="129" t="s">
        <v>152</v>
      </c>
      <c r="B132" s="119">
        <v>82.6</v>
      </c>
      <c r="C132" s="119">
        <v>64.3</v>
      </c>
      <c r="D132" s="119">
        <v>64.3</v>
      </c>
      <c r="E132" s="119">
        <v>84.5</v>
      </c>
      <c r="F132" s="119">
        <v>19</v>
      </c>
      <c r="G132" s="119">
        <v>56.4</v>
      </c>
      <c r="H132" s="119">
        <v>53.4</v>
      </c>
      <c r="I132" s="119">
        <v>54.3</v>
      </c>
      <c r="J132" s="119">
        <v>54.4</v>
      </c>
      <c r="K132" s="119">
        <v>73.599999999999994</v>
      </c>
      <c r="L132" s="119">
        <v>72.599999999999994</v>
      </c>
      <c r="M132" s="119">
        <v>71.3</v>
      </c>
      <c r="N132" s="119">
        <v>76.099999999999994</v>
      </c>
      <c r="O132" s="119">
        <v>86.9</v>
      </c>
      <c r="P132" s="119">
        <v>81.3</v>
      </c>
      <c r="Q132" s="119">
        <v>88.9</v>
      </c>
      <c r="R132" s="119">
        <v>59.6</v>
      </c>
      <c r="S132" s="119">
        <v>58.3</v>
      </c>
      <c r="T132" s="119">
        <v>56.5</v>
      </c>
      <c r="U132" s="119">
        <v>56</v>
      </c>
      <c r="V132" s="119">
        <v>71.099999999999994</v>
      </c>
      <c r="W132" s="119">
        <v>40</v>
      </c>
      <c r="X132" s="119">
        <v>68</v>
      </c>
      <c r="Y132" s="119">
        <v>63</v>
      </c>
      <c r="Z132" s="119">
        <v>72</v>
      </c>
      <c r="AA132" s="119">
        <v>72</v>
      </c>
      <c r="AB132" s="119">
        <v>84.2</v>
      </c>
      <c r="AC132" s="119">
        <v>83.5</v>
      </c>
      <c r="AD132" s="119">
        <v>82</v>
      </c>
      <c r="AE132" s="119">
        <v>56</v>
      </c>
      <c r="AF132" s="119">
        <v>35.5</v>
      </c>
      <c r="AG132" s="128"/>
      <c r="AH132" s="48">
        <f>MAX(B132:AF132)</f>
        <v>88.9</v>
      </c>
      <c r="AI132" s="49">
        <f>MIN(B132:AF132)</f>
        <v>19</v>
      </c>
    </row>
    <row r="133" spans="1:37" ht="15.75" thickBot="1" x14ac:dyDescent="0.3">
      <c r="A133" s="129" t="s">
        <v>153</v>
      </c>
      <c r="B133" s="119">
        <v>100.9</v>
      </c>
      <c r="C133" s="119">
        <v>75.599999999999994</v>
      </c>
      <c r="D133" s="119">
        <v>75.599999999999994</v>
      </c>
      <c r="E133" s="119">
        <v>91.2</v>
      </c>
      <c r="F133" s="119">
        <v>73.599999999999994</v>
      </c>
      <c r="G133" s="119">
        <v>65.900000000000006</v>
      </c>
      <c r="H133" s="119">
        <v>63</v>
      </c>
      <c r="I133" s="119">
        <v>64</v>
      </c>
      <c r="J133" s="119">
        <v>64.8</v>
      </c>
      <c r="K133" s="119">
        <v>83.9</v>
      </c>
      <c r="L133" s="119">
        <v>84.9</v>
      </c>
      <c r="M133" s="119">
        <v>81</v>
      </c>
      <c r="N133" s="119">
        <v>85.5</v>
      </c>
      <c r="O133" s="119">
        <v>100.8</v>
      </c>
      <c r="P133" s="119">
        <v>95.1</v>
      </c>
      <c r="Q133" s="119">
        <v>109.2</v>
      </c>
      <c r="R133" s="119">
        <v>73.5</v>
      </c>
      <c r="S133" s="119">
        <v>78.5</v>
      </c>
      <c r="T133" s="119">
        <v>71.3</v>
      </c>
      <c r="U133" s="119">
        <v>71</v>
      </c>
      <c r="V133" s="119">
        <v>92</v>
      </c>
      <c r="W133" s="119">
        <v>53</v>
      </c>
      <c r="X133" s="119">
        <v>76.099999999999994</v>
      </c>
      <c r="Y133" s="119">
        <v>75.2</v>
      </c>
      <c r="Z133" s="119">
        <v>82</v>
      </c>
      <c r="AA133" s="119">
        <v>82</v>
      </c>
      <c r="AB133" s="119">
        <v>92.2</v>
      </c>
      <c r="AC133" s="119">
        <v>90.8</v>
      </c>
      <c r="AD133" s="119">
        <v>92.7</v>
      </c>
      <c r="AE133" s="119">
        <v>84</v>
      </c>
      <c r="AF133" s="119">
        <v>48</v>
      </c>
      <c r="AG133" s="128"/>
      <c r="AH133" s="48">
        <f>MAX(B133:AF133)</f>
        <v>109.2</v>
      </c>
      <c r="AI133" s="49">
        <f>MIN(B133:AF133)</f>
        <v>48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1986.7</v>
      </c>
      <c r="C135" s="137">
        <v>1986.55</v>
      </c>
      <c r="D135" s="137"/>
      <c r="E135" s="137">
        <v>1985.98</v>
      </c>
      <c r="F135" s="137">
        <v>1985.55</v>
      </c>
      <c r="G135" s="137">
        <v>1985.15</v>
      </c>
      <c r="H135" s="137"/>
      <c r="I135" s="137">
        <v>1984.72</v>
      </c>
      <c r="J135" s="137"/>
      <c r="K135" s="137">
        <v>1984.42</v>
      </c>
      <c r="L135" s="137"/>
      <c r="M135" s="137">
        <v>1983.85</v>
      </c>
      <c r="N135" s="137">
        <v>1983.55</v>
      </c>
      <c r="O135" s="137">
        <v>1983.48</v>
      </c>
      <c r="P135" s="137">
        <v>1983.38</v>
      </c>
      <c r="Q135" s="137">
        <v>1983.8</v>
      </c>
      <c r="R135" s="137">
        <v>1984.2</v>
      </c>
      <c r="S135" s="137">
        <v>1984.65</v>
      </c>
      <c r="T135" s="137">
        <v>1985.05</v>
      </c>
      <c r="U135" s="137">
        <v>1985.7</v>
      </c>
      <c r="V135" s="137">
        <v>1986.05</v>
      </c>
      <c r="W135" s="137"/>
      <c r="X135" s="137"/>
      <c r="Y135" s="137"/>
      <c r="Z135" s="137">
        <v>1986.55</v>
      </c>
      <c r="AA135" s="137"/>
      <c r="AB135" s="137">
        <v>1986.1</v>
      </c>
      <c r="AC135" s="137"/>
      <c r="AD135" s="137">
        <v>1985.61</v>
      </c>
      <c r="AE135" s="137">
        <v>1985.1</v>
      </c>
      <c r="AF135" s="138">
        <v>1984.69</v>
      </c>
      <c r="AG135" s="139"/>
      <c r="AH135" s="48"/>
      <c r="AI135" s="49"/>
    </row>
    <row r="136" spans="1:37" x14ac:dyDescent="0.25">
      <c r="A136" s="136" t="s">
        <v>156</v>
      </c>
      <c r="B136" s="140">
        <v>522.55999999999995</v>
      </c>
      <c r="C136" s="140">
        <v>522.55999999999995</v>
      </c>
      <c r="D136" s="140"/>
      <c r="E136" s="140">
        <v>523.22</v>
      </c>
      <c r="F136" s="140">
        <v>523.76</v>
      </c>
      <c r="G136" s="140">
        <v>523.78</v>
      </c>
      <c r="H136" s="140"/>
      <c r="I136" s="140">
        <v>623.66</v>
      </c>
      <c r="J136" s="140"/>
      <c r="K136" s="140"/>
      <c r="L136" s="140"/>
      <c r="M136" s="140"/>
      <c r="N136" s="140"/>
      <c r="O136" s="140"/>
      <c r="P136" s="140"/>
      <c r="Q136" s="140"/>
      <c r="R136" s="140"/>
      <c r="S136" s="140">
        <v>523.16</v>
      </c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>
        <v>523.30999999999995</v>
      </c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>
        <v>625</v>
      </c>
      <c r="C137" s="140">
        <v>624.97</v>
      </c>
      <c r="D137" s="140"/>
      <c r="E137" s="140">
        <v>624.77</v>
      </c>
      <c r="F137" s="140">
        <v>624.66</v>
      </c>
      <c r="G137" s="140">
        <v>624.54</v>
      </c>
      <c r="H137" s="140"/>
      <c r="I137" s="140">
        <v>624.73</v>
      </c>
      <c r="J137" s="140"/>
      <c r="K137" s="140">
        <v>624.80999999999995</v>
      </c>
      <c r="L137" s="140"/>
      <c r="M137" s="140">
        <v>624.92999999999995</v>
      </c>
      <c r="N137" s="140"/>
      <c r="O137" s="140">
        <v>624.83000000000004</v>
      </c>
      <c r="P137" s="140">
        <v>624.84</v>
      </c>
      <c r="Q137" s="140">
        <v>624.76</v>
      </c>
      <c r="R137" s="140">
        <v>624.62</v>
      </c>
      <c r="S137" s="140">
        <v>624.4</v>
      </c>
      <c r="T137" s="140">
        <v>624.29</v>
      </c>
      <c r="U137" s="140">
        <v>624.28</v>
      </c>
      <c r="V137" s="140"/>
      <c r="W137" s="140"/>
      <c r="X137" s="140"/>
      <c r="Y137" s="140"/>
      <c r="Z137" s="140"/>
      <c r="AA137" s="140"/>
      <c r="AB137" s="140">
        <v>625.26</v>
      </c>
      <c r="AC137" s="140"/>
      <c r="AD137" s="140">
        <v>625.34</v>
      </c>
      <c r="AE137" s="140">
        <v>625.30999999999995</v>
      </c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>
        <v>337.22</v>
      </c>
      <c r="C138" s="140">
        <v>337.21</v>
      </c>
      <c r="D138" s="140"/>
      <c r="E138" s="140">
        <v>337.16</v>
      </c>
      <c r="F138" s="140">
        <v>337.29</v>
      </c>
      <c r="G138" s="140">
        <v>337.66</v>
      </c>
      <c r="H138" s="140"/>
      <c r="I138" s="140">
        <v>337.8</v>
      </c>
      <c r="J138" s="140"/>
      <c r="K138" s="140"/>
      <c r="L138" s="140"/>
      <c r="M138" s="140">
        <v>337.6</v>
      </c>
      <c r="N138" s="140">
        <v>337.54</v>
      </c>
      <c r="O138" s="140">
        <v>337.45</v>
      </c>
      <c r="P138" s="140">
        <v>337.5</v>
      </c>
      <c r="Q138" s="140">
        <v>337.46</v>
      </c>
      <c r="R138" s="140">
        <v>337.43</v>
      </c>
      <c r="S138" s="140">
        <v>337.45</v>
      </c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>
        <v>337.55</v>
      </c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884.5</v>
      </c>
      <c r="C139" s="140"/>
      <c r="D139" s="140"/>
      <c r="E139" s="140">
        <v>885.6</v>
      </c>
      <c r="F139" s="140">
        <v>885.1</v>
      </c>
      <c r="G139" s="140">
        <v>884.6</v>
      </c>
      <c r="H139" s="140"/>
      <c r="I139" s="140">
        <v>884.1</v>
      </c>
      <c r="J139" s="140"/>
      <c r="K139" s="140"/>
      <c r="L139" s="140"/>
      <c r="M139" s="140">
        <v>885.6</v>
      </c>
      <c r="N139" s="140">
        <v>885.1</v>
      </c>
      <c r="O139" s="140">
        <v>885.1</v>
      </c>
      <c r="P139" s="140">
        <v>884.6</v>
      </c>
      <c r="Q139" s="140"/>
      <c r="R139" s="140"/>
      <c r="S139" s="140">
        <v>883</v>
      </c>
      <c r="T139" s="140">
        <v>882</v>
      </c>
      <c r="U139" s="140">
        <v>882.3</v>
      </c>
      <c r="V139" s="140">
        <v>882.5</v>
      </c>
      <c r="W139" s="140"/>
      <c r="X139" s="140"/>
      <c r="Y139" s="140"/>
      <c r="Z139" s="140"/>
      <c r="AA139" s="140"/>
      <c r="AB139" s="140">
        <v>884.6</v>
      </c>
      <c r="AC139" s="140"/>
      <c r="AD139" s="140">
        <v>884.6</v>
      </c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1492.16</v>
      </c>
      <c r="C140" s="142"/>
      <c r="D140" s="142"/>
      <c r="E140" s="142"/>
      <c r="F140" s="142"/>
      <c r="G140" s="142"/>
      <c r="H140" s="142"/>
      <c r="I140" s="142">
        <v>1492.09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2">SUM(B142:B246)</f>
        <v>0</v>
      </c>
      <c r="C247" s="161">
        <f t="shared" si="52"/>
        <v>0</v>
      </c>
      <c r="D247" s="161">
        <f t="shared" si="52"/>
        <v>0</v>
      </c>
      <c r="E247" s="161">
        <f t="shared" si="52"/>
        <v>0</v>
      </c>
      <c r="F247" s="161">
        <f t="shared" si="52"/>
        <v>0</v>
      </c>
      <c r="G247" s="161">
        <f t="shared" si="52"/>
        <v>0</v>
      </c>
      <c r="H247" s="161">
        <f t="shared" si="52"/>
        <v>0</v>
      </c>
      <c r="I247" s="161">
        <f t="shared" si="52"/>
        <v>0</v>
      </c>
      <c r="J247" s="161">
        <f t="shared" si="52"/>
        <v>0</v>
      </c>
      <c r="K247" s="161">
        <f t="shared" si="52"/>
        <v>0</v>
      </c>
      <c r="L247" s="161">
        <f t="shared" si="52"/>
        <v>0</v>
      </c>
      <c r="M247" s="161">
        <f t="shared" si="52"/>
        <v>0</v>
      </c>
      <c r="N247" s="161">
        <f t="shared" si="52"/>
        <v>0</v>
      </c>
      <c r="O247" s="161">
        <f t="shared" si="52"/>
        <v>0</v>
      </c>
      <c r="P247" s="161">
        <f t="shared" si="52"/>
        <v>0</v>
      </c>
      <c r="Q247" s="161">
        <f t="shared" si="52"/>
        <v>0</v>
      </c>
      <c r="R247" s="161">
        <f t="shared" si="52"/>
        <v>0</v>
      </c>
      <c r="S247" s="161">
        <f t="shared" si="52"/>
        <v>0</v>
      </c>
      <c r="T247" s="161">
        <f t="shared" si="52"/>
        <v>0</v>
      </c>
      <c r="U247" s="161">
        <f t="shared" si="52"/>
        <v>0</v>
      </c>
      <c r="V247" s="161">
        <f t="shared" si="52"/>
        <v>0</v>
      </c>
      <c r="W247" s="161">
        <f t="shared" si="52"/>
        <v>0</v>
      </c>
      <c r="X247" s="161">
        <f t="shared" si="52"/>
        <v>0</v>
      </c>
      <c r="Y247" s="161">
        <f t="shared" si="52"/>
        <v>0</v>
      </c>
      <c r="Z247" s="161">
        <f t="shared" si="52"/>
        <v>0</v>
      </c>
      <c r="AA247" s="161">
        <f t="shared" si="52"/>
        <v>0</v>
      </c>
      <c r="AB247" s="161">
        <f t="shared" si="52"/>
        <v>0</v>
      </c>
      <c r="AC247" s="161">
        <f t="shared" si="52"/>
        <v>0</v>
      </c>
      <c r="AD247" s="161">
        <f t="shared" si="52"/>
        <v>0</v>
      </c>
      <c r="AE247" s="161">
        <f t="shared" si="52"/>
        <v>0</v>
      </c>
      <c r="AF247" s="162">
        <f t="shared" si="52"/>
        <v>0</v>
      </c>
      <c r="AG247" s="163">
        <f t="shared" si="52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3">AF249</f>
        <v>0.3</v>
      </c>
      <c r="C249" s="166">
        <v>0.3</v>
      </c>
      <c r="D249" s="166">
        <f t="shared" ref="D249:S254" si="54">C249</f>
        <v>0.3</v>
      </c>
      <c r="E249" s="166">
        <f t="shared" si="54"/>
        <v>0.3</v>
      </c>
      <c r="F249" s="166">
        <f t="shared" si="54"/>
        <v>0.3</v>
      </c>
      <c r="G249" s="166">
        <f t="shared" si="54"/>
        <v>0.3</v>
      </c>
      <c r="H249" s="166">
        <f t="shared" si="54"/>
        <v>0.3</v>
      </c>
      <c r="I249" s="166">
        <f t="shared" si="54"/>
        <v>0.3</v>
      </c>
      <c r="J249" s="166">
        <f t="shared" si="54"/>
        <v>0.3</v>
      </c>
      <c r="K249" s="166">
        <f t="shared" si="54"/>
        <v>0.3</v>
      </c>
      <c r="L249" s="166">
        <f t="shared" si="54"/>
        <v>0.3</v>
      </c>
      <c r="M249" s="166">
        <f t="shared" si="54"/>
        <v>0.3</v>
      </c>
      <c r="N249" s="166">
        <f t="shared" si="54"/>
        <v>0.3</v>
      </c>
      <c r="O249" s="166">
        <f t="shared" si="54"/>
        <v>0.3</v>
      </c>
      <c r="P249" s="166">
        <f t="shared" si="54"/>
        <v>0.3</v>
      </c>
      <c r="Q249" s="166">
        <f t="shared" si="54"/>
        <v>0.3</v>
      </c>
      <c r="R249" s="166">
        <f t="shared" si="54"/>
        <v>0.3</v>
      </c>
      <c r="S249" s="166">
        <f t="shared" si="54"/>
        <v>0.3</v>
      </c>
      <c r="T249" s="166">
        <f t="shared" ref="T249:AF254" si="55">S249</f>
        <v>0.3</v>
      </c>
      <c r="U249" s="166">
        <f t="shared" si="55"/>
        <v>0.3</v>
      </c>
      <c r="V249" s="166">
        <f t="shared" si="55"/>
        <v>0.3</v>
      </c>
      <c r="W249" s="166">
        <f t="shared" si="55"/>
        <v>0.3</v>
      </c>
      <c r="X249" s="166">
        <f t="shared" si="55"/>
        <v>0.3</v>
      </c>
      <c r="Y249" s="166">
        <f t="shared" si="55"/>
        <v>0.3</v>
      </c>
      <c r="Z249" s="166">
        <f t="shared" si="55"/>
        <v>0.3</v>
      </c>
      <c r="AA249" s="166">
        <f t="shared" si="55"/>
        <v>0.3</v>
      </c>
      <c r="AB249" s="166">
        <f t="shared" si="55"/>
        <v>0.3</v>
      </c>
      <c r="AC249" s="166">
        <f t="shared" si="55"/>
        <v>0.3</v>
      </c>
      <c r="AD249" s="166">
        <f t="shared" si="55"/>
        <v>0.3</v>
      </c>
      <c r="AE249" s="166">
        <f t="shared" si="55"/>
        <v>0.3</v>
      </c>
      <c r="AF249" s="166">
        <f t="shared" si="55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3"/>
        <v>0.4</v>
      </c>
      <c r="C250" s="152">
        <v>0.4</v>
      </c>
      <c r="D250" s="152">
        <f t="shared" si="54"/>
        <v>0.4</v>
      </c>
      <c r="E250" s="152">
        <f t="shared" si="54"/>
        <v>0.4</v>
      </c>
      <c r="F250" s="152">
        <f t="shared" si="54"/>
        <v>0.4</v>
      </c>
      <c r="G250" s="152">
        <f t="shared" si="54"/>
        <v>0.4</v>
      </c>
      <c r="H250" s="152">
        <f t="shared" si="54"/>
        <v>0.4</v>
      </c>
      <c r="I250" s="152">
        <f t="shared" si="54"/>
        <v>0.4</v>
      </c>
      <c r="J250" s="152">
        <f t="shared" si="54"/>
        <v>0.4</v>
      </c>
      <c r="K250" s="152">
        <f t="shared" si="54"/>
        <v>0.4</v>
      </c>
      <c r="L250" s="152">
        <f t="shared" si="54"/>
        <v>0.4</v>
      </c>
      <c r="M250" s="152">
        <f t="shared" si="54"/>
        <v>0.4</v>
      </c>
      <c r="N250" s="152">
        <f t="shared" si="54"/>
        <v>0.4</v>
      </c>
      <c r="O250" s="152">
        <f t="shared" si="54"/>
        <v>0.4</v>
      </c>
      <c r="P250" s="152">
        <f t="shared" si="54"/>
        <v>0.4</v>
      </c>
      <c r="Q250" s="152">
        <f t="shared" si="54"/>
        <v>0.4</v>
      </c>
      <c r="R250" s="152">
        <f t="shared" si="54"/>
        <v>0.4</v>
      </c>
      <c r="S250" s="152">
        <f t="shared" si="54"/>
        <v>0.4</v>
      </c>
      <c r="T250" s="152">
        <f t="shared" si="55"/>
        <v>0.4</v>
      </c>
      <c r="U250" s="152">
        <f t="shared" si="55"/>
        <v>0.4</v>
      </c>
      <c r="V250" s="152">
        <f t="shared" si="55"/>
        <v>0.4</v>
      </c>
      <c r="W250" s="152">
        <f t="shared" si="55"/>
        <v>0.4</v>
      </c>
      <c r="X250" s="152">
        <f t="shared" si="55"/>
        <v>0.4</v>
      </c>
      <c r="Y250" s="152">
        <f t="shared" si="55"/>
        <v>0.4</v>
      </c>
      <c r="Z250" s="152">
        <f t="shared" si="55"/>
        <v>0.4</v>
      </c>
      <c r="AA250" s="152">
        <f t="shared" si="55"/>
        <v>0.4</v>
      </c>
      <c r="AB250" s="152">
        <f t="shared" si="55"/>
        <v>0.4</v>
      </c>
      <c r="AC250" s="152">
        <f t="shared" si="55"/>
        <v>0.4</v>
      </c>
      <c r="AD250" s="152">
        <f t="shared" si="55"/>
        <v>0.4</v>
      </c>
      <c r="AE250" s="152">
        <f t="shared" si="55"/>
        <v>0.4</v>
      </c>
      <c r="AF250" s="152">
        <f t="shared" si="55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3"/>
        <v>1.5</v>
      </c>
      <c r="C251" s="152">
        <v>1.5</v>
      </c>
      <c r="D251" s="152">
        <f t="shared" si="54"/>
        <v>1.5</v>
      </c>
      <c r="E251" s="152">
        <f t="shared" si="54"/>
        <v>1.5</v>
      </c>
      <c r="F251" s="152">
        <f t="shared" si="54"/>
        <v>1.5</v>
      </c>
      <c r="G251" s="152">
        <f t="shared" si="54"/>
        <v>1.5</v>
      </c>
      <c r="H251" s="152">
        <f t="shared" si="54"/>
        <v>1.5</v>
      </c>
      <c r="I251" s="152">
        <f t="shared" si="54"/>
        <v>1.5</v>
      </c>
      <c r="J251" s="152">
        <f t="shared" si="54"/>
        <v>1.5</v>
      </c>
      <c r="K251" s="152">
        <f t="shared" si="54"/>
        <v>1.5</v>
      </c>
      <c r="L251" s="152">
        <f t="shared" si="54"/>
        <v>1.5</v>
      </c>
      <c r="M251" s="152">
        <f t="shared" si="54"/>
        <v>1.5</v>
      </c>
      <c r="N251" s="152">
        <f t="shared" si="54"/>
        <v>1.5</v>
      </c>
      <c r="O251" s="152">
        <f t="shared" si="54"/>
        <v>1.5</v>
      </c>
      <c r="P251" s="152">
        <f t="shared" si="54"/>
        <v>1.5</v>
      </c>
      <c r="Q251" s="152">
        <f t="shared" si="54"/>
        <v>1.5</v>
      </c>
      <c r="R251" s="152">
        <f t="shared" si="54"/>
        <v>1.5</v>
      </c>
      <c r="S251" s="152">
        <f t="shared" si="54"/>
        <v>1.5</v>
      </c>
      <c r="T251" s="152">
        <f t="shared" si="55"/>
        <v>1.5</v>
      </c>
      <c r="U251" s="152">
        <f t="shared" si="55"/>
        <v>1.5</v>
      </c>
      <c r="V251" s="152">
        <f t="shared" si="55"/>
        <v>1.5</v>
      </c>
      <c r="W251" s="152">
        <f t="shared" si="55"/>
        <v>1.5</v>
      </c>
      <c r="X251" s="152">
        <f t="shared" si="55"/>
        <v>1.5</v>
      </c>
      <c r="Y251" s="152">
        <f t="shared" si="55"/>
        <v>1.5</v>
      </c>
      <c r="Z251" s="152">
        <f t="shared" si="55"/>
        <v>1.5</v>
      </c>
      <c r="AA251" s="152">
        <f t="shared" si="55"/>
        <v>1.5</v>
      </c>
      <c r="AB251" s="152">
        <f t="shared" si="55"/>
        <v>1.5</v>
      </c>
      <c r="AC251" s="152">
        <f t="shared" si="55"/>
        <v>1.5</v>
      </c>
      <c r="AD251" s="152">
        <f t="shared" si="55"/>
        <v>1.5</v>
      </c>
      <c r="AE251" s="152">
        <f t="shared" si="55"/>
        <v>1.5</v>
      </c>
      <c r="AF251" s="152">
        <f t="shared" si="55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3"/>
        <v>0.3</v>
      </c>
      <c r="C252" s="152">
        <v>0.3</v>
      </c>
      <c r="D252" s="152">
        <f t="shared" si="54"/>
        <v>0.3</v>
      </c>
      <c r="E252" s="152">
        <f t="shared" si="54"/>
        <v>0.3</v>
      </c>
      <c r="F252" s="152">
        <f t="shared" si="54"/>
        <v>0.3</v>
      </c>
      <c r="G252" s="152">
        <f t="shared" si="54"/>
        <v>0.3</v>
      </c>
      <c r="H252" s="152">
        <f t="shared" si="54"/>
        <v>0.3</v>
      </c>
      <c r="I252" s="152">
        <f t="shared" si="54"/>
        <v>0.3</v>
      </c>
      <c r="J252" s="152">
        <f t="shared" si="54"/>
        <v>0.3</v>
      </c>
      <c r="K252" s="152">
        <f t="shared" si="54"/>
        <v>0.3</v>
      </c>
      <c r="L252" s="152">
        <f t="shared" si="54"/>
        <v>0.3</v>
      </c>
      <c r="M252" s="152">
        <f t="shared" si="54"/>
        <v>0.3</v>
      </c>
      <c r="N252" s="152">
        <f t="shared" si="54"/>
        <v>0.3</v>
      </c>
      <c r="O252" s="152">
        <f t="shared" si="54"/>
        <v>0.3</v>
      </c>
      <c r="P252" s="152">
        <f t="shared" si="54"/>
        <v>0.3</v>
      </c>
      <c r="Q252" s="152">
        <f t="shared" si="54"/>
        <v>0.3</v>
      </c>
      <c r="R252" s="152">
        <f t="shared" si="54"/>
        <v>0.3</v>
      </c>
      <c r="S252" s="152">
        <f t="shared" si="54"/>
        <v>0.3</v>
      </c>
      <c r="T252" s="152">
        <f t="shared" si="55"/>
        <v>0.3</v>
      </c>
      <c r="U252" s="152">
        <f t="shared" si="55"/>
        <v>0.3</v>
      </c>
      <c r="V252" s="152">
        <f t="shared" si="55"/>
        <v>0.3</v>
      </c>
      <c r="W252" s="152">
        <f t="shared" si="55"/>
        <v>0.3</v>
      </c>
      <c r="X252" s="152">
        <f t="shared" si="55"/>
        <v>0.3</v>
      </c>
      <c r="Y252" s="152">
        <f t="shared" si="55"/>
        <v>0.3</v>
      </c>
      <c r="Z252" s="152">
        <f t="shared" si="55"/>
        <v>0.3</v>
      </c>
      <c r="AA252" s="152">
        <f t="shared" si="55"/>
        <v>0.3</v>
      </c>
      <c r="AB252" s="152">
        <f t="shared" si="55"/>
        <v>0.3</v>
      </c>
      <c r="AC252" s="152">
        <f t="shared" si="55"/>
        <v>0.3</v>
      </c>
      <c r="AD252" s="152">
        <f t="shared" si="55"/>
        <v>0.3</v>
      </c>
      <c r="AE252" s="152">
        <f t="shared" si="55"/>
        <v>0.3</v>
      </c>
      <c r="AF252" s="152">
        <f t="shared" si="55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3"/>
        <v>0.4</v>
      </c>
      <c r="C253" s="152">
        <v>0.4</v>
      </c>
      <c r="D253" s="152">
        <f t="shared" si="54"/>
        <v>0.4</v>
      </c>
      <c r="E253" s="152">
        <f t="shared" si="54"/>
        <v>0.4</v>
      </c>
      <c r="F253" s="152">
        <f t="shared" si="54"/>
        <v>0.4</v>
      </c>
      <c r="G253" s="152">
        <f t="shared" si="54"/>
        <v>0.4</v>
      </c>
      <c r="H253" s="152">
        <f t="shared" si="54"/>
        <v>0.4</v>
      </c>
      <c r="I253" s="152">
        <f t="shared" si="54"/>
        <v>0.4</v>
      </c>
      <c r="J253" s="152">
        <f t="shared" si="54"/>
        <v>0.4</v>
      </c>
      <c r="K253" s="152">
        <f t="shared" si="54"/>
        <v>0.4</v>
      </c>
      <c r="L253" s="152">
        <f t="shared" si="54"/>
        <v>0.4</v>
      </c>
      <c r="M253" s="152">
        <f t="shared" si="54"/>
        <v>0.4</v>
      </c>
      <c r="N253" s="152">
        <f t="shared" si="54"/>
        <v>0.4</v>
      </c>
      <c r="O253" s="152">
        <f t="shared" si="54"/>
        <v>0.4</v>
      </c>
      <c r="P253" s="152">
        <f t="shared" si="54"/>
        <v>0.4</v>
      </c>
      <c r="Q253" s="152">
        <f t="shared" si="54"/>
        <v>0.4</v>
      </c>
      <c r="R253" s="152">
        <f t="shared" si="54"/>
        <v>0.4</v>
      </c>
      <c r="S253" s="152">
        <f t="shared" si="54"/>
        <v>0.4</v>
      </c>
      <c r="T253" s="152">
        <f t="shared" si="55"/>
        <v>0.4</v>
      </c>
      <c r="U253" s="152">
        <f t="shared" si="55"/>
        <v>0.4</v>
      </c>
      <c r="V253" s="152">
        <f t="shared" si="55"/>
        <v>0.4</v>
      </c>
      <c r="W253" s="152">
        <f t="shared" si="55"/>
        <v>0.4</v>
      </c>
      <c r="X253" s="152">
        <f t="shared" si="55"/>
        <v>0.4</v>
      </c>
      <c r="Y253" s="152">
        <f t="shared" si="55"/>
        <v>0.4</v>
      </c>
      <c r="Z253" s="152">
        <f t="shared" si="55"/>
        <v>0.4</v>
      </c>
      <c r="AA253" s="152">
        <f t="shared" si="55"/>
        <v>0.4</v>
      </c>
      <c r="AB253" s="152">
        <f t="shared" si="55"/>
        <v>0.4</v>
      </c>
      <c r="AC253" s="152">
        <f t="shared" si="55"/>
        <v>0.4</v>
      </c>
      <c r="AD253" s="152">
        <f t="shared" si="55"/>
        <v>0.4</v>
      </c>
      <c r="AE253" s="152">
        <f t="shared" si="55"/>
        <v>0.4</v>
      </c>
      <c r="AF253" s="152">
        <f t="shared" si="55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3"/>
        <v>0.64</v>
      </c>
      <c r="C254" s="157">
        <v>0.64</v>
      </c>
      <c r="D254" s="157">
        <f t="shared" si="54"/>
        <v>0.64</v>
      </c>
      <c r="E254" s="157">
        <f t="shared" si="54"/>
        <v>0.64</v>
      </c>
      <c r="F254" s="157">
        <f t="shared" si="54"/>
        <v>0.64</v>
      </c>
      <c r="G254" s="157">
        <f t="shared" si="54"/>
        <v>0.64</v>
      </c>
      <c r="H254" s="157">
        <f t="shared" si="54"/>
        <v>0.64</v>
      </c>
      <c r="I254" s="157">
        <f t="shared" si="54"/>
        <v>0.64</v>
      </c>
      <c r="J254" s="157">
        <f t="shared" si="54"/>
        <v>0.64</v>
      </c>
      <c r="K254" s="157">
        <f t="shared" si="54"/>
        <v>0.64</v>
      </c>
      <c r="L254" s="157">
        <f t="shared" si="54"/>
        <v>0.64</v>
      </c>
      <c r="M254" s="157">
        <f t="shared" si="54"/>
        <v>0.64</v>
      </c>
      <c r="N254" s="157">
        <f t="shared" si="54"/>
        <v>0.64</v>
      </c>
      <c r="O254" s="157">
        <f t="shared" si="54"/>
        <v>0.64</v>
      </c>
      <c r="P254" s="157">
        <f t="shared" si="54"/>
        <v>0.64</v>
      </c>
      <c r="Q254" s="157">
        <f t="shared" si="54"/>
        <v>0.64</v>
      </c>
      <c r="R254" s="157">
        <f t="shared" si="54"/>
        <v>0.64</v>
      </c>
      <c r="S254" s="157">
        <f t="shared" si="54"/>
        <v>0.64</v>
      </c>
      <c r="T254" s="157">
        <f t="shared" si="55"/>
        <v>0.64</v>
      </c>
      <c r="U254" s="157">
        <f t="shared" si="55"/>
        <v>0.64</v>
      </c>
      <c r="V254" s="157">
        <f t="shared" si="55"/>
        <v>0.64</v>
      </c>
      <c r="W254" s="157">
        <f t="shared" si="55"/>
        <v>0.64</v>
      </c>
      <c r="X254" s="157">
        <f t="shared" si="55"/>
        <v>0.64</v>
      </c>
      <c r="Y254" s="157">
        <f t="shared" si="55"/>
        <v>0.64</v>
      </c>
      <c r="Z254" s="157">
        <f t="shared" si="55"/>
        <v>0.64</v>
      </c>
      <c r="AA254" s="157">
        <f t="shared" si="55"/>
        <v>0.64</v>
      </c>
      <c r="AB254" s="157">
        <f t="shared" si="55"/>
        <v>0.64</v>
      </c>
      <c r="AC254" s="157">
        <f t="shared" si="55"/>
        <v>0.64</v>
      </c>
      <c r="AD254" s="157">
        <f t="shared" si="55"/>
        <v>0.64</v>
      </c>
      <c r="AE254" s="157">
        <f t="shared" si="55"/>
        <v>0.64</v>
      </c>
      <c r="AF254" s="157">
        <f t="shared" si="55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6">SUM(B249:B254)</f>
        <v>3.54</v>
      </c>
      <c r="C255" s="161">
        <f t="shared" si="56"/>
        <v>3.54</v>
      </c>
      <c r="D255" s="161">
        <f t="shared" si="56"/>
        <v>3.54</v>
      </c>
      <c r="E255" s="161">
        <f t="shared" si="56"/>
        <v>3.54</v>
      </c>
      <c r="F255" s="161">
        <f t="shared" si="56"/>
        <v>3.54</v>
      </c>
      <c r="G255" s="161">
        <f t="shared" si="56"/>
        <v>3.54</v>
      </c>
      <c r="H255" s="161">
        <f t="shared" si="56"/>
        <v>3.54</v>
      </c>
      <c r="I255" s="161">
        <f t="shared" si="56"/>
        <v>3.54</v>
      </c>
      <c r="J255" s="161">
        <f t="shared" si="56"/>
        <v>3.54</v>
      </c>
      <c r="K255" s="161">
        <f t="shared" si="56"/>
        <v>3.54</v>
      </c>
      <c r="L255" s="161">
        <f t="shared" si="56"/>
        <v>3.54</v>
      </c>
      <c r="M255" s="161">
        <f t="shared" si="56"/>
        <v>3.54</v>
      </c>
      <c r="N255" s="161">
        <f t="shared" si="56"/>
        <v>3.54</v>
      </c>
      <c r="O255" s="161">
        <f t="shared" si="56"/>
        <v>3.54</v>
      </c>
      <c r="P255" s="161">
        <f t="shared" si="56"/>
        <v>3.54</v>
      </c>
      <c r="Q255" s="161">
        <f t="shared" si="56"/>
        <v>3.54</v>
      </c>
      <c r="R255" s="161">
        <f t="shared" si="56"/>
        <v>3.54</v>
      </c>
      <c r="S255" s="161">
        <f t="shared" si="56"/>
        <v>3.54</v>
      </c>
      <c r="T255" s="161">
        <f t="shared" si="56"/>
        <v>3.54</v>
      </c>
      <c r="U255" s="161">
        <f t="shared" si="56"/>
        <v>3.54</v>
      </c>
      <c r="V255" s="161">
        <f t="shared" si="56"/>
        <v>3.54</v>
      </c>
      <c r="W255" s="161">
        <f t="shared" si="56"/>
        <v>3.54</v>
      </c>
      <c r="X255" s="161">
        <f t="shared" si="56"/>
        <v>3.54</v>
      </c>
      <c r="Y255" s="161">
        <f t="shared" si="56"/>
        <v>3.54</v>
      </c>
      <c r="Z255" s="161">
        <f t="shared" si="56"/>
        <v>3.54</v>
      </c>
      <c r="AA255" s="161">
        <f t="shared" si="56"/>
        <v>3.54</v>
      </c>
      <c r="AB255" s="161">
        <f t="shared" si="56"/>
        <v>3.54</v>
      </c>
      <c r="AC255" s="161">
        <f t="shared" si="56"/>
        <v>3.54</v>
      </c>
      <c r="AD255" s="161">
        <f t="shared" si="56"/>
        <v>3.54</v>
      </c>
      <c r="AE255" s="161">
        <f t="shared" si="56"/>
        <v>3.54</v>
      </c>
      <c r="AF255" s="161">
        <f t="shared" si="56"/>
        <v>3.54</v>
      </c>
      <c r="AG255" s="171">
        <f t="shared" si="56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2120.94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2080/10/16)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2518" priority="158">
      <formula>$AH11=0</formula>
    </cfRule>
  </conditionalFormatting>
  <conditionalFormatting sqref="A89">
    <cfRule type="expression" dxfId="2517" priority="216">
      <formula>$AH94=0</formula>
    </cfRule>
  </conditionalFormatting>
  <conditionalFormatting sqref="A90:A94">
    <cfRule type="expression" dxfId="2516" priority="159">
      <formula>$AH89=0</formula>
    </cfRule>
  </conditionalFormatting>
  <conditionalFormatting sqref="B8">
    <cfRule type="expression" dxfId="2515" priority="212">
      <formula>AND(C$9&gt;=14/24,C$9&lt;20/24)</formula>
    </cfRule>
    <cfRule type="expression" dxfId="2514" priority="213">
      <formula>AND(C$9&gt;=8/24,C$9&lt;14/24)</formula>
    </cfRule>
    <cfRule type="expression" dxfId="2513" priority="214">
      <formula>C$9&lt;8/24</formula>
    </cfRule>
    <cfRule type="expression" dxfId="2512" priority="215">
      <formula>C$9&gt;=20/24</formula>
    </cfRule>
  </conditionalFormatting>
  <conditionalFormatting sqref="B66:D77 E71:Z77">
    <cfRule type="expression" dxfId="2511" priority="23">
      <formula>B$9&gt;=20/24</formula>
    </cfRule>
    <cfRule type="expression" dxfId="2510" priority="24">
      <formula>AND(B$9&gt;=14/24,B$9&lt;20/24)</formula>
    </cfRule>
    <cfRule type="expression" dxfId="2509" priority="25">
      <formula>AND(B$9&gt;=8/24,B$9&lt;14/24)</formula>
    </cfRule>
    <cfRule type="expression" dxfId="2508" priority="26">
      <formula>B$9&lt;8/24</formula>
    </cfRule>
  </conditionalFormatting>
  <conditionalFormatting sqref="B11:Z14">
    <cfRule type="expression" dxfId="2507" priority="75">
      <formula>B$9&gt;=20/24</formula>
    </cfRule>
    <cfRule type="expression" dxfId="2506" priority="76">
      <formula>AND(B$9&gt;=14/24,B$9&lt;20/24)</formula>
    </cfRule>
    <cfRule type="expression" dxfId="2505" priority="77">
      <formula>AND(B$9&gt;=8/24,B$9&lt;14/24)</formula>
    </cfRule>
    <cfRule type="expression" dxfId="2504" priority="78">
      <formula>B$9&lt;8/24</formula>
    </cfRule>
  </conditionalFormatting>
  <conditionalFormatting sqref="B15:Z57">
    <cfRule type="expression" dxfId="2503" priority="64">
      <formula>B$9&gt;=20/24</formula>
    </cfRule>
    <cfRule type="expression" dxfId="2502" priority="65">
      <formula>AND(B$9&gt;=14/24,B$9&lt;20/24)</formula>
    </cfRule>
    <cfRule type="expression" dxfId="2501" priority="66">
      <formula>AND(B$9&gt;=8/24,B$9&lt;14/24)</formula>
    </cfRule>
    <cfRule type="expression" dxfId="2500" priority="67">
      <formula>B$9&lt;8/24</formula>
    </cfRule>
  </conditionalFormatting>
  <conditionalFormatting sqref="B15:Z58">
    <cfRule type="expression" dxfId="2499" priority="63">
      <formula>B15&gt;$AG15</formula>
    </cfRule>
  </conditionalFormatting>
  <conditionalFormatting sqref="B57:Z58">
    <cfRule type="expression" dxfId="2498" priority="56">
      <formula>B$9&gt;=20/24</formula>
    </cfRule>
    <cfRule type="expression" dxfId="2497" priority="57">
      <formula>AND(B$9&gt;=14/24,B$9&lt;20/24)</formula>
    </cfRule>
    <cfRule type="expression" dxfId="2496" priority="58">
      <formula>AND(B$9&gt;=8/24,B$9&lt;14/24)</formula>
    </cfRule>
  </conditionalFormatting>
  <conditionalFormatting sqref="B58:Z58">
    <cfRule type="expression" dxfId="2495" priority="59">
      <formula>B$9&lt;8/24</formula>
    </cfRule>
  </conditionalFormatting>
  <conditionalFormatting sqref="B11:AC14">
    <cfRule type="expression" dxfId="2494" priority="74">
      <formula>B11&gt;$AG11</formula>
    </cfRule>
  </conditionalFormatting>
  <conditionalFormatting sqref="B61:AC83">
    <cfRule type="expression" dxfId="2493" priority="17">
      <formula>B61&gt;$AG61</formula>
    </cfRule>
  </conditionalFormatting>
  <conditionalFormatting sqref="B62:AC65">
    <cfRule type="expression" dxfId="2492" priority="48">
      <formula>B$9&gt;=20/24</formula>
    </cfRule>
    <cfRule type="expression" dxfId="2491" priority="49">
      <formula>AND(B$9&gt;=14/24,B$9&lt;20/24)</formula>
    </cfRule>
    <cfRule type="expression" dxfId="2490" priority="50">
      <formula>AND(B$9&gt;=8/24,B$9&lt;14/24)</formula>
    </cfRule>
    <cfRule type="expression" dxfId="2489" priority="51">
      <formula>B$9&lt;8/24</formula>
    </cfRule>
  </conditionalFormatting>
  <conditionalFormatting sqref="B80:AC83">
    <cfRule type="expression" dxfId="2488" priority="18">
      <formula>B$9&gt;=20/24</formula>
    </cfRule>
    <cfRule type="expression" dxfId="2487" priority="19">
      <formula>AND(B$9&gt;=14/24,B$9&lt;20/24)</formula>
    </cfRule>
    <cfRule type="expression" dxfId="2486" priority="20">
      <formula>AND(B$9&gt;=8/24,B$9&lt;14/24)</formula>
    </cfRule>
    <cfRule type="expression" dxfId="2485" priority="21">
      <formula>B$9&lt;8/24</formula>
    </cfRule>
  </conditionalFormatting>
  <conditionalFormatting sqref="B84:AC94">
    <cfRule type="expression" dxfId="2484" priority="9">
      <formula>B$9&gt;=20/24</formula>
    </cfRule>
    <cfRule type="expression" dxfId="2483" priority="10">
      <formula>AND(B$9&gt;=14/24,B$9&lt;20/24)</formula>
    </cfRule>
    <cfRule type="expression" dxfId="2482" priority="11">
      <formula>AND(B$9&gt;=8/24,B$9&lt;14/24)</formula>
    </cfRule>
    <cfRule type="expression" dxfId="2481" priority="12">
      <formula>B$9&lt;8/24</formula>
    </cfRule>
  </conditionalFormatting>
  <conditionalFormatting sqref="B9:AF10 AA66:AF77 AD80:AD94 AE80:AF101 B95:AD101 B102:AF102 B247:AF247 B249:B255">
    <cfRule type="expression" dxfId="2480" priority="120">
      <formula>AND(B$9&gt;=14/24,B$9&lt;20/24)</formula>
    </cfRule>
    <cfRule type="expression" dxfId="2479" priority="121">
      <formula>AND(B$9&gt;=8/24,B$9&lt;14/24)</formula>
    </cfRule>
    <cfRule type="expression" dxfId="2478" priority="122">
      <formula>B$9&lt;8/24</formula>
    </cfRule>
  </conditionalFormatting>
  <conditionalFormatting sqref="B58:AF60">
    <cfRule type="expression" dxfId="2477" priority="115">
      <formula>B$9&gt;=20/24</formula>
    </cfRule>
    <cfRule type="expression" dxfId="2476" priority="116">
      <formula>AND(B$9&gt;=14/24,B$9&lt;20/24)</formula>
    </cfRule>
    <cfRule type="expression" dxfId="2475" priority="117">
      <formula>AND(B$9&gt;=8/24,B$9&lt;14/24)</formula>
    </cfRule>
    <cfRule type="expression" dxfId="2474" priority="127">
      <formula>B$9&lt;8/24</formula>
    </cfRule>
  </conditionalFormatting>
  <conditionalFormatting sqref="B104:AF120">
    <cfRule type="expression" dxfId="2473" priority="5">
      <formula>B$9&gt;=20/24</formula>
    </cfRule>
    <cfRule type="expression" dxfId="2472" priority="6">
      <formula>AND(B$9&gt;=14/24,B$9&lt;20/24)</formula>
    </cfRule>
    <cfRule type="expression" dxfId="2471" priority="7">
      <formula>AND(B$9&gt;=8/24,B$9&lt;14/24)</formula>
    </cfRule>
    <cfRule type="expression" dxfId="2470" priority="8">
      <formula>B$9&lt;8/24</formula>
    </cfRule>
  </conditionalFormatting>
  <conditionalFormatting sqref="B122:AF140">
    <cfRule type="expression" dxfId="2469" priority="1">
      <formula>B$9&gt;=20/24</formula>
    </cfRule>
    <cfRule type="expression" dxfId="2468" priority="2">
      <formula>AND(B$9&gt;=14/24,B$9&lt;20/24)</formula>
    </cfRule>
    <cfRule type="expression" dxfId="2467" priority="3">
      <formula>AND(B$9&gt;=8/24,B$9&lt;14/24)</formula>
    </cfRule>
    <cfRule type="expression" dxfId="2466" priority="4">
      <formula>B$9&lt;8/24</formula>
    </cfRule>
  </conditionalFormatting>
  <conditionalFormatting sqref="D249:AF255">
    <cfRule type="expression" dxfId="2465" priority="197">
      <formula>D$9&gt;=20/24</formula>
    </cfRule>
    <cfRule type="expression" dxfId="2464" priority="198">
      <formula>AND(D$9&gt;=14/24,D$9&lt;20/24)</formula>
    </cfRule>
    <cfRule type="expression" dxfId="2463" priority="199">
      <formula>AND(D$9&gt;=8/24,D$9&lt;14/24)</formula>
    </cfRule>
    <cfRule type="expression" dxfId="2462" priority="200">
      <formula>D$9&lt;8/24</formula>
    </cfRule>
  </conditionalFormatting>
  <conditionalFormatting sqref="E66:K71">
    <cfRule type="expression" dxfId="2461" priority="27">
      <formula>E$9&gt;=20/24</formula>
    </cfRule>
    <cfRule type="expression" dxfId="2460" priority="28">
      <formula>AND(E$9&gt;=14/24,E$9&lt;20/24)</formula>
    </cfRule>
    <cfRule type="expression" dxfId="2459" priority="29">
      <formula>AND(E$9&gt;=8/24,E$9&lt;14/24)</formula>
    </cfRule>
    <cfRule type="expression" dxfId="2458" priority="30">
      <formula>E$9&lt;8/24</formula>
    </cfRule>
  </conditionalFormatting>
  <conditionalFormatting sqref="F66:M68">
    <cfRule type="expression" dxfId="2457" priority="39">
      <formula>F$9&gt;=20/24</formula>
    </cfRule>
    <cfRule type="expression" dxfId="2456" priority="40">
      <formula>AND(F$9&gt;=14/24,F$9&lt;20/24)</formula>
    </cfRule>
    <cfRule type="expression" dxfId="2455" priority="41">
      <formula>AND(F$9&gt;=8/24,F$9&lt;14/24)</formula>
    </cfRule>
    <cfRule type="expression" dxfId="2454" priority="42">
      <formula>F$9&lt;8/24</formula>
    </cfRule>
  </conditionalFormatting>
  <conditionalFormatting sqref="M8 S8 AB8">
    <cfRule type="expression" dxfId="2453" priority="204">
      <formula>AND(N$9&gt;=14/24,N$9&lt;20/24)</formula>
    </cfRule>
    <cfRule type="expression" dxfId="2452" priority="205">
      <formula>AND(N$9&gt;=8/24,N$9&lt;14/24)</formula>
    </cfRule>
    <cfRule type="expression" dxfId="2451" priority="206">
      <formula>N$9&lt;8/24</formula>
    </cfRule>
  </conditionalFormatting>
  <conditionalFormatting sqref="M66:Z70">
    <cfRule type="expression" dxfId="2450" priority="43">
      <formula>M$9&gt;=20/24</formula>
    </cfRule>
    <cfRule type="expression" dxfId="2449" priority="44">
      <formula>AND(M$9&gt;=14/24,M$9&lt;20/24)</formula>
    </cfRule>
    <cfRule type="expression" dxfId="2448" priority="45">
      <formula>AND(M$9&gt;=8/24,M$9&lt;14/24)</formula>
    </cfRule>
    <cfRule type="expression" dxfId="2447" priority="46">
      <formula>M$9&lt;8/24</formula>
    </cfRule>
  </conditionalFormatting>
  <conditionalFormatting sqref="O3:P3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446" priority="203">
      <formula>N$9&gt;=20/24</formula>
    </cfRule>
  </conditionalFormatting>
  <conditionalFormatting sqref="S8">
    <cfRule type="expression" dxfId="2445" priority="190">
      <formula>U$9&gt;=20/24</formula>
    </cfRule>
    <cfRule type="expression" dxfId="2444" priority="191">
      <formula>AND(U$9&gt;=14/24,U$9&lt;20/24)</formula>
    </cfRule>
    <cfRule type="expression" dxfId="2443" priority="192">
      <formula>AND(U$9&gt;=8/24,U$9&lt;14/24)</formula>
    </cfRule>
    <cfRule type="expression" dxfId="2442" priority="193">
      <formula>U$9&lt;8/24</formula>
    </cfRule>
  </conditionalFormatting>
  <conditionalFormatting sqref="V3 AB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A11:AF57">
    <cfRule type="expression" dxfId="2441" priority="133">
      <formula>AA$9&gt;=20/24</formula>
    </cfRule>
    <cfRule type="expression" dxfId="2440" priority="134">
      <formula>AND(AA$9&gt;=14/24,AA$9&lt;20/24)</formula>
    </cfRule>
    <cfRule type="expression" dxfId="2439" priority="135">
      <formula>AND(AA$9&gt;=8/24,AA$9&lt;14/24)</formula>
    </cfRule>
    <cfRule type="expression" dxfId="2438" priority="136">
      <formula>AA$9&lt;8/24</formula>
    </cfRule>
  </conditionalFormatting>
  <conditionalFormatting sqref="AA66:AF77 AD80:AD94 AE80:AF101 B9:AF10 B95:AD101 B102:AF102 B247:AF247 B249:B255">
    <cfRule type="expression" dxfId="2437" priority="119">
      <formula>B$9&gt;=20/24</formula>
    </cfRule>
  </conditionalFormatting>
  <conditionalFormatting sqref="AB8">
    <cfRule type="expression" dxfId="2436" priority="186">
      <formula>AD$9&gt;=20/24</formula>
    </cfRule>
    <cfRule type="expression" dxfId="2435" priority="187">
      <formula>AND(AD$9&gt;=14/24,AD$9&lt;20/24)</formula>
    </cfRule>
    <cfRule type="expression" dxfId="2434" priority="188">
      <formula>AND(AD$9&gt;=8/24,AD$9&lt;14/24)</formula>
    </cfRule>
    <cfRule type="expression" dxfId="2433" priority="189">
      <formula>AD$9&lt;8/24</formula>
    </cfRule>
  </conditionalFormatting>
  <conditionalFormatting sqref="AD11:AF83 AA15:AC60 B58:Z60 AG61 AG65 AG83">
    <cfRule type="expression" dxfId="2432" priority="118">
      <formula>B11&gt;$AG11</formula>
    </cfRule>
  </conditionalFormatting>
  <conditionalFormatting sqref="AD62:AF65">
    <cfRule type="expression" dxfId="2431" priority="138">
      <formula>AD$9&gt;=20/24</formula>
    </cfRule>
    <cfRule type="expression" dxfId="2430" priority="139">
      <formula>AND(AD$9&gt;=14/24,AD$9&lt;20/24)</formula>
    </cfRule>
    <cfRule type="expression" dxfId="2429" priority="140">
      <formula>AND(AD$9&gt;=8/24,AD$9&lt;14/24)</formula>
    </cfRule>
    <cfRule type="expression" dxfId="2428" priority="141">
      <formula>AD$9&lt;8/24</formula>
    </cfRule>
  </conditionalFormatting>
  <conditionalFormatting sqref="AG65">
    <cfRule type="expression" dxfId="2427" priority="165">
      <formula>AG$9&gt;=20/24</formula>
    </cfRule>
    <cfRule type="expression" dxfId="2426" priority="166">
      <formula>AND(AG$9&gt;=14/24,AG$9&lt;20/24)</formula>
    </cfRule>
    <cfRule type="expression" dxfId="2425" priority="167">
      <formula>AND(AG$9&gt;=8/24,AG$9&lt;14/24)</formula>
    </cfRule>
    <cfRule type="expression" dxfId="2424" priority="168">
      <formula>AG$9&lt;8/24</formula>
    </cfRule>
  </conditionalFormatting>
  <conditionalFormatting sqref="AG78:AG79">
    <cfRule type="expression" dxfId="2423" priority="160">
      <formula>AG78&gt;$AG78</formula>
    </cfRule>
  </conditionalFormatting>
  <conditionalFormatting sqref="AG83">
    <cfRule type="expression" dxfId="2422" priority="161">
      <formula>AG$9&gt;=20/24</formula>
    </cfRule>
    <cfRule type="expression" dxfId="2421" priority="162">
      <formula>AND(AG$9&gt;=14/24,AG$9&lt;20/24)</formula>
    </cfRule>
    <cfRule type="expression" dxfId="2420" priority="163">
      <formula>AND(AG$9&gt;=8/24,AG$9&lt;14/24)</formula>
    </cfRule>
    <cfRule type="expression" dxfId="2419" priority="164">
      <formula>AG$9&lt;8/24</formula>
    </cfRule>
  </conditionalFormatting>
  <conditionalFormatting sqref="AG100">
    <cfRule type="expression" dxfId="2418" priority="182">
      <formula>AG$9&gt;=20/24</formula>
    </cfRule>
    <cfRule type="expression" dxfId="2417" priority="183">
      <formula>AND(AG$9&gt;=14/24,AG$9&lt;20/24)</formula>
    </cfRule>
    <cfRule type="expression" dxfId="2416" priority="184">
      <formula>AND(AG$9&gt;=8/24,AG$9&lt;14/24)</formula>
    </cfRule>
    <cfRule type="expression" dxfId="2415" priority="185">
      <formula>AG$9&lt;8/24</formula>
    </cfRule>
  </conditionalFormatting>
  <conditionalFormatting sqref="AL4:AL6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414" priority="207">
      <formula>AJ$9&gt;=20/24</formula>
    </cfRule>
    <cfRule type="expression" dxfId="2413" priority="208">
      <formula>AND(AJ$9&gt;=14/24,AJ$9&lt;20/24)</formula>
    </cfRule>
    <cfRule type="expression" dxfId="2412" priority="209">
      <formula>AND(AJ$9&gt;=8/24,AJ$9&lt;14/24)</formula>
    </cfRule>
    <cfRule type="expression" dxfId="2411" priority="210">
      <formula>AJ$9&lt;8/24</formula>
    </cfRule>
  </conditionalFormatting>
  <conditionalFormatting sqref="AL86:AN86 AL92:AN92">
    <cfRule type="expression" dxfId="2410" priority="175">
      <formula>AL$9&gt;=20/24</formula>
    </cfRule>
    <cfRule type="expression" dxfId="2409" priority="176">
      <formula>AND(AL$9&gt;=14/24,AL$9&lt;20/24)</formula>
    </cfRule>
    <cfRule type="expression" dxfId="2408" priority="177">
      <formula>AND(AL$9&gt;=8/24,AL$9&lt;14/24)</formula>
    </cfRule>
    <cfRule type="expression" dxfId="2407" priority="178">
      <formula>AL$9&lt;8/24</formula>
    </cfRule>
  </conditionalFormatting>
  <conditionalFormatting sqref="AM15:AM21 AN16:AR21">
    <cfRule type="expression" dxfId="2406" priority="91">
      <formula>AX$9&gt;=20/24</formula>
    </cfRule>
    <cfRule type="expression" dxfId="2405" priority="92">
      <formula>AND(AX$9&gt;=14/24,AX$9&lt;20/24)</formula>
    </cfRule>
    <cfRule type="expression" dxfId="2404" priority="93">
      <formula>AND(AX$9&gt;=8/24,AX$9&lt;14/24)</formula>
    </cfRule>
    <cfRule type="expression" dxfId="2403" priority="94">
      <formula>AX$9&lt;8/24</formula>
    </cfRule>
  </conditionalFormatting>
  <conditionalFormatting sqref="AN87:AN90">
    <cfRule type="expression" dxfId="2402" priority="171">
      <formula>AN$9&gt;=20/24</formula>
    </cfRule>
    <cfRule type="expression" dxfId="2401" priority="172">
      <formula>AND(AN$9&gt;=14/24,AN$9&lt;20/24)</formula>
    </cfRule>
    <cfRule type="expression" dxfId="2400" priority="173">
      <formula>AND(AN$9&gt;=8/24,AN$9&lt;14/24)</formula>
    </cfRule>
    <cfRule type="expression" dxfId="2399" priority="174">
      <formula>AN$9&lt;8/24</formula>
    </cfRule>
  </conditionalFormatting>
  <conditionalFormatting sqref="AN15:AR15">
    <cfRule type="expression" dxfId="2398" priority="79">
      <formula>U$9&gt;=20/24</formula>
    </cfRule>
    <cfRule type="expression" dxfId="2397" priority="80">
      <formula>AND(U$9&gt;=14/24,U$9&lt;20/24)</formula>
    </cfRule>
    <cfRule type="expression" dxfId="2396" priority="81">
      <formula>AND(U$9&gt;=8/24,U$9&lt;14/24)</formula>
    </cfRule>
    <cfRule type="expression" dxfId="2395" priority="82">
      <formula>U$9&lt;8/24</formula>
    </cfRule>
  </conditionalFormatting>
  <conditionalFormatting sqref="AS15">
    <cfRule type="expression" dxfId="2394" priority="87">
      <formula>AA$9&gt;=20/24</formula>
    </cfRule>
    <cfRule type="expression" dxfId="2393" priority="88">
      <formula>AND(AA$9&gt;=14/24,AA$9&lt;20/24)</formula>
    </cfRule>
    <cfRule type="expression" dxfId="2392" priority="89">
      <formula>AND(AA$9&gt;=8/24,AA$9&lt;14/24)</formula>
    </cfRule>
    <cfRule type="expression" dxfId="2391" priority="90">
      <formula>AA$9&lt;8/24</formula>
    </cfRule>
  </conditionalFormatting>
  <conditionalFormatting sqref="AS16:AS21">
    <cfRule type="expression" dxfId="2390" priority="95">
      <formula>BE$9&gt;=20/24</formula>
    </cfRule>
    <cfRule type="expression" dxfId="2389" priority="96">
      <formula>AND(BE$9&gt;=14/24,BE$9&lt;20/24)</formula>
    </cfRule>
    <cfRule type="expression" dxfId="2388" priority="97">
      <formula>AND(BE$9&gt;=8/24,BE$9&lt;14/24)</formula>
    </cfRule>
    <cfRule type="expression" dxfId="2387" priority="98">
      <formula>BE$9&lt;8/24</formula>
    </cfRule>
  </conditionalFormatting>
  <conditionalFormatting sqref="AT15 AX15:BJ15">
    <cfRule type="expression" dxfId="2386" priority="99">
      <formula>AC$9&gt;=20/24</formula>
    </cfRule>
    <cfRule type="expression" dxfId="2385" priority="100">
      <formula>AND(AC$9&gt;=14/24,AC$9&lt;20/24)</formula>
    </cfRule>
    <cfRule type="expression" dxfId="2384" priority="101">
      <formula>AND(AC$9&gt;=8/24,AC$9&lt;14/24)</formula>
    </cfRule>
    <cfRule type="expression" dxfId="2383" priority="102">
      <formula>AC$9&lt;8/24</formula>
    </cfRule>
  </conditionalFormatting>
  <conditionalFormatting sqref="AT16:AT21">
    <cfRule type="expression" dxfId="2382" priority="103">
      <formula>BG$9&gt;=20/24</formula>
    </cfRule>
    <cfRule type="expression" dxfId="2381" priority="104">
      <formula>AND(BG$9&gt;=14/24,BG$9&lt;20/24)</formula>
    </cfRule>
    <cfRule type="expression" dxfId="2380" priority="105">
      <formula>AND(BG$9&gt;=8/24,BG$9&lt;14/24)</formula>
    </cfRule>
    <cfRule type="expression" dxfId="2379" priority="106">
      <formula>BG$9&lt;8/24</formula>
    </cfRule>
  </conditionalFormatting>
  <conditionalFormatting sqref="AU15:AV15">
    <cfRule type="expression" dxfId="2378" priority="107">
      <formula>AE$9&gt;=20/24</formula>
    </cfRule>
    <cfRule type="expression" dxfId="2377" priority="108">
      <formula>AND(AE$9&gt;=14/24,AE$9&lt;20/24)</formula>
    </cfRule>
    <cfRule type="expression" dxfId="2376" priority="109">
      <formula>AND(AE$9&gt;=8/24,AE$9&lt;14/24)</formula>
    </cfRule>
    <cfRule type="expression" dxfId="2375" priority="110">
      <formula>AE$9&lt;8/24</formula>
    </cfRule>
  </conditionalFormatting>
  <conditionalFormatting sqref="AU16:BJ21">
    <cfRule type="expression" dxfId="2374" priority="111">
      <formula>BI$9&gt;=20/24</formula>
    </cfRule>
    <cfRule type="expression" dxfId="2373" priority="112">
      <formula>AND(BI$9&gt;=14/24,BI$9&lt;20/24)</formula>
    </cfRule>
    <cfRule type="expression" dxfId="2372" priority="113">
      <formula>AND(BI$9&gt;=8/24,BI$9&lt;14/24)</formula>
    </cfRule>
    <cfRule type="expression" dxfId="2371" priority="114">
      <formula>BI$9&lt;8/24</formula>
    </cfRule>
  </conditionalFormatting>
  <conditionalFormatting sqref="AW15">
    <cfRule type="expression" dxfId="2370" priority="83">
      <formula>B$9&gt;=20/24</formula>
    </cfRule>
    <cfRule type="expression" dxfId="2369" priority="84">
      <formula>AND(B$9&gt;=14/24,B$9&lt;20/24)</formula>
    </cfRule>
    <cfRule type="expression" dxfId="2368" priority="85">
      <formula>AND(B$9&gt;=8/24,B$9&lt;14/24)</formula>
    </cfRule>
    <cfRule type="expression" dxfId="2367" priority="86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A57A-429F-4BF6-A1FF-1D7A1E34CD0C}">
  <sheetPr codeName="Sheet18"/>
  <dimension ref="A1:CJ297"/>
  <sheetViews>
    <sheetView zoomScale="106" workbookViewId="0">
      <pane xSplit="1" ySplit="10" topLeftCell="H8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T100" sqref="T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9.2851562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2080/10/17</v>
      </c>
      <c r="C4" s="187"/>
      <c r="D4" s="187"/>
      <c r="E4" s="188" t="str">
        <f ca="1">"2080/"&amp;"10/"&amp;INT(MID(CELL("filename",G6),FIND("]",CELL("filename",G6))+1,200))</f>
        <v>2080/10/17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47.2</v>
      </c>
      <c r="C5" s="30">
        <f t="shared" si="0"/>
        <v>47.2</v>
      </c>
      <c r="D5" s="30">
        <f t="shared" si="0"/>
        <v>49.8</v>
      </c>
      <c r="E5" s="30">
        <f t="shared" si="0"/>
        <v>49</v>
      </c>
      <c r="F5" s="30">
        <f t="shared" si="0"/>
        <v>40</v>
      </c>
      <c r="G5" s="30">
        <f t="shared" si="0"/>
        <v>41</v>
      </c>
      <c r="H5" s="30">
        <f t="shared" si="0"/>
        <v>42.4</v>
      </c>
      <c r="I5" s="30">
        <f t="shared" si="0"/>
        <v>141.69999999999999</v>
      </c>
      <c r="J5" s="30">
        <f t="shared" si="0"/>
        <v>188.9</v>
      </c>
      <c r="K5" s="30">
        <f t="shared" si="0"/>
        <v>138.5</v>
      </c>
      <c r="L5" s="30">
        <f t="shared" si="0"/>
        <v>185.7</v>
      </c>
      <c r="M5" s="30">
        <f t="shared" si="0"/>
        <v>368</v>
      </c>
      <c r="N5" s="30">
        <f t="shared" si="0"/>
        <v>368</v>
      </c>
      <c r="O5" s="30">
        <f t="shared" si="0"/>
        <v>484.1</v>
      </c>
      <c r="P5" s="30">
        <f t="shared" si="0"/>
        <v>491.8</v>
      </c>
      <c r="Q5" s="30">
        <f t="shared" si="0"/>
        <v>520.29999999999995</v>
      </c>
      <c r="R5" s="30">
        <f t="shared" si="0"/>
        <v>611.79999999999995</v>
      </c>
      <c r="S5" s="30">
        <f t="shared" si="0"/>
        <v>560</v>
      </c>
      <c r="T5" s="30">
        <f t="shared" si="0"/>
        <v>478.9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40.6</v>
      </c>
      <c r="Y5" s="30">
        <f t="shared" si="0"/>
        <v>0</v>
      </c>
      <c r="Z5" s="30">
        <f t="shared" si="0"/>
        <v>0</v>
      </c>
      <c r="AA5" s="30">
        <f t="shared" si="0"/>
        <v>25.1</v>
      </c>
      <c r="AB5" s="30">
        <f t="shared" si="0"/>
        <v>22.1</v>
      </c>
      <c r="AC5" s="30">
        <f t="shared" si="0"/>
        <v>13</v>
      </c>
      <c r="AD5" s="30">
        <f t="shared" si="0"/>
        <v>32.700000000000003</v>
      </c>
      <c r="AE5" s="30">
        <f t="shared" si="0"/>
        <v>17.399999999999999</v>
      </c>
      <c r="AF5" s="30">
        <f>B95</f>
        <v>47.2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2137MW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1858.1399999999994</v>
      </c>
      <c r="C7" s="35">
        <f t="shared" si="1"/>
        <v>1859.1399999999994</v>
      </c>
      <c r="D7" s="35">
        <f t="shared" si="1"/>
        <v>1860.1399999999994</v>
      </c>
      <c r="E7" s="35">
        <f t="shared" si="1"/>
        <v>1809.1399999999994</v>
      </c>
      <c r="F7" s="35">
        <f t="shared" si="1"/>
        <v>1893.2399999999998</v>
      </c>
      <c r="G7" s="35">
        <f t="shared" si="1"/>
        <v>1782.04</v>
      </c>
      <c r="H7" s="35">
        <f t="shared" si="1"/>
        <v>1758.3399999999997</v>
      </c>
      <c r="I7" s="35">
        <f t="shared" si="1"/>
        <v>1501.9399999999998</v>
      </c>
      <c r="J7" s="35">
        <f t="shared" si="1"/>
        <v>1665.3399999999997</v>
      </c>
      <c r="K7" s="35">
        <f t="shared" si="1"/>
        <v>1809.8399999999997</v>
      </c>
      <c r="L7" s="35">
        <f t="shared" si="1"/>
        <v>1821.1400000000003</v>
      </c>
      <c r="M7" s="35">
        <f t="shared" si="1"/>
        <v>1817.14</v>
      </c>
      <c r="N7" s="35">
        <f t="shared" si="1"/>
        <v>1949.44</v>
      </c>
      <c r="O7" s="35">
        <f t="shared" si="1"/>
        <v>1879.44</v>
      </c>
      <c r="P7" s="35">
        <f t="shared" si="1"/>
        <v>2010.6399999999999</v>
      </c>
      <c r="Q7" s="35">
        <f t="shared" si="1"/>
        <v>1994.34</v>
      </c>
      <c r="R7" s="35">
        <f t="shared" si="1"/>
        <v>2014.2399999999998</v>
      </c>
      <c r="S7" s="35">
        <f t="shared" si="1"/>
        <v>1998.8399999999997</v>
      </c>
      <c r="T7" s="35">
        <f t="shared" si="1"/>
        <v>1949.4399999999998</v>
      </c>
      <c r="U7" s="35">
        <f t="shared" si="1"/>
        <v>1847.8399999999997</v>
      </c>
      <c r="V7" s="35">
        <f t="shared" si="1"/>
        <v>1649.74</v>
      </c>
      <c r="W7" s="35">
        <f t="shared" si="1"/>
        <v>649.04</v>
      </c>
      <c r="X7" s="35">
        <f t="shared" si="1"/>
        <v>649.04</v>
      </c>
      <c r="Y7" s="35">
        <f t="shared" si="1"/>
        <v>1605.7999999999997</v>
      </c>
      <c r="Z7" s="35">
        <f t="shared" si="1"/>
        <v>155.5</v>
      </c>
      <c r="AA7" s="35">
        <f t="shared" si="1"/>
        <v>153.54</v>
      </c>
      <c r="AB7" s="35">
        <f t="shared" si="1"/>
        <v>1569.8399999999997</v>
      </c>
      <c r="AC7" s="35">
        <f t="shared" si="1"/>
        <v>1514.04</v>
      </c>
      <c r="AD7" s="35">
        <f t="shared" si="1"/>
        <v>1438.94</v>
      </c>
      <c r="AE7" s="35">
        <f t="shared" si="1"/>
        <v>1494.64</v>
      </c>
      <c r="AF7" s="35">
        <f t="shared" si="1"/>
        <v>1462.2400000000002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2275.14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2014.24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</v>
      </c>
      <c r="C11" s="46">
        <v>25</v>
      </c>
      <c r="D11" s="46">
        <v>25</v>
      </c>
      <c r="E11" s="46">
        <v>24.1</v>
      </c>
      <c r="F11" s="46">
        <v>24.1</v>
      </c>
      <c r="G11" s="46">
        <v>22.7</v>
      </c>
      <c r="H11" s="46">
        <v>22</v>
      </c>
      <c r="I11" s="46">
        <v>23.2</v>
      </c>
      <c r="J11" s="46">
        <v>23.2</v>
      </c>
      <c r="K11" s="46">
        <v>28.9</v>
      </c>
      <c r="L11" s="46">
        <v>27.2</v>
      </c>
      <c r="M11" s="46">
        <v>27.2</v>
      </c>
      <c r="N11" s="46">
        <v>27.2</v>
      </c>
      <c r="O11" s="46">
        <v>27.2</v>
      </c>
      <c r="P11" s="46">
        <v>27.2</v>
      </c>
      <c r="Q11" s="46">
        <v>27.2</v>
      </c>
      <c r="R11" s="46">
        <v>27.2</v>
      </c>
      <c r="S11" s="46">
        <v>27.2</v>
      </c>
      <c r="T11" s="46">
        <v>27.2</v>
      </c>
      <c r="U11" s="46">
        <v>27.2</v>
      </c>
      <c r="V11" s="46">
        <v>34.1</v>
      </c>
      <c r="W11" s="207" t="s">
        <v>311</v>
      </c>
      <c r="X11" s="208"/>
      <c r="Y11" s="46">
        <v>34.1</v>
      </c>
      <c r="Z11" s="46"/>
      <c r="AA11" s="46"/>
      <c r="AB11" s="46">
        <v>34.1</v>
      </c>
      <c r="AC11" s="46">
        <v>34.1</v>
      </c>
      <c r="AD11" s="46">
        <v>34.1</v>
      </c>
      <c r="AE11" s="46">
        <v>34.1</v>
      </c>
      <c r="AF11" s="46">
        <v>34.1</v>
      </c>
      <c r="AG11" s="47">
        <v>86</v>
      </c>
      <c r="AH11" s="48">
        <f t="shared" ref="AH11:AH74" si="2">MAX(B11:AF11)</f>
        <v>34.1</v>
      </c>
      <c r="AI11" s="49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31</v>
      </c>
      <c r="C12" s="46">
        <v>31</v>
      </c>
      <c r="D12" s="46">
        <v>31</v>
      </c>
      <c r="E12" s="46">
        <v>31</v>
      </c>
      <c r="F12" s="46">
        <v>31</v>
      </c>
      <c r="G12" s="46">
        <v>31</v>
      </c>
      <c r="H12" s="46">
        <v>31</v>
      </c>
      <c r="I12" s="46">
        <v>31</v>
      </c>
      <c r="J12" s="46">
        <v>31</v>
      </c>
      <c r="K12" s="46">
        <v>31</v>
      </c>
      <c r="L12" s="46">
        <v>31</v>
      </c>
      <c r="M12" s="46">
        <v>31</v>
      </c>
      <c r="N12" s="46">
        <v>31</v>
      </c>
      <c r="O12" s="46">
        <v>31</v>
      </c>
      <c r="P12" s="46">
        <v>31</v>
      </c>
      <c r="Q12" s="46">
        <v>31</v>
      </c>
      <c r="R12" s="46">
        <v>31</v>
      </c>
      <c r="S12" s="46">
        <v>25.3</v>
      </c>
      <c r="T12" s="46">
        <v>25.3</v>
      </c>
      <c r="U12" s="46">
        <v>25.3</v>
      </c>
      <c r="V12" s="46">
        <v>25.3</v>
      </c>
      <c r="W12" s="46"/>
      <c r="X12" s="46"/>
      <c r="Y12" s="46">
        <v>25.3</v>
      </c>
      <c r="Z12" s="46"/>
      <c r="AA12" s="46"/>
      <c r="AB12" s="46">
        <v>25.3</v>
      </c>
      <c r="AC12" s="46">
        <v>25.3</v>
      </c>
      <c r="AD12" s="46">
        <v>25.3</v>
      </c>
      <c r="AE12" s="46">
        <v>25.3</v>
      </c>
      <c r="AF12" s="46">
        <v>25.3</v>
      </c>
      <c r="AG12" s="50">
        <v>77</v>
      </c>
      <c r="AH12" s="48">
        <f t="shared" si="2"/>
        <v>31</v>
      </c>
      <c r="AI12" s="49">
        <f t="shared" si="3"/>
        <v>25.3</v>
      </c>
      <c r="AK12" s="51"/>
      <c r="AL12" s="52" t="str">
        <f ca="1">MID(CELL("filename",C7),FIND("]",CELL("filename",C7))+1,600)</f>
        <v>17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69.7</v>
      </c>
      <c r="C13" s="46">
        <v>69.7</v>
      </c>
      <c r="D13" s="46">
        <v>69.7</v>
      </c>
      <c r="E13" s="46">
        <v>69.7</v>
      </c>
      <c r="F13" s="46">
        <v>69.7</v>
      </c>
      <c r="G13" s="46">
        <v>69.7</v>
      </c>
      <c r="H13" s="46">
        <v>69.7</v>
      </c>
      <c r="I13" s="46">
        <v>69.7</v>
      </c>
      <c r="J13" s="46">
        <v>69.7</v>
      </c>
      <c r="K13" s="46">
        <v>69.7</v>
      </c>
      <c r="L13" s="46">
        <v>68.8</v>
      </c>
      <c r="M13" s="46">
        <v>68.8</v>
      </c>
      <c r="N13" s="46">
        <v>68.8</v>
      </c>
      <c r="O13" s="46">
        <v>68.8</v>
      </c>
      <c r="P13" s="46">
        <v>68.8</v>
      </c>
      <c r="Q13" s="46">
        <v>68.8</v>
      </c>
      <c r="R13" s="46">
        <v>68.8</v>
      </c>
      <c r="S13" s="46">
        <v>70</v>
      </c>
      <c r="T13" s="46">
        <v>70</v>
      </c>
      <c r="U13" s="46">
        <v>70</v>
      </c>
      <c r="V13" s="46">
        <v>70</v>
      </c>
      <c r="W13" s="46"/>
      <c r="X13" s="46"/>
      <c r="Y13" s="46">
        <v>70</v>
      </c>
      <c r="Z13" s="46"/>
      <c r="AA13" s="46"/>
      <c r="AB13" s="46">
        <v>70</v>
      </c>
      <c r="AC13" s="46">
        <v>70</v>
      </c>
      <c r="AD13" s="46">
        <v>70</v>
      </c>
      <c r="AE13" s="46">
        <v>70</v>
      </c>
      <c r="AF13" s="46">
        <v>70</v>
      </c>
      <c r="AG13" s="50">
        <v>73</v>
      </c>
      <c r="AH13" s="48">
        <f t="shared" si="2"/>
        <v>70</v>
      </c>
      <c r="AI13" s="49">
        <f t="shared" si="3"/>
        <v>68.8</v>
      </c>
      <c r="AK13" s="51"/>
      <c r="AL13" s="52" t="str">
        <f ca="1">"Daily Load Curve(Excluding of Export) of Nepal ("&amp;A4&amp;" "&amp;B4&amp;")"</f>
        <v>Daily Load Curve(Excluding of Export) of Nepal (Nepali Date: 2080/10/17)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40.799999999999997</v>
      </c>
      <c r="C14" s="46">
        <v>40.799999999999997</v>
      </c>
      <c r="D14" s="46">
        <v>40.799999999999997</v>
      </c>
      <c r="E14" s="46">
        <v>40.799999999999997</v>
      </c>
      <c r="F14" s="46">
        <v>40.799999999999997</v>
      </c>
      <c r="G14" s="46">
        <v>40.799999999999997</v>
      </c>
      <c r="H14" s="46">
        <v>40.799999999999997</v>
      </c>
      <c r="I14" s="46">
        <v>40.799999999999997</v>
      </c>
      <c r="J14" s="46">
        <v>40.799999999999997</v>
      </c>
      <c r="K14" s="46">
        <v>40.799999999999997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40.200000000000003</v>
      </c>
      <c r="T14" s="46">
        <v>40.200000000000003</v>
      </c>
      <c r="U14" s="46">
        <v>40.200000000000003</v>
      </c>
      <c r="V14" s="46">
        <v>40.200000000000003</v>
      </c>
      <c r="W14" s="46"/>
      <c r="X14" s="46"/>
      <c r="Y14" s="46">
        <v>40.200000000000003</v>
      </c>
      <c r="Z14" s="46"/>
      <c r="AA14" s="46"/>
      <c r="AB14" s="46">
        <v>40.200000000000003</v>
      </c>
      <c r="AC14" s="46">
        <v>40.200000000000003</v>
      </c>
      <c r="AD14" s="46">
        <v>40.200000000000003</v>
      </c>
      <c r="AE14" s="46">
        <v>40.200000000000003</v>
      </c>
      <c r="AF14" s="46">
        <v>40.200000000000003</v>
      </c>
      <c r="AG14" s="50">
        <v>71</v>
      </c>
      <c r="AH14" s="48">
        <f t="shared" si="2"/>
        <v>40.799999999999997</v>
      </c>
      <c r="AI14" s="49">
        <f t="shared" si="3"/>
        <v>40.200000000000003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45</v>
      </c>
      <c r="C15" s="46">
        <v>45</v>
      </c>
      <c r="D15" s="46">
        <v>45</v>
      </c>
      <c r="E15" s="46">
        <v>45</v>
      </c>
      <c r="F15" s="46">
        <v>45</v>
      </c>
      <c r="G15" s="46">
        <v>45</v>
      </c>
      <c r="H15" s="46">
        <v>45</v>
      </c>
      <c r="I15" s="46">
        <v>45</v>
      </c>
      <c r="J15" s="46">
        <v>45</v>
      </c>
      <c r="K15" s="46">
        <v>45</v>
      </c>
      <c r="L15" s="46">
        <v>45</v>
      </c>
      <c r="M15" s="46">
        <v>45</v>
      </c>
      <c r="N15" s="46">
        <v>45</v>
      </c>
      <c r="O15" s="46">
        <v>45</v>
      </c>
      <c r="P15" s="46">
        <v>45</v>
      </c>
      <c r="Q15" s="46">
        <v>45</v>
      </c>
      <c r="R15" s="46">
        <v>45</v>
      </c>
      <c r="S15" s="46">
        <v>17.399999999999999</v>
      </c>
      <c r="T15" s="46">
        <v>17.399999999999999</v>
      </c>
      <c r="U15" s="46">
        <v>17.399999999999999</v>
      </c>
      <c r="V15" s="46">
        <v>17.399999999999999</v>
      </c>
      <c r="W15" s="46"/>
      <c r="X15" s="46"/>
      <c r="Y15" s="46">
        <v>17.399999999999999</v>
      </c>
      <c r="Z15" s="46"/>
      <c r="AA15" s="46"/>
      <c r="AB15" s="46">
        <v>17.399999999999999</v>
      </c>
      <c r="AC15" s="46">
        <v>17.399999999999999</v>
      </c>
      <c r="AD15" s="46">
        <v>17.399999999999999</v>
      </c>
      <c r="AE15" s="46">
        <v>17.399999999999999</v>
      </c>
      <c r="AF15" s="46">
        <v>17.399999999999999</v>
      </c>
      <c r="AG15" s="50">
        <v>54</v>
      </c>
      <c r="AH15" s="48">
        <f t="shared" si="2"/>
        <v>45</v>
      </c>
      <c r="AI15" s="49">
        <f t="shared" si="3"/>
        <v>17.399999999999999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</v>
      </c>
      <c r="C16" s="46">
        <v>27</v>
      </c>
      <c r="D16" s="46">
        <v>27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>
        <v>27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>
        <v>27</v>
      </c>
      <c r="Q16" s="46">
        <v>27</v>
      </c>
      <c r="R16" s="46">
        <v>27</v>
      </c>
      <c r="S16" s="46">
        <v>12.1</v>
      </c>
      <c r="T16" s="46">
        <v>12.1</v>
      </c>
      <c r="U16" s="46">
        <v>12.1</v>
      </c>
      <c r="V16" s="46">
        <v>12.1</v>
      </c>
      <c r="W16" s="46"/>
      <c r="X16" s="46"/>
      <c r="Y16" s="46">
        <v>12.1</v>
      </c>
      <c r="Z16" s="46"/>
      <c r="AA16" s="46"/>
      <c r="AB16" s="46">
        <v>12.1</v>
      </c>
      <c r="AC16" s="46">
        <v>12.1</v>
      </c>
      <c r="AD16" s="46">
        <v>12.1</v>
      </c>
      <c r="AE16" s="46">
        <v>12.1</v>
      </c>
      <c r="AF16" s="46">
        <v>12.1</v>
      </c>
      <c r="AG16" s="50">
        <v>54</v>
      </c>
      <c r="AH16" s="48">
        <f t="shared" si="2"/>
        <v>27</v>
      </c>
      <c r="AI16" s="49">
        <f t="shared" si="3"/>
        <v>12.1</v>
      </c>
      <c r="AK16" s="51"/>
      <c r="AL16" s="54" t="s">
        <v>7</v>
      </c>
      <c r="AM16" s="59">
        <f t="shared" ref="AM16:AR16" si="4">B61</f>
        <v>871.6999999999997</v>
      </c>
      <c r="AN16" s="59">
        <f t="shared" si="4"/>
        <v>871.6999999999997</v>
      </c>
      <c r="AO16" s="59">
        <f t="shared" si="4"/>
        <v>871.6999999999997</v>
      </c>
      <c r="AP16" s="59">
        <f t="shared" si="4"/>
        <v>870.79999999999973</v>
      </c>
      <c r="AQ16" s="59">
        <f t="shared" si="4"/>
        <v>970.79999999999973</v>
      </c>
      <c r="AR16" s="59">
        <f t="shared" si="4"/>
        <v>869.39999999999975</v>
      </c>
      <c r="AS16" s="59">
        <f>I61</f>
        <v>869.89999999999975</v>
      </c>
      <c r="AT16" s="59">
        <f>K61</f>
        <v>875.59999999999968</v>
      </c>
      <c r="AU16" s="59">
        <f t="shared" ref="AU16:BD16" si="5">M61</f>
        <v>869.40000000000009</v>
      </c>
      <c r="AV16" s="59">
        <f t="shared" si="5"/>
        <v>869.40000000000009</v>
      </c>
      <c r="AW16" s="59">
        <f t="shared" si="5"/>
        <v>869.40000000000009</v>
      </c>
      <c r="AX16" s="59">
        <f t="shared" si="5"/>
        <v>869.40000000000009</v>
      </c>
      <c r="AY16" s="59">
        <f t="shared" si="5"/>
        <v>869.40000000000009</v>
      </c>
      <c r="AZ16" s="59">
        <f t="shared" si="5"/>
        <v>869.40000000000009</v>
      </c>
      <c r="BA16" s="59">
        <f t="shared" si="5"/>
        <v>792.39999999999986</v>
      </c>
      <c r="BB16" s="59">
        <f t="shared" si="5"/>
        <v>792.39999999999986</v>
      </c>
      <c r="BC16" s="59">
        <f t="shared" si="5"/>
        <v>763.59999999999991</v>
      </c>
      <c r="BD16" s="59">
        <f t="shared" si="5"/>
        <v>770.5</v>
      </c>
      <c r="BE16" s="60">
        <f>X61</f>
        <v>150</v>
      </c>
      <c r="BF16" s="60">
        <f>Z61</f>
        <v>150</v>
      </c>
      <c r="BG16" s="60">
        <f>AB61</f>
        <v>784.3</v>
      </c>
      <c r="BH16" s="60">
        <f>AD61</f>
        <v>785.5</v>
      </c>
      <c r="BI16" s="60">
        <f>AE61</f>
        <v>785.5</v>
      </c>
      <c r="BJ16" s="60">
        <f>AF61</f>
        <v>785.5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28.1</v>
      </c>
      <c r="C17" s="46">
        <v>28.1</v>
      </c>
      <c r="D17" s="46">
        <v>28.1</v>
      </c>
      <c r="E17" s="46">
        <v>28.1</v>
      </c>
      <c r="F17" s="46">
        <v>28.1</v>
      </c>
      <c r="G17" s="46">
        <v>28.1</v>
      </c>
      <c r="H17" s="46">
        <v>28.1</v>
      </c>
      <c r="I17" s="46">
        <v>28.1</v>
      </c>
      <c r="J17" s="46">
        <v>28.1</v>
      </c>
      <c r="K17" s="46">
        <v>28.1</v>
      </c>
      <c r="L17" s="46">
        <v>26.1</v>
      </c>
      <c r="M17" s="46">
        <v>26.1</v>
      </c>
      <c r="N17" s="46">
        <v>26.1</v>
      </c>
      <c r="O17" s="46">
        <v>26.1</v>
      </c>
      <c r="P17" s="46">
        <v>26.1</v>
      </c>
      <c r="Q17" s="46">
        <v>26.1</v>
      </c>
      <c r="R17" s="46">
        <v>26.1</v>
      </c>
      <c r="S17" s="46">
        <v>24</v>
      </c>
      <c r="T17" s="46">
        <v>24</v>
      </c>
      <c r="U17" s="46">
        <v>24</v>
      </c>
      <c r="V17" s="46">
        <v>24</v>
      </c>
      <c r="W17" s="46"/>
      <c r="X17" s="46"/>
      <c r="Y17" s="46">
        <v>24</v>
      </c>
      <c r="Z17" s="46"/>
      <c r="AA17" s="46"/>
      <c r="AB17" s="46">
        <v>24</v>
      </c>
      <c r="AC17" s="46">
        <v>24</v>
      </c>
      <c r="AD17" s="46">
        <v>24</v>
      </c>
      <c r="AE17" s="46">
        <v>24</v>
      </c>
      <c r="AF17" s="46">
        <v>24</v>
      </c>
      <c r="AG17" s="47">
        <v>52.4</v>
      </c>
      <c r="AH17" s="48">
        <f t="shared" si="2"/>
        <v>28.1</v>
      </c>
      <c r="AI17" s="49">
        <f t="shared" si="3"/>
        <v>24</v>
      </c>
      <c r="AK17" s="51"/>
      <c r="AL17" s="54" t="s">
        <v>27</v>
      </c>
      <c r="AM17" s="59">
        <f t="shared" ref="AM17:AR17" si="6">B65</f>
        <v>502.3</v>
      </c>
      <c r="AN17" s="59">
        <f t="shared" si="6"/>
        <v>502.3</v>
      </c>
      <c r="AO17" s="59">
        <f t="shared" si="6"/>
        <v>502.3</v>
      </c>
      <c r="AP17" s="59">
        <f t="shared" si="6"/>
        <v>422.3</v>
      </c>
      <c r="AQ17" s="59">
        <f t="shared" si="6"/>
        <v>391</v>
      </c>
      <c r="AR17" s="59">
        <f t="shared" si="6"/>
        <v>380.40000000000003</v>
      </c>
      <c r="AS17" s="59">
        <f>I65</f>
        <v>288.40000000000003</v>
      </c>
      <c r="AT17" s="59">
        <f>K65</f>
        <v>379.90000000000003</v>
      </c>
      <c r="AU17" s="59">
        <f t="shared" ref="AU17:BD17" si="7">M65</f>
        <v>439.6</v>
      </c>
      <c r="AV17" s="59">
        <f t="shared" si="7"/>
        <v>259.60000000000002</v>
      </c>
      <c r="AW17" s="59">
        <f t="shared" si="7"/>
        <v>189.6</v>
      </c>
      <c r="AX17" s="59">
        <f t="shared" si="7"/>
        <v>159.6</v>
      </c>
      <c r="AY17" s="59">
        <f t="shared" si="7"/>
        <v>158.1</v>
      </c>
      <c r="AZ17" s="59">
        <f t="shared" si="7"/>
        <v>158.1</v>
      </c>
      <c r="BA17" s="59">
        <f t="shared" si="7"/>
        <v>158.4</v>
      </c>
      <c r="BB17" s="59">
        <f t="shared" si="7"/>
        <v>156.5</v>
      </c>
      <c r="BC17" s="59">
        <f t="shared" si="7"/>
        <v>209.5</v>
      </c>
      <c r="BD17" s="59">
        <f t="shared" si="7"/>
        <v>495.5</v>
      </c>
      <c r="BE17" s="60">
        <f>X65</f>
        <v>495.5</v>
      </c>
      <c r="BF17" s="60">
        <f>Z65</f>
        <v>0</v>
      </c>
      <c r="BG17" s="60">
        <f>AB65</f>
        <v>355.5</v>
      </c>
      <c r="BH17" s="60">
        <f>AD65</f>
        <v>285.5</v>
      </c>
      <c r="BI17" s="60">
        <f>AE65</f>
        <v>494.9</v>
      </c>
      <c r="BJ17" s="60">
        <f>AF65</f>
        <v>454.7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ht="15.75" thickBot="1" x14ac:dyDescent="0.3">
      <c r="A18" s="45" t="s">
        <v>23</v>
      </c>
      <c r="B18" s="53">
        <v>50.4</v>
      </c>
      <c r="C18" s="53">
        <v>50.4</v>
      </c>
      <c r="D18" s="53">
        <v>50.4</v>
      </c>
      <c r="E18" s="53">
        <v>50.4</v>
      </c>
      <c r="F18" s="53">
        <v>50.4</v>
      </c>
      <c r="G18" s="53">
        <v>50.4</v>
      </c>
      <c r="H18" s="53">
        <v>50.4</v>
      </c>
      <c r="I18" s="53">
        <v>50.4</v>
      </c>
      <c r="J18" s="53">
        <v>50.4</v>
      </c>
      <c r="K18" s="53">
        <v>50.4</v>
      </c>
      <c r="L18" s="53">
        <v>50.4</v>
      </c>
      <c r="M18" s="53">
        <v>50.4</v>
      </c>
      <c r="N18" s="53">
        <v>50.4</v>
      </c>
      <c r="O18" s="53">
        <v>50.4</v>
      </c>
      <c r="P18" s="53">
        <v>50.4</v>
      </c>
      <c r="Q18" s="53">
        <v>50.4</v>
      </c>
      <c r="R18" s="53">
        <v>50.4</v>
      </c>
      <c r="S18" s="46">
        <v>50.3</v>
      </c>
      <c r="T18" s="46">
        <v>50.3</v>
      </c>
      <c r="U18" s="46">
        <v>50.3</v>
      </c>
      <c r="V18" s="46">
        <v>50.3</v>
      </c>
      <c r="W18" s="46"/>
      <c r="X18" s="46"/>
      <c r="Y18" s="46">
        <v>50.3</v>
      </c>
      <c r="Z18" s="53"/>
      <c r="AA18" s="53"/>
      <c r="AB18" s="53">
        <v>50.3</v>
      </c>
      <c r="AC18" s="53">
        <v>50.3</v>
      </c>
      <c r="AD18" s="53">
        <v>50.3</v>
      </c>
      <c r="AE18" s="53">
        <v>50.3</v>
      </c>
      <c r="AF18" s="53">
        <v>50.3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401.84</v>
      </c>
      <c r="AN18" s="59">
        <f t="shared" si="8"/>
        <v>401.84</v>
      </c>
      <c r="AO18" s="59">
        <f t="shared" si="8"/>
        <v>401.84</v>
      </c>
      <c r="AP18" s="59">
        <f t="shared" si="8"/>
        <v>401.84</v>
      </c>
      <c r="AQ18" s="59">
        <f t="shared" si="8"/>
        <v>401.84</v>
      </c>
      <c r="AR18" s="59">
        <f t="shared" si="8"/>
        <v>397.23999999999995</v>
      </c>
      <c r="AS18" s="59">
        <f>I79</f>
        <v>397.23999999999995</v>
      </c>
      <c r="AT18" s="59">
        <f>K79</f>
        <v>397.13999999999993</v>
      </c>
      <c r="AU18" s="59">
        <f t="shared" ref="AU18:BD18" si="9">M79</f>
        <v>362.53999999999996</v>
      </c>
      <c r="AV18" s="59">
        <f t="shared" si="9"/>
        <v>362.53999999999996</v>
      </c>
      <c r="AW18" s="59">
        <f t="shared" si="9"/>
        <v>362.53999999999996</v>
      </c>
      <c r="AX18" s="59">
        <f t="shared" si="9"/>
        <v>412.63999999999993</v>
      </c>
      <c r="AY18" s="59">
        <f t="shared" si="9"/>
        <v>412.63999999999993</v>
      </c>
      <c r="AZ18" s="59">
        <f t="shared" si="9"/>
        <v>412.63999999999993</v>
      </c>
      <c r="BA18" s="59">
        <f t="shared" si="9"/>
        <v>412.63999999999993</v>
      </c>
      <c r="BB18" s="59">
        <f t="shared" si="9"/>
        <v>393.53999999999996</v>
      </c>
      <c r="BC18" s="59">
        <f t="shared" si="9"/>
        <v>374.04</v>
      </c>
      <c r="BD18" s="59">
        <f t="shared" si="9"/>
        <v>383.73999999999995</v>
      </c>
      <c r="BE18" s="60">
        <f>X79</f>
        <v>3.54</v>
      </c>
      <c r="BF18" s="60">
        <f>Z79</f>
        <v>5.5</v>
      </c>
      <c r="BG18" s="60">
        <f>AB79</f>
        <v>395.14</v>
      </c>
      <c r="BH18" s="60">
        <f>AD79</f>
        <v>404.94</v>
      </c>
      <c r="BI18" s="60">
        <f>AE79</f>
        <v>404.94</v>
      </c>
      <c r="BJ18" s="60">
        <f>AF79</f>
        <v>404.94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ht="15.75" thickTop="1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/>
      <c r="X19" s="46"/>
      <c r="Y19" s="46">
        <v>45</v>
      </c>
      <c r="Z19" s="207" t="s">
        <v>311</v>
      </c>
      <c r="AA19" s="208"/>
      <c r="AB19" s="46">
        <v>38.799999999999997</v>
      </c>
      <c r="AC19" s="46">
        <v>38.799999999999997</v>
      </c>
      <c r="AD19" s="46">
        <v>38.799999999999997</v>
      </c>
      <c r="AE19" s="46">
        <v>38.799999999999997</v>
      </c>
      <c r="AF19" s="46">
        <v>38.799999999999997</v>
      </c>
      <c r="AG19" s="50">
        <v>45</v>
      </c>
      <c r="AH19" s="48">
        <f t="shared" si="2"/>
        <v>45</v>
      </c>
      <c r="AI19" s="49">
        <f t="shared" si="3"/>
        <v>38.799999999999997</v>
      </c>
      <c r="AK19" s="51"/>
      <c r="AL19" s="54" t="s">
        <v>31</v>
      </c>
      <c r="AM19" s="59">
        <f t="shared" ref="AM19:AR19" si="10">B95</f>
        <v>47.2</v>
      </c>
      <c r="AN19" s="59">
        <f t="shared" si="10"/>
        <v>47.2</v>
      </c>
      <c r="AO19" s="59">
        <f t="shared" si="10"/>
        <v>47.2</v>
      </c>
      <c r="AP19" s="59">
        <f t="shared" si="10"/>
        <v>49.8</v>
      </c>
      <c r="AQ19" s="59">
        <f t="shared" si="10"/>
        <v>49</v>
      </c>
      <c r="AR19" s="59">
        <f t="shared" si="10"/>
        <v>40</v>
      </c>
      <c r="AS19" s="59">
        <f>I95</f>
        <v>42.4</v>
      </c>
      <c r="AT19" s="59">
        <f>K95</f>
        <v>188.9</v>
      </c>
      <c r="AU19" s="59">
        <f t="shared" ref="AU19:BD19" si="11">M95</f>
        <v>185.7</v>
      </c>
      <c r="AV19" s="59">
        <f t="shared" si="11"/>
        <v>368</v>
      </c>
      <c r="AW19" s="59">
        <f t="shared" si="11"/>
        <v>368</v>
      </c>
      <c r="AX19" s="59">
        <f t="shared" si="11"/>
        <v>484.1</v>
      </c>
      <c r="AY19" s="59">
        <f t="shared" si="11"/>
        <v>491.8</v>
      </c>
      <c r="AZ19" s="59">
        <f t="shared" si="11"/>
        <v>520.29999999999995</v>
      </c>
      <c r="BA19" s="59">
        <f t="shared" si="11"/>
        <v>611.79999999999995</v>
      </c>
      <c r="BB19" s="59">
        <f t="shared" si="11"/>
        <v>560</v>
      </c>
      <c r="BC19" s="59">
        <f t="shared" si="11"/>
        <v>478.9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25.1</v>
      </c>
      <c r="BH19" s="60">
        <f>AD95</f>
        <v>13</v>
      </c>
      <c r="BI19" s="60">
        <f>AE95</f>
        <v>32.700000000000003</v>
      </c>
      <c r="BJ19" s="60">
        <f>AF95</f>
        <v>17.399999999999999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32.9</v>
      </c>
      <c r="C20" s="46">
        <v>32.9</v>
      </c>
      <c r="D20" s="46">
        <v>32.9</v>
      </c>
      <c r="E20" s="46">
        <v>32.9</v>
      </c>
      <c r="F20" s="46">
        <v>32.9</v>
      </c>
      <c r="G20" s="46">
        <v>32.9</v>
      </c>
      <c r="H20" s="46">
        <v>32.9</v>
      </c>
      <c r="I20" s="46">
        <v>32.9</v>
      </c>
      <c r="J20" s="46">
        <v>32.9</v>
      </c>
      <c r="K20" s="46">
        <v>32.9</v>
      </c>
      <c r="L20" s="46">
        <v>33.4</v>
      </c>
      <c r="M20" s="46">
        <v>33.4</v>
      </c>
      <c r="N20" s="46">
        <v>33.4</v>
      </c>
      <c r="O20" s="46">
        <v>33.4</v>
      </c>
      <c r="P20" s="46">
        <v>33.4</v>
      </c>
      <c r="Q20" s="46">
        <v>33.4</v>
      </c>
      <c r="R20" s="46">
        <v>33.4</v>
      </c>
      <c r="S20" s="46">
        <v>33.4</v>
      </c>
      <c r="T20" s="46">
        <v>33.4</v>
      </c>
      <c r="U20" s="46">
        <v>33.4</v>
      </c>
      <c r="V20" s="46">
        <v>33.4</v>
      </c>
      <c r="W20" s="46"/>
      <c r="X20" s="46"/>
      <c r="Y20" s="46">
        <v>33.4</v>
      </c>
      <c r="Z20" s="46"/>
      <c r="AA20" s="46"/>
      <c r="AB20" s="46">
        <v>33.4</v>
      </c>
      <c r="AC20" s="46">
        <v>33.4</v>
      </c>
      <c r="AD20" s="46">
        <v>33.4</v>
      </c>
      <c r="AE20" s="46">
        <v>33.4</v>
      </c>
      <c r="AF20" s="46">
        <v>33.4</v>
      </c>
      <c r="AG20" s="50">
        <v>44</v>
      </c>
      <c r="AH20" s="48">
        <f t="shared" si="2"/>
        <v>33.4</v>
      </c>
      <c r="AI20" s="49">
        <f t="shared" si="3"/>
        <v>32.9</v>
      </c>
      <c r="AK20" s="51"/>
      <c r="AL20" s="54" t="s">
        <v>33</v>
      </c>
      <c r="AM20" s="59">
        <f t="shared" ref="AM20:AR20" si="12">B83</f>
        <v>100.10000000000001</v>
      </c>
      <c r="AN20" s="59">
        <f t="shared" si="12"/>
        <v>100.10000000000001</v>
      </c>
      <c r="AO20" s="59">
        <f t="shared" si="12"/>
        <v>100.10000000000001</v>
      </c>
      <c r="AP20" s="59">
        <f t="shared" si="12"/>
        <v>89.399999999999991</v>
      </c>
      <c r="AQ20" s="59">
        <f t="shared" si="12"/>
        <v>79.599999999999994</v>
      </c>
      <c r="AR20" s="59">
        <f t="shared" si="12"/>
        <v>100</v>
      </c>
      <c r="AS20" s="59">
        <f>I83</f>
        <v>80</v>
      </c>
      <c r="AT20" s="59">
        <f>K83</f>
        <v>97.3</v>
      </c>
      <c r="AU20" s="59">
        <f t="shared" ref="AU20:BD20" si="13">M83</f>
        <v>99.7</v>
      </c>
      <c r="AV20" s="59">
        <f t="shared" si="13"/>
        <v>89.899999999999991</v>
      </c>
      <c r="AW20" s="59">
        <f t="shared" si="13"/>
        <v>89.899999999999991</v>
      </c>
      <c r="AX20" s="59">
        <f t="shared" si="13"/>
        <v>84.9</v>
      </c>
      <c r="AY20" s="59">
        <f t="shared" si="13"/>
        <v>62.4</v>
      </c>
      <c r="AZ20" s="59">
        <f t="shared" si="13"/>
        <v>53.8</v>
      </c>
      <c r="BA20" s="59">
        <f t="shared" si="13"/>
        <v>23.6</v>
      </c>
      <c r="BB20" s="59">
        <f t="shared" si="13"/>
        <v>47</v>
      </c>
      <c r="BC20" s="59">
        <f t="shared" si="13"/>
        <v>21.8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19.8</v>
      </c>
      <c r="BH20" s="60">
        <f>AD83</f>
        <v>0</v>
      </c>
      <c r="BI20" s="60">
        <f>AE83</f>
        <v>50.6</v>
      </c>
      <c r="BJ20" s="60">
        <f>AF83</f>
        <v>50.6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/>
      <c r="X21" s="46"/>
      <c r="Y21" s="46">
        <v>0</v>
      </c>
      <c r="Z21" s="46"/>
      <c r="AA21" s="46"/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350</v>
      </c>
      <c r="AN21" s="59">
        <f t="shared" si="14"/>
        <v>351</v>
      </c>
      <c r="AO21" s="59">
        <f t="shared" si="14"/>
        <v>352</v>
      </c>
      <c r="AP21" s="59">
        <f t="shared" si="14"/>
        <v>350</v>
      </c>
      <c r="AQ21" s="59">
        <f t="shared" si="14"/>
        <v>350</v>
      </c>
      <c r="AR21" s="59">
        <f t="shared" si="14"/>
        <v>350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150</v>
      </c>
      <c r="BH21" s="60">
        <f>AD101</f>
        <v>150</v>
      </c>
      <c r="BI21" s="60">
        <f>AE101</f>
        <v>150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15</v>
      </c>
      <c r="C22" s="46">
        <v>15</v>
      </c>
      <c r="D22" s="46">
        <v>15</v>
      </c>
      <c r="E22" s="46">
        <v>15</v>
      </c>
      <c r="F22" s="46">
        <v>15</v>
      </c>
      <c r="G22" s="46">
        <v>15</v>
      </c>
      <c r="H22" s="46">
        <v>15</v>
      </c>
      <c r="I22" s="46">
        <v>15</v>
      </c>
      <c r="J22" s="46">
        <v>15</v>
      </c>
      <c r="K22" s="46">
        <v>15</v>
      </c>
      <c r="L22" s="46">
        <v>30.5</v>
      </c>
      <c r="M22" s="46">
        <v>30.5</v>
      </c>
      <c r="N22" s="46">
        <v>30.5</v>
      </c>
      <c r="O22" s="46">
        <v>30.5</v>
      </c>
      <c r="P22" s="46">
        <v>30.5</v>
      </c>
      <c r="Q22" s="46">
        <v>30.5</v>
      </c>
      <c r="R22" s="46">
        <v>30.5</v>
      </c>
      <c r="S22" s="46">
        <v>25.4</v>
      </c>
      <c r="T22" s="46">
        <v>25.4</v>
      </c>
      <c r="U22" s="46">
        <v>25.4</v>
      </c>
      <c r="V22" s="46">
        <v>25.4</v>
      </c>
      <c r="W22" s="46"/>
      <c r="X22" s="46"/>
      <c r="Y22" s="46">
        <v>25.4</v>
      </c>
      <c r="Z22" s="46"/>
      <c r="AA22" s="46"/>
      <c r="AB22" s="46">
        <v>25.4</v>
      </c>
      <c r="AC22" s="46">
        <v>25.4</v>
      </c>
      <c r="AD22" s="46">
        <v>25.4</v>
      </c>
      <c r="AE22" s="46">
        <v>25.4</v>
      </c>
      <c r="AF22" s="46">
        <v>25.4</v>
      </c>
      <c r="AG22" s="50">
        <v>38.46</v>
      </c>
      <c r="AH22" s="48">
        <f t="shared" si="2"/>
        <v>30.5</v>
      </c>
      <c r="AI22" s="49">
        <f t="shared" si="3"/>
        <v>15</v>
      </c>
      <c r="AK22" s="51"/>
      <c r="AL22" s="62" t="s">
        <v>37</v>
      </c>
      <c r="AM22" s="63">
        <f t="shared" ref="AM22:BJ22" si="16">SUM(AM16:AM21)</f>
        <v>2273.1399999999994</v>
      </c>
      <c r="AN22" s="63">
        <f t="shared" si="16"/>
        <v>2274.1399999999994</v>
      </c>
      <c r="AO22" s="63">
        <f t="shared" si="16"/>
        <v>2275.1399999999994</v>
      </c>
      <c r="AP22" s="63">
        <f t="shared" si="16"/>
        <v>2184.1399999999994</v>
      </c>
      <c r="AQ22" s="63">
        <f t="shared" si="16"/>
        <v>2242.2399999999998</v>
      </c>
      <c r="AR22" s="63">
        <f t="shared" si="16"/>
        <v>2137.04</v>
      </c>
      <c r="AS22" s="63">
        <f t="shared" si="16"/>
        <v>1677.9399999999998</v>
      </c>
      <c r="AT22" s="63">
        <f t="shared" si="16"/>
        <v>1938.8399999999997</v>
      </c>
      <c r="AU22" s="63">
        <f t="shared" si="16"/>
        <v>1956.94</v>
      </c>
      <c r="AV22" s="63">
        <f t="shared" si="16"/>
        <v>1949.44</v>
      </c>
      <c r="AW22" s="63">
        <f t="shared" si="16"/>
        <v>1879.44</v>
      </c>
      <c r="AX22" s="63">
        <f t="shared" si="16"/>
        <v>2010.6399999999999</v>
      </c>
      <c r="AY22" s="63">
        <f t="shared" si="16"/>
        <v>1994.34</v>
      </c>
      <c r="AZ22" s="63">
        <f t="shared" si="16"/>
        <v>2014.2399999999998</v>
      </c>
      <c r="BA22" s="63">
        <f t="shared" si="16"/>
        <v>1998.8399999999997</v>
      </c>
      <c r="BB22" s="63">
        <f t="shared" si="16"/>
        <v>1949.4399999999998</v>
      </c>
      <c r="BC22" s="63">
        <f t="shared" si="16"/>
        <v>1847.84</v>
      </c>
      <c r="BD22" s="63">
        <f t="shared" si="16"/>
        <v>1649.74</v>
      </c>
      <c r="BE22" s="63">
        <f t="shared" si="16"/>
        <v>649.04</v>
      </c>
      <c r="BF22" s="63">
        <f t="shared" si="16"/>
        <v>155.5</v>
      </c>
      <c r="BG22" s="63">
        <f t="shared" si="16"/>
        <v>1729.84</v>
      </c>
      <c r="BH22" s="63">
        <f t="shared" si="16"/>
        <v>1638.94</v>
      </c>
      <c r="BI22" s="63">
        <f t="shared" si="16"/>
        <v>1918.64</v>
      </c>
      <c r="BJ22" s="63">
        <f t="shared" si="16"/>
        <v>1863.14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ht="15.75" thickBot="1" x14ac:dyDescent="0.3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/>
      <c r="X23" s="46"/>
      <c r="Y23" s="46">
        <v>30</v>
      </c>
      <c r="Z23" s="46"/>
      <c r="AA23" s="46"/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-415</v>
      </c>
      <c r="AN23" s="63">
        <f t="shared" si="17"/>
        <v>-415</v>
      </c>
      <c r="AO23" s="63">
        <f t="shared" si="17"/>
        <v>-415</v>
      </c>
      <c r="AP23" s="63">
        <f t="shared" si="17"/>
        <v>-375</v>
      </c>
      <c r="AQ23" s="63">
        <f t="shared" si="17"/>
        <v>-349</v>
      </c>
      <c r="AR23" s="63">
        <f t="shared" si="17"/>
        <v>-355</v>
      </c>
      <c r="AS23" s="63">
        <f>I110*-1</f>
        <v>-176</v>
      </c>
      <c r="AT23" s="63">
        <f>K110*-1</f>
        <v>-129</v>
      </c>
      <c r="AU23" s="63">
        <f t="shared" ref="AU23:BD23" si="18">M110*-1</f>
        <v>-139.80000000000001</v>
      </c>
      <c r="AV23" s="63">
        <f t="shared" si="18"/>
        <v>0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0</v>
      </c>
      <c r="BG23" s="63">
        <f>AB110*-1</f>
        <v>-160</v>
      </c>
      <c r="BH23" s="63">
        <f>AD110*-1</f>
        <v>-200</v>
      </c>
      <c r="BI23" s="63">
        <f>AE110*-1</f>
        <v>-424</v>
      </c>
      <c r="BJ23" s="63">
        <f>AF110*-1</f>
        <v>-400.9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ht="15.75" thickTop="1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207" t="s">
        <v>311</v>
      </c>
      <c r="X24" s="208"/>
      <c r="Y24" s="46">
        <v>12</v>
      </c>
      <c r="Z24" s="46"/>
      <c r="AA24" s="46"/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1858.1399999999994</v>
      </c>
      <c r="AN24" s="63">
        <f t="shared" si="19"/>
        <v>1859.1399999999994</v>
      </c>
      <c r="AO24" s="63">
        <f t="shared" si="19"/>
        <v>1860.1399999999994</v>
      </c>
      <c r="AP24" s="63">
        <f t="shared" si="19"/>
        <v>1809.1399999999994</v>
      </c>
      <c r="AQ24" s="63">
        <f t="shared" si="19"/>
        <v>1893.2399999999998</v>
      </c>
      <c r="AR24" s="63">
        <f t="shared" si="19"/>
        <v>1782.04</v>
      </c>
      <c r="AS24" s="63">
        <f t="shared" si="19"/>
        <v>1501.9399999999998</v>
      </c>
      <c r="AT24" s="63">
        <f t="shared" si="19"/>
        <v>1809.8399999999997</v>
      </c>
      <c r="AU24" s="63">
        <f t="shared" si="19"/>
        <v>1817.14</v>
      </c>
      <c r="AV24" s="63">
        <f t="shared" si="19"/>
        <v>1949.44</v>
      </c>
      <c r="AW24" s="63">
        <f t="shared" si="19"/>
        <v>1879.44</v>
      </c>
      <c r="AX24" s="63">
        <f t="shared" si="19"/>
        <v>2010.6399999999999</v>
      </c>
      <c r="AY24" s="63">
        <f t="shared" si="19"/>
        <v>1994.34</v>
      </c>
      <c r="AZ24" s="63">
        <f t="shared" si="19"/>
        <v>2014.2399999999998</v>
      </c>
      <c r="BA24" s="63">
        <f t="shared" si="19"/>
        <v>1998.8399999999997</v>
      </c>
      <c r="BB24" s="63">
        <f t="shared" si="19"/>
        <v>1949.4399999999998</v>
      </c>
      <c r="BC24" s="63">
        <f t="shared" si="19"/>
        <v>1847.84</v>
      </c>
      <c r="BD24" s="63">
        <f t="shared" si="19"/>
        <v>1649.74</v>
      </c>
      <c r="BE24" s="63">
        <f t="shared" si="19"/>
        <v>649.04</v>
      </c>
      <c r="BF24" s="63">
        <f t="shared" si="19"/>
        <v>155.5</v>
      </c>
      <c r="BG24" s="63">
        <f t="shared" si="19"/>
        <v>1569.84</v>
      </c>
      <c r="BH24" s="63">
        <f t="shared" si="19"/>
        <v>1438.94</v>
      </c>
      <c r="BI24" s="63">
        <f t="shared" si="19"/>
        <v>1494.64</v>
      </c>
      <c r="BJ24" s="63">
        <f t="shared" si="19"/>
        <v>1462.2400000000002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17.899999999999999</v>
      </c>
      <c r="C25" s="46">
        <v>17.899999999999999</v>
      </c>
      <c r="D25" s="46">
        <v>17.899999999999999</v>
      </c>
      <c r="E25" s="46">
        <v>17.899999999999999</v>
      </c>
      <c r="F25" s="46">
        <v>17.899999999999999</v>
      </c>
      <c r="G25" s="46">
        <v>17.899999999999999</v>
      </c>
      <c r="H25" s="46">
        <v>17.899999999999999</v>
      </c>
      <c r="I25" s="46">
        <v>17.899999999999999</v>
      </c>
      <c r="J25" s="46">
        <v>17.899999999999999</v>
      </c>
      <c r="K25" s="46">
        <v>17.899999999999999</v>
      </c>
      <c r="L25" s="46">
        <v>17.8</v>
      </c>
      <c r="M25" s="46">
        <v>17.8</v>
      </c>
      <c r="N25" s="46">
        <v>17.8</v>
      </c>
      <c r="O25" s="46">
        <v>17.8</v>
      </c>
      <c r="P25" s="46">
        <v>17.8</v>
      </c>
      <c r="Q25" s="46">
        <v>17.8</v>
      </c>
      <c r="R25" s="46">
        <v>17.8</v>
      </c>
      <c r="S25" s="46">
        <v>16.3</v>
      </c>
      <c r="T25" s="46">
        <v>16.3</v>
      </c>
      <c r="U25" s="46">
        <v>16.3</v>
      </c>
      <c r="V25" s="46">
        <v>16.3</v>
      </c>
      <c r="W25" s="46"/>
      <c r="X25" s="46"/>
      <c r="Y25" s="46">
        <v>16.3</v>
      </c>
      <c r="Z25" s="46"/>
      <c r="AA25" s="46"/>
      <c r="AB25" s="46">
        <v>16.3</v>
      </c>
      <c r="AC25" s="46">
        <v>16.3</v>
      </c>
      <c r="AD25" s="46">
        <v>16.3</v>
      </c>
      <c r="AE25" s="46">
        <v>16.3</v>
      </c>
      <c r="AF25" s="46">
        <v>16.3</v>
      </c>
      <c r="AG25" s="61">
        <v>30</v>
      </c>
      <c r="AH25" s="48">
        <f t="shared" si="2"/>
        <v>17.899999999999999</v>
      </c>
      <c r="AI25" s="49">
        <f t="shared" si="3"/>
        <v>16.3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14.9</v>
      </c>
      <c r="C26" s="46">
        <v>14.9</v>
      </c>
      <c r="D26" s="46">
        <v>14.9</v>
      </c>
      <c r="E26" s="46">
        <v>14.9</v>
      </c>
      <c r="F26" s="46">
        <v>14.9</v>
      </c>
      <c r="G26" s="46">
        <v>14.9</v>
      </c>
      <c r="H26" s="46">
        <v>14.9</v>
      </c>
      <c r="I26" s="46">
        <v>14.9</v>
      </c>
      <c r="J26" s="46">
        <v>14.9</v>
      </c>
      <c r="K26" s="46">
        <v>14.9</v>
      </c>
      <c r="L26" s="46">
        <v>14.9</v>
      </c>
      <c r="M26" s="46">
        <v>14.9</v>
      </c>
      <c r="N26" s="46">
        <v>14.9</v>
      </c>
      <c r="O26" s="46">
        <v>14.9</v>
      </c>
      <c r="P26" s="46">
        <v>14.9</v>
      </c>
      <c r="Q26" s="46">
        <v>14.9</v>
      </c>
      <c r="R26" s="46">
        <v>14.9</v>
      </c>
      <c r="S26" s="46">
        <v>11.5</v>
      </c>
      <c r="T26" s="46">
        <v>11.5</v>
      </c>
      <c r="U26" s="46">
        <v>11.5</v>
      </c>
      <c r="V26" s="46">
        <v>11.5</v>
      </c>
      <c r="W26" s="46"/>
      <c r="X26" s="46"/>
      <c r="Y26" s="46">
        <v>11.5</v>
      </c>
      <c r="Z26" s="46"/>
      <c r="AA26" s="46"/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14.9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13.1</v>
      </c>
      <c r="C27" s="46">
        <v>13.1</v>
      </c>
      <c r="D27" s="46">
        <v>13.1</v>
      </c>
      <c r="E27" s="46">
        <v>13.1</v>
      </c>
      <c r="F27" s="46">
        <v>13.1</v>
      </c>
      <c r="G27" s="46">
        <v>13.1</v>
      </c>
      <c r="H27" s="46">
        <v>13.1</v>
      </c>
      <c r="I27" s="46">
        <v>13.1</v>
      </c>
      <c r="J27" s="46">
        <v>13.1</v>
      </c>
      <c r="K27" s="46">
        <v>13.1</v>
      </c>
      <c r="L27" s="46">
        <v>11.6</v>
      </c>
      <c r="M27" s="46">
        <v>11.6</v>
      </c>
      <c r="N27" s="46">
        <v>11.6</v>
      </c>
      <c r="O27" s="46">
        <v>11.6</v>
      </c>
      <c r="P27" s="46">
        <v>11.6</v>
      </c>
      <c r="Q27" s="46">
        <v>11.6</v>
      </c>
      <c r="R27" s="46">
        <v>11.6</v>
      </c>
      <c r="S27" s="46">
        <v>11.4</v>
      </c>
      <c r="T27" s="46">
        <v>11.4</v>
      </c>
      <c r="U27" s="46">
        <v>11.4</v>
      </c>
      <c r="V27" s="46">
        <v>11.4</v>
      </c>
      <c r="W27" s="46"/>
      <c r="X27" s="46"/>
      <c r="Y27" s="46">
        <v>11.4</v>
      </c>
      <c r="Z27" s="46"/>
      <c r="AA27" s="46"/>
      <c r="AB27" s="46">
        <v>11.4</v>
      </c>
      <c r="AC27" s="46">
        <v>11.4</v>
      </c>
      <c r="AD27" s="46">
        <v>11.4</v>
      </c>
      <c r="AE27" s="46">
        <v>11.4</v>
      </c>
      <c r="AF27" s="46">
        <v>11.4</v>
      </c>
      <c r="AG27" s="50">
        <v>28</v>
      </c>
      <c r="AH27" s="48">
        <f t="shared" si="2"/>
        <v>13.1</v>
      </c>
      <c r="AI27" s="49">
        <f t="shared" si="3"/>
        <v>11.4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17.3</v>
      </c>
      <c r="C28" s="46">
        <v>17.3</v>
      </c>
      <c r="D28" s="46">
        <v>17.3</v>
      </c>
      <c r="E28" s="46">
        <v>17.3</v>
      </c>
      <c r="F28" s="46">
        <v>17.3</v>
      </c>
      <c r="G28" s="46">
        <v>17.3</v>
      </c>
      <c r="H28" s="46">
        <v>17.3</v>
      </c>
      <c r="I28" s="46">
        <v>17.3</v>
      </c>
      <c r="J28" s="46">
        <v>17.3</v>
      </c>
      <c r="K28" s="46">
        <v>17.3</v>
      </c>
      <c r="L28" s="46">
        <v>13.2</v>
      </c>
      <c r="M28" s="46">
        <v>13.2</v>
      </c>
      <c r="N28" s="46">
        <v>13.2</v>
      </c>
      <c r="O28" s="46">
        <v>13.2</v>
      </c>
      <c r="P28" s="46">
        <v>13.2</v>
      </c>
      <c r="Q28" s="46">
        <v>13.2</v>
      </c>
      <c r="R28" s="46">
        <v>13.2</v>
      </c>
      <c r="S28" s="46">
        <v>12.6</v>
      </c>
      <c r="T28" s="46">
        <v>12.6</v>
      </c>
      <c r="U28" s="46">
        <v>12.6</v>
      </c>
      <c r="V28" s="46">
        <v>12.6</v>
      </c>
      <c r="W28" s="46"/>
      <c r="X28" s="46"/>
      <c r="Y28" s="46">
        <v>12.6</v>
      </c>
      <c r="Z28" s="46"/>
      <c r="AA28" s="46"/>
      <c r="AB28" s="46">
        <v>12.6</v>
      </c>
      <c r="AC28" s="46">
        <v>12.6</v>
      </c>
      <c r="AD28" s="46">
        <v>12.6</v>
      </c>
      <c r="AE28" s="46">
        <v>12.6</v>
      </c>
      <c r="AF28" s="46">
        <v>12.6</v>
      </c>
      <c r="AG28" s="61">
        <v>30</v>
      </c>
      <c r="AH28" s="48">
        <f t="shared" si="2"/>
        <v>17.3</v>
      </c>
      <c r="AI28" s="49">
        <f t="shared" si="3"/>
        <v>12.6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19.600000000000001</v>
      </c>
      <c r="C29" s="46">
        <v>19.600000000000001</v>
      </c>
      <c r="D29" s="46">
        <v>19.600000000000001</v>
      </c>
      <c r="E29" s="46">
        <v>19.600000000000001</v>
      </c>
      <c r="F29" s="46">
        <v>19.600000000000001</v>
      </c>
      <c r="G29" s="46">
        <v>19.600000000000001</v>
      </c>
      <c r="H29" s="46">
        <v>19.600000000000001</v>
      </c>
      <c r="I29" s="46">
        <v>19.600000000000001</v>
      </c>
      <c r="J29" s="46">
        <v>19.600000000000001</v>
      </c>
      <c r="K29" s="46">
        <v>19.600000000000001</v>
      </c>
      <c r="L29" s="46">
        <v>14.7</v>
      </c>
      <c r="M29" s="46">
        <v>14.7</v>
      </c>
      <c r="N29" s="46">
        <v>14.7</v>
      </c>
      <c r="O29" s="46">
        <v>14.7</v>
      </c>
      <c r="P29" s="46">
        <v>14.7</v>
      </c>
      <c r="Q29" s="46">
        <v>14.7</v>
      </c>
      <c r="R29" s="46">
        <v>14.7</v>
      </c>
      <c r="S29" s="46">
        <v>14.7</v>
      </c>
      <c r="T29" s="46">
        <v>14.7</v>
      </c>
      <c r="U29" s="46">
        <v>14.7</v>
      </c>
      <c r="V29" s="46">
        <v>14.7</v>
      </c>
      <c r="W29" s="46"/>
      <c r="X29" s="46"/>
      <c r="Y29" s="46">
        <v>14.7</v>
      </c>
      <c r="Z29" s="46"/>
      <c r="AA29" s="46"/>
      <c r="AB29" s="46">
        <v>14.7</v>
      </c>
      <c r="AC29" s="46">
        <v>14.7</v>
      </c>
      <c r="AD29" s="46">
        <v>14.7</v>
      </c>
      <c r="AE29" s="46">
        <v>14.7</v>
      </c>
      <c r="AF29" s="46">
        <v>14.7</v>
      </c>
      <c r="AG29" s="50">
        <v>25</v>
      </c>
      <c r="AH29" s="48">
        <f t="shared" si="2"/>
        <v>19.600000000000001</v>
      </c>
      <c r="AI29" s="49">
        <f t="shared" si="3"/>
        <v>14.7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18</v>
      </c>
      <c r="C30" s="46">
        <v>18</v>
      </c>
      <c r="D30" s="46">
        <v>18</v>
      </c>
      <c r="E30" s="46">
        <v>18</v>
      </c>
      <c r="F30" s="46">
        <v>18</v>
      </c>
      <c r="G30" s="46">
        <v>18</v>
      </c>
      <c r="H30" s="46">
        <v>18</v>
      </c>
      <c r="I30" s="46">
        <v>18</v>
      </c>
      <c r="J30" s="46">
        <v>18</v>
      </c>
      <c r="K30" s="46">
        <v>18</v>
      </c>
      <c r="L30" s="46">
        <v>18</v>
      </c>
      <c r="M30" s="46">
        <v>18</v>
      </c>
      <c r="N30" s="46">
        <v>18</v>
      </c>
      <c r="O30" s="46">
        <v>18</v>
      </c>
      <c r="P30" s="46">
        <v>18</v>
      </c>
      <c r="Q30" s="46">
        <v>18</v>
      </c>
      <c r="R30" s="46">
        <v>18</v>
      </c>
      <c r="S30" s="46">
        <v>7.8</v>
      </c>
      <c r="T30" s="46">
        <v>7.8</v>
      </c>
      <c r="U30" s="46">
        <v>7.8</v>
      </c>
      <c r="V30" s="46">
        <v>7.8</v>
      </c>
      <c r="W30" s="46"/>
      <c r="X30" s="46"/>
      <c r="Y30" s="46">
        <v>7.8</v>
      </c>
      <c r="Z30" s="46"/>
      <c r="AA30" s="46"/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18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/>
      <c r="X31" s="46"/>
      <c r="Y31" s="46">
        <v>7</v>
      </c>
      <c r="Z31" s="46"/>
      <c r="AA31" s="46"/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22.8</v>
      </c>
      <c r="C32" s="46">
        <v>22.8</v>
      </c>
      <c r="D32" s="46">
        <v>22.8</v>
      </c>
      <c r="E32" s="46">
        <v>22.8</v>
      </c>
      <c r="F32" s="46">
        <v>22.8</v>
      </c>
      <c r="G32" s="46">
        <v>22.8</v>
      </c>
      <c r="H32" s="46">
        <v>22.8</v>
      </c>
      <c r="I32" s="46">
        <v>22.8</v>
      </c>
      <c r="J32" s="46">
        <v>22.8</v>
      </c>
      <c r="K32" s="46">
        <v>22.8</v>
      </c>
      <c r="L32" s="46">
        <v>18.7</v>
      </c>
      <c r="M32" s="46">
        <v>18.7</v>
      </c>
      <c r="N32" s="46">
        <v>18.7</v>
      </c>
      <c r="O32" s="46">
        <v>18.7</v>
      </c>
      <c r="P32" s="46">
        <v>18.7</v>
      </c>
      <c r="Q32" s="46">
        <v>18.7</v>
      </c>
      <c r="R32" s="46">
        <v>18.7</v>
      </c>
      <c r="S32" s="46">
        <v>16.2</v>
      </c>
      <c r="T32" s="46">
        <v>16.2</v>
      </c>
      <c r="U32" s="46">
        <v>16.2</v>
      </c>
      <c r="V32" s="46">
        <v>16.2</v>
      </c>
      <c r="W32" s="46"/>
      <c r="X32" s="46"/>
      <c r="Y32" s="46">
        <v>16.2</v>
      </c>
      <c r="Z32" s="46"/>
      <c r="AA32" s="46"/>
      <c r="AB32" s="46">
        <v>16.2</v>
      </c>
      <c r="AC32" s="46">
        <v>16.2</v>
      </c>
      <c r="AD32" s="46">
        <v>16.2</v>
      </c>
      <c r="AE32" s="46">
        <v>16.2</v>
      </c>
      <c r="AF32" s="46">
        <v>16.2</v>
      </c>
      <c r="AG32" s="50">
        <v>25</v>
      </c>
      <c r="AH32" s="48">
        <f t="shared" si="2"/>
        <v>22.8</v>
      </c>
      <c r="AI32" s="49">
        <f t="shared" si="3"/>
        <v>16.2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7.3</v>
      </c>
      <c r="C33" s="46">
        <v>7.3</v>
      </c>
      <c r="D33" s="46">
        <v>7.3</v>
      </c>
      <c r="E33" s="46">
        <v>7.3</v>
      </c>
      <c r="F33" s="46">
        <v>7.3</v>
      </c>
      <c r="G33" s="46">
        <v>7.3</v>
      </c>
      <c r="H33" s="46">
        <v>7.3</v>
      </c>
      <c r="I33" s="46">
        <v>7.3</v>
      </c>
      <c r="J33" s="46">
        <v>7.3</v>
      </c>
      <c r="K33" s="46">
        <v>7.3</v>
      </c>
      <c r="L33" s="46">
        <v>7.1</v>
      </c>
      <c r="M33" s="46">
        <v>7.1</v>
      </c>
      <c r="N33" s="46">
        <v>7.1</v>
      </c>
      <c r="O33" s="46">
        <v>7.1</v>
      </c>
      <c r="P33" s="46">
        <v>7.1</v>
      </c>
      <c r="Q33" s="46">
        <v>7.1</v>
      </c>
      <c r="R33" s="46">
        <v>7.1</v>
      </c>
      <c r="S33" s="46">
        <v>7.2</v>
      </c>
      <c r="T33" s="46">
        <v>7.2</v>
      </c>
      <c r="U33" s="46">
        <v>7.2</v>
      </c>
      <c r="V33" s="46">
        <v>7.2</v>
      </c>
      <c r="W33" s="46"/>
      <c r="X33" s="46"/>
      <c r="Y33" s="46">
        <v>7.2</v>
      </c>
      <c r="Z33" s="46"/>
      <c r="AA33" s="46"/>
      <c r="AB33" s="46">
        <v>7.2</v>
      </c>
      <c r="AC33" s="46">
        <v>7.2</v>
      </c>
      <c r="AD33" s="46">
        <v>7.2</v>
      </c>
      <c r="AE33" s="46">
        <v>7.2</v>
      </c>
      <c r="AF33" s="46">
        <v>7.2</v>
      </c>
      <c r="AG33" s="50">
        <v>23.5</v>
      </c>
      <c r="AH33" s="48">
        <f t="shared" si="2"/>
        <v>7.3</v>
      </c>
      <c r="AI33" s="49">
        <f t="shared" si="3"/>
        <v>7.1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/>
      <c r="X34" s="46"/>
      <c r="Y34" s="46">
        <v>4</v>
      </c>
      <c r="Z34" s="46"/>
      <c r="AA34" s="46"/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/>
      <c r="X35" s="46"/>
      <c r="Y35" s="46">
        <v>5</v>
      </c>
      <c r="Z35" s="46"/>
      <c r="AA35" s="46"/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/>
      <c r="X36" s="46"/>
      <c r="Y36" s="46">
        <v>11</v>
      </c>
      <c r="Z36" s="46"/>
      <c r="AA36" s="46"/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11.1</v>
      </c>
      <c r="C37" s="46">
        <v>11.1</v>
      </c>
      <c r="D37" s="46">
        <v>11.1</v>
      </c>
      <c r="E37" s="46">
        <v>11.1</v>
      </c>
      <c r="F37" s="46">
        <v>11.1</v>
      </c>
      <c r="G37" s="46">
        <v>11.1</v>
      </c>
      <c r="H37" s="46">
        <v>11.1</v>
      </c>
      <c r="I37" s="46">
        <v>11.1</v>
      </c>
      <c r="J37" s="46">
        <v>11.1</v>
      </c>
      <c r="K37" s="46">
        <v>11.1</v>
      </c>
      <c r="L37" s="46">
        <v>7.5</v>
      </c>
      <c r="M37" s="46">
        <v>7.5</v>
      </c>
      <c r="N37" s="46">
        <v>7.5</v>
      </c>
      <c r="O37" s="46">
        <v>7.5</v>
      </c>
      <c r="P37" s="46">
        <v>7.5</v>
      </c>
      <c r="Q37" s="46">
        <v>7.5</v>
      </c>
      <c r="R37" s="46">
        <v>7.5</v>
      </c>
      <c r="S37" s="46">
        <v>7.5</v>
      </c>
      <c r="T37" s="46">
        <v>7.5</v>
      </c>
      <c r="U37" s="46">
        <v>7.5</v>
      </c>
      <c r="V37" s="46">
        <v>7.5</v>
      </c>
      <c r="W37" s="46"/>
      <c r="X37" s="46"/>
      <c r="Y37" s="46">
        <v>7.5</v>
      </c>
      <c r="Z37" s="46"/>
      <c r="AA37" s="46"/>
      <c r="AB37" s="46">
        <v>7.5</v>
      </c>
      <c r="AC37" s="46">
        <v>7.5</v>
      </c>
      <c r="AD37" s="46">
        <v>7.5</v>
      </c>
      <c r="AE37" s="46">
        <v>7.5</v>
      </c>
      <c r="AF37" s="46">
        <v>7.5</v>
      </c>
      <c r="AG37" s="50">
        <v>22</v>
      </c>
      <c r="AH37" s="48">
        <f t="shared" si="2"/>
        <v>11.1</v>
      </c>
      <c r="AI37" s="49">
        <f t="shared" si="3"/>
        <v>7.5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18.8</v>
      </c>
      <c r="C38" s="46">
        <v>18.8</v>
      </c>
      <c r="D38" s="46">
        <v>18.8</v>
      </c>
      <c r="E38" s="46">
        <v>18.8</v>
      </c>
      <c r="F38" s="46">
        <v>18.8</v>
      </c>
      <c r="G38" s="46">
        <v>18.8</v>
      </c>
      <c r="H38" s="46">
        <v>18.8</v>
      </c>
      <c r="I38" s="46">
        <v>18.8</v>
      </c>
      <c r="J38" s="46">
        <v>18.8</v>
      </c>
      <c r="K38" s="46">
        <v>18.8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16.8</v>
      </c>
      <c r="T38" s="46">
        <v>16.8</v>
      </c>
      <c r="U38" s="46">
        <v>0</v>
      </c>
      <c r="V38" s="46">
        <v>0</v>
      </c>
      <c r="W38" s="46"/>
      <c r="X38" s="46"/>
      <c r="Y38" s="46">
        <v>0</v>
      </c>
      <c r="Z38" s="46"/>
      <c r="AA38" s="46"/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/>
      <c r="X39" s="46"/>
      <c r="Y39" s="46">
        <v>6</v>
      </c>
      <c r="Z39" s="46"/>
      <c r="AA39" s="46"/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14.9</v>
      </c>
      <c r="C40" s="46">
        <v>14.9</v>
      </c>
      <c r="D40" s="46">
        <v>14.9</v>
      </c>
      <c r="E40" s="46">
        <v>14.9</v>
      </c>
      <c r="F40" s="46">
        <v>14.9</v>
      </c>
      <c r="G40" s="46">
        <v>14.9</v>
      </c>
      <c r="H40" s="46">
        <v>14.9</v>
      </c>
      <c r="I40" s="46">
        <v>14.9</v>
      </c>
      <c r="J40" s="46">
        <v>14.9</v>
      </c>
      <c r="K40" s="46">
        <v>14.9</v>
      </c>
      <c r="L40" s="46">
        <v>14.7</v>
      </c>
      <c r="M40" s="46">
        <v>14.7</v>
      </c>
      <c r="N40" s="46">
        <v>14.7</v>
      </c>
      <c r="O40" s="46">
        <v>14.7</v>
      </c>
      <c r="P40" s="46">
        <v>14.7</v>
      </c>
      <c r="Q40" s="46">
        <v>14.7</v>
      </c>
      <c r="R40" s="46">
        <v>14.7</v>
      </c>
      <c r="S40" s="46">
        <v>12.8</v>
      </c>
      <c r="T40" s="46">
        <v>12.8</v>
      </c>
      <c r="U40" s="46">
        <v>12.8</v>
      </c>
      <c r="V40" s="46">
        <v>12.8</v>
      </c>
      <c r="W40" s="46"/>
      <c r="X40" s="46"/>
      <c r="Y40" s="46">
        <v>12.8</v>
      </c>
      <c r="Z40" s="46"/>
      <c r="AA40" s="46"/>
      <c r="AB40" s="46">
        <v>12.8</v>
      </c>
      <c r="AC40" s="46">
        <v>14</v>
      </c>
      <c r="AD40" s="46">
        <v>14</v>
      </c>
      <c r="AE40" s="46">
        <v>14</v>
      </c>
      <c r="AF40" s="46">
        <v>14</v>
      </c>
      <c r="AG40" s="50">
        <v>18</v>
      </c>
      <c r="AH40" s="48">
        <f t="shared" si="2"/>
        <v>14.9</v>
      </c>
      <c r="AI40" s="49">
        <f t="shared" si="3"/>
        <v>12.8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6.8</v>
      </c>
      <c r="C41" s="46">
        <v>6.8</v>
      </c>
      <c r="D41" s="46">
        <v>6.8</v>
      </c>
      <c r="E41" s="46">
        <v>6.8</v>
      </c>
      <c r="F41" s="46">
        <v>6.8</v>
      </c>
      <c r="G41" s="46">
        <v>6.8</v>
      </c>
      <c r="H41" s="46">
        <v>6.8</v>
      </c>
      <c r="I41" s="46">
        <v>6.8</v>
      </c>
      <c r="J41" s="46">
        <v>6.8</v>
      </c>
      <c r="K41" s="46">
        <v>6.8</v>
      </c>
      <c r="L41" s="46">
        <v>6.8</v>
      </c>
      <c r="M41" s="46">
        <v>6.8</v>
      </c>
      <c r="N41" s="46">
        <v>6.8</v>
      </c>
      <c r="O41" s="46">
        <v>6.8</v>
      </c>
      <c r="P41" s="46">
        <v>6.8</v>
      </c>
      <c r="Q41" s="46">
        <v>6.8</v>
      </c>
      <c r="R41" s="46">
        <v>6.8</v>
      </c>
      <c r="S41" s="46">
        <v>6.8</v>
      </c>
      <c r="T41" s="46">
        <v>6.8</v>
      </c>
      <c r="U41" s="46">
        <v>6.8</v>
      </c>
      <c r="V41" s="46">
        <v>6.8</v>
      </c>
      <c r="W41" s="46"/>
      <c r="X41" s="46"/>
      <c r="Y41" s="46">
        <v>6.8</v>
      </c>
      <c r="Z41" s="46"/>
      <c r="AA41" s="46"/>
      <c r="AB41" s="46">
        <v>6.8</v>
      </c>
      <c r="AC41" s="46">
        <v>6.8</v>
      </c>
      <c r="AD41" s="46">
        <v>6.8</v>
      </c>
      <c r="AE41" s="46">
        <v>6.8</v>
      </c>
      <c r="AF41" s="46">
        <v>6.8</v>
      </c>
      <c r="AG41" s="50">
        <v>15.33</v>
      </c>
      <c r="AH41" s="48">
        <f t="shared" si="2"/>
        <v>6.8</v>
      </c>
      <c r="AI41" s="49">
        <f t="shared" si="3"/>
        <v>6.8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/>
      <c r="X42" s="46"/>
      <c r="Y42" s="46">
        <v>0</v>
      </c>
      <c r="Z42" s="46"/>
      <c r="AA42" s="46"/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>
        <v>0</v>
      </c>
      <c r="T43" s="46">
        <v>0</v>
      </c>
      <c r="U43" s="46">
        <v>0</v>
      </c>
      <c r="V43" s="46">
        <v>0</v>
      </c>
      <c r="W43" s="46"/>
      <c r="X43" s="46"/>
      <c r="Y43" s="46">
        <v>0</v>
      </c>
      <c r="Z43" s="46"/>
      <c r="AA43" s="46"/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5</v>
      </c>
      <c r="C44" s="46">
        <v>5</v>
      </c>
      <c r="D44" s="46">
        <v>5</v>
      </c>
      <c r="E44" s="46">
        <v>5</v>
      </c>
      <c r="F44" s="46">
        <v>5</v>
      </c>
      <c r="G44" s="46">
        <v>5</v>
      </c>
      <c r="H44" s="46">
        <v>5</v>
      </c>
      <c r="I44" s="46">
        <v>5</v>
      </c>
      <c r="J44" s="46">
        <v>5</v>
      </c>
      <c r="K44" s="46">
        <v>5</v>
      </c>
      <c r="L44" s="46">
        <v>5</v>
      </c>
      <c r="M44" s="46">
        <v>5</v>
      </c>
      <c r="N44" s="46">
        <v>5</v>
      </c>
      <c r="O44" s="46">
        <v>5</v>
      </c>
      <c r="P44" s="46">
        <v>5</v>
      </c>
      <c r="Q44" s="46">
        <v>5</v>
      </c>
      <c r="R44" s="46">
        <v>5</v>
      </c>
      <c r="S44" s="46">
        <v>8</v>
      </c>
      <c r="T44" s="46">
        <v>8</v>
      </c>
      <c r="U44" s="46">
        <v>8</v>
      </c>
      <c r="V44" s="46">
        <v>8</v>
      </c>
      <c r="W44" s="46"/>
      <c r="X44" s="46"/>
      <c r="Y44" s="46">
        <v>8</v>
      </c>
      <c r="Z44" s="46"/>
      <c r="AA44" s="46"/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5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2.7</v>
      </c>
      <c r="C46" s="46">
        <v>2.7</v>
      </c>
      <c r="D46" s="46">
        <v>2.7</v>
      </c>
      <c r="E46" s="46">
        <v>2.7</v>
      </c>
      <c r="F46" s="46">
        <v>2.7</v>
      </c>
      <c r="G46" s="46">
        <v>2.7</v>
      </c>
      <c r="H46" s="46">
        <v>2.7</v>
      </c>
      <c r="I46" s="46">
        <v>2.7</v>
      </c>
      <c r="J46" s="46">
        <v>2.7</v>
      </c>
      <c r="K46" s="46">
        <v>2.7</v>
      </c>
      <c r="L46" s="46">
        <v>2.7</v>
      </c>
      <c r="M46" s="46">
        <v>2.7</v>
      </c>
      <c r="N46" s="46">
        <v>2.7</v>
      </c>
      <c r="O46" s="46">
        <v>2.7</v>
      </c>
      <c r="P46" s="46">
        <v>2.7</v>
      </c>
      <c r="Q46" s="46">
        <v>2.7</v>
      </c>
      <c r="R46" s="46">
        <v>2.7</v>
      </c>
      <c r="S46" s="46">
        <v>3.2</v>
      </c>
      <c r="T46" s="46">
        <v>3.2</v>
      </c>
      <c r="U46" s="46">
        <v>3.2</v>
      </c>
      <c r="V46" s="46">
        <v>3.2</v>
      </c>
      <c r="W46" s="46"/>
      <c r="X46" s="46"/>
      <c r="Y46" s="46">
        <v>3.2</v>
      </c>
      <c r="Z46" s="46"/>
      <c r="AA46" s="46"/>
      <c r="AB46" s="46">
        <v>3.2</v>
      </c>
      <c r="AC46" s="46">
        <v>3.2</v>
      </c>
      <c r="AD46" s="46">
        <v>3.2</v>
      </c>
      <c r="AE46" s="46">
        <v>3.2</v>
      </c>
      <c r="AF46" s="46">
        <v>3.2</v>
      </c>
      <c r="AG46" s="50">
        <v>14</v>
      </c>
      <c r="AH46" s="48">
        <f t="shared" si="2"/>
        <v>3.2</v>
      </c>
      <c r="AI46" s="49">
        <f t="shared" si="3"/>
        <v>2.7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/>
      <c r="X47" s="46"/>
      <c r="Y47" s="46">
        <v>5</v>
      </c>
      <c r="Z47" s="46"/>
      <c r="AA47" s="46"/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2</v>
      </c>
      <c r="C48" s="46">
        <v>2</v>
      </c>
      <c r="D48" s="46">
        <v>2</v>
      </c>
      <c r="E48" s="46">
        <v>2</v>
      </c>
      <c r="F48" s="46">
        <v>2</v>
      </c>
      <c r="G48" s="46">
        <v>2</v>
      </c>
      <c r="H48" s="46">
        <v>2</v>
      </c>
      <c r="I48" s="46">
        <v>2</v>
      </c>
      <c r="J48" s="46">
        <v>2</v>
      </c>
      <c r="K48" s="46">
        <v>2</v>
      </c>
      <c r="L48" s="46">
        <v>2</v>
      </c>
      <c r="M48" s="46">
        <v>2</v>
      </c>
      <c r="N48" s="46">
        <v>2</v>
      </c>
      <c r="O48" s="46">
        <v>2</v>
      </c>
      <c r="P48" s="46">
        <v>2</v>
      </c>
      <c r="Q48" s="46">
        <v>2</v>
      </c>
      <c r="R48" s="46">
        <v>2</v>
      </c>
      <c r="S48" s="46">
        <v>2</v>
      </c>
      <c r="T48" s="46">
        <v>2</v>
      </c>
      <c r="U48" s="46">
        <v>2</v>
      </c>
      <c r="V48" s="46">
        <v>2</v>
      </c>
      <c r="W48" s="46"/>
      <c r="X48" s="46"/>
      <c r="Y48" s="46">
        <v>2</v>
      </c>
      <c r="Z48" s="46"/>
      <c r="AA48" s="46"/>
      <c r="AB48" s="46">
        <v>2</v>
      </c>
      <c r="AC48" s="46">
        <v>2</v>
      </c>
      <c r="AD48" s="46">
        <v>2</v>
      </c>
      <c r="AE48" s="46">
        <v>2</v>
      </c>
      <c r="AF48" s="46">
        <v>2</v>
      </c>
      <c r="AG48" s="50">
        <v>13</v>
      </c>
      <c r="AH48" s="48">
        <f t="shared" si="2"/>
        <v>2</v>
      </c>
      <c r="AI48" s="49">
        <f t="shared" si="3"/>
        <v>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8.8000000000000007</v>
      </c>
      <c r="C49" s="46">
        <v>8.8000000000000007</v>
      </c>
      <c r="D49" s="46">
        <v>8.8000000000000007</v>
      </c>
      <c r="E49" s="46">
        <v>8.8000000000000007</v>
      </c>
      <c r="F49" s="46">
        <v>8.8000000000000007</v>
      </c>
      <c r="G49" s="46">
        <v>8.8000000000000007</v>
      </c>
      <c r="H49" s="46">
        <v>8.8000000000000007</v>
      </c>
      <c r="I49" s="46">
        <v>8.8000000000000007</v>
      </c>
      <c r="J49" s="46">
        <v>8.8000000000000007</v>
      </c>
      <c r="K49" s="46">
        <v>8.8000000000000007</v>
      </c>
      <c r="L49" s="46">
        <v>8.8000000000000007</v>
      </c>
      <c r="M49" s="46">
        <v>8.8000000000000007</v>
      </c>
      <c r="N49" s="46">
        <v>8.8000000000000007</v>
      </c>
      <c r="O49" s="46">
        <v>8.8000000000000007</v>
      </c>
      <c r="P49" s="46">
        <v>8.8000000000000007</v>
      </c>
      <c r="Q49" s="46">
        <v>8.8000000000000007</v>
      </c>
      <c r="R49" s="46">
        <v>8.8000000000000007</v>
      </c>
      <c r="S49" s="46">
        <v>6.5</v>
      </c>
      <c r="T49" s="46">
        <v>6.5</v>
      </c>
      <c r="U49" s="46">
        <v>6.5</v>
      </c>
      <c r="V49" s="46">
        <v>6.5</v>
      </c>
      <c r="W49" s="46"/>
      <c r="X49" s="46"/>
      <c r="Y49" s="46">
        <v>6.5</v>
      </c>
      <c r="Z49" s="46"/>
      <c r="AA49" s="46"/>
      <c r="AB49" s="46">
        <v>6.5</v>
      </c>
      <c r="AC49" s="46">
        <v>6.5</v>
      </c>
      <c r="AD49" s="46">
        <v>6.5</v>
      </c>
      <c r="AE49" s="46">
        <v>6.5</v>
      </c>
      <c r="AF49" s="46">
        <v>6.5</v>
      </c>
      <c r="AG49" s="50">
        <v>12</v>
      </c>
      <c r="AH49" s="48">
        <f t="shared" si="2"/>
        <v>8.8000000000000007</v>
      </c>
      <c r="AI49" s="49">
        <f t="shared" si="3"/>
        <v>6.5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0</v>
      </c>
      <c r="V50" s="46">
        <v>0</v>
      </c>
      <c r="W50" s="46"/>
      <c r="X50" s="46"/>
      <c r="Y50" s="46">
        <v>0</v>
      </c>
      <c r="Z50" s="46"/>
      <c r="AA50" s="46"/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/>
      <c r="X51" s="46"/>
      <c r="Y51" s="46">
        <v>3</v>
      </c>
      <c r="Z51" s="46"/>
      <c r="AA51" s="46"/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/>
      <c r="X52" s="46"/>
      <c r="Y52" s="46">
        <v>4</v>
      </c>
      <c r="Z52" s="46"/>
      <c r="AA52" s="46"/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/>
      <c r="X53" s="46"/>
      <c r="Y53" s="46">
        <v>0</v>
      </c>
      <c r="Z53" s="46"/>
      <c r="AA53" s="46"/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/>
      <c r="X54" s="46"/>
      <c r="Y54" s="46">
        <v>3</v>
      </c>
      <c r="Z54" s="46"/>
      <c r="AA54" s="46"/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1.9</v>
      </c>
      <c r="C55" s="46">
        <v>1.9</v>
      </c>
      <c r="D55" s="46">
        <v>1.9</v>
      </c>
      <c r="E55" s="46">
        <v>1.9</v>
      </c>
      <c r="F55" s="46">
        <v>1.9</v>
      </c>
      <c r="G55" s="46">
        <v>1.9</v>
      </c>
      <c r="H55" s="46">
        <v>1.9</v>
      </c>
      <c r="I55" s="46">
        <v>1.9</v>
      </c>
      <c r="J55" s="46">
        <v>1.9</v>
      </c>
      <c r="K55" s="46">
        <v>1.9</v>
      </c>
      <c r="L55" s="46">
        <v>1.9</v>
      </c>
      <c r="M55" s="46">
        <v>1.9</v>
      </c>
      <c r="N55" s="46">
        <v>1.9</v>
      </c>
      <c r="O55" s="46">
        <v>1.9</v>
      </c>
      <c r="P55" s="46">
        <v>1.9</v>
      </c>
      <c r="Q55" s="46">
        <v>1.9</v>
      </c>
      <c r="R55" s="46">
        <v>1.9</v>
      </c>
      <c r="S55" s="46">
        <v>1.9</v>
      </c>
      <c r="T55" s="46">
        <v>1.9</v>
      </c>
      <c r="U55" s="46">
        <v>1.9</v>
      </c>
      <c r="V55" s="46">
        <v>1.9</v>
      </c>
      <c r="W55" s="46"/>
      <c r="X55" s="46"/>
      <c r="Y55" s="46">
        <v>1.9</v>
      </c>
      <c r="Z55" s="46"/>
      <c r="AA55" s="46"/>
      <c r="AB55" s="46">
        <v>1.9</v>
      </c>
      <c r="AC55" s="46">
        <v>1.9</v>
      </c>
      <c r="AD55" s="46">
        <v>1.9</v>
      </c>
      <c r="AE55" s="46">
        <v>1.9</v>
      </c>
      <c r="AF55" s="46">
        <v>1.9</v>
      </c>
      <c r="AG55" s="66">
        <v>11</v>
      </c>
      <c r="AH55" s="48">
        <f t="shared" si="2"/>
        <v>1.9</v>
      </c>
      <c r="AI55" s="49">
        <f t="shared" si="3"/>
        <v>1.9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/>
      <c r="X56" s="46"/>
      <c r="Y56" s="46">
        <v>1.9</v>
      </c>
      <c r="Z56" s="46"/>
      <c r="AA56" s="46"/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/>
      <c r="X57" s="46"/>
      <c r="Y57" s="46">
        <v>0</v>
      </c>
      <c r="Z57" s="46"/>
      <c r="AA57" s="46"/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/>
      <c r="X58" s="46"/>
      <c r="Y58" s="46">
        <v>5</v>
      </c>
      <c r="Z58" s="46"/>
      <c r="AA58" s="46"/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250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250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26.6+38.5</f>
        <v>65.099999999999994</v>
      </c>
      <c r="C60" s="68">
        <f>26.6+38.5</f>
        <v>65.099999999999994</v>
      </c>
      <c r="D60" s="68">
        <f>26.6+38.5</f>
        <v>65.099999999999994</v>
      </c>
      <c r="E60" s="68">
        <f>26.3+38.7</f>
        <v>65</v>
      </c>
      <c r="F60" s="68">
        <f>37.9+26</f>
        <v>63.9</v>
      </c>
      <c r="G60" s="68">
        <f>34.6+24.4</f>
        <v>59</v>
      </c>
      <c r="H60" s="68">
        <v>59</v>
      </c>
      <c r="I60" s="68">
        <v>59</v>
      </c>
      <c r="J60" s="68">
        <f>35.6+25.6</f>
        <v>61.2</v>
      </c>
      <c r="K60" s="53">
        <f>34+24.6</f>
        <v>58.6</v>
      </c>
      <c r="L60" s="53">
        <f>23.7+31.5</f>
        <v>55.2</v>
      </c>
      <c r="M60" s="53">
        <f>23.7+31.5</f>
        <v>55.2</v>
      </c>
      <c r="N60" s="53">
        <f t="shared" ref="N60:R60" si="20">23.7+31.5</f>
        <v>55.2</v>
      </c>
      <c r="O60" s="53">
        <f t="shared" si="20"/>
        <v>55.2</v>
      </c>
      <c r="P60" s="53">
        <f t="shared" si="20"/>
        <v>55.2</v>
      </c>
      <c r="Q60" s="53">
        <f t="shared" si="20"/>
        <v>55.2</v>
      </c>
      <c r="R60" s="53">
        <f t="shared" si="20"/>
        <v>55.2</v>
      </c>
      <c r="S60" s="53">
        <v>58.6</v>
      </c>
      <c r="T60" s="53">
        <v>58.6</v>
      </c>
      <c r="U60" s="53">
        <v>58.6</v>
      </c>
      <c r="V60" s="53">
        <v>58.6</v>
      </c>
      <c r="W60" s="53">
        <v>58.6</v>
      </c>
      <c r="X60" s="53">
        <v>58.6</v>
      </c>
      <c r="Y60" s="53">
        <v>58.6</v>
      </c>
      <c r="Z60" s="68"/>
      <c r="AA60" s="68"/>
      <c r="AB60" s="68">
        <v>58.6</v>
      </c>
      <c r="AC60" s="68">
        <v>28</v>
      </c>
      <c r="AD60" s="68">
        <v>28</v>
      </c>
      <c r="AE60" s="68">
        <f>10.9+21.2</f>
        <v>32.1</v>
      </c>
      <c r="AF60" s="68">
        <f>10.9+21.2</f>
        <v>32.1</v>
      </c>
      <c r="AG60" s="66">
        <v>240</v>
      </c>
      <c r="AH60" s="48">
        <f t="shared" si="2"/>
        <v>65.099999999999994</v>
      </c>
      <c r="AI60" s="49">
        <f t="shared" si="3"/>
        <v>28</v>
      </c>
      <c r="AK60" s="51"/>
    </row>
    <row r="61" spans="1:88" ht="15.75" thickBot="1" x14ac:dyDescent="0.3">
      <c r="A61" s="70" t="s">
        <v>75</v>
      </c>
      <c r="B61" s="71">
        <f t="shared" ref="B61:C61" si="21">SUM(B11:B59)</f>
        <v>871.6999999999997</v>
      </c>
      <c r="C61" s="71">
        <f t="shared" si="21"/>
        <v>871.6999999999997</v>
      </c>
      <c r="D61" s="71">
        <f t="shared" ref="D61:E61" si="22">SUM(D11:D59)</f>
        <v>871.6999999999997</v>
      </c>
      <c r="E61" s="71">
        <f t="shared" si="22"/>
        <v>870.79999999999973</v>
      </c>
      <c r="F61" s="71">
        <f t="shared" ref="F61:AG61" si="23">SUM(F11:F59)</f>
        <v>970.79999999999973</v>
      </c>
      <c r="G61" s="71">
        <f t="shared" si="23"/>
        <v>869.39999999999975</v>
      </c>
      <c r="H61" s="71">
        <f t="shared" si="23"/>
        <v>868.6999999999997</v>
      </c>
      <c r="I61" s="71">
        <f t="shared" ref="I61" si="24">SUM(I11:I59)</f>
        <v>869.89999999999975</v>
      </c>
      <c r="J61" s="71">
        <f t="shared" si="23"/>
        <v>869.89999999999975</v>
      </c>
      <c r="K61" s="71">
        <f t="shared" si="23"/>
        <v>875.59999999999968</v>
      </c>
      <c r="L61" s="71">
        <f t="shared" ref="L61" si="25">SUM(L11:L59)</f>
        <v>869.40000000000009</v>
      </c>
      <c r="M61" s="71">
        <f t="shared" si="23"/>
        <v>869.40000000000009</v>
      </c>
      <c r="N61" s="71">
        <f t="shared" si="23"/>
        <v>869.40000000000009</v>
      </c>
      <c r="O61" s="71">
        <f t="shared" si="23"/>
        <v>869.40000000000009</v>
      </c>
      <c r="P61" s="71">
        <f t="shared" si="23"/>
        <v>869.40000000000009</v>
      </c>
      <c r="Q61" s="71">
        <f t="shared" si="23"/>
        <v>869.40000000000009</v>
      </c>
      <c r="R61" s="71">
        <f t="shared" si="23"/>
        <v>869.40000000000009</v>
      </c>
      <c r="S61" s="71">
        <f t="shared" si="23"/>
        <v>792.39999999999986</v>
      </c>
      <c r="T61" s="71">
        <f t="shared" si="23"/>
        <v>792.39999999999986</v>
      </c>
      <c r="U61" s="71">
        <f t="shared" si="23"/>
        <v>763.59999999999991</v>
      </c>
      <c r="V61" s="71">
        <f t="shared" si="23"/>
        <v>770.5</v>
      </c>
      <c r="W61" s="71">
        <f t="shared" si="23"/>
        <v>150</v>
      </c>
      <c r="X61" s="71">
        <f t="shared" si="23"/>
        <v>150</v>
      </c>
      <c r="Y61" s="71">
        <f t="shared" si="23"/>
        <v>770.5</v>
      </c>
      <c r="Z61" s="71">
        <f t="shared" si="23"/>
        <v>150</v>
      </c>
      <c r="AA61" s="71">
        <f t="shared" si="23"/>
        <v>150</v>
      </c>
      <c r="AB61" s="71">
        <f t="shared" si="23"/>
        <v>784.3</v>
      </c>
      <c r="AC61" s="71">
        <f t="shared" si="23"/>
        <v>785.5</v>
      </c>
      <c r="AD61" s="71">
        <f t="shared" si="23"/>
        <v>785.5</v>
      </c>
      <c r="AE61" s="71">
        <f t="shared" si="23"/>
        <v>785.5</v>
      </c>
      <c r="AF61" s="71">
        <f t="shared" si="23"/>
        <v>785.5</v>
      </c>
      <c r="AG61" s="71">
        <f t="shared" si="23"/>
        <v>1466.0300000000002</v>
      </c>
      <c r="AH61" s="48">
        <f t="shared" si="2"/>
        <v>970.79999999999973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440</v>
      </c>
      <c r="C62" s="46">
        <v>440</v>
      </c>
      <c r="D62" s="46">
        <v>440</v>
      </c>
      <c r="E62" s="46">
        <v>360</v>
      </c>
      <c r="F62" s="46">
        <v>331</v>
      </c>
      <c r="G62" s="46">
        <v>320</v>
      </c>
      <c r="H62" s="46">
        <v>313</v>
      </c>
      <c r="I62" s="46">
        <v>228</v>
      </c>
      <c r="J62" s="46">
        <v>300</v>
      </c>
      <c r="K62" s="46">
        <v>320</v>
      </c>
      <c r="L62" s="46">
        <v>380</v>
      </c>
      <c r="M62" s="46">
        <v>380</v>
      </c>
      <c r="N62" s="46">
        <v>200</v>
      </c>
      <c r="O62" s="46">
        <v>130</v>
      </c>
      <c r="P62" s="74">
        <v>100.7</v>
      </c>
      <c r="Q62" s="74">
        <v>100.8</v>
      </c>
      <c r="R62" s="74">
        <v>100.8</v>
      </c>
      <c r="S62" s="74">
        <v>100.8</v>
      </c>
      <c r="T62" s="74">
        <v>100</v>
      </c>
      <c r="U62" s="74">
        <v>154</v>
      </c>
      <c r="V62" s="74">
        <v>440</v>
      </c>
      <c r="W62" s="74">
        <v>440</v>
      </c>
      <c r="X62" s="74">
        <v>440</v>
      </c>
      <c r="Y62" s="74">
        <v>440</v>
      </c>
      <c r="Z62" s="46"/>
      <c r="AA62" s="46"/>
      <c r="AB62" s="46">
        <v>300</v>
      </c>
      <c r="AC62" s="46">
        <v>254</v>
      </c>
      <c r="AD62" s="46">
        <v>230</v>
      </c>
      <c r="AE62" s="46">
        <v>440</v>
      </c>
      <c r="AF62" s="46">
        <v>400</v>
      </c>
      <c r="AG62" s="61">
        <v>456</v>
      </c>
      <c r="AH62" s="48">
        <f t="shared" si="2"/>
        <v>440</v>
      </c>
      <c r="AI62" s="49">
        <f t="shared" si="3"/>
        <v>100</v>
      </c>
      <c r="AK62" s="51"/>
    </row>
    <row r="63" spans="1:88" x14ac:dyDescent="0.25">
      <c r="A63" s="75" t="s">
        <v>77</v>
      </c>
      <c r="B63" s="76">
        <v>39.700000000000003</v>
      </c>
      <c r="C63" s="76">
        <v>39.700000000000003</v>
      </c>
      <c r="D63" s="76">
        <v>39.700000000000003</v>
      </c>
      <c r="E63" s="76">
        <v>39.700000000000003</v>
      </c>
      <c r="F63" s="76">
        <v>37.5</v>
      </c>
      <c r="G63" s="76">
        <v>37.799999999999997</v>
      </c>
      <c r="H63" s="76">
        <v>37.799999999999997</v>
      </c>
      <c r="I63" s="76">
        <v>37.799999999999997</v>
      </c>
      <c r="J63" s="76">
        <v>37.299999999999997</v>
      </c>
      <c r="K63" s="76">
        <v>37.299999999999997</v>
      </c>
      <c r="L63" s="76">
        <v>36.9</v>
      </c>
      <c r="M63" s="76">
        <v>37</v>
      </c>
      <c r="N63" s="76">
        <v>37</v>
      </c>
      <c r="O63" s="76">
        <v>37</v>
      </c>
      <c r="P63" s="76">
        <v>36.4</v>
      </c>
      <c r="Q63" s="76">
        <v>34.799999999999997</v>
      </c>
      <c r="R63" s="76">
        <v>34.799999999999997</v>
      </c>
      <c r="S63" s="76">
        <v>35.1</v>
      </c>
      <c r="T63" s="76">
        <v>34</v>
      </c>
      <c r="U63" s="76">
        <v>33</v>
      </c>
      <c r="V63" s="76">
        <v>32.9</v>
      </c>
      <c r="W63" s="76">
        <v>32.9</v>
      </c>
      <c r="X63" s="76">
        <v>32.9</v>
      </c>
      <c r="Y63" s="76">
        <v>32.9</v>
      </c>
      <c r="Z63" s="76"/>
      <c r="AA63" s="76"/>
      <c r="AB63" s="76">
        <v>32.9</v>
      </c>
      <c r="AC63" s="76">
        <v>32.9</v>
      </c>
      <c r="AD63" s="76">
        <v>32.9</v>
      </c>
      <c r="AE63" s="76">
        <v>32.4</v>
      </c>
      <c r="AF63" s="76">
        <v>32.200000000000003</v>
      </c>
      <c r="AG63" s="66">
        <v>60</v>
      </c>
      <c r="AH63" s="48">
        <f t="shared" si="2"/>
        <v>39.700000000000003</v>
      </c>
      <c r="AI63" s="49">
        <f t="shared" si="3"/>
        <v>32.200000000000003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22.5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22.5</v>
      </c>
      <c r="M64" s="78">
        <v>22.6</v>
      </c>
      <c r="N64" s="78">
        <v>22.6</v>
      </c>
      <c r="O64" s="78">
        <v>22.6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22.6</v>
      </c>
      <c r="W64" s="78">
        <v>22.6</v>
      </c>
      <c r="X64" s="78">
        <v>22.6</v>
      </c>
      <c r="Y64" s="78">
        <v>22.6</v>
      </c>
      <c r="Z64" s="78"/>
      <c r="AA64" s="78"/>
      <c r="AB64" s="78">
        <v>22.6</v>
      </c>
      <c r="AC64" s="78">
        <v>22.6</v>
      </c>
      <c r="AD64" s="78">
        <v>22.6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C65" si="26">SUM(B62:B64)</f>
        <v>502.3</v>
      </c>
      <c r="C65" s="71">
        <f t="shared" si="26"/>
        <v>502.3</v>
      </c>
      <c r="D65" s="71">
        <f t="shared" ref="D65" si="27">SUM(D62:D64)</f>
        <v>502.3</v>
      </c>
      <c r="E65" s="71">
        <f t="shared" ref="E65:AG65" si="28">SUM(E62:E64)</f>
        <v>422.3</v>
      </c>
      <c r="F65" s="71">
        <f t="shared" si="28"/>
        <v>391</v>
      </c>
      <c r="G65" s="71">
        <f t="shared" si="28"/>
        <v>380.40000000000003</v>
      </c>
      <c r="H65" s="71">
        <f t="shared" si="28"/>
        <v>373.40000000000003</v>
      </c>
      <c r="I65" s="71">
        <f t="shared" ref="I65" si="29">SUM(I62:I64)</f>
        <v>288.40000000000003</v>
      </c>
      <c r="J65" s="71">
        <f t="shared" si="28"/>
        <v>359.90000000000003</v>
      </c>
      <c r="K65" s="71">
        <f t="shared" si="28"/>
        <v>379.90000000000003</v>
      </c>
      <c r="L65" s="71">
        <f t="shared" ref="L65" si="30">SUM(L62:L64)</f>
        <v>439.4</v>
      </c>
      <c r="M65" s="71">
        <f t="shared" si="28"/>
        <v>439.6</v>
      </c>
      <c r="N65" s="71">
        <f t="shared" si="28"/>
        <v>259.60000000000002</v>
      </c>
      <c r="O65" s="71">
        <f t="shared" si="28"/>
        <v>189.6</v>
      </c>
      <c r="P65" s="71">
        <f t="shared" si="28"/>
        <v>159.6</v>
      </c>
      <c r="Q65" s="71">
        <f t="shared" si="28"/>
        <v>158.1</v>
      </c>
      <c r="R65" s="71">
        <f t="shared" si="28"/>
        <v>158.1</v>
      </c>
      <c r="S65" s="71">
        <f t="shared" si="28"/>
        <v>158.4</v>
      </c>
      <c r="T65" s="71">
        <f t="shared" si="28"/>
        <v>156.5</v>
      </c>
      <c r="U65" s="71">
        <f>SUM(U62:U64)</f>
        <v>209.5</v>
      </c>
      <c r="V65" s="71">
        <f t="shared" si="28"/>
        <v>495.5</v>
      </c>
      <c r="W65" s="71">
        <f t="shared" si="28"/>
        <v>495.5</v>
      </c>
      <c r="X65" s="71">
        <f t="shared" si="28"/>
        <v>495.5</v>
      </c>
      <c r="Y65" s="71">
        <f t="shared" si="28"/>
        <v>495.5</v>
      </c>
      <c r="Z65" s="71">
        <f t="shared" si="28"/>
        <v>0</v>
      </c>
      <c r="AA65" s="71">
        <f t="shared" si="28"/>
        <v>0</v>
      </c>
      <c r="AB65" s="71">
        <f t="shared" si="28"/>
        <v>355.5</v>
      </c>
      <c r="AC65" s="71">
        <f t="shared" si="28"/>
        <v>309.5</v>
      </c>
      <c r="AD65" s="71">
        <f t="shared" si="28"/>
        <v>285.5</v>
      </c>
      <c r="AE65" s="71">
        <f t="shared" si="28"/>
        <v>494.9</v>
      </c>
      <c r="AF65" s="71">
        <f t="shared" si="28"/>
        <v>454.7</v>
      </c>
      <c r="AG65" s="72">
        <f t="shared" si="28"/>
        <v>538.1</v>
      </c>
      <c r="AH65" s="48">
        <f t="shared" si="2"/>
        <v>502.3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</v>
      </c>
      <c r="C66" s="46">
        <v>145</v>
      </c>
      <c r="D66" s="46">
        <v>145</v>
      </c>
      <c r="E66" s="46">
        <v>145</v>
      </c>
      <c r="F66" s="46">
        <v>145</v>
      </c>
      <c r="G66" s="46">
        <v>145</v>
      </c>
      <c r="H66" s="46">
        <v>145</v>
      </c>
      <c r="I66" s="46">
        <v>145</v>
      </c>
      <c r="J66" s="46">
        <v>145</v>
      </c>
      <c r="K66" s="46">
        <v>145</v>
      </c>
      <c r="L66" s="46">
        <v>145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/>
      <c r="X66" s="46"/>
      <c r="Y66" s="46">
        <v>144</v>
      </c>
      <c r="Z66" s="46"/>
      <c r="AA66" s="46"/>
      <c r="AB66" s="46">
        <v>144</v>
      </c>
      <c r="AC66" s="46">
        <v>144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145</v>
      </c>
      <c r="AI66" s="49">
        <f t="shared" si="3"/>
        <v>144</v>
      </c>
      <c r="AK66" s="51"/>
      <c r="AY66" s="1" t="s">
        <v>86</v>
      </c>
      <c r="AZ66" s="82">
        <f>ROUND(C84,0)</f>
        <v>47</v>
      </c>
      <c r="BA66" s="81">
        <f t="shared" ref="BA66:BD70" si="31">D84</f>
        <v>47.2</v>
      </c>
      <c r="BB66" s="81">
        <f t="shared" si="31"/>
        <v>49.8</v>
      </c>
      <c r="BC66" s="81">
        <f t="shared" si="31"/>
        <v>49</v>
      </c>
      <c r="BD66" s="81">
        <f t="shared" si="31"/>
        <v>40</v>
      </c>
      <c r="BE66" s="82">
        <f>I84</f>
        <v>42.4</v>
      </c>
      <c r="BF66" s="82">
        <f>K84</f>
        <v>65</v>
      </c>
      <c r="BG66" s="82">
        <f t="shared" ref="BG66:BP70" si="32">M84</f>
        <v>51.7</v>
      </c>
      <c r="BH66" s="82">
        <f t="shared" si="32"/>
        <v>56</v>
      </c>
      <c r="BI66" s="82">
        <f t="shared" si="32"/>
        <v>56</v>
      </c>
      <c r="BJ66" s="82">
        <f t="shared" si="32"/>
        <v>66.5</v>
      </c>
      <c r="BK66" s="82">
        <f t="shared" si="32"/>
        <v>70.8</v>
      </c>
      <c r="BL66" s="82">
        <f t="shared" si="32"/>
        <v>71.2</v>
      </c>
      <c r="BM66" s="82">
        <f t="shared" si="32"/>
        <v>66.900000000000006</v>
      </c>
      <c r="BN66" s="82">
        <f t="shared" si="32"/>
        <v>68</v>
      </c>
      <c r="BO66" s="82">
        <f t="shared" si="32"/>
        <v>52</v>
      </c>
      <c r="BP66" s="82">
        <f t="shared" si="32"/>
        <v>0</v>
      </c>
      <c r="BQ66" s="82">
        <f>X84</f>
        <v>0</v>
      </c>
      <c r="BR66" s="82">
        <f>Z84</f>
        <v>0</v>
      </c>
      <c r="BS66" s="81">
        <f>AB84</f>
        <v>25.1</v>
      </c>
      <c r="BT66" s="81">
        <f t="shared" ref="BT66:BV70" si="33">AD84</f>
        <v>13</v>
      </c>
      <c r="BU66" s="81">
        <f t="shared" si="33"/>
        <v>32.700000000000003</v>
      </c>
      <c r="BV66" s="81">
        <f t="shared" si="33"/>
        <v>17.399999999999999</v>
      </c>
      <c r="BW66" s="81">
        <f>B84</f>
        <v>47.2</v>
      </c>
    </row>
    <row r="67" spans="1:75" x14ac:dyDescent="0.25">
      <c r="A67" s="65" t="s">
        <v>81</v>
      </c>
      <c r="B67" s="46">
        <v>59.5</v>
      </c>
      <c r="C67" s="46">
        <v>59.5</v>
      </c>
      <c r="D67" s="46">
        <v>59.5</v>
      </c>
      <c r="E67" s="46">
        <v>59.5</v>
      </c>
      <c r="F67" s="46">
        <v>59.5</v>
      </c>
      <c r="G67" s="46">
        <v>54.9</v>
      </c>
      <c r="H67" s="46">
        <v>54.9</v>
      </c>
      <c r="I67" s="46">
        <v>54.9</v>
      </c>
      <c r="J67" s="76">
        <v>54.7</v>
      </c>
      <c r="K67" s="76">
        <v>54.7</v>
      </c>
      <c r="L67" s="76">
        <v>58.7</v>
      </c>
      <c r="M67" s="76">
        <v>57.4</v>
      </c>
      <c r="N67" s="76">
        <v>57.4</v>
      </c>
      <c r="O67" s="76">
        <v>57.4</v>
      </c>
      <c r="P67" s="76">
        <v>54.1</v>
      </c>
      <c r="Q67" s="76">
        <v>54.1</v>
      </c>
      <c r="R67" s="76">
        <v>54.1</v>
      </c>
      <c r="S67" s="76">
        <v>54.1</v>
      </c>
      <c r="T67" s="76">
        <v>54.1</v>
      </c>
      <c r="U67" s="76">
        <v>51.5</v>
      </c>
      <c r="V67" s="76">
        <v>52.7</v>
      </c>
      <c r="W67" s="76"/>
      <c r="X67" s="76"/>
      <c r="Y67" s="76">
        <v>52.7</v>
      </c>
      <c r="Z67" s="46"/>
      <c r="AA67" s="46"/>
      <c r="AB67" s="46">
        <v>69</v>
      </c>
      <c r="AC67" s="46">
        <v>69</v>
      </c>
      <c r="AD67" s="46">
        <v>69</v>
      </c>
      <c r="AE67" s="46">
        <v>69</v>
      </c>
      <c r="AF67" s="46">
        <v>69</v>
      </c>
      <c r="AG67" s="66">
        <v>70</v>
      </c>
      <c r="AH67" s="48">
        <f t="shared" si="2"/>
        <v>69</v>
      </c>
      <c r="AI67" s="49">
        <f t="shared" si="3"/>
        <v>51.5</v>
      </c>
      <c r="AK67" s="51"/>
      <c r="AY67" s="1" t="s">
        <v>88</v>
      </c>
      <c r="AZ67" s="82">
        <f>ROUND(C85,0)</f>
        <v>0</v>
      </c>
      <c r="BA67" s="81">
        <f t="shared" si="31"/>
        <v>0</v>
      </c>
      <c r="BB67" s="81">
        <f t="shared" si="31"/>
        <v>0</v>
      </c>
      <c r="BC67" s="81">
        <f t="shared" si="31"/>
        <v>0</v>
      </c>
      <c r="BD67" s="81">
        <f t="shared" si="31"/>
        <v>0</v>
      </c>
      <c r="BE67" s="82">
        <f>I85</f>
        <v>0</v>
      </c>
      <c r="BF67" s="82">
        <f>K85</f>
        <v>0</v>
      </c>
      <c r="BG67" s="82">
        <f t="shared" si="32"/>
        <v>0</v>
      </c>
      <c r="BH67" s="82">
        <f t="shared" si="32"/>
        <v>0</v>
      </c>
      <c r="BI67" s="82">
        <f t="shared" si="32"/>
        <v>0</v>
      </c>
      <c r="BJ67" s="82">
        <f t="shared" si="32"/>
        <v>0</v>
      </c>
      <c r="BK67" s="82">
        <f t="shared" si="32"/>
        <v>0</v>
      </c>
      <c r="BL67" s="82">
        <f t="shared" si="32"/>
        <v>0</v>
      </c>
      <c r="BM67" s="82">
        <f t="shared" si="32"/>
        <v>0</v>
      </c>
      <c r="BN67" s="82">
        <f t="shared" si="32"/>
        <v>0</v>
      </c>
      <c r="BO67" s="82">
        <f t="shared" si="32"/>
        <v>0</v>
      </c>
      <c r="BP67" s="82">
        <f t="shared" si="32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3"/>
        <v>0</v>
      </c>
      <c r="BU67" s="81">
        <f t="shared" si="33"/>
        <v>0</v>
      </c>
      <c r="BV67" s="81">
        <f t="shared" si="33"/>
        <v>0</v>
      </c>
      <c r="BW67" s="81">
        <f>B85</f>
        <v>0</v>
      </c>
    </row>
    <row r="68" spans="1:75" x14ac:dyDescent="0.25">
      <c r="A68" s="65" t="s">
        <v>82</v>
      </c>
      <c r="B68" s="46">
        <v>70</v>
      </c>
      <c r="C68" s="46">
        <v>70</v>
      </c>
      <c r="D68" s="46">
        <v>70</v>
      </c>
      <c r="E68" s="46">
        <v>70</v>
      </c>
      <c r="F68" s="46">
        <v>70</v>
      </c>
      <c r="G68" s="46">
        <v>70</v>
      </c>
      <c r="H68" s="46">
        <v>70</v>
      </c>
      <c r="I68" s="46">
        <v>70</v>
      </c>
      <c r="J68" s="76">
        <v>70.099999999999994</v>
      </c>
      <c r="K68" s="76">
        <v>70.099999999999994</v>
      </c>
      <c r="L68" s="76">
        <v>69.400000000000006</v>
      </c>
      <c r="M68" s="76">
        <v>69.099999999999994</v>
      </c>
      <c r="N68" s="76">
        <v>69.099999999999994</v>
      </c>
      <c r="O68" s="76">
        <v>69.099999999999994</v>
      </c>
      <c r="P68" s="76">
        <v>69.7</v>
      </c>
      <c r="Q68" s="76">
        <v>69.7</v>
      </c>
      <c r="R68" s="76">
        <v>69.7</v>
      </c>
      <c r="S68" s="76">
        <v>69.7</v>
      </c>
      <c r="T68" s="76">
        <v>69.7</v>
      </c>
      <c r="U68" s="76">
        <v>70</v>
      </c>
      <c r="V68" s="76">
        <v>70.599999999999994</v>
      </c>
      <c r="W68" s="76"/>
      <c r="X68" s="76"/>
      <c r="Y68" s="76">
        <v>70.599999999999994</v>
      </c>
      <c r="Z68" s="46"/>
      <c r="AA68" s="46"/>
      <c r="AB68" s="46">
        <v>69</v>
      </c>
      <c r="AC68" s="46">
        <v>69</v>
      </c>
      <c r="AD68" s="46">
        <v>69</v>
      </c>
      <c r="AE68" s="46">
        <v>69</v>
      </c>
      <c r="AF68" s="46">
        <v>69</v>
      </c>
      <c r="AG68" s="66">
        <v>69</v>
      </c>
      <c r="AH68" s="48">
        <f t="shared" si="2"/>
        <v>70.599999999999994</v>
      </c>
      <c r="AI68" s="49">
        <f t="shared" si="3"/>
        <v>69</v>
      </c>
      <c r="AK68" s="51"/>
      <c r="AL68" s="83"/>
      <c r="AO68" s="83"/>
      <c r="AY68" s="1" t="s">
        <v>90</v>
      </c>
      <c r="AZ68" s="82">
        <f>ROUND(C86,0)</f>
        <v>-415</v>
      </c>
      <c r="BA68" s="81">
        <f t="shared" si="31"/>
        <v>-415</v>
      </c>
      <c r="BB68" s="81">
        <f t="shared" si="31"/>
        <v>-375</v>
      </c>
      <c r="BC68" s="81">
        <f t="shared" si="31"/>
        <v>-349</v>
      </c>
      <c r="BD68" s="81">
        <f t="shared" si="31"/>
        <v>-355</v>
      </c>
      <c r="BE68" s="82">
        <f>I86</f>
        <v>-176</v>
      </c>
      <c r="BF68" s="82">
        <f>K86</f>
        <v>-129</v>
      </c>
      <c r="BG68" s="82">
        <f t="shared" si="32"/>
        <v>-139.80000000000001</v>
      </c>
      <c r="BH68" s="82">
        <f t="shared" si="32"/>
        <v>178</v>
      </c>
      <c r="BI68" s="82">
        <f t="shared" si="32"/>
        <v>178</v>
      </c>
      <c r="BJ68" s="82">
        <f t="shared" si="32"/>
        <v>230.5</v>
      </c>
      <c r="BK68" s="82">
        <f t="shared" si="32"/>
        <v>250</v>
      </c>
      <c r="BL68" s="82">
        <f t="shared" si="32"/>
        <v>284.7</v>
      </c>
      <c r="BM68" s="82">
        <f t="shared" si="32"/>
        <v>306</v>
      </c>
      <c r="BN68" s="82">
        <f t="shared" si="32"/>
        <v>250</v>
      </c>
      <c r="BO68" s="82">
        <f t="shared" si="32"/>
        <v>180</v>
      </c>
      <c r="BP68" s="82">
        <f t="shared" si="32"/>
        <v>0</v>
      </c>
      <c r="BQ68" s="82">
        <f>X86</f>
        <v>0</v>
      </c>
      <c r="BR68" s="82">
        <f>Z86</f>
        <v>0</v>
      </c>
      <c r="BS68" s="81">
        <f>AB86</f>
        <v>-160</v>
      </c>
      <c r="BT68" s="81">
        <f t="shared" si="33"/>
        <v>-200</v>
      </c>
      <c r="BU68" s="81">
        <f t="shared" si="33"/>
        <v>-424</v>
      </c>
      <c r="BV68" s="81">
        <f t="shared" si="33"/>
        <v>-400.9</v>
      </c>
      <c r="BW68" s="81">
        <f>B86</f>
        <v>-415</v>
      </c>
    </row>
    <row r="69" spans="1:75" s="83" customFormat="1" x14ac:dyDescent="0.25">
      <c r="A69" s="65" t="s">
        <v>83</v>
      </c>
      <c r="B69" s="46">
        <v>61.7</v>
      </c>
      <c r="C69" s="46">
        <v>61.7</v>
      </c>
      <c r="D69" s="46">
        <v>61.7</v>
      </c>
      <c r="E69" s="46">
        <v>61.7</v>
      </c>
      <c r="F69" s="46">
        <v>61.7</v>
      </c>
      <c r="G69" s="46">
        <v>61.7</v>
      </c>
      <c r="H69" s="46">
        <v>61.7</v>
      </c>
      <c r="I69" s="46">
        <v>61.7</v>
      </c>
      <c r="J69" s="76">
        <v>61.7</v>
      </c>
      <c r="K69" s="76">
        <v>61.7</v>
      </c>
      <c r="L69" s="76">
        <v>61.7</v>
      </c>
      <c r="M69" s="76">
        <v>10.9</v>
      </c>
      <c r="N69" s="76">
        <v>10.9</v>
      </c>
      <c r="O69" s="76">
        <v>10.9</v>
      </c>
      <c r="P69" s="76">
        <v>60.7</v>
      </c>
      <c r="Q69" s="76">
        <v>60.7</v>
      </c>
      <c r="R69" s="76">
        <v>60.7</v>
      </c>
      <c r="S69" s="76">
        <v>60.7</v>
      </c>
      <c r="T69" s="76">
        <v>60.7</v>
      </c>
      <c r="U69" s="76">
        <v>60.7</v>
      </c>
      <c r="V69" s="76">
        <v>60.9</v>
      </c>
      <c r="W69" s="76"/>
      <c r="X69" s="76"/>
      <c r="Y69" s="76">
        <v>60.9</v>
      </c>
      <c r="Z69" s="46"/>
      <c r="AA69" s="46"/>
      <c r="AB69" s="46">
        <v>44</v>
      </c>
      <c r="AC69" s="46">
        <v>62</v>
      </c>
      <c r="AD69" s="46">
        <v>62</v>
      </c>
      <c r="AE69" s="46">
        <v>62</v>
      </c>
      <c r="AF69" s="46">
        <v>62</v>
      </c>
      <c r="AG69" s="66">
        <v>60</v>
      </c>
      <c r="AH69" s="48">
        <f t="shared" si="2"/>
        <v>62</v>
      </c>
      <c r="AI69" s="49">
        <f t="shared" si="3"/>
        <v>10.9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1"/>
        <v>0</v>
      </c>
      <c r="BB69" s="81">
        <f t="shared" si="31"/>
        <v>0</v>
      </c>
      <c r="BC69" s="81">
        <f t="shared" si="31"/>
        <v>0</v>
      </c>
      <c r="BD69" s="81">
        <f t="shared" si="31"/>
        <v>0</v>
      </c>
      <c r="BE69" s="82">
        <f>I87</f>
        <v>0</v>
      </c>
      <c r="BF69" s="82">
        <f>K87</f>
        <v>0</v>
      </c>
      <c r="BG69" s="82">
        <f t="shared" si="32"/>
        <v>0</v>
      </c>
      <c r="BH69" s="82">
        <f t="shared" si="32"/>
        <v>0</v>
      </c>
      <c r="BI69" s="82">
        <f t="shared" si="32"/>
        <v>0</v>
      </c>
      <c r="BJ69" s="82">
        <f t="shared" si="32"/>
        <v>42.1</v>
      </c>
      <c r="BK69" s="82">
        <f t="shared" si="32"/>
        <v>46</v>
      </c>
      <c r="BL69" s="82">
        <f t="shared" si="32"/>
        <v>42.6</v>
      </c>
      <c r="BM69" s="82">
        <f t="shared" si="32"/>
        <v>46.2</v>
      </c>
      <c r="BN69" s="82">
        <f t="shared" si="32"/>
        <v>50</v>
      </c>
      <c r="BO69" s="82">
        <f t="shared" si="32"/>
        <v>49.9</v>
      </c>
      <c r="BP69" s="82">
        <f t="shared" si="32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3"/>
        <v>0</v>
      </c>
      <c r="BU69" s="81">
        <f t="shared" si="33"/>
        <v>0</v>
      </c>
      <c r="BV69" s="81">
        <f t="shared" si="33"/>
        <v>0</v>
      </c>
      <c r="BW69" s="81">
        <f>B87</f>
        <v>0</v>
      </c>
    </row>
    <row r="70" spans="1:75" x14ac:dyDescent="0.25">
      <c r="A70" s="65" t="s">
        <v>84</v>
      </c>
      <c r="B70" s="46">
        <v>15</v>
      </c>
      <c r="C70" s="46">
        <v>15</v>
      </c>
      <c r="D70" s="46">
        <v>15</v>
      </c>
      <c r="E70" s="46">
        <v>15</v>
      </c>
      <c r="F70" s="46">
        <v>15</v>
      </c>
      <c r="G70" s="46">
        <v>15</v>
      </c>
      <c r="H70" s="46">
        <v>15</v>
      </c>
      <c r="I70" s="46">
        <v>15</v>
      </c>
      <c r="J70" s="76">
        <v>13</v>
      </c>
      <c r="K70" s="76">
        <v>13</v>
      </c>
      <c r="L70" s="76">
        <v>23.6</v>
      </c>
      <c r="M70" s="76">
        <v>23.5</v>
      </c>
      <c r="N70" s="76">
        <v>23.5</v>
      </c>
      <c r="O70" s="76">
        <v>23.5</v>
      </c>
      <c r="P70" s="76">
        <v>23</v>
      </c>
      <c r="Q70" s="76">
        <v>23</v>
      </c>
      <c r="R70" s="76">
        <v>23</v>
      </c>
      <c r="S70" s="76">
        <v>23</v>
      </c>
      <c r="T70" s="76">
        <v>14</v>
      </c>
      <c r="U70" s="76">
        <v>14</v>
      </c>
      <c r="V70" s="76">
        <v>11.3</v>
      </c>
      <c r="W70" s="76"/>
      <c r="X70" s="76"/>
      <c r="Y70" s="76">
        <v>11.3</v>
      </c>
      <c r="Z70" s="46"/>
      <c r="AA70" s="46"/>
      <c r="AB70" s="46">
        <v>23</v>
      </c>
      <c r="AC70" s="46">
        <v>23</v>
      </c>
      <c r="AD70" s="46">
        <v>14</v>
      </c>
      <c r="AE70" s="46">
        <v>14</v>
      </c>
      <c r="AF70" s="46">
        <v>14</v>
      </c>
      <c r="AG70" s="66">
        <v>30</v>
      </c>
      <c r="AH70" s="48">
        <f t="shared" si="2"/>
        <v>23.6</v>
      </c>
      <c r="AI70" s="49">
        <f t="shared" si="3"/>
        <v>11.3</v>
      </c>
      <c r="AK70" s="51"/>
      <c r="AY70" s="1" t="s">
        <v>94</v>
      </c>
      <c r="AZ70" s="82">
        <f>ROUND(C88,0)</f>
        <v>0</v>
      </c>
      <c r="BA70" s="81">
        <f t="shared" si="31"/>
        <v>0</v>
      </c>
      <c r="BB70" s="81">
        <f t="shared" si="31"/>
        <v>0</v>
      </c>
      <c r="BC70" s="81">
        <f t="shared" si="31"/>
        <v>0</v>
      </c>
      <c r="BD70" s="81">
        <f t="shared" si="31"/>
        <v>0</v>
      </c>
      <c r="BE70" s="82">
        <f>I88</f>
        <v>0</v>
      </c>
      <c r="BF70" s="82">
        <f>K88</f>
        <v>123.9</v>
      </c>
      <c r="BG70" s="82">
        <f t="shared" si="32"/>
        <v>134</v>
      </c>
      <c r="BH70" s="82">
        <f t="shared" si="32"/>
        <v>134</v>
      </c>
      <c r="BI70" s="82">
        <f t="shared" si="32"/>
        <v>134</v>
      </c>
      <c r="BJ70" s="82">
        <f t="shared" si="32"/>
        <v>145</v>
      </c>
      <c r="BK70" s="82">
        <f t="shared" si="32"/>
        <v>125</v>
      </c>
      <c r="BL70" s="82">
        <f t="shared" si="32"/>
        <v>121.8</v>
      </c>
      <c r="BM70" s="82">
        <f t="shared" si="32"/>
        <v>145.9</v>
      </c>
      <c r="BN70" s="82">
        <f t="shared" si="32"/>
        <v>142</v>
      </c>
      <c r="BO70" s="82">
        <f t="shared" si="32"/>
        <v>147</v>
      </c>
      <c r="BP70" s="82">
        <f t="shared" si="32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33"/>
        <v>0</v>
      </c>
      <c r="BU70" s="81">
        <f t="shared" si="33"/>
        <v>0</v>
      </c>
      <c r="BV70" s="81">
        <f t="shared" si="33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2</v>
      </c>
      <c r="K71" s="46">
        <v>2</v>
      </c>
      <c r="L71" s="46">
        <v>6.4</v>
      </c>
      <c r="M71" s="76">
        <v>8.8000000000000007</v>
      </c>
      <c r="N71" s="76">
        <v>8.8000000000000007</v>
      </c>
      <c r="O71" s="76">
        <v>8.8000000000000007</v>
      </c>
      <c r="P71" s="76">
        <v>16.399999999999999</v>
      </c>
      <c r="Q71" s="76">
        <v>16.399999999999999</v>
      </c>
      <c r="R71" s="76">
        <v>16.399999999999999</v>
      </c>
      <c r="S71" s="76">
        <v>16.399999999999999</v>
      </c>
      <c r="T71" s="76">
        <v>10</v>
      </c>
      <c r="U71" s="76">
        <v>6.3</v>
      </c>
      <c r="V71" s="76">
        <v>2.7</v>
      </c>
      <c r="W71" s="76"/>
      <c r="X71" s="76"/>
      <c r="Y71" s="76">
        <v>2.7</v>
      </c>
      <c r="Z71" s="46"/>
      <c r="AA71" s="46"/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16.399999999999999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4">M94</f>
        <v>0</v>
      </c>
      <c r="BH71" s="82">
        <f t="shared" si="34"/>
        <v>0</v>
      </c>
      <c r="BI71" s="82">
        <f t="shared" si="34"/>
        <v>0</v>
      </c>
      <c r="BJ71" s="82">
        <f t="shared" si="34"/>
        <v>0</v>
      </c>
      <c r="BK71" s="82">
        <f t="shared" si="34"/>
        <v>0</v>
      </c>
      <c r="BL71" s="82">
        <f t="shared" si="34"/>
        <v>0</v>
      </c>
      <c r="BM71" s="82">
        <f t="shared" si="34"/>
        <v>0</v>
      </c>
      <c r="BN71" s="82">
        <f t="shared" si="34"/>
        <v>0</v>
      </c>
      <c r="BO71" s="82">
        <f t="shared" si="34"/>
        <v>0</v>
      </c>
      <c r="BP71" s="82">
        <f t="shared" si="34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10.9</v>
      </c>
      <c r="C72" s="76">
        <v>10.9</v>
      </c>
      <c r="D72" s="76">
        <v>10.9</v>
      </c>
      <c r="E72" s="76">
        <v>10.9</v>
      </c>
      <c r="F72" s="76">
        <v>10.9</v>
      </c>
      <c r="G72" s="76">
        <v>10.9</v>
      </c>
      <c r="H72" s="76">
        <v>10.9</v>
      </c>
      <c r="I72" s="76">
        <v>10.9</v>
      </c>
      <c r="J72" s="76">
        <v>10.9</v>
      </c>
      <c r="K72" s="76">
        <v>10.9</v>
      </c>
      <c r="L72" s="76">
        <v>10.9</v>
      </c>
      <c r="M72" s="76">
        <v>10.9</v>
      </c>
      <c r="N72" s="76">
        <v>10.9</v>
      </c>
      <c r="O72" s="76">
        <v>10.9</v>
      </c>
      <c r="P72" s="76">
        <v>8.4</v>
      </c>
      <c r="Q72" s="76">
        <v>8.4</v>
      </c>
      <c r="R72" s="76">
        <v>8.4</v>
      </c>
      <c r="S72" s="76">
        <v>8.4</v>
      </c>
      <c r="T72" s="76">
        <v>4.7</v>
      </c>
      <c r="U72" s="76">
        <v>4.7</v>
      </c>
      <c r="V72" s="76">
        <v>8.8000000000000007</v>
      </c>
      <c r="W72" s="76"/>
      <c r="X72" s="76"/>
      <c r="Y72" s="76">
        <v>8.8000000000000007</v>
      </c>
      <c r="Z72" s="76"/>
      <c r="AA72" s="76"/>
      <c r="AB72" s="76">
        <v>8.8000000000000007</v>
      </c>
      <c r="AC72" s="76">
        <v>8.8000000000000007</v>
      </c>
      <c r="AD72" s="76">
        <v>8.8000000000000007</v>
      </c>
      <c r="AE72" s="76">
        <v>8.8000000000000007</v>
      </c>
      <c r="AF72" s="76">
        <v>8.8000000000000007</v>
      </c>
      <c r="AG72" s="66">
        <v>24</v>
      </c>
      <c r="AH72" s="48">
        <f t="shared" si="2"/>
        <v>10.9</v>
      </c>
      <c r="AI72" s="49">
        <f t="shared" si="3"/>
        <v>4.7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</v>
      </c>
      <c r="C73" s="76">
        <v>2</v>
      </c>
      <c r="D73" s="76">
        <v>2</v>
      </c>
      <c r="E73" s="76">
        <v>2</v>
      </c>
      <c r="F73" s="76">
        <v>2</v>
      </c>
      <c r="G73" s="76">
        <v>2</v>
      </c>
      <c r="H73" s="76">
        <v>2</v>
      </c>
      <c r="I73" s="76">
        <v>2</v>
      </c>
      <c r="J73" s="76">
        <v>2</v>
      </c>
      <c r="K73" s="76">
        <v>2</v>
      </c>
      <c r="L73" s="76">
        <v>2</v>
      </c>
      <c r="M73" s="76">
        <v>2</v>
      </c>
      <c r="N73" s="76">
        <v>2</v>
      </c>
      <c r="O73" s="76">
        <v>2</v>
      </c>
      <c r="P73" s="76">
        <v>2</v>
      </c>
      <c r="Q73" s="76">
        <v>2</v>
      </c>
      <c r="R73" s="76">
        <v>2</v>
      </c>
      <c r="S73" s="76">
        <v>2</v>
      </c>
      <c r="T73" s="76">
        <v>2</v>
      </c>
      <c r="U73" s="76">
        <v>2</v>
      </c>
      <c r="V73" s="76">
        <v>2</v>
      </c>
      <c r="W73" s="76"/>
      <c r="X73" s="76"/>
      <c r="Y73" s="76">
        <v>2</v>
      </c>
      <c r="Z73" s="76"/>
      <c r="AA73" s="76"/>
      <c r="AB73" s="76">
        <v>2</v>
      </c>
      <c r="AC73" s="76">
        <v>2</v>
      </c>
      <c r="AD73" s="76">
        <v>2</v>
      </c>
      <c r="AE73" s="76">
        <v>2</v>
      </c>
      <c r="AF73" s="76">
        <v>2</v>
      </c>
      <c r="AG73" s="66">
        <v>15</v>
      </c>
      <c r="AH73" s="48">
        <f t="shared" si="2"/>
        <v>2</v>
      </c>
      <c r="AI73" s="49">
        <f t="shared" si="3"/>
        <v>2</v>
      </c>
      <c r="AK73" s="51"/>
      <c r="AZ73" s="82">
        <f t="shared" ref="AZ73:BW78" si="35">VALUE(AZ66)</f>
        <v>47</v>
      </c>
      <c r="BA73" s="82">
        <f t="shared" si="35"/>
        <v>47.2</v>
      </c>
      <c r="BB73" s="82">
        <f t="shared" si="35"/>
        <v>49.8</v>
      </c>
      <c r="BC73" s="82">
        <f t="shared" si="35"/>
        <v>49</v>
      </c>
      <c r="BD73" s="82">
        <f t="shared" si="35"/>
        <v>40</v>
      </c>
      <c r="BE73" s="82">
        <f t="shared" si="35"/>
        <v>42.4</v>
      </c>
      <c r="BF73" s="82">
        <f t="shared" si="35"/>
        <v>65</v>
      </c>
      <c r="BG73" s="82">
        <f t="shared" si="35"/>
        <v>51.7</v>
      </c>
      <c r="BH73" s="82">
        <f t="shared" si="35"/>
        <v>56</v>
      </c>
      <c r="BI73" s="82">
        <f t="shared" si="35"/>
        <v>56</v>
      </c>
      <c r="BJ73" s="82">
        <f t="shared" si="35"/>
        <v>66.5</v>
      </c>
      <c r="BK73" s="82">
        <f t="shared" si="35"/>
        <v>70.8</v>
      </c>
      <c r="BL73" s="82">
        <f t="shared" si="35"/>
        <v>71.2</v>
      </c>
      <c r="BM73" s="82">
        <f t="shared" si="35"/>
        <v>66.900000000000006</v>
      </c>
      <c r="BN73" s="82">
        <f t="shared" si="35"/>
        <v>68</v>
      </c>
      <c r="BO73" s="82">
        <f t="shared" si="35"/>
        <v>52</v>
      </c>
      <c r="BP73" s="82">
        <f t="shared" si="35"/>
        <v>0</v>
      </c>
      <c r="BQ73" s="82">
        <f t="shared" si="35"/>
        <v>0</v>
      </c>
      <c r="BR73" s="82">
        <f t="shared" si="35"/>
        <v>0</v>
      </c>
      <c r="BS73" s="82">
        <f t="shared" si="35"/>
        <v>25.1</v>
      </c>
      <c r="BT73" s="82">
        <f t="shared" si="35"/>
        <v>13</v>
      </c>
      <c r="BU73" s="82">
        <f t="shared" si="35"/>
        <v>32.700000000000003</v>
      </c>
      <c r="BV73" s="82">
        <f t="shared" si="35"/>
        <v>17.399999999999999</v>
      </c>
      <c r="BW73" s="82">
        <f t="shared" si="35"/>
        <v>47.2</v>
      </c>
    </row>
    <row r="74" spans="1:75" x14ac:dyDescent="0.25">
      <c r="A74" s="65" t="s">
        <v>91</v>
      </c>
      <c r="B74" s="76">
        <v>9</v>
      </c>
      <c r="C74" s="76">
        <v>9</v>
      </c>
      <c r="D74" s="76">
        <v>9</v>
      </c>
      <c r="E74" s="76">
        <v>9</v>
      </c>
      <c r="F74" s="76">
        <v>9</v>
      </c>
      <c r="G74" s="76">
        <v>9</v>
      </c>
      <c r="H74" s="76">
        <v>9</v>
      </c>
      <c r="I74" s="76">
        <v>9</v>
      </c>
      <c r="J74" s="76">
        <v>9</v>
      </c>
      <c r="K74" s="76">
        <v>9</v>
      </c>
      <c r="L74" s="76">
        <v>8.1999999999999993</v>
      </c>
      <c r="M74" s="76">
        <v>7.9</v>
      </c>
      <c r="N74" s="76">
        <v>7.9</v>
      </c>
      <c r="O74" s="76">
        <v>7.9</v>
      </c>
      <c r="P74" s="76">
        <v>6.4</v>
      </c>
      <c r="Q74" s="76">
        <v>6.4</v>
      </c>
      <c r="R74" s="76">
        <v>6.4</v>
      </c>
      <c r="S74" s="76">
        <v>6.4</v>
      </c>
      <c r="T74" s="76">
        <v>6.4</v>
      </c>
      <c r="U74" s="76">
        <v>1.8</v>
      </c>
      <c r="V74" s="76">
        <v>1.8</v>
      </c>
      <c r="W74" s="76"/>
      <c r="X74" s="76"/>
      <c r="Y74" s="76">
        <v>1.8</v>
      </c>
      <c r="Z74" s="76"/>
      <c r="AA74" s="76"/>
      <c r="AB74" s="76">
        <v>6.4</v>
      </c>
      <c r="AC74" s="76">
        <v>7.2</v>
      </c>
      <c r="AD74" s="76">
        <v>7.2</v>
      </c>
      <c r="AE74" s="76">
        <v>7.2</v>
      </c>
      <c r="AF74" s="76">
        <v>7.2</v>
      </c>
      <c r="AG74" s="66">
        <v>14.1</v>
      </c>
      <c r="AH74" s="48">
        <f t="shared" si="2"/>
        <v>9</v>
      </c>
      <c r="AI74" s="49">
        <f t="shared" si="3"/>
        <v>1.8</v>
      </c>
      <c r="AK74" s="51"/>
      <c r="AZ74" s="82">
        <f t="shared" si="35"/>
        <v>0</v>
      </c>
      <c r="BA74" s="82">
        <f t="shared" si="35"/>
        <v>0</v>
      </c>
      <c r="BB74" s="82">
        <f t="shared" si="35"/>
        <v>0</v>
      </c>
      <c r="BC74" s="82">
        <f t="shared" si="35"/>
        <v>0</v>
      </c>
      <c r="BD74" s="82">
        <f t="shared" si="35"/>
        <v>0</v>
      </c>
      <c r="BE74" s="82">
        <f t="shared" si="35"/>
        <v>0</v>
      </c>
      <c r="BF74" s="82">
        <f t="shared" si="35"/>
        <v>0</v>
      </c>
      <c r="BG74" s="82">
        <f t="shared" si="35"/>
        <v>0</v>
      </c>
      <c r="BH74" s="82">
        <f t="shared" si="35"/>
        <v>0</v>
      </c>
      <c r="BI74" s="82">
        <f t="shared" si="35"/>
        <v>0</v>
      </c>
      <c r="BJ74" s="82">
        <f t="shared" si="35"/>
        <v>0</v>
      </c>
      <c r="BK74" s="82">
        <f t="shared" si="35"/>
        <v>0</v>
      </c>
      <c r="BL74" s="82">
        <f t="shared" si="35"/>
        <v>0</v>
      </c>
      <c r="BM74" s="82">
        <f t="shared" si="35"/>
        <v>0</v>
      </c>
      <c r="BN74" s="82">
        <f t="shared" si="35"/>
        <v>0</v>
      </c>
      <c r="BO74" s="82">
        <f t="shared" si="35"/>
        <v>0</v>
      </c>
      <c r="BP74" s="82">
        <f t="shared" si="35"/>
        <v>0</v>
      </c>
      <c r="BQ74" s="82">
        <f t="shared" si="35"/>
        <v>0</v>
      </c>
      <c r="BR74" s="82">
        <f t="shared" si="35"/>
        <v>0</v>
      </c>
      <c r="BS74" s="82">
        <f t="shared" si="35"/>
        <v>0</v>
      </c>
      <c r="BT74" s="82">
        <f t="shared" si="35"/>
        <v>0</v>
      </c>
      <c r="BU74" s="82">
        <f t="shared" si="35"/>
        <v>0</v>
      </c>
      <c r="BV74" s="82">
        <f t="shared" si="35"/>
        <v>0</v>
      </c>
      <c r="BW74" s="82">
        <f t="shared" si="35"/>
        <v>0</v>
      </c>
    </row>
    <row r="75" spans="1:75" x14ac:dyDescent="0.25">
      <c r="A75" s="84" t="s">
        <v>93</v>
      </c>
      <c r="B75" s="76">
        <v>13.7</v>
      </c>
      <c r="C75" s="76">
        <v>13.7</v>
      </c>
      <c r="D75" s="76">
        <v>13.7</v>
      </c>
      <c r="E75" s="76">
        <v>13.7</v>
      </c>
      <c r="F75" s="76">
        <v>13.7</v>
      </c>
      <c r="G75" s="76">
        <v>13.7</v>
      </c>
      <c r="H75" s="76">
        <v>13.7</v>
      </c>
      <c r="I75" s="76">
        <v>13.7</v>
      </c>
      <c r="J75" s="76">
        <v>13.7</v>
      </c>
      <c r="K75" s="76">
        <v>13.7</v>
      </c>
      <c r="L75" s="76">
        <v>13</v>
      </c>
      <c r="M75" s="76">
        <v>13</v>
      </c>
      <c r="N75" s="76">
        <v>13</v>
      </c>
      <c r="O75" s="76">
        <v>13</v>
      </c>
      <c r="P75" s="76">
        <v>12.9</v>
      </c>
      <c r="Q75" s="76">
        <v>12.9</v>
      </c>
      <c r="R75" s="76">
        <v>12.9</v>
      </c>
      <c r="S75" s="76">
        <v>12.9</v>
      </c>
      <c r="T75" s="76">
        <v>12.9</v>
      </c>
      <c r="U75" s="76">
        <v>4</v>
      </c>
      <c r="V75" s="76">
        <v>13.9</v>
      </c>
      <c r="W75" s="76"/>
      <c r="X75" s="76"/>
      <c r="Y75" s="76">
        <v>13.9</v>
      </c>
      <c r="Z75" s="76"/>
      <c r="AA75" s="76"/>
      <c r="AB75" s="76">
        <v>13.9</v>
      </c>
      <c r="AC75" s="76">
        <v>13.9</v>
      </c>
      <c r="AD75" s="76">
        <v>13.9</v>
      </c>
      <c r="AE75" s="76">
        <v>13.9</v>
      </c>
      <c r="AF75" s="76">
        <v>13.9</v>
      </c>
      <c r="AG75" s="66">
        <v>14</v>
      </c>
      <c r="AH75" s="48">
        <f t="shared" ref="AH75:AH128" si="36">MAX(B75:AF75)</f>
        <v>13.9</v>
      </c>
      <c r="AI75" s="49">
        <f t="shared" ref="AI75:AI128" si="37">MIN(B75:AF75)</f>
        <v>4</v>
      </c>
      <c r="AK75" s="51"/>
      <c r="AZ75" s="82">
        <f t="shared" si="35"/>
        <v>-415</v>
      </c>
      <c r="BA75" s="82">
        <f t="shared" si="35"/>
        <v>-415</v>
      </c>
      <c r="BB75" s="82">
        <f t="shared" si="35"/>
        <v>-375</v>
      </c>
      <c r="BC75" s="82">
        <f t="shared" si="35"/>
        <v>-349</v>
      </c>
      <c r="BD75" s="82">
        <f t="shared" si="35"/>
        <v>-355</v>
      </c>
      <c r="BE75" s="82">
        <f t="shared" si="35"/>
        <v>-176</v>
      </c>
      <c r="BF75" s="82">
        <f t="shared" si="35"/>
        <v>-129</v>
      </c>
      <c r="BG75" s="82">
        <f t="shared" si="35"/>
        <v>-139.80000000000001</v>
      </c>
      <c r="BH75" s="82">
        <f t="shared" si="35"/>
        <v>178</v>
      </c>
      <c r="BI75" s="82">
        <f t="shared" si="35"/>
        <v>178</v>
      </c>
      <c r="BJ75" s="82">
        <f t="shared" si="35"/>
        <v>230.5</v>
      </c>
      <c r="BK75" s="82">
        <f t="shared" si="35"/>
        <v>250</v>
      </c>
      <c r="BL75" s="82">
        <f t="shared" si="35"/>
        <v>284.7</v>
      </c>
      <c r="BM75" s="82">
        <f t="shared" si="35"/>
        <v>306</v>
      </c>
      <c r="BN75" s="82">
        <f t="shared" si="35"/>
        <v>250</v>
      </c>
      <c r="BO75" s="82">
        <f t="shared" si="35"/>
        <v>180</v>
      </c>
      <c r="BP75" s="82">
        <f t="shared" si="35"/>
        <v>0</v>
      </c>
      <c r="BQ75" s="82">
        <f t="shared" si="35"/>
        <v>0</v>
      </c>
      <c r="BR75" s="82">
        <f t="shared" si="35"/>
        <v>0</v>
      </c>
      <c r="BS75" s="82">
        <f t="shared" si="35"/>
        <v>-160</v>
      </c>
      <c r="BT75" s="82">
        <f t="shared" si="35"/>
        <v>-200</v>
      </c>
      <c r="BU75" s="82">
        <f t="shared" si="35"/>
        <v>-424</v>
      </c>
      <c r="BV75" s="82">
        <f t="shared" si="35"/>
        <v>-400.9</v>
      </c>
      <c r="BW75" s="82">
        <f t="shared" si="35"/>
        <v>-415</v>
      </c>
    </row>
    <row r="76" spans="1:75" x14ac:dyDescent="0.25">
      <c r="A76" s="65" t="s">
        <v>95</v>
      </c>
      <c r="B76" s="76">
        <v>8.5</v>
      </c>
      <c r="C76" s="76">
        <v>8.5</v>
      </c>
      <c r="D76" s="76">
        <v>8.5</v>
      </c>
      <c r="E76" s="76">
        <v>8.5</v>
      </c>
      <c r="F76" s="76">
        <v>8.5</v>
      </c>
      <c r="G76" s="76">
        <v>8.5</v>
      </c>
      <c r="H76" s="76">
        <v>8.5</v>
      </c>
      <c r="I76" s="76">
        <v>8.5</v>
      </c>
      <c r="J76" s="76">
        <v>8.5</v>
      </c>
      <c r="K76" s="76">
        <v>8.5</v>
      </c>
      <c r="L76" s="76">
        <v>8.5</v>
      </c>
      <c r="M76" s="76">
        <v>8.5</v>
      </c>
      <c r="N76" s="76">
        <v>8.5</v>
      </c>
      <c r="O76" s="76">
        <v>8.5</v>
      </c>
      <c r="P76" s="76">
        <v>8.5</v>
      </c>
      <c r="Q76" s="76">
        <v>8.5</v>
      </c>
      <c r="R76" s="76">
        <v>8.5</v>
      </c>
      <c r="S76" s="76">
        <v>8.5</v>
      </c>
      <c r="T76" s="76">
        <v>8.5</v>
      </c>
      <c r="U76" s="76">
        <v>8.5</v>
      </c>
      <c r="V76" s="76">
        <v>8.5</v>
      </c>
      <c r="W76" s="76"/>
      <c r="X76" s="76"/>
      <c r="Y76" s="76">
        <v>8.5</v>
      </c>
      <c r="Z76" s="76"/>
      <c r="AA76" s="76"/>
      <c r="AB76" s="76">
        <v>8.5</v>
      </c>
      <c r="AC76" s="76">
        <v>8.5</v>
      </c>
      <c r="AD76" s="76">
        <v>8.5</v>
      </c>
      <c r="AE76" s="76">
        <v>8.5</v>
      </c>
      <c r="AF76" s="76">
        <v>8.5</v>
      </c>
      <c r="AG76" s="66">
        <v>10.050000000000001</v>
      </c>
      <c r="AH76" s="48">
        <f t="shared" si="36"/>
        <v>8.5</v>
      </c>
      <c r="AI76" s="49">
        <f t="shared" si="37"/>
        <v>8.5</v>
      </c>
      <c r="AK76" s="51"/>
      <c r="AZ76" s="82">
        <f t="shared" si="35"/>
        <v>0</v>
      </c>
      <c r="BA76" s="82">
        <f t="shared" si="35"/>
        <v>0</v>
      </c>
      <c r="BB76" s="82">
        <f t="shared" si="35"/>
        <v>0</v>
      </c>
      <c r="BC76" s="82">
        <f t="shared" si="35"/>
        <v>0</v>
      </c>
      <c r="BD76" s="82">
        <f t="shared" si="35"/>
        <v>0</v>
      </c>
      <c r="BE76" s="82">
        <f t="shared" si="35"/>
        <v>0</v>
      </c>
      <c r="BF76" s="82">
        <f t="shared" si="35"/>
        <v>0</v>
      </c>
      <c r="BG76" s="82">
        <f t="shared" si="35"/>
        <v>0</v>
      </c>
      <c r="BH76" s="82">
        <f t="shared" si="35"/>
        <v>0</v>
      </c>
      <c r="BI76" s="82">
        <f t="shared" si="35"/>
        <v>0</v>
      </c>
      <c r="BJ76" s="82">
        <f t="shared" si="35"/>
        <v>42.1</v>
      </c>
      <c r="BK76" s="82">
        <f t="shared" si="35"/>
        <v>46</v>
      </c>
      <c r="BL76" s="82">
        <f t="shared" si="35"/>
        <v>42.6</v>
      </c>
      <c r="BM76" s="82">
        <f t="shared" si="35"/>
        <v>46.2</v>
      </c>
      <c r="BN76" s="82">
        <f t="shared" si="35"/>
        <v>50</v>
      </c>
      <c r="BO76" s="82">
        <f t="shared" si="35"/>
        <v>49.9</v>
      </c>
      <c r="BP76" s="82">
        <f t="shared" si="35"/>
        <v>0</v>
      </c>
      <c r="BQ76" s="82">
        <f t="shared" si="35"/>
        <v>0</v>
      </c>
      <c r="BR76" s="82">
        <f t="shared" si="35"/>
        <v>0</v>
      </c>
      <c r="BS76" s="82">
        <f t="shared" si="35"/>
        <v>0</v>
      </c>
      <c r="BT76" s="82">
        <f t="shared" si="35"/>
        <v>0</v>
      </c>
      <c r="BU76" s="82">
        <f t="shared" si="35"/>
        <v>0</v>
      </c>
      <c r="BV76" s="82">
        <f t="shared" si="35"/>
        <v>0</v>
      </c>
      <c r="BW76" s="82">
        <f t="shared" si="35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/>
      <c r="X77" s="76"/>
      <c r="Y77" s="76">
        <v>3</v>
      </c>
      <c r="Z77" s="76"/>
      <c r="AA77" s="76"/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6"/>
        <v>3</v>
      </c>
      <c r="AI77" s="49">
        <f t="shared" si="37"/>
        <v>3</v>
      </c>
      <c r="AK77" s="51"/>
      <c r="AZ77" s="82">
        <f t="shared" si="35"/>
        <v>0</v>
      </c>
      <c r="BA77" s="82">
        <f t="shared" si="35"/>
        <v>0</v>
      </c>
      <c r="BB77" s="82">
        <f t="shared" si="35"/>
        <v>0</v>
      </c>
      <c r="BC77" s="82">
        <f t="shared" si="35"/>
        <v>0</v>
      </c>
      <c r="BD77" s="82">
        <f t="shared" si="35"/>
        <v>0</v>
      </c>
      <c r="BE77" s="82">
        <f t="shared" si="35"/>
        <v>0</v>
      </c>
      <c r="BF77" s="82">
        <f t="shared" si="35"/>
        <v>123.9</v>
      </c>
      <c r="BG77" s="82">
        <f t="shared" si="35"/>
        <v>134</v>
      </c>
      <c r="BH77" s="82">
        <f t="shared" si="35"/>
        <v>134</v>
      </c>
      <c r="BI77" s="82">
        <f t="shared" si="35"/>
        <v>134</v>
      </c>
      <c r="BJ77" s="82">
        <f t="shared" si="35"/>
        <v>145</v>
      </c>
      <c r="BK77" s="82">
        <f t="shared" si="35"/>
        <v>125</v>
      </c>
      <c r="BL77" s="82">
        <f t="shared" si="35"/>
        <v>121.8</v>
      </c>
      <c r="BM77" s="82">
        <f t="shared" si="35"/>
        <v>145.9</v>
      </c>
      <c r="BN77" s="82">
        <f t="shared" si="35"/>
        <v>142</v>
      </c>
      <c r="BO77" s="82">
        <f t="shared" si="35"/>
        <v>147</v>
      </c>
      <c r="BP77" s="82">
        <f t="shared" si="35"/>
        <v>0</v>
      </c>
      <c r="BQ77" s="82">
        <f t="shared" si="35"/>
        <v>0</v>
      </c>
      <c r="BR77" s="82">
        <f t="shared" si="35"/>
        <v>0</v>
      </c>
      <c r="BS77" s="82">
        <f t="shared" si="35"/>
        <v>0</v>
      </c>
      <c r="BT77" s="82">
        <f t="shared" si="35"/>
        <v>0</v>
      </c>
      <c r="BU77" s="82">
        <f t="shared" si="35"/>
        <v>0</v>
      </c>
      <c r="BV77" s="82">
        <f t="shared" si="35"/>
        <v>0</v>
      </c>
      <c r="BW77" s="82">
        <f t="shared" si="35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6"/>
        <v>5.5</v>
      </c>
      <c r="AI78" s="49">
        <f t="shared" si="37"/>
        <v>3.5</v>
      </c>
      <c r="AK78" s="51"/>
      <c r="AZ78" s="82">
        <f t="shared" si="35"/>
        <v>0</v>
      </c>
      <c r="BA78" s="82">
        <f t="shared" si="35"/>
        <v>0</v>
      </c>
      <c r="BB78" s="82">
        <f t="shared" si="35"/>
        <v>0</v>
      </c>
      <c r="BC78" s="82">
        <f t="shared" si="35"/>
        <v>0</v>
      </c>
      <c r="BD78" s="82">
        <f t="shared" si="35"/>
        <v>0</v>
      </c>
      <c r="BE78" s="82">
        <f t="shared" si="35"/>
        <v>0</v>
      </c>
      <c r="BF78" s="82">
        <f t="shared" si="35"/>
        <v>0</v>
      </c>
      <c r="BG78" s="82">
        <f t="shared" si="35"/>
        <v>0</v>
      </c>
      <c r="BH78" s="82">
        <f t="shared" si="35"/>
        <v>0</v>
      </c>
      <c r="BI78" s="82">
        <f t="shared" si="35"/>
        <v>0</v>
      </c>
      <c r="BJ78" s="82">
        <f t="shared" si="35"/>
        <v>0</v>
      </c>
      <c r="BK78" s="82">
        <f t="shared" si="35"/>
        <v>0</v>
      </c>
      <c r="BL78" s="82">
        <f t="shared" si="35"/>
        <v>0</v>
      </c>
      <c r="BM78" s="82">
        <f t="shared" si="35"/>
        <v>0</v>
      </c>
      <c r="BN78" s="82">
        <f t="shared" si="35"/>
        <v>0</v>
      </c>
      <c r="BO78" s="82">
        <f t="shared" si="35"/>
        <v>0</v>
      </c>
      <c r="BP78" s="82">
        <f t="shared" si="35"/>
        <v>0</v>
      </c>
      <c r="BQ78" s="82">
        <f t="shared" si="35"/>
        <v>0</v>
      </c>
      <c r="BR78" s="82">
        <f t="shared" si="35"/>
        <v>0</v>
      </c>
      <c r="BS78" s="82">
        <f t="shared" si="35"/>
        <v>0</v>
      </c>
      <c r="BT78" s="82">
        <f t="shared" si="35"/>
        <v>0</v>
      </c>
      <c r="BU78" s="82">
        <f t="shared" si="35"/>
        <v>0</v>
      </c>
      <c r="BV78" s="82">
        <f t="shared" si="35"/>
        <v>0</v>
      </c>
      <c r="BW78" s="82">
        <f t="shared" si="35"/>
        <v>0</v>
      </c>
    </row>
    <row r="79" spans="1:75" ht="15.75" thickBot="1" x14ac:dyDescent="0.3">
      <c r="A79" s="87" t="s">
        <v>99</v>
      </c>
      <c r="B79" s="71">
        <f t="shared" ref="B79:C79" si="38">SUM(B66:B78)</f>
        <v>401.84</v>
      </c>
      <c r="C79" s="71">
        <f t="shared" si="38"/>
        <v>401.84</v>
      </c>
      <c r="D79" s="71">
        <f t="shared" ref="D79" si="39">SUM(D66:D78)</f>
        <v>401.84</v>
      </c>
      <c r="E79" s="71">
        <f t="shared" ref="E79:AG79" si="40">SUM(E66:E78)</f>
        <v>401.84</v>
      </c>
      <c r="F79" s="71">
        <f t="shared" si="40"/>
        <v>401.84</v>
      </c>
      <c r="G79" s="71">
        <f t="shared" si="40"/>
        <v>397.23999999999995</v>
      </c>
      <c r="H79" s="71">
        <f t="shared" si="40"/>
        <v>397.23999999999995</v>
      </c>
      <c r="I79" s="71">
        <f t="shared" si="40"/>
        <v>397.23999999999995</v>
      </c>
      <c r="J79" s="71">
        <f t="shared" si="40"/>
        <v>397.13999999999993</v>
      </c>
      <c r="K79" s="71">
        <f t="shared" si="40"/>
        <v>397.13999999999993</v>
      </c>
      <c r="L79" s="71">
        <f t="shared" ref="L79" si="41">SUM(L66:L78)</f>
        <v>413.94</v>
      </c>
      <c r="M79" s="71">
        <f t="shared" si="40"/>
        <v>362.53999999999996</v>
      </c>
      <c r="N79" s="71">
        <f t="shared" si="40"/>
        <v>362.53999999999996</v>
      </c>
      <c r="O79" s="71">
        <f t="shared" si="40"/>
        <v>362.53999999999996</v>
      </c>
      <c r="P79" s="71">
        <f t="shared" si="40"/>
        <v>412.63999999999993</v>
      </c>
      <c r="Q79" s="71">
        <f t="shared" si="40"/>
        <v>412.63999999999993</v>
      </c>
      <c r="R79" s="71">
        <f t="shared" si="40"/>
        <v>412.63999999999993</v>
      </c>
      <c r="S79" s="71">
        <f t="shared" si="40"/>
        <v>412.63999999999993</v>
      </c>
      <c r="T79" s="71">
        <f t="shared" si="40"/>
        <v>393.53999999999996</v>
      </c>
      <c r="U79" s="71">
        <f t="shared" si="40"/>
        <v>374.04</v>
      </c>
      <c r="V79" s="71">
        <f t="shared" si="40"/>
        <v>383.73999999999995</v>
      </c>
      <c r="W79" s="71">
        <f t="shared" si="40"/>
        <v>3.54</v>
      </c>
      <c r="X79" s="71">
        <f t="shared" si="40"/>
        <v>3.54</v>
      </c>
      <c r="Y79" s="71">
        <f t="shared" si="40"/>
        <v>383.69999999999993</v>
      </c>
      <c r="Z79" s="71">
        <f t="shared" si="40"/>
        <v>5.5</v>
      </c>
      <c r="AA79" s="71">
        <f t="shared" si="40"/>
        <v>3.54</v>
      </c>
      <c r="AB79" s="71">
        <f t="shared" si="40"/>
        <v>395.14</v>
      </c>
      <c r="AC79" s="71">
        <f t="shared" si="40"/>
        <v>413.94</v>
      </c>
      <c r="AD79" s="71">
        <f t="shared" si="40"/>
        <v>404.94</v>
      </c>
      <c r="AE79" s="71">
        <f t="shared" si="40"/>
        <v>404.94</v>
      </c>
      <c r="AF79" s="71">
        <f t="shared" si="40"/>
        <v>404.94</v>
      </c>
      <c r="AG79" s="72">
        <f t="shared" si="40"/>
        <v>489.91</v>
      </c>
      <c r="AH79" s="48">
        <f t="shared" si="36"/>
        <v>413.94</v>
      </c>
      <c r="AI79" s="49">
        <f t="shared" si="37"/>
        <v>3.54</v>
      </c>
      <c r="AK79" s="51"/>
      <c r="AY79" s="82"/>
    </row>
    <row r="80" spans="1:75" x14ac:dyDescent="0.25">
      <c r="A80" s="45" t="s">
        <v>100</v>
      </c>
      <c r="B80" s="46">
        <v>59.7</v>
      </c>
      <c r="C80" s="46">
        <v>59.7</v>
      </c>
      <c r="D80" s="46">
        <v>59.7</v>
      </c>
      <c r="E80" s="46">
        <v>49.3</v>
      </c>
      <c r="F80" s="46">
        <v>49.3</v>
      </c>
      <c r="G80" s="46">
        <v>59.5</v>
      </c>
      <c r="H80" s="46">
        <v>59.5</v>
      </c>
      <c r="I80" s="46">
        <v>40</v>
      </c>
      <c r="J80" s="46">
        <v>39.4</v>
      </c>
      <c r="K80" s="46">
        <v>59.5</v>
      </c>
      <c r="L80" s="46">
        <v>59.5</v>
      </c>
      <c r="M80" s="46">
        <v>59.4</v>
      </c>
      <c r="N80" s="46">
        <v>49.6</v>
      </c>
      <c r="O80" s="46">
        <v>49.6</v>
      </c>
      <c r="P80" s="46">
        <v>49.5</v>
      </c>
      <c r="Q80" s="46">
        <v>39.9</v>
      </c>
      <c r="R80" s="46">
        <v>31.3</v>
      </c>
      <c r="S80" s="46">
        <v>14.9</v>
      </c>
      <c r="T80" s="46">
        <v>29</v>
      </c>
      <c r="U80" s="46">
        <v>13.6</v>
      </c>
      <c r="V80" s="46"/>
      <c r="W80" s="46"/>
      <c r="X80" s="46"/>
      <c r="Y80" s="46">
        <v>39.299999999999997</v>
      </c>
      <c r="Z80" s="46"/>
      <c r="AA80" s="46"/>
      <c r="AB80" s="46">
        <v>10.4</v>
      </c>
      <c r="AC80" s="46">
        <v>0</v>
      </c>
      <c r="AD80" s="46">
        <v>0</v>
      </c>
      <c r="AE80" s="46">
        <v>29.6</v>
      </c>
      <c r="AF80" s="46">
        <v>29.6</v>
      </c>
      <c r="AG80" s="61">
        <v>60</v>
      </c>
      <c r="AH80" s="48">
        <f t="shared" si="36"/>
        <v>59.7</v>
      </c>
      <c r="AI80" s="49">
        <f t="shared" si="37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29.6</v>
      </c>
      <c r="C81" s="76">
        <v>29.6</v>
      </c>
      <c r="D81" s="76">
        <v>29.6</v>
      </c>
      <c r="E81" s="76">
        <v>29.4</v>
      </c>
      <c r="F81" s="76">
        <v>22.2</v>
      </c>
      <c r="G81" s="76">
        <v>29.7</v>
      </c>
      <c r="H81" s="76">
        <v>29.7</v>
      </c>
      <c r="I81" s="76">
        <v>29.3</v>
      </c>
      <c r="J81" s="76">
        <v>20</v>
      </c>
      <c r="K81" s="76">
        <v>27.7</v>
      </c>
      <c r="L81" s="76">
        <v>29.6</v>
      </c>
      <c r="M81" s="76">
        <v>29.5</v>
      </c>
      <c r="N81" s="76">
        <v>29.5</v>
      </c>
      <c r="O81" s="76">
        <v>29.5</v>
      </c>
      <c r="P81" s="76">
        <v>25.9</v>
      </c>
      <c r="Q81" s="76">
        <v>16.5</v>
      </c>
      <c r="R81" s="76">
        <v>16.5</v>
      </c>
      <c r="S81" s="76">
        <v>6.4</v>
      </c>
      <c r="T81" s="76">
        <v>14</v>
      </c>
      <c r="U81" s="76">
        <v>6</v>
      </c>
      <c r="V81" s="76"/>
      <c r="W81" s="76"/>
      <c r="X81" s="76"/>
      <c r="Y81" s="76">
        <v>15.5</v>
      </c>
      <c r="Z81" s="76"/>
      <c r="AA81" s="76"/>
      <c r="AB81" s="76">
        <v>6.9</v>
      </c>
      <c r="AC81" s="76">
        <v>0</v>
      </c>
      <c r="AD81" s="76">
        <v>0</v>
      </c>
      <c r="AE81" s="76">
        <v>15.4</v>
      </c>
      <c r="AF81" s="76">
        <v>15.4</v>
      </c>
      <c r="AG81" s="66">
        <v>32</v>
      </c>
      <c r="AH81" s="48">
        <f t="shared" si="36"/>
        <v>29.7</v>
      </c>
      <c r="AI81" s="49">
        <f t="shared" si="37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10.8</v>
      </c>
      <c r="C82" s="78">
        <v>10.8</v>
      </c>
      <c r="D82" s="78">
        <v>10.8</v>
      </c>
      <c r="E82" s="78">
        <v>10.7</v>
      </c>
      <c r="F82" s="78">
        <v>8.1</v>
      </c>
      <c r="G82" s="78">
        <v>10.8</v>
      </c>
      <c r="H82" s="78">
        <v>10.8</v>
      </c>
      <c r="I82" s="78">
        <v>10.7</v>
      </c>
      <c r="J82" s="78">
        <v>7.3</v>
      </c>
      <c r="K82" s="78">
        <v>10.1</v>
      </c>
      <c r="L82" s="78">
        <v>10.8</v>
      </c>
      <c r="M82" s="78">
        <v>10.8</v>
      </c>
      <c r="N82" s="78">
        <v>10.8</v>
      </c>
      <c r="O82" s="78">
        <v>10.8</v>
      </c>
      <c r="P82" s="78">
        <v>9.5</v>
      </c>
      <c r="Q82" s="78">
        <v>6</v>
      </c>
      <c r="R82" s="78">
        <v>6</v>
      </c>
      <c r="S82" s="78">
        <v>2.2999999999999998</v>
      </c>
      <c r="T82" s="78">
        <v>4</v>
      </c>
      <c r="U82" s="78">
        <v>2.2000000000000002</v>
      </c>
      <c r="V82" s="78"/>
      <c r="W82" s="78"/>
      <c r="X82" s="78"/>
      <c r="Y82" s="78">
        <v>5.7</v>
      </c>
      <c r="Z82" s="78"/>
      <c r="AA82" s="78"/>
      <c r="AB82" s="78">
        <v>2.5</v>
      </c>
      <c r="AC82" s="78">
        <v>0</v>
      </c>
      <c r="AD82" s="78">
        <v>0</v>
      </c>
      <c r="AE82" s="78">
        <v>5.6</v>
      </c>
      <c r="AF82" s="78">
        <v>5.6</v>
      </c>
      <c r="AG82" s="79">
        <v>14</v>
      </c>
      <c r="AH82" s="48">
        <f t="shared" si="36"/>
        <v>10.8</v>
      </c>
      <c r="AI82" s="49">
        <f t="shared" si="37"/>
        <v>0</v>
      </c>
      <c r="AK82" s="51"/>
      <c r="AY82" s="82"/>
      <c r="BF82" s="81"/>
      <c r="BG82" s="82">
        <f t="array" ref="BG82:BL105">TRANSPOSE(AZ66:BW71)</f>
        <v>47</v>
      </c>
      <c r="BH82" s="82">
        <v>0</v>
      </c>
      <c r="BI82" s="82">
        <v>-415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42">B80+B81+B82</f>
        <v>100.10000000000001</v>
      </c>
      <c r="C83" s="71">
        <f t="shared" si="42"/>
        <v>100.10000000000001</v>
      </c>
      <c r="D83" s="71">
        <f t="shared" ref="D83" si="43">D80+D81+D82</f>
        <v>100.10000000000001</v>
      </c>
      <c r="E83" s="71">
        <f t="shared" ref="E83:AF83" si="44">E80+E81+E82</f>
        <v>89.399999999999991</v>
      </c>
      <c r="F83" s="71">
        <f t="shared" si="44"/>
        <v>79.599999999999994</v>
      </c>
      <c r="G83" s="71">
        <f t="shared" si="44"/>
        <v>100</v>
      </c>
      <c r="H83" s="71">
        <f t="shared" si="44"/>
        <v>100</v>
      </c>
      <c r="I83" s="71">
        <f t="shared" si="44"/>
        <v>80</v>
      </c>
      <c r="J83" s="71">
        <f t="shared" si="44"/>
        <v>66.7</v>
      </c>
      <c r="K83" s="71">
        <f t="shared" si="44"/>
        <v>97.3</v>
      </c>
      <c r="L83" s="71">
        <f t="shared" ref="L83" si="45">L80+L81+L82</f>
        <v>99.899999999999991</v>
      </c>
      <c r="M83" s="71">
        <f t="shared" si="44"/>
        <v>99.7</v>
      </c>
      <c r="N83" s="71">
        <f t="shared" si="44"/>
        <v>89.899999999999991</v>
      </c>
      <c r="O83" s="71">
        <f t="shared" si="44"/>
        <v>89.899999999999991</v>
      </c>
      <c r="P83" s="71">
        <f t="shared" si="44"/>
        <v>84.9</v>
      </c>
      <c r="Q83" s="71">
        <f t="shared" si="44"/>
        <v>62.4</v>
      </c>
      <c r="R83" s="71">
        <f t="shared" si="44"/>
        <v>53.8</v>
      </c>
      <c r="S83" s="71">
        <f t="shared" si="44"/>
        <v>23.6</v>
      </c>
      <c r="T83" s="71">
        <f t="shared" si="44"/>
        <v>47</v>
      </c>
      <c r="U83" s="71">
        <f t="shared" si="44"/>
        <v>21.8</v>
      </c>
      <c r="V83" s="71">
        <f t="shared" si="44"/>
        <v>0</v>
      </c>
      <c r="W83" s="71">
        <f t="shared" si="44"/>
        <v>0</v>
      </c>
      <c r="X83" s="71">
        <f t="shared" si="44"/>
        <v>0</v>
      </c>
      <c r="Y83" s="71">
        <f t="shared" si="44"/>
        <v>60.5</v>
      </c>
      <c r="Z83" s="71">
        <f t="shared" si="44"/>
        <v>0</v>
      </c>
      <c r="AA83" s="71">
        <f t="shared" si="44"/>
        <v>0</v>
      </c>
      <c r="AB83" s="71">
        <f t="shared" si="44"/>
        <v>19.8</v>
      </c>
      <c r="AC83" s="71">
        <f t="shared" si="44"/>
        <v>0</v>
      </c>
      <c r="AD83" s="71">
        <f t="shared" si="44"/>
        <v>0</v>
      </c>
      <c r="AE83" s="71">
        <f t="shared" si="44"/>
        <v>50.6</v>
      </c>
      <c r="AF83" s="71">
        <f t="shared" si="44"/>
        <v>50.6</v>
      </c>
      <c r="AG83" s="72">
        <f>SUM(AG80:AG82)</f>
        <v>106</v>
      </c>
      <c r="AH83" s="48">
        <f t="shared" si="36"/>
        <v>100.10000000000001</v>
      </c>
      <c r="AI83" s="49">
        <f t="shared" si="37"/>
        <v>0</v>
      </c>
      <c r="AK83" s="51"/>
      <c r="AY83" s="82"/>
      <c r="BF83" s="81"/>
      <c r="BG83" s="82">
        <v>47.2</v>
      </c>
      <c r="BH83" s="82">
        <v>0</v>
      </c>
      <c r="BI83" s="82">
        <v>-415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47.2</v>
      </c>
      <c r="C84" s="46">
        <v>47.2</v>
      </c>
      <c r="D84" s="46">
        <v>47.2</v>
      </c>
      <c r="E84" s="46">
        <v>49.8</v>
      </c>
      <c r="F84" s="46">
        <v>49</v>
      </c>
      <c r="G84" s="46">
        <v>40</v>
      </c>
      <c r="H84" s="46">
        <v>41</v>
      </c>
      <c r="I84" s="46">
        <v>42.4</v>
      </c>
      <c r="J84" s="46">
        <v>43.7</v>
      </c>
      <c r="K84" s="46">
        <v>65</v>
      </c>
      <c r="L84" s="46" t="s">
        <v>310</v>
      </c>
      <c r="M84" s="46">
        <v>51.7</v>
      </c>
      <c r="N84" s="46">
        <v>56</v>
      </c>
      <c r="O84" s="46">
        <v>56</v>
      </c>
      <c r="P84" s="46">
        <v>66.5</v>
      </c>
      <c r="Q84" s="46">
        <v>70.8</v>
      </c>
      <c r="R84" s="46">
        <v>71.2</v>
      </c>
      <c r="S84" s="46">
        <v>66.900000000000006</v>
      </c>
      <c r="T84" s="46">
        <v>68</v>
      </c>
      <c r="U84" s="46">
        <v>52</v>
      </c>
      <c r="V84" s="46"/>
      <c r="W84" s="46"/>
      <c r="X84" s="46"/>
      <c r="Y84" s="46">
        <v>40.6</v>
      </c>
      <c r="Z84" s="46"/>
      <c r="AA84" s="46"/>
      <c r="AB84" s="46">
        <v>25.1</v>
      </c>
      <c r="AC84" s="46">
        <v>22.1</v>
      </c>
      <c r="AD84" s="46">
        <v>13</v>
      </c>
      <c r="AE84" s="46">
        <v>32.700000000000003</v>
      </c>
      <c r="AF84" s="46">
        <v>17.399999999999999</v>
      </c>
      <c r="AG84" s="61"/>
      <c r="AH84" s="48">
        <f t="shared" si="36"/>
        <v>71.2</v>
      </c>
      <c r="AI84" s="49">
        <f t="shared" si="37"/>
        <v>13</v>
      </c>
      <c r="AK84" s="51"/>
      <c r="AY84" s="82"/>
      <c r="BF84" s="81"/>
      <c r="BG84" s="82">
        <v>49.8</v>
      </c>
      <c r="BH84" s="82">
        <v>0</v>
      </c>
      <c r="BI84" s="82">
        <v>-375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>
        <v>0</v>
      </c>
      <c r="AC85" s="76">
        <v>0</v>
      </c>
      <c r="AD85" s="76"/>
      <c r="AE85" s="76"/>
      <c r="AF85" s="76"/>
      <c r="AG85" s="66"/>
      <c r="AH85" s="48">
        <f t="shared" si="36"/>
        <v>0</v>
      </c>
      <c r="AI85" s="49">
        <f t="shared" si="37"/>
        <v>0</v>
      </c>
      <c r="AK85" s="51"/>
      <c r="AL85" s="91" t="s">
        <v>111</v>
      </c>
      <c r="AM85" s="91"/>
      <c r="AY85" s="82"/>
      <c r="BF85" s="82"/>
      <c r="BG85" s="82">
        <v>49</v>
      </c>
      <c r="BH85" s="82">
        <v>0</v>
      </c>
      <c r="BI85" s="82">
        <v>-349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-415</v>
      </c>
      <c r="C86" s="76">
        <v>-415</v>
      </c>
      <c r="D86" s="76">
        <v>-415</v>
      </c>
      <c r="E86" s="76">
        <v>-375</v>
      </c>
      <c r="F86" s="76">
        <v>-349</v>
      </c>
      <c r="G86" s="76">
        <v>-355</v>
      </c>
      <c r="H86" s="76">
        <v>-372</v>
      </c>
      <c r="I86" s="76">
        <v>-176</v>
      </c>
      <c r="J86" s="76">
        <v>-170</v>
      </c>
      <c r="K86" s="76">
        <v>-129</v>
      </c>
      <c r="L86" s="76">
        <v>-140</v>
      </c>
      <c r="M86" s="76">
        <v>-139.80000000000001</v>
      </c>
      <c r="N86" s="76">
        <v>178</v>
      </c>
      <c r="O86" s="76">
        <v>178</v>
      </c>
      <c r="P86" s="76">
        <v>230.5</v>
      </c>
      <c r="Q86" s="76">
        <v>250</v>
      </c>
      <c r="R86" s="76">
        <v>284.7</v>
      </c>
      <c r="S86" s="76">
        <v>306</v>
      </c>
      <c r="T86" s="76">
        <v>250</v>
      </c>
      <c r="U86" s="76">
        <v>180</v>
      </c>
      <c r="V86" s="76"/>
      <c r="W86" s="76"/>
      <c r="X86" s="76"/>
      <c r="Y86" s="76">
        <v>-145</v>
      </c>
      <c r="Z86" s="76"/>
      <c r="AA86" s="76"/>
      <c r="AB86" s="76">
        <v>-160</v>
      </c>
      <c r="AC86" s="76">
        <v>-167</v>
      </c>
      <c r="AD86" s="76">
        <v>-200</v>
      </c>
      <c r="AE86" s="76">
        <v>-424</v>
      </c>
      <c r="AF86" s="76">
        <v>-400.9</v>
      </c>
      <c r="AG86" s="88"/>
      <c r="AH86" s="48">
        <f t="shared" si="36"/>
        <v>306</v>
      </c>
      <c r="AI86" s="49">
        <f t="shared" si="37"/>
        <v>-424</v>
      </c>
      <c r="AK86" s="92"/>
      <c r="AL86" s="93"/>
      <c r="AM86" s="93"/>
      <c r="AN86" s="94"/>
      <c r="AY86" s="82"/>
      <c r="BF86" s="82"/>
      <c r="BG86" s="82">
        <v>40</v>
      </c>
      <c r="BH86" s="82">
        <v>0</v>
      </c>
      <c r="BI86" s="82">
        <v>-355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>
        <v>42.1</v>
      </c>
      <c r="Q87" s="89">
        <v>46</v>
      </c>
      <c r="R87" s="89">
        <v>42.6</v>
      </c>
      <c r="S87" s="89">
        <v>46.2</v>
      </c>
      <c r="T87" s="89">
        <v>50</v>
      </c>
      <c r="U87" s="89">
        <v>49.9</v>
      </c>
      <c r="V87" s="89"/>
      <c r="W87" s="89"/>
      <c r="X87" s="89"/>
      <c r="Y87" s="89">
        <v>0</v>
      </c>
      <c r="Z87" s="89"/>
      <c r="AA87" s="89"/>
      <c r="AB87" s="89">
        <v>0</v>
      </c>
      <c r="AC87" s="89">
        <v>0</v>
      </c>
      <c r="AD87" s="89"/>
      <c r="AE87" s="89"/>
      <c r="AF87" s="89"/>
      <c r="AG87" s="88"/>
      <c r="AH87" s="48">
        <f t="shared" si="36"/>
        <v>50</v>
      </c>
      <c r="AI87" s="49">
        <f t="shared" si="37"/>
        <v>0</v>
      </c>
      <c r="AK87" s="95" t="s">
        <v>114</v>
      </c>
      <c r="AL87" s="76"/>
      <c r="AM87" s="89"/>
      <c r="AN87" s="96"/>
      <c r="AY87" s="82"/>
      <c r="BF87" s="82"/>
      <c r="BG87" s="82">
        <v>42.4</v>
      </c>
      <c r="BH87" s="82">
        <v>0</v>
      </c>
      <c r="BI87" s="82">
        <v>-176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98</v>
      </c>
      <c r="K88" s="46">
        <v>123.9</v>
      </c>
      <c r="L88" s="46">
        <v>138.5</v>
      </c>
      <c r="M88" s="46">
        <v>134</v>
      </c>
      <c r="N88" s="46">
        <v>134</v>
      </c>
      <c r="O88" s="46">
        <v>134</v>
      </c>
      <c r="P88" s="46">
        <v>145</v>
      </c>
      <c r="Q88" s="46">
        <v>125</v>
      </c>
      <c r="R88" s="46">
        <v>121.8</v>
      </c>
      <c r="S88" s="46">
        <v>145.9</v>
      </c>
      <c r="T88" s="46">
        <v>142</v>
      </c>
      <c r="U88" s="46">
        <v>147</v>
      </c>
      <c r="V88" s="46"/>
      <c r="W88" s="46"/>
      <c r="X88" s="46"/>
      <c r="Y88" s="46">
        <v>0</v>
      </c>
      <c r="Z88" s="46"/>
      <c r="AA88" s="46"/>
      <c r="AB88" s="46">
        <v>0</v>
      </c>
      <c r="AC88" s="46">
        <v>0</v>
      </c>
      <c r="AD88" s="46"/>
      <c r="AE88" s="46"/>
      <c r="AF88" s="46"/>
      <c r="AG88" s="88"/>
      <c r="AH88" s="48">
        <f t="shared" si="36"/>
        <v>147</v>
      </c>
      <c r="AI88" s="49">
        <f t="shared" si="37"/>
        <v>0</v>
      </c>
      <c r="AK88" s="95" t="s">
        <v>116</v>
      </c>
      <c r="AL88" s="89"/>
      <c r="AM88" s="89"/>
      <c r="AN88" s="96"/>
      <c r="AY88" s="82"/>
      <c r="BF88" s="82"/>
      <c r="BG88" s="82">
        <v>65</v>
      </c>
      <c r="BH88" s="82">
        <v>0</v>
      </c>
      <c r="BI88" s="82">
        <v>-129</v>
      </c>
      <c r="BJ88" s="82">
        <v>0</v>
      </c>
      <c r="BK88" s="82">
        <v>123.9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>
        <v>46.8</v>
      </c>
      <c r="T89" s="90">
        <v>50</v>
      </c>
      <c r="U89" s="90">
        <v>50</v>
      </c>
      <c r="V89" s="90"/>
      <c r="W89" s="90"/>
      <c r="X89" s="90"/>
      <c r="Y89" s="90">
        <v>0</v>
      </c>
      <c r="Z89" s="90"/>
      <c r="AA89" s="90"/>
      <c r="AB89" s="90">
        <v>0</v>
      </c>
      <c r="AC89" s="90">
        <v>0</v>
      </c>
      <c r="AD89" s="90"/>
      <c r="AE89" s="90"/>
      <c r="AF89" s="90"/>
      <c r="AG89" s="88"/>
      <c r="AH89" s="48">
        <f>MAX(B89:AF89)</f>
        <v>50</v>
      </c>
      <c r="AI89" s="49">
        <f t="shared" si="37"/>
        <v>0</v>
      </c>
      <c r="AK89" s="99"/>
      <c r="AL89" s="46"/>
      <c r="AM89" s="46"/>
      <c r="AN89" s="100"/>
      <c r="AY89" s="82"/>
      <c r="BF89" s="82"/>
      <c r="BG89" s="82">
        <v>51.7</v>
      </c>
      <c r="BH89" s="82">
        <v>0</v>
      </c>
      <c r="BI89" s="82">
        <v>-139.80000000000001</v>
      </c>
      <c r="BJ89" s="82">
        <v>0</v>
      </c>
      <c r="BK89" s="82">
        <v>134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6"/>
        <v>0</v>
      </c>
      <c r="AI90" s="49">
        <f t="shared" si="37"/>
        <v>0</v>
      </c>
      <c r="AK90" s="99"/>
      <c r="AL90" s="90"/>
      <c r="AM90" s="102"/>
      <c r="AN90" s="202"/>
      <c r="AY90" s="82"/>
      <c r="BF90" s="82"/>
      <c r="BG90" s="82">
        <v>56</v>
      </c>
      <c r="BH90" s="82">
        <v>0</v>
      </c>
      <c r="BI90" s="82">
        <v>178</v>
      </c>
      <c r="BJ90" s="82">
        <v>0</v>
      </c>
      <c r="BK90" s="82">
        <v>134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6"/>
        <v>0</v>
      </c>
      <c r="AI91" s="49">
        <f t="shared" si="37"/>
        <v>0</v>
      </c>
      <c r="AK91" s="99"/>
      <c r="AL91" s="90"/>
      <c r="AM91" s="90"/>
      <c r="AN91" s="203"/>
      <c r="BF91" s="82"/>
      <c r="BG91" s="82">
        <v>56</v>
      </c>
      <c r="BH91" s="82">
        <v>0</v>
      </c>
      <c r="BI91" s="82">
        <v>178</v>
      </c>
      <c r="BJ91" s="82">
        <v>0</v>
      </c>
      <c r="BK91" s="82">
        <v>134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6"/>
        <v>0</v>
      </c>
      <c r="AI92" s="49">
        <f t="shared" si="37"/>
        <v>0</v>
      </c>
      <c r="AK92" s="104"/>
      <c r="AL92" s="105"/>
      <c r="AM92" s="105"/>
      <c r="AN92" s="106"/>
      <c r="BF92" s="82"/>
      <c r="BG92" s="82">
        <v>66.5</v>
      </c>
      <c r="BH92" s="82">
        <v>0</v>
      </c>
      <c r="BI92" s="82">
        <v>230.5</v>
      </c>
      <c r="BJ92" s="82">
        <v>42.1</v>
      </c>
      <c r="BK92" s="82">
        <v>145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6"/>
        <v>0</v>
      </c>
      <c r="AI93" s="49">
        <f t="shared" si="37"/>
        <v>0</v>
      </c>
      <c r="BF93" s="82"/>
      <c r="BG93" s="82">
        <v>70.8</v>
      </c>
      <c r="BH93" s="82">
        <v>0</v>
      </c>
      <c r="BI93" s="82">
        <v>250</v>
      </c>
      <c r="BJ93" s="82">
        <v>46</v>
      </c>
      <c r="BK93" s="82">
        <v>125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6"/>
        <v>0</v>
      </c>
      <c r="AI94" s="49">
        <f t="shared" si="37"/>
        <v>0</v>
      </c>
      <c r="BF94" s="82"/>
      <c r="BG94" s="82">
        <v>71.2</v>
      </c>
      <c r="BH94" s="82">
        <v>0</v>
      </c>
      <c r="BI94" s="82">
        <v>284.7</v>
      </c>
      <c r="BJ94" s="82">
        <v>42.6</v>
      </c>
      <c r="BK94" s="82">
        <v>121.8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46">SUMIF(B84:B94,"&gt;0")</f>
        <v>47.2</v>
      </c>
      <c r="C95" s="71">
        <f t="shared" si="46"/>
        <v>47.2</v>
      </c>
      <c r="D95" s="71">
        <f t="shared" ref="D95" si="47">SUMIF(D84:D94,"&gt;0")</f>
        <v>47.2</v>
      </c>
      <c r="E95" s="71">
        <f t="shared" ref="E95:AF95" si="48">SUMIF(E84:E94,"&gt;0")</f>
        <v>49.8</v>
      </c>
      <c r="F95" s="71">
        <f t="shared" si="48"/>
        <v>49</v>
      </c>
      <c r="G95" s="71">
        <f t="shared" si="48"/>
        <v>40</v>
      </c>
      <c r="H95" s="71">
        <f t="shared" si="48"/>
        <v>41</v>
      </c>
      <c r="I95" s="71">
        <f t="shared" si="48"/>
        <v>42.4</v>
      </c>
      <c r="J95" s="71">
        <f t="shared" si="48"/>
        <v>141.69999999999999</v>
      </c>
      <c r="K95" s="71">
        <f t="shared" si="48"/>
        <v>188.9</v>
      </c>
      <c r="L95" s="71">
        <f t="shared" si="48"/>
        <v>138.5</v>
      </c>
      <c r="M95" s="71">
        <f t="shared" si="48"/>
        <v>185.7</v>
      </c>
      <c r="N95" s="71">
        <f t="shared" si="48"/>
        <v>368</v>
      </c>
      <c r="O95" s="71">
        <f t="shared" si="48"/>
        <v>368</v>
      </c>
      <c r="P95" s="71">
        <f t="shared" si="48"/>
        <v>484.1</v>
      </c>
      <c r="Q95" s="71">
        <f t="shared" si="48"/>
        <v>491.8</v>
      </c>
      <c r="R95" s="71">
        <f t="shared" si="48"/>
        <v>520.29999999999995</v>
      </c>
      <c r="S95" s="71">
        <f t="shared" si="48"/>
        <v>611.79999999999995</v>
      </c>
      <c r="T95" s="71">
        <f t="shared" si="48"/>
        <v>560</v>
      </c>
      <c r="U95" s="71">
        <f>SUMIF(U84:U94,"&gt;0")</f>
        <v>478.9</v>
      </c>
      <c r="V95" s="71">
        <f t="shared" si="48"/>
        <v>0</v>
      </c>
      <c r="W95" s="71">
        <f t="shared" si="48"/>
        <v>0</v>
      </c>
      <c r="X95" s="71">
        <f t="shared" si="48"/>
        <v>0</v>
      </c>
      <c r="Y95" s="71">
        <f t="shared" si="48"/>
        <v>40.6</v>
      </c>
      <c r="Z95" s="71">
        <f t="shared" si="48"/>
        <v>0</v>
      </c>
      <c r="AA95" s="71">
        <f t="shared" si="48"/>
        <v>0</v>
      </c>
      <c r="AB95" s="71">
        <f t="shared" si="48"/>
        <v>25.1</v>
      </c>
      <c r="AC95" s="71">
        <f t="shared" si="48"/>
        <v>22.1</v>
      </c>
      <c r="AD95" s="71">
        <f t="shared" si="48"/>
        <v>13</v>
      </c>
      <c r="AE95" s="71">
        <f t="shared" si="48"/>
        <v>32.700000000000003</v>
      </c>
      <c r="AF95" s="71">
        <f t="shared" si="48"/>
        <v>17.399999999999999</v>
      </c>
      <c r="AG95" s="101">
        <f>SUM(AG84:AG94)</f>
        <v>0</v>
      </c>
      <c r="AH95" s="48">
        <f t="shared" si="36"/>
        <v>611.79999999999995</v>
      </c>
      <c r="AI95" s="49">
        <f t="shared" si="37"/>
        <v>0</v>
      </c>
      <c r="BF95" s="82"/>
      <c r="BG95" s="82">
        <v>66.900000000000006</v>
      </c>
      <c r="BH95" s="82">
        <v>0</v>
      </c>
      <c r="BI95" s="82">
        <v>306</v>
      </c>
      <c r="BJ95" s="82">
        <v>46.2</v>
      </c>
      <c r="BK95" s="82">
        <v>145.9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6"/>
        <v>0</v>
      </c>
      <c r="AI96" s="49">
        <f t="shared" si="37"/>
        <v>0</v>
      </c>
      <c r="BF96" s="82"/>
      <c r="BG96" s="82">
        <v>68</v>
      </c>
      <c r="BH96" s="82">
        <v>0</v>
      </c>
      <c r="BI96" s="82">
        <v>250</v>
      </c>
      <c r="BJ96" s="82">
        <v>50</v>
      </c>
      <c r="BK96" s="82">
        <v>142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6"/>
        <v>0</v>
      </c>
      <c r="AI97" s="49">
        <f t="shared" si="37"/>
        <v>0</v>
      </c>
      <c r="BF97" s="82"/>
      <c r="BG97" s="82">
        <v>52</v>
      </c>
      <c r="BH97" s="82">
        <v>0</v>
      </c>
      <c r="BI97" s="82">
        <v>180</v>
      </c>
      <c r="BJ97" s="82">
        <v>49.9</v>
      </c>
      <c r="BK97" s="82">
        <v>147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6"/>
        <v>0</v>
      </c>
      <c r="AI98" s="49">
        <f t="shared" si="37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6"/>
        <v>0</v>
      </c>
      <c r="AI99" s="49">
        <f t="shared" si="37"/>
        <v>0</v>
      </c>
      <c r="BF99" s="81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49">B61+B65+B83+B79+B95+B99</f>
        <v>1923.1399999999996</v>
      </c>
      <c r="C100" s="108">
        <f t="shared" si="49"/>
        <v>1923.1399999999996</v>
      </c>
      <c r="D100" s="108">
        <f t="shared" ref="D100" si="50">D61+D65+D83+D79+D95+D99</f>
        <v>1923.1399999999996</v>
      </c>
      <c r="E100" s="108">
        <f t="shared" ref="E100:AG100" si="51">E61+E65+E83+E79+E95+E99</f>
        <v>1834.1399999999996</v>
      </c>
      <c r="F100" s="108">
        <f t="shared" si="51"/>
        <v>1892.2399999999996</v>
      </c>
      <c r="G100" s="108">
        <f t="shared" si="51"/>
        <v>1787.0399999999997</v>
      </c>
      <c r="H100" s="108">
        <f t="shared" si="51"/>
        <v>1780.3399999999997</v>
      </c>
      <c r="I100" s="108">
        <f t="shared" si="51"/>
        <v>1677.9399999999998</v>
      </c>
      <c r="J100" s="108">
        <f t="shared" si="51"/>
        <v>1835.3399999999997</v>
      </c>
      <c r="K100" s="108">
        <f t="shared" si="51"/>
        <v>1938.8399999999997</v>
      </c>
      <c r="L100" s="108">
        <f t="shared" si="51"/>
        <v>1961.1400000000003</v>
      </c>
      <c r="M100" s="108">
        <f t="shared" si="51"/>
        <v>1956.94</v>
      </c>
      <c r="N100" s="108">
        <f t="shared" si="51"/>
        <v>1949.44</v>
      </c>
      <c r="O100" s="108">
        <f t="shared" si="51"/>
        <v>1879.44</v>
      </c>
      <c r="P100" s="108">
        <f t="shared" si="51"/>
        <v>2010.6399999999999</v>
      </c>
      <c r="Q100" s="108">
        <f t="shared" si="51"/>
        <v>1994.34</v>
      </c>
      <c r="R100" s="108">
        <f t="shared" si="51"/>
        <v>2014.2399999999998</v>
      </c>
      <c r="S100" s="108">
        <f t="shared" si="51"/>
        <v>1998.8399999999997</v>
      </c>
      <c r="T100" s="108">
        <f t="shared" si="51"/>
        <v>1949.4399999999998</v>
      </c>
      <c r="U100" s="108">
        <f t="shared" si="51"/>
        <v>1847.8399999999997</v>
      </c>
      <c r="V100" s="108">
        <f t="shared" si="51"/>
        <v>1649.74</v>
      </c>
      <c r="W100" s="108">
        <f t="shared" si="51"/>
        <v>649.04</v>
      </c>
      <c r="X100" s="108">
        <f t="shared" si="51"/>
        <v>649.04</v>
      </c>
      <c r="Y100" s="108">
        <f t="shared" si="51"/>
        <v>1750.7999999999997</v>
      </c>
      <c r="Z100" s="108">
        <f t="shared" si="51"/>
        <v>155.5</v>
      </c>
      <c r="AA100" s="108">
        <f t="shared" si="51"/>
        <v>153.54</v>
      </c>
      <c r="AB100" s="108">
        <f t="shared" si="51"/>
        <v>1579.8399999999997</v>
      </c>
      <c r="AC100" s="108">
        <f t="shared" si="51"/>
        <v>1531.04</v>
      </c>
      <c r="AD100" s="108">
        <f t="shared" si="51"/>
        <v>1488.94</v>
      </c>
      <c r="AE100" s="108">
        <f t="shared" si="51"/>
        <v>1768.64</v>
      </c>
      <c r="AF100" s="108">
        <f t="shared" si="51"/>
        <v>1713.14</v>
      </c>
      <c r="AG100" s="72">
        <f t="shared" si="51"/>
        <v>2655.44</v>
      </c>
      <c r="AH100" s="48">
        <f t="shared" si="36"/>
        <v>2014.2399999999998</v>
      </c>
      <c r="AI100" s="49">
        <f t="shared" si="37"/>
        <v>153.54</v>
      </c>
      <c r="BF100" s="81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350</v>
      </c>
      <c r="C101" s="110">
        <v>351</v>
      </c>
      <c r="D101" s="110">
        <v>352</v>
      </c>
      <c r="E101" s="110">
        <v>350</v>
      </c>
      <c r="F101" s="110">
        <v>350</v>
      </c>
      <c r="G101" s="110">
        <v>350</v>
      </c>
      <c r="H101" s="110">
        <v>350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>
        <v>150</v>
      </c>
      <c r="AC101" s="110">
        <v>150</v>
      </c>
      <c r="AD101" s="110">
        <v>150</v>
      </c>
      <c r="AE101" s="110">
        <v>150</v>
      </c>
      <c r="AF101" s="110">
        <v>150</v>
      </c>
      <c r="AG101" s="101"/>
      <c r="AH101" s="48">
        <f t="shared" si="36"/>
        <v>352</v>
      </c>
      <c r="AI101" s="49">
        <f t="shared" si="37"/>
        <v>150</v>
      </c>
      <c r="BF101" s="81"/>
      <c r="BG101" s="82">
        <v>25.1</v>
      </c>
      <c r="BH101" s="82">
        <v>0</v>
      </c>
      <c r="BI101" s="82">
        <v>-160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52">B100+B101</f>
        <v>2273.1399999999994</v>
      </c>
      <c r="C102" s="108">
        <f t="shared" si="52"/>
        <v>2274.1399999999994</v>
      </c>
      <c r="D102" s="108">
        <f t="shared" ref="D102" si="53">D100+D101</f>
        <v>2275.1399999999994</v>
      </c>
      <c r="E102" s="108">
        <f t="shared" ref="E102:AF102" si="54">E100+E101</f>
        <v>2184.1399999999994</v>
      </c>
      <c r="F102" s="108">
        <f t="shared" si="54"/>
        <v>2242.2399999999998</v>
      </c>
      <c r="G102" s="108">
        <f t="shared" si="54"/>
        <v>2137.04</v>
      </c>
      <c r="H102" s="108">
        <f t="shared" si="54"/>
        <v>2130.3399999999997</v>
      </c>
      <c r="I102" s="108">
        <f t="shared" si="54"/>
        <v>1677.9399999999998</v>
      </c>
      <c r="J102" s="108">
        <f t="shared" si="54"/>
        <v>1835.3399999999997</v>
      </c>
      <c r="K102" s="108">
        <f t="shared" si="54"/>
        <v>1938.8399999999997</v>
      </c>
      <c r="L102" s="108">
        <f t="shared" si="54"/>
        <v>1961.1400000000003</v>
      </c>
      <c r="M102" s="108">
        <f t="shared" si="54"/>
        <v>1956.94</v>
      </c>
      <c r="N102" s="108">
        <f t="shared" si="54"/>
        <v>1949.44</v>
      </c>
      <c r="O102" s="108">
        <f t="shared" si="54"/>
        <v>1879.44</v>
      </c>
      <c r="P102" s="108">
        <f t="shared" si="54"/>
        <v>2010.6399999999999</v>
      </c>
      <c r="Q102" s="108">
        <f t="shared" si="54"/>
        <v>1994.34</v>
      </c>
      <c r="R102" s="108">
        <f t="shared" si="54"/>
        <v>2014.2399999999998</v>
      </c>
      <c r="S102" s="108">
        <f t="shared" si="54"/>
        <v>1998.8399999999997</v>
      </c>
      <c r="T102" s="108">
        <f t="shared" si="54"/>
        <v>1949.4399999999998</v>
      </c>
      <c r="U102" s="108">
        <f t="shared" si="54"/>
        <v>1847.8399999999997</v>
      </c>
      <c r="V102" s="108">
        <f t="shared" si="54"/>
        <v>1649.74</v>
      </c>
      <c r="W102" s="108">
        <f t="shared" si="54"/>
        <v>649.04</v>
      </c>
      <c r="X102" s="108">
        <f t="shared" si="54"/>
        <v>649.04</v>
      </c>
      <c r="Y102" s="108">
        <f t="shared" si="54"/>
        <v>1750.7999999999997</v>
      </c>
      <c r="Z102" s="108">
        <f t="shared" si="54"/>
        <v>155.5</v>
      </c>
      <c r="AA102" s="108">
        <f t="shared" si="54"/>
        <v>153.54</v>
      </c>
      <c r="AB102" s="108">
        <f t="shared" si="54"/>
        <v>1729.8399999999997</v>
      </c>
      <c r="AC102" s="108">
        <f t="shared" si="54"/>
        <v>1681.04</v>
      </c>
      <c r="AD102" s="108">
        <f t="shared" si="54"/>
        <v>1638.94</v>
      </c>
      <c r="AE102" s="108">
        <f t="shared" si="54"/>
        <v>1918.64</v>
      </c>
      <c r="AF102" s="108">
        <f t="shared" si="54"/>
        <v>1863.14</v>
      </c>
      <c r="AG102" s="101">
        <f>AG99+AG95+AG83+AG79+AG61+AG101</f>
        <v>2117.34</v>
      </c>
      <c r="AH102" s="48">
        <f t="shared" si="36"/>
        <v>2275.1399999999994</v>
      </c>
      <c r="AI102" s="49">
        <f t="shared" si="37"/>
        <v>153.54</v>
      </c>
      <c r="BF102" s="81"/>
      <c r="BG102" s="82">
        <v>13</v>
      </c>
      <c r="BH102" s="82">
        <v>0</v>
      </c>
      <c r="BI102" s="82">
        <v>-200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55">B102-(B110)</f>
        <v>1858.1399999999994</v>
      </c>
      <c r="C103" s="108">
        <f t="shared" si="55"/>
        <v>1859.1399999999994</v>
      </c>
      <c r="D103" s="108">
        <f t="shared" ref="D103" si="56">D102-(D110)</f>
        <v>1860.1399999999994</v>
      </c>
      <c r="E103" s="108">
        <f t="shared" ref="E103:AF103" si="57">E102-(E110)</f>
        <v>1809.1399999999994</v>
      </c>
      <c r="F103" s="108">
        <f t="shared" si="57"/>
        <v>1893.2399999999998</v>
      </c>
      <c r="G103" s="108">
        <f t="shared" si="57"/>
        <v>1782.04</v>
      </c>
      <c r="H103" s="108">
        <f t="shared" si="57"/>
        <v>1758.3399999999997</v>
      </c>
      <c r="I103" s="108">
        <f t="shared" si="57"/>
        <v>1501.9399999999998</v>
      </c>
      <c r="J103" s="108">
        <f t="shared" si="57"/>
        <v>1665.3399999999997</v>
      </c>
      <c r="K103" s="108">
        <f t="shared" si="57"/>
        <v>1809.8399999999997</v>
      </c>
      <c r="L103" s="108">
        <f t="shared" si="57"/>
        <v>1821.1400000000003</v>
      </c>
      <c r="M103" s="108">
        <f t="shared" si="57"/>
        <v>1817.14</v>
      </c>
      <c r="N103" s="108">
        <f t="shared" si="57"/>
        <v>1949.44</v>
      </c>
      <c r="O103" s="108">
        <f t="shared" si="57"/>
        <v>1879.44</v>
      </c>
      <c r="P103" s="108">
        <f t="shared" si="57"/>
        <v>2010.6399999999999</v>
      </c>
      <c r="Q103" s="108">
        <f t="shared" si="57"/>
        <v>1994.34</v>
      </c>
      <c r="R103" s="108">
        <f t="shared" si="57"/>
        <v>2014.2399999999998</v>
      </c>
      <c r="S103" s="108">
        <f t="shared" si="57"/>
        <v>1998.8399999999997</v>
      </c>
      <c r="T103" s="108">
        <f t="shared" si="57"/>
        <v>1949.4399999999998</v>
      </c>
      <c r="U103" s="108">
        <f t="shared" si="57"/>
        <v>1847.8399999999997</v>
      </c>
      <c r="V103" s="108">
        <f t="shared" si="57"/>
        <v>1649.74</v>
      </c>
      <c r="W103" s="108">
        <f t="shared" si="57"/>
        <v>649.04</v>
      </c>
      <c r="X103" s="108">
        <f t="shared" si="57"/>
        <v>649.04</v>
      </c>
      <c r="Y103" s="108">
        <f t="shared" si="57"/>
        <v>1605.7999999999997</v>
      </c>
      <c r="Z103" s="108">
        <f t="shared" si="57"/>
        <v>155.5</v>
      </c>
      <c r="AA103" s="108">
        <f t="shared" si="57"/>
        <v>153.54</v>
      </c>
      <c r="AB103" s="108">
        <f t="shared" si="57"/>
        <v>1569.8399999999997</v>
      </c>
      <c r="AC103" s="108">
        <f t="shared" si="57"/>
        <v>1514.04</v>
      </c>
      <c r="AD103" s="108">
        <f t="shared" si="57"/>
        <v>1438.94</v>
      </c>
      <c r="AE103" s="108">
        <f t="shared" si="57"/>
        <v>1494.64</v>
      </c>
      <c r="AF103" s="108">
        <f t="shared" si="57"/>
        <v>1462.2400000000002</v>
      </c>
      <c r="AG103" s="101"/>
      <c r="AH103" s="48">
        <f t="shared" si="36"/>
        <v>2014.2399999999998</v>
      </c>
      <c r="AI103" s="49">
        <f t="shared" si="37"/>
        <v>153.54</v>
      </c>
      <c r="BF103" s="81"/>
      <c r="BG103" s="82">
        <v>32.700000000000003</v>
      </c>
      <c r="BH103" s="82">
        <v>0</v>
      </c>
      <c r="BI103" s="82">
        <v>-424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58">IF(B84&lt;0,B84*-1,0)</f>
        <v>0</v>
      </c>
      <c r="C104" s="89">
        <f t="shared" si="58"/>
        <v>0</v>
      </c>
      <c r="D104" s="89">
        <f t="shared" ref="D104" si="59">IF(D84&lt;0,D84*-1,0)</f>
        <v>0</v>
      </c>
      <c r="E104" s="89">
        <f t="shared" ref="D104:AF109" si="60">IF(E84&lt;0,E84*-1,0)</f>
        <v>0</v>
      </c>
      <c r="F104" s="89">
        <f t="shared" si="60"/>
        <v>0</v>
      </c>
      <c r="G104" s="89">
        <f t="shared" si="60"/>
        <v>0</v>
      </c>
      <c r="H104" s="89">
        <f t="shared" si="60"/>
        <v>0</v>
      </c>
      <c r="I104" s="89">
        <f t="shared" si="60"/>
        <v>0</v>
      </c>
      <c r="J104" s="89">
        <f t="shared" si="60"/>
        <v>0</v>
      </c>
      <c r="K104" s="89">
        <f t="shared" si="60"/>
        <v>0</v>
      </c>
      <c r="L104" s="89">
        <f t="shared" si="60"/>
        <v>0</v>
      </c>
      <c r="M104" s="89">
        <f t="shared" si="60"/>
        <v>0</v>
      </c>
      <c r="N104" s="89">
        <f t="shared" si="60"/>
        <v>0</v>
      </c>
      <c r="O104" s="89">
        <f t="shared" si="60"/>
        <v>0</v>
      </c>
      <c r="P104" s="89">
        <f t="shared" si="60"/>
        <v>0</v>
      </c>
      <c r="Q104" s="89">
        <f t="shared" si="60"/>
        <v>0</v>
      </c>
      <c r="R104" s="89">
        <f t="shared" si="60"/>
        <v>0</v>
      </c>
      <c r="S104" s="89">
        <f t="shared" si="60"/>
        <v>0</v>
      </c>
      <c r="T104" s="89">
        <f t="shared" si="60"/>
        <v>0</v>
      </c>
      <c r="U104" s="89">
        <f t="shared" si="60"/>
        <v>0</v>
      </c>
      <c r="V104" s="89">
        <f t="shared" si="60"/>
        <v>0</v>
      </c>
      <c r="W104" s="89">
        <f t="shared" si="60"/>
        <v>0</v>
      </c>
      <c r="X104" s="89">
        <f t="shared" si="60"/>
        <v>0</v>
      </c>
      <c r="Y104" s="89">
        <f t="shared" si="60"/>
        <v>0</v>
      </c>
      <c r="Z104" s="89">
        <f t="shared" si="60"/>
        <v>0</v>
      </c>
      <c r="AA104" s="89">
        <f t="shared" si="60"/>
        <v>0</v>
      </c>
      <c r="AB104" s="89">
        <f t="shared" si="60"/>
        <v>0</v>
      </c>
      <c r="AC104" s="89">
        <f t="shared" si="60"/>
        <v>0</v>
      </c>
      <c r="AD104" s="89">
        <f t="shared" si="60"/>
        <v>0</v>
      </c>
      <c r="AE104" s="89">
        <f t="shared" si="60"/>
        <v>0</v>
      </c>
      <c r="AF104" s="89">
        <f t="shared" si="60"/>
        <v>0</v>
      </c>
      <c r="AG104" s="61"/>
      <c r="AH104" s="48">
        <f t="shared" si="36"/>
        <v>0</v>
      </c>
      <c r="AI104" s="49">
        <f t="shared" si="37"/>
        <v>0</v>
      </c>
      <c r="BG104" s="82">
        <v>17.399999999999999</v>
      </c>
      <c r="BH104" s="82">
        <v>0</v>
      </c>
      <c r="BI104" s="82">
        <v>-400.9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58"/>
        <v>0</v>
      </c>
      <c r="C105" s="89">
        <f t="shared" si="58"/>
        <v>0</v>
      </c>
      <c r="D105" s="89">
        <f t="shared" ref="D105" si="61">IF(D85&lt;0,D85*-1,0)</f>
        <v>0</v>
      </c>
      <c r="E105" s="89">
        <f t="shared" ref="E105:Q105" si="62">IF(E85&lt;0,E85*-1,0)</f>
        <v>0</v>
      </c>
      <c r="F105" s="89">
        <f t="shared" si="62"/>
        <v>0</v>
      </c>
      <c r="G105" s="89">
        <f t="shared" si="62"/>
        <v>0</v>
      </c>
      <c r="H105" s="89">
        <f t="shared" si="62"/>
        <v>0</v>
      </c>
      <c r="I105" s="89">
        <f t="shared" si="62"/>
        <v>0</v>
      </c>
      <c r="J105" s="89">
        <f t="shared" si="62"/>
        <v>0</v>
      </c>
      <c r="K105" s="89">
        <f t="shared" si="62"/>
        <v>0</v>
      </c>
      <c r="L105" s="89">
        <f t="shared" si="62"/>
        <v>0</v>
      </c>
      <c r="M105" s="89">
        <f t="shared" si="62"/>
        <v>0</v>
      </c>
      <c r="N105" s="89">
        <f t="shared" si="62"/>
        <v>0</v>
      </c>
      <c r="O105" s="89">
        <f t="shared" si="62"/>
        <v>0</v>
      </c>
      <c r="P105" s="89">
        <f t="shared" si="62"/>
        <v>0</v>
      </c>
      <c r="Q105" s="89">
        <f t="shared" si="62"/>
        <v>0</v>
      </c>
      <c r="R105" s="89">
        <f t="shared" si="60"/>
        <v>0</v>
      </c>
      <c r="S105" s="89">
        <f t="shared" si="60"/>
        <v>0</v>
      </c>
      <c r="T105" s="89">
        <f t="shared" si="60"/>
        <v>0</v>
      </c>
      <c r="U105" s="89">
        <f t="shared" si="60"/>
        <v>0</v>
      </c>
      <c r="V105" s="89">
        <f t="shared" si="60"/>
        <v>0</v>
      </c>
      <c r="W105" s="89">
        <f t="shared" si="60"/>
        <v>0</v>
      </c>
      <c r="X105" s="89">
        <f t="shared" si="60"/>
        <v>0</v>
      </c>
      <c r="Y105" s="89">
        <f t="shared" si="60"/>
        <v>0</v>
      </c>
      <c r="Z105" s="89">
        <f t="shared" si="60"/>
        <v>0</v>
      </c>
      <c r="AA105" s="89">
        <f t="shared" si="60"/>
        <v>0</v>
      </c>
      <c r="AB105" s="89">
        <f t="shared" si="60"/>
        <v>0</v>
      </c>
      <c r="AC105" s="89">
        <f t="shared" si="60"/>
        <v>0</v>
      </c>
      <c r="AD105" s="89">
        <f t="shared" si="60"/>
        <v>0</v>
      </c>
      <c r="AE105" s="89">
        <f t="shared" si="60"/>
        <v>0</v>
      </c>
      <c r="AF105" s="89">
        <f t="shared" si="60"/>
        <v>0</v>
      </c>
      <c r="AG105" s="66"/>
      <c r="AH105" s="48">
        <f t="shared" si="36"/>
        <v>0</v>
      </c>
      <c r="AI105" s="49">
        <f t="shared" si="37"/>
        <v>0</v>
      </c>
      <c r="AK105" s="51"/>
      <c r="BG105" s="82">
        <v>47.2</v>
      </c>
      <c r="BH105" s="82">
        <v>0</v>
      </c>
      <c r="BI105" s="82">
        <v>-415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58"/>
        <v>415</v>
      </c>
      <c r="C106" s="89">
        <f t="shared" si="58"/>
        <v>415</v>
      </c>
      <c r="D106" s="89">
        <f t="shared" ref="D106" si="63">IF(D86&lt;0,D86*-1,0)</f>
        <v>415</v>
      </c>
      <c r="E106" s="89">
        <f t="shared" si="60"/>
        <v>375</v>
      </c>
      <c r="F106" s="89">
        <f t="shared" si="60"/>
        <v>349</v>
      </c>
      <c r="G106" s="89">
        <f t="shared" si="60"/>
        <v>355</v>
      </c>
      <c r="H106" s="89">
        <f t="shared" si="60"/>
        <v>372</v>
      </c>
      <c r="I106" s="89">
        <f t="shared" si="60"/>
        <v>176</v>
      </c>
      <c r="J106" s="89">
        <f t="shared" si="60"/>
        <v>170</v>
      </c>
      <c r="K106" s="89">
        <f t="shared" si="60"/>
        <v>129</v>
      </c>
      <c r="L106" s="89">
        <f t="shared" si="60"/>
        <v>140</v>
      </c>
      <c r="M106" s="89">
        <f t="shared" si="60"/>
        <v>139.80000000000001</v>
      </c>
      <c r="N106" s="89">
        <f t="shared" si="60"/>
        <v>0</v>
      </c>
      <c r="O106" s="89">
        <f t="shared" si="60"/>
        <v>0</v>
      </c>
      <c r="P106" s="89">
        <f t="shared" si="60"/>
        <v>0</v>
      </c>
      <c r="Q106" s="89">
        <f t="shared" si="60"/>
        <v>0</v>
      </c>
      <c r="R106" s="89">
        <f t="shared" si="60"/>
        <v>0</v>
      </c>
      <c r="S106" s="89">
        <f t="shared" si="60"/>
        <v>0</v>
      </c>
      <c r="T106" s="89">
        <f t="shared" si="60"/>
        <v>0</v>
      </c>
      <c r="U106" s="89">
        <f t="shared" si="60"/>
        <v>0</v>
      </c>
      <c r="V106" s="89">
        <f t="shared" si="60"/>
        <v>0</v>
      </c>
      <c r="W106" s="89">
        <f t="shared" si="60"/>
        <v>0</v>
      </c>
      <c r="X106" s="89">
        <f t="shared" si="60"/>
        <v>0</v>
      </c>
      <c r="Y106" s="89">
        <f t="shared" si="60"/>
        <v>145</v>
      </c>
      <c r="Z106" s="89">
        <f t="shared" si="60"/>
        <v>0</v>
      </c>
      <c r="AA106" s="89">
        <f t="shared" si="60"/>
        <v>0</v>
      </c>
      <c r="AB106" s="89">
        <f t="shared" si="60"/>
        <v>160</v>
      </c>
      <c r="AC106" s="89">
        <f t="shared" si="60"/>
        <v>167</v>
      </c>
      <c r="AD106" s="89">
        <f t="shared" si="60"/>
        <v>200</v>
      </c>
      <c r="AE106" s="89">
        <f t="shared" si="60"/>
        <v>424</v>
      </c>
      <c r="AF106" s="89">
        <f t="shared" si="60"/>
        <v>400.9</v>
      </c>
      <c r="AG106" s="111"/>
      <c r="AH106" s="48">
        <f t="shared" si="36"/>
        <v>424</v>
      </c>
      <c r="AI106" s="49">
        <f t="shared" si="37"/>
        <v>0</v>
      </c>
    </row>
    <row r="107" spans="1:64" x14ac:dyDescent="0.25">
      <c r="A107" s="97" t="s">
        <v>107</v>
      </c>
      <c r="B107" s="89">
        <f t="shared" si="58"/>
        <v>0</v>
      </c>
      <c r="C107" s="89">
        <f t="shared" si="58"/>
        <v>0</v>
      </c>
      <c r="D107" s="89">
        <f t="shared" ref="D107" si="64">IF(D87&lt;0,D87*-1,0)</f>
        <v>0</v>
      </c>
      <c r="E107" s="89">
        <f t="shared" si="60"/>
        <v>0</v>
      </c>
      <c r="F107" s="89">
        <f t="shared" si="60"/>
        <v>0</v>
      </c>
      <c r="G107" s="89">
        <f t="shared" si="60"/>
        <v>0</v>
      </c>
      <c r="H107" s="89">
        <f t="shared" si="60"/>
        <v>0</v>
      </c>
      <c r="I107" s="89">
        <f t="shared" si="60"/>
        <v>0</v>
      </c>
      <c r="J107" s="89">
        <f t="shared" si="60"/>
        <v>0</v>
      </c>
      <c r="K107" s="89">
        <f t="shared" si="60"/>
        <v>0</v>
      </c>
      <c r="L107" s="89">
        <f t="shared" si="60"/>
        <v>0</v>
      </c>
      <c r="M107" s="89">
        <f t="shared" si="60"/>
        <v>0</v>
      </c>
      <c r="N107" s="89">
        <f t="shared" si="60"/>
        <v>0</v>
      </c>
      <c r="O107" s="89">
        <f t="shared" si="60"/>
        <v>0</v>
      </c>
      <c r="P107" s="89">
        <f t="shared" si="60"/>
        <v>0</v>
      </c>
      <c r="Q107" s="89">
        <f t="shared" si="60"/>
        <v>0</v>
      </c>
      <c r="R107" s="89">
        <f t="shared" si="60"/>
        <v>0</v>
      </c>
      <c r="S107" s="89">
        <f t="shared" si="60"/>
        <v>0</v>
      </c>
      <c r="T107" s="89">
        <f t="shared" si="60"/>
        <v>0</v>
      </c>
      <c r="U107" s="89">
        <f t="shared" si="60"/>
        <v>0</v>
      </c>
      <c r="V107" s="89">
        <f t="shared" si="60"/>
        <v>0</v>
      </c>
      <c r="W107" s="89">
        <f t="shared" si="60"/>
        <v>0</v>
      </c>
      <c r="X107" s="89">
        <f t="shared" si="60"/>
        <v>0</v>
      </c>
      <c r="Y107" s="89">
        <f t="shared" si="60"/>
        <v>0</v>
      </c>
      <c r="Z107" s="89">
        <f t="shared" si="60"/>
        <v>0</v>
      </c>
      <c r="AA107" s="89">
        <f t="shared" si="60"/>
        <v>0</v>
      </c>
      <c r="AB107" s="89">
        <f t="shared" si="60"/>
        <v>0</v>
      </c>
      <c r="AC107" s="89">
        <f t="shared" si="60"/>
        <v>0</v>
      </c>
      <c r="AD107" s="89">
        <f t="shared" si="60"/>
        <v>0</v>
      </c>
      <c r="AE107" s="89">
        <f t="shared" si="60"/>
        <v>0</v>
      </c>
      <c r="AF107" s="89">
        <f t="shared" si="60"/>
        <v>0</v>
      </c>
      <c r="AG107" s="111"/>
      <c r="AH107" s="48">
        <f t="shared" si="36"/>
        <v>0</v>
      </c>
      <c r="AI107" s="49">
        <f t="shared" si="37"/>
        <v>0</v>
      </c>
    </row>
    <row r="108" spans="1:64" x14ac:dyDescent="0.25">
      <c r="A108" s="97" t="s">
        <v>108</v>
      </c>
      <c r="B108" s="89">
        <f t="shared" si="58"/>
        <v>0</v>
      </c>
      <c r="C108" s="89">
        <f t="shared" si="58"/>
        <v>0</v>
      </c>
      <c r="D108" s="89">
        <f t="shared" ref="D108" si="65">IF(D88&lt;0,D88*-1,0)</f>
        <v>0</v>
      </c>
      <c r="E108" s="89">
        <f t="shared" si="60"/>
        <v>0</v>
      </c>
      <c r="F108" s="89">
        <f t="shared" si="60"/>
        <v>0</v>
      </c>
      <c r="G108" s="89">
        <f t="shared" si="60"/>
        <v>0</v>
      </c>
      <c r="H108" s="89">
        <f t="shared" si="60"/>
        <v>0</v>
      </c>
      <c r="I108" s="89">
        <f t="shared" si="60"/>
        <v>0</v>
      </c>
      <c r="J108" s="89">
        <f t="shared" si="60"/>
        <v>0</v>
      </c>
      <c r="K108" s="89">
        <f t="shared" si="60"/>
        <v>0</v>
      </c>
      <c r="L108" s="89">
        <f t="shared" si="60"/>
        <v>0</v>
      </c>
      <c r="M108" s="89">
        <f t="shared" si="60"/>
        <v>0</v>
      </c>
      <c r="N108" s="89">
        <f t="shared" si="60"/>
        <v>0</v>
      </c>
      <c r="O108" s="89">
        <f t="shared" si="60"/>
        <v>0</v>
      </c>
      <c r="P108" s="89">
        <f t="shared" si="60"/>
        <v>0</v>
      </c>
      <c r="Q108" s="89">
        <f t="shared" si="60"/>
        <v>0</v>
      </c>
      <c r="R108" s="89">
        <f t="shared" si="60"/>
        <v>0</v>
      </c>
      <c r="S108" s="89">
        <f t="shared" si="60"/>
        <v>0</v>
      </c>
      <c r="T108" s="89">
        <f t="shared" si="60"/>
        <v>0</v>
      </c>
      <c r="U108" s="89">
        <f t="shared" si="60"/>
        <v>0</v>
      </c>
      <c r="V108" s="89">
        <f t="shared" si="60"/>
        <v>0</v>
      </c>
      <c r="W108" s="89">
        <f t="shared" si="60"/>
        <v>0</v>
      </c>
      <c r="X108" s="89">
        <f t="shared" si="60"/>
        <v>0</v>
      </c>
      <c r="Y108" s="89">
        <f t="shared" si="60"/>
        <v>0</v>
      </c>
      <c r="Z108" s="89">
        <f t="shared" si="60"/>
        <v>0</v>
      </c>
      <c r="AA108" s="89">
        <f t="shared" si="60"/>
        <v>0</v>
      </c>
      <c r="AB108" s="89">
        <f t="shared" si="60"/>
        <v>0</v>
      </c>
      <c r="AC108" s="89">
        <f t="shared" si="60"/>
        <v>0</v>
      </c>
      <c r="AD108" s="89">
        <f t="shared" si="60"/>
        <v>0</v>
      </c>
      <c r="AE108" s="89">
        <f t="shared" si="60"/>
        <v>0</v>
      </c>
      <c r="AF108" s="89">
        <f t="shared" si="60"/>
        <v>0</v>
      </c>
      <c r="AG108" s="111"/>
      <c r="AH108" s="48">
        <f t="shared" si="36"/>
        <v>0</v>
      </c>
      <c r="AI108" s="49">
        <f t="shared" si="37"/>
        <v>0</v>
      </c>
    </row>
    <row r="109" spans="1:64" ht="15.75" thickBot="1" x14ac:dyDescent="0.3">
      <c r="A109" s="97" t="s">
        <v>117</v>
      </c>
      <c r="B109" s="89">
        <f t="shared" si="58"/>
        <v>0</v>
      </c>
      <c r="C109" s="89">
        <f t="shared" si="58"/>
        <v>0</v>
      </c>
      <c r="D109" s="89">
        <f t="shared" si="60"/>
        <v>0</v>
      </c>
      <c r="E109" s="89">
        <f t="shared" si="60"/>
        <v>0</v>
      </c>
      <c r="F109" s="89">
        <f t="shared" si="60"/>
        <v>0</v>
      </c>
      <c r="G109" s="89">
        <f t="shared" si="60"/>
        <v>0</v>
      </c>
      <c r="H109" s="89">
        <f t="shared" si="60"/>
        <v>0</v>
      </c>
      <c r="I109" s="89">
        <f t="shared" si="60"/>
        <v>0</v>
      </c>
      <c r="J109" s="89">
        <f t="shared" si="60"/>
        <v>0</v>
      </c>
      <c r="K109" s="89">
        <f t="shared" si="60"/>
        <v>0</v>
      </c>
      <c r="L109" s="89">
        <f t="shared" si="60"/>
        <v>0</v>
      </c>
      <c r="M109" s="89">
        <f t="shared" si="60"/>
        <v>0</v>
      </c>
      <c r="N109" s="89">
        <f t="shared" si="60"/>
        <v>0</v>
      </c>
      <c r="O109" s="89">
        <f t="shared" si="60"/>
        <v>0</v>
      </c>
      <c r="P109" s="89">
        <f t="shared" si="60"/>
        <v>0</v>
      </c>
      <c r="Q109" s="89">
        <f t="shared" si="60"/>
        <v>0</v>
      </c>
      <c r="R109" s="89">
        <f t="shared" si="60"/>
        <v>0</v>
      </c>
      <c r="S109" s="89">
        <f t="shared" si="60"/>
        <v>0</v>
      </c>
      <c r="T109" s="89">
        <f t="shared" si="60"/>
        <v>0</v>
      </c>
      <c r="U109" s="89">
        <f t="shared" si="60"/>
        <v>0</v>
      </c>
      <c r="V109" s="89">
        <f t="shared" si="60"/>
        <v>0</v>
      </c>
      <c r="W109" s="89">
        <f t="shared" si="60"/>
        <v>0</v>
      </c>
      <c r="X109" s="89">
        <f t="shared" si="60"/>
        <v>0</v>
      </c>
      <c r="Y109" s="89">
        <f t="shared" si="60"/>
        <v>0</v>
      </c>
      <c r="Z109" s="89">
        <f t="shared" si="60"/>
        <v>0</v>
      </c>
      <c r="AA109" s="89">
        <f t="shared" si="60"/>
        <v>0</v>
      </c>
      <c r="AB109" s="89">
        <f t="shared" si="60"/>
        <v>0</v>
      </c>
      <c r="AC109" s="89">
        <f t="shared" si="60"/>
        <v>0</v>
      </c>
      <c r="AD109" s="89">
        <f t="shared" si="60"/>
        <v>0</v>
      </c>
      <c r="AE109" s="89">
        <f t="shared" si="60"/>
        <v>0</v>
      </c>
      <c r="AF109" s="89">
        <f t="shared" si="60"/>
        <v>0</v>
      </c>
      <c r="AG109" s="98"/>
      <c r="AH109" s="48">
        <f t="shared" si="36"/>
        <v>0</v>
      </c>
      <c r="AI109" s="49">
        <f t="shared" si="37"/>
        <v>0</v>
      </c>
    </row>
    <row r="110" spans="1:64" ht="15.75" thickBot="1" x14ac:dyDescent="0.3">
      <c r="A110" s="112" t="s">
        <v>130</v>
      </c>
      <c r="B110" s="71">
        <f t="shared" ref="B110:C110" si="66">SUM(B104:B109)</f>
        <v>415</v>
      </c>
      <c r="C110" s="71">
        <f t="shared" si="66"/>
        <v>415</v>
      </c>
      <c r="D110" s="71">
        <f t="shared" ref="D110:AF110" si="67">SUM(D104:D109)</f>
        <v>415</v>
      </c>
      <c r="E110" s="71">
        <f t="shared" si="67"/>
        <v>375</v>
      </c>
      <c r="F110" s="71">
        <f t="shared" si="67"/>
        <v>349</v>
      </c>
      <c r="G110" s="71">
        <f t="shared" si="67"/>
        <v>355</v>
      </c>
      <c r="H110" s="71">
        <f t="shared" si="67"/>
        <v>372</v>
      </c>
      <c r="I110" s="71">
        <f t="shared" si="67"/>
        <v>176</v>
      </c>
      <c r="J110" s="71">
        <f t="shared" si="67"/>
        <v>170</v>
      </c>
      <c r="K110" s="71">
        <f t="shared" si="67"/>
        <v>129</v>
      </c>
      <c r="L110" s="71">
        <f t="shared" si="67"/>
        <v>140</v>
      </c>
      <c r="M110" s="71">
        <f t="shared" si="67"/>
        <v>139.80000000000001</v>
      </c>
      <c r="N110" s="71">
        <f t="shared" si="67"/>
        <v>0</v>
      </c>
      <c r="O110" s="71">
        <f t="shared" si="67"/>
        <v>0</v>
      </c>
      <c r="P110" s="71">
        <f t="shared" si="67"/>
        <v>0</v>
      </c>
      <c r="Q110" s="71">
        <f t="shared" si="67"/>
        <v>0</v>
      </c>
      <c r="R110" s="71">
        <f t="shared" si="67"/>
        <v>0</v>
      </c>
      <c r="S110" s="71">
        <f t="shared" si="67"/>
        <v>0</v>
      </c>
      <c r="T110" s="71">
        <f t="shared" si="67"/>
        <v>0</v>
      </c>
      <c r="U110" s="71">
        <f t="shared" si="67"/>
        <v>0</v>
      </c>
      <c r="V110" s="71">
        <f t="shared" si="67"/>
        <v>0</v>
      </c>
      <c r="W110" s="71">
        <f t="shared" si="67"/>
        <v>0</v>
      </c>
      <c r="X110" s="71">
        <f t="shared" si="67"/>
        <v>0</v>
      </c>
      <c r="Y110" s="71">
        <f t="shared" si="67"/>
        <v>145</v>
      </c>
      <c r="Z110" s="71">
        <f t="shared" si="67"/>
        <v>0</v>
      </c>
      <c r="AA110" s="71">
        <f t="shared" si="67"/>
        <v>0</v>
      </c>
      <c r="AB110" s="71">
        <f t="shared" si="67"/>
        <v>160</v>
      </c>
      <c r="AC110" s="71">
        <f t="shared" si="67"/>
        <v>167</v>
      </c>
      <c r="AD110" s="71">
        <f t="shared" si="67"/>
        <v>200</v>
      </c>
      <c r="AE110" s="71">
        <f t="shared" si="67"/>
        <v>424</v>
      </c>
      <c r="AF110" s="71">
        <f t="shared" si="67"/>
        <v>400.9</v>
      </c>
      <c r="AG110" s="101"/>
      <c r="AH110" s="48">
        <f t="shared" si="36"/>
        <v>424</v>
      </c>
      <c r="AI110" s="49">
        <f t="shared" si="37"/>
        <v>0</v>
      </c>
    </row>
    <row r="111" spans="1:64" ht="15.75" thickBot="1" x14ac:dyDescent="0.3">
      <c r="A111" s="87" t="s">
        <v>131</v>
      </c>
      <c r="B111" s="71">
        <f t="shared" ref="B111:C111" si="68">B95-B110</f>
        <v>-367.8</v>
      </c>
      <c r="C111" s="71">
        <f t="shared" si="68"/>
        <v>-367.8</v>
      </c>
      <c r="D111" s="71">
        <f t="shared" ref="D111:AF111" si="69">D95-D110</f>
        <v>-367.8</v>
      </c>
      <c r="E111" s="71">
        <f t="shared" si="69"/>
        <v>-325.2</v>
      </c>
      <c r="F111" s="71">
        <f t="shared" si="69"/>
        <v>-300</v>
      </c>
      <c r="G111" s="71">
        <f t="shared" si="69"/>
        <v>-315</v>
      </c>
      <c r="H111" s="71">
        <f t="shared" si="69"/>
        <v>-331</v>
      </c>
      <c r="I111" s="71">
        <f t="shared" si="69"/>
        <v>-133.6</v>
      </c>
      <c r="J111" s="71">
        <f t="shared" si="69"/>
        <v>-28.300000000000011</v>
      </c>
      <c r="K111" s="71">
        <f t="shared" si="69"/>
        <v>59.900000000000006</v>
      </c>
      <c r="L111" s="71">
        <f t="shared" si="69"/>
        <v>-1.5</v>
      </c>
      <c r="M111" s="71">
        <f t="shared" si="69"/>
        <v>45.899999999999977</v>
      </c>
      <c r="N111" s="71">
        <f t="shared" si="69"/>
        <v>368</v>
      </c>
      <c r="O111" s="71">
        <f t="shared" si="69"/>
        <v>368</v>
      </c>
      <c r="P111" s="71">
        <f t="shared" si="69"/>
        <v>484.1</v>
      </c>
      <c r="Q111" s="71">
        <f t="shared" si="69"/>
        <v>491.8</v>
      </c>
      <c r="R111" s="71">
        <f t="shared" si="69"/>
        <v>520.29999999999995</v>
      </c>
      <c r="S111" s="71">
        <f t="shared" si="69"/>
        <v>611.79999999999995</v>
      </c>
      <c r="T111" s="71">
        <f t="shared" si="69"/>
        <v>560</v>
      </c>
      <c r="U111" s="71">
        <f t="shared" si="69"/>
        <v>478.9</v>
      </c>
      <c r="V111" s="71">
        <f t="shared" si="69"/>
        <v>0</v>
      </c>
      <c r="W111" s="71">
        <f t="shared" si="69"/>
        <v>0</v>
      </c>
      <c r="X111" s="71">
        <f t="shared" si="69"/>
        <v>0</v>
      </c>
      <c r="Y111" s="71">
        <f t="shared" si="69"/>
        <v>-104.4</v>
      </c>
      <c r="Z111" s="71">
        <f t="shared" si="69"/>
        <v>0</v>
      </c>
      <c r="AA111" s="71">
        <f t="shared" si="69"/>
        <v>0</v>
      </c>
      <c r="AB111" s="71">
        <f t="shared" si="69"/>
        <v>-134.9</v>
      </c>
      <c r="AC111" s="71">
        <f t="shared" si="69"/>
        <v>-144.9</v>
      </c>
      <c r="AD111" s="71">
        <f t="shared" si="69"/>
        <v>-187</v>
      </c>
      <c r="AE111" s="71">
        <f t="shared" si="69"/>
        <v>-391.3</v>
      </c>
      <c r="AF111" s="71">
        <f t="shared" si="69"/>
        <v>-383.5</v>
      </c>
      <c r="AG111" s="101"/>
      <c r="AH111" s="48">
        <f t="shared" si="36"/>
        <v>611.79999999999995</v>
      </c>
      <c r="AI111" s="49">
        <f t="shared" si="37"/>
        <v>-391.3</v>
      </c>
    </row>
    <row r="112" spans="1:64" x14ac:dyDescent="0.25">
      <c r="A112" s="113" t="s">
        <v>132</v>
      </c>
      <c r="B112" s="114">
        <v>50</v>
      </c>
      <c r="C112" s="114">
        <v>50.01</v>
      </c>
      <c r="D112" s="114">
        <v>49.93</v>
      </c>
      <c r="E112" s="114">
        <v>49.996000000000002</v>
      </c>
      <c r="F112" s="114">
        <v>50.027000000000001</v>
      </c>
      <c r="G112" s="114">
        <v>50.01</v>
      </c>
      <c r="H112" s="114">
        <v>50.03</v>
      </c>
      <c r="I112" s="114">
        <v>50.097999999999999</v>
      </c>
      <c r="J112" s="114">
        <v>50.06</v>
      </c>
      <c r="K112" s="114">
        <v>50.036999999999999</v>
      </c>
      <c r="L112" s="114">
        <v>50.02</v>
      </c>
      <c r="M112" s="114">
        <v>50.119</v>
      </c>
      <c r="N112" s="114">
        <v>50.119</v>
      </c>
      <c r="O112" s="114">
        <v>49.970999999999997</v>
      </c>
      <c r="P112" s="114">
        <v>50.078000000000003</v>
      </c>
      <c r="Q112" s="114">
        <v>50</v>
      </c>
      <c r="R112" s="114">
        <v>49.993000000000002</v>
      </c>
      <c r="S112" s="114">
        <v>50.103000000000002</v>
      </c>
      <c r="T112" s="114">
        <v>50.103000000000002</v>
      </c>
      <c r="U112" s="114">
        <v>50.084000000000003</v>
      </c>
      <c r="V112" s="114"/>
      <c r="W112" s="114"/>
      <c r="X112" s="114"/>
      <c r="Y112" s="114">
        <v>50.018000000000001</v>
      </c>
      <c r="Z112" s="114"/>
      <c r="AA112" s="114"/>
      <c r="AB112" s="114">
        <v>50.069000000000003</v>
      </c>
      <c r="AC112" s="114">
        <v>50.078000000000003</v>
      </c>
      <c r="AD112" s="114">
        <v>50.057000000000002</v>
      </c>
      <c r="AE112" s="114">
        <v>50.104999999999997</v>
      </c>
      <c r="AF112" s="114">
        <v>50.006999999999998</v>
      </c>
      <c r="AG112" s="115"/>
      <c r="AH112" s="48">
        <f t="shared" si="36"/>
        <v>50.119</v>
      </c>
      <c r="AI112" s="49">
        <f t="shared" si="37"/>
        <v>49.93</v>
      </c>
    </row>
    <row r="113" spans="1:35" x14ac:dyDescent="0.25">
      <c r="A113" s="116" t="s">
        <v>133</v>
      </c>
      <c r="B113" s="76">
        <v>127.4</v>
      </c>
      <c r="C113" s="76">
        <v>127</v>
      </c>
      <c r="D113" s="76">
        <v>127.3</v>
      </c>
      <c r="E113" s="76">
        <v>127.8</v>
      </c>
      <c r="F113" s="76">
        <v>127.9</v>
      </c>
      <c r="G113" s="76">
        <v>128.5</v>
      </c>
      <c r="H113" s="76">
        <v>128.5</v>
      </c>
      <c r="I113" s="76">
        <v>128.6</v>
      </c>
      <c r="J113" s="76">
        <v>128.19999999999999</v>
      </c>
      <c r="K113" s="76">
        <v>127</v>
      </c>
      <c r="L113" s="76">
        <v>126.4</v>
      </c>
      <c r="M113" s="76">
        <v>125.6</v>
      </c>
      <c r="N113" s="76">
        <v>125.6</v>
      </c>
      <c r="O113" s="76">
        <v>123.4</v>
      </c>
      <c r="P113" s="76">
        <v>122.7</v>
      </c>
      <c r="Q113" s="76">
        <v>122.7</v>
      </c>
      <c r="R113" s="76">
        <v>122.2</v>
      </c>
      <c r="S113" s="76">
        <v>120.8</v>
      </c>
      <c r="T113" s="76">
        <v>120.8</v>
      </c>
      <c r="U113" s="76">
        <v>120.8</v>
      </c>
      <c r="V113" s="76"/>
      <c r="W113" s="76"/>
      <c r="X113" s="76"/>
      <c r="Y113" s="76">
        <v>125.7</v>
      </c>
      <c r="Z113" s="76"/>
      <c r="AA113" s="76"/>
      <c r="AB113" s="76">
        <v>127.3</v>
      </c>
      <c r="AC113" s="76">
        <v>125.8</v>
      </c>
      <c r="AD113" s="76">
        <v>125.9</v>
      </c>
      <c r="AE113" s="76">
        <v>126.1</v>
      </c>
      <c r="AF113" s="76">
        <v>127.5</v>
      </c>
      <c r="AG113" s="117"/>
      <c r="AH113" s="48">
        <f t="shared" si="36"/>
        <v>128.6</v>
      </c>
      <c r="AI113" s="49">
        <f t="shared" si="37"/>
        <v>120.8</v>
      </c>
    </row>
    <row r="114" spans="1:35" x14ac:dyDescent="0.25">
      <c r="A114" s="116" t="s">
        <v>134</v>
      </c>
      <c r="B114" s="76">
        <v>131.1</v>
      </c>
      <c r="C114" s="76">
        <v>131.19999999999999</v>
      </c>
      <c r="D114" s="76">
        <v>131.5</v>
      </c>
      <c r="E114" s="76">
        <v>132.1</v>
      </c>
      <c r="F114" s="76">
        <v>132.1</v>
      </c>
      <c r="G114" s="76">
        <v>131.69999999999999</v>
      </c>
      <c r="H114" s="76">
        <v>131.69999999999999</v>
      </c>
      <c r="I114" s="76">
        <v>130.6</v>
      </c>
      <c r="J114" s="76">
        <v>130.19999999999999</v>
      </c>
      <c r="K114" s="76">
        <v>128.9</v>
      </c>
      <c r="L114" s="76">
        <v>128.19999999999999</v>
      </c>
      <c r="M114" s="76">
        <v>127.8</v>
      </c>
      <c r="N114" s="76">
        <v>127.8</v>
      </c>
      <c r="O114" s="76">
        <v>125.5</v>
      </c>
      <c r="P114" s="76">
        <v>125.7</v>
      </c>
      <c r="Q114" s="76">
        <v>125.7</v>
      </c>
      <c r="R114" s="76">
        <v>125.7</v>
      </c>
      <c r="S114" s="76">
        <v>124.1</v>
      </c>
      <c r="T114" s="76">
        <v>124.1</v>
      </c>
      <c r="U114" s="76">
        <v>124.1</v>
      </c>
      <c r="V114" s="76"/>
      <c r="W114" s="76"/>
      <c r="X114" s="76"/>
      <c r="Y114" s="76">
        <v>128.9</v>
      </c>
      <c r="Z114" s="76"/>
      <c r="AA114" s="76"/>
      <c r="AB114" s="76">
        <v>129.69999999999999</v>
      </c>
      <c r="AC114" s="76">
        <v>129.19999999999999</v>
      </c>
      <c r="AD114" s="76">
        <v>129.19999999999999</v>
      </c>
      <c r="AE114" s="76">
        <v>130</v>
      </c>
      <c r="AF114" s="76">
        <v>131.1</v>
      </c>
      <c r="AG114" s="117"/>
      <c r="AH114" s="48">
        <f t="shared" si="36"/>
        <v>132.1</v>
      </c>
      <c r="AI114" s="49">
        <f t="shared" si="37"/>
        <v>124.1</v>
      </c>
    </row>
    <row r="115" spans="1:35" x14ac:dyDescent="0.25">
      <c r="A115" s="116" t="s">
        <v>135</v>
      </c>
      <c r="B115" s="76">
        <v>132.9</v>
      </c>
      <c r="C115" s="76">
        <v>131.1</v>
      </c>
      <c r="D115" s="76">
        <v>131</v>
      </c>
      <c r="E115" s="76">
        <v>131.9</v>
      </c>
      <c r="F115" s="76">
        <v>133.5</v>
      </c>
      <c r="G115" s="76">
        <v>135</v>
      </c>
      <c r="H115" s="76">
        <v>135</v>
      </c>
      <c r="I115" s="76">
        <v>132.19999999999999</v>
      </c>
      <c r="J115" s="76">
        <v>132.1</v>
      </c>
      <c r="K115" s="76">
        <v>127.1</v>
      </c>
      <c r="L115" s="76">
        <v>125.6</v>
      </c>
      <c r="M115" s="76">
        <v>125.2</v>
      </c>
      <c r="N115" s="76">
        <v>125.2</v>
      </c>
      <c r="O115" s="76">
        <v>126.9</v>
      </c>
      <c r="P115" s="76">
        <v>126</v>
      </c>
      <c r="Q115" s="76">
        <v>126</v>
      </c>
      <c r="R115" s="76">
        <v>126</v>
      </c>
      <c r="S115" s="76">
        <v>127.7</v>
      </c>
      <c r="T115" s="76">
        <v>127.7</v>
      </c>
      <c r="U115" s="76">
        <v>127.7</v>
      </c>
      <c r="V115" s="76"/>
      <c r="W115" s="76"/>
      <c r="X115" s="76"/>
      <c r="Y115" s="76">
        <v>131.6</v>
      </c>
      <c r="Z115" s="76"/>
      <c r="AA115" s="76"/>
      <c r="AB115" s="76">
        <v>130</v>
      </c>
      <c r="AC115" s="76">
        <v>131.1</v>
      </c>
      <c r="AD115" s="76">
        <v>130.69999999999999</v>
      </c>
      <c r="AE115" s="76">
        <v>126.3</v>
      </c>
      <c r="AF115" s="76">
        <v>131</v>
      </c>
      <c r="AG115" s="117"/>
      <c r="AH115" s="48">
        <f t="shared" si="36"/>
        <v>135</v>
      </c>
      <c r="AI115" s="49">
        <f t="shared" si="37"/>
        <v>125.2</v>
      </c>
    </row>
    <row r="116" spans="1:35" x14ac:dyDescent="0.25">
      <c r="A116" s="118" t="s">
        <v>136</v>
      </c>
      <c r="B116" s="76">
        <v>131.9</v>
      </c>
      <c r="C116" s="76">
        <v>130.6</v>
      </c>
      <c r="D116" s="76">
        <v>130.6</v>
      </c>
      <c r="E116" s="76">
        <v>131.6</v>
      </c>
      <c r="F116" s="76">
        <v>133.5</v>
      </c>
      <c r="G116" s="76">
        <v>134</v>
      </c>
      <c r="H116" s="76">
        <v>133</v>
      </c>
      <c r="I116" s="76">
        <v>132</v>
      </c>
      <c r="J116" s="76">
        <v>133.19999999999999</v>
      </c>
      <c r="K116" s="76">
        <v>128.6</v>
      </c>
      <c r="L116" s="76">
        <v>126.5</v>
      </c>
      <c r="M116" s="76">
        <v>125.1</v>
      </c>
      <c r="N116" s="76">
        <v>125.1</v>
      </c>
      <c r="O116" s="76">
        <v>126</v>
      </c>
      <c r="P116" s="76">
        <v>125.3</v>
      </c>
      <c r="Q116" s="76">
        <v>125.3</v>
      </c>
      <c r="R116" s="76">
        <v>125.3</v>
      </c>
      <c r="S116" s="76">
        <v>128.4</v>
      </c>
      <c r="T116" s="76">
        <v>128.4</v>
      </c>
      <c r="U116" s="76">
        <v>128.4</v>
      </c>
      <c r="V116" s="76"/>
      <c r="W116" s="76"/>
      <c r="X116" s="76"/>
      <c r="Y116" s="76">
        <v>132.69999999999999</v>
      </c>
      <c r="Z116" s="76"/>
      <c r="AA116" s="76"/>
      <c r="AB116" s="76">
        <v>129.5</v>
      </c>
      <c r="AC116" s="76">
        <v>130.69999999999999</v>
      </c>
      <c r="AD116" s="76">
        <v>130.9</v>
      </c>
      <c r="AE116" s="76">
        <v>127.4</v>
      </c>
      <c r="AF116" s="76">
        <v>131.6</v>
      </c>
      <c r="AG116" s="117"/>
      <c r="AH116" s="48">
        <f t="shared" si="36"/>
        <v>134</v>
      </c>
      <c r="AI116" s="49">
        <f t="shared" si="37"/>
        <v>125.1</v>
      </c>
    </row>
    <row r="117" spans="1:35" x14ac:dyDescent="0.25">
      <c r="A117" s="118" t="s">
        <v>137</v>
      </c>
      <c r="B117" s="119"/>
      <c r="C117" s="119"/>
      <c r="D117" s="119">
        <v>132.5</v>
      </c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36"/>
        <v>132.5</v>
      </c>
      <c r="AI117" s="49">
        <f t="shared" si="37"/>
        <v>132.5</v>
      </c>
    </row>
    <row r="118" spans="1:35" x14ac:dyDescent="0.25">
      <c r="A118" s="116" t="s">
        <v>138</v>
      </c>
      <c r="B118" s="76">
        <v>123.4</v>
      </c>
      <c r="C118" s="76">
        <v>127.3</v>
      </c>
      <c r="D118" s="76">
        <v>123.3</v>
      </c>
      <c r="E118" s="76">
        <v>124.9</v>
      </c>
      <c r="F118" s="76">
        <v>123.9</v>
      </c>
      <c r="G118" s="76">
        <v>123.2</v>
      </c>
      <c r="H118" s="76">
        <v>122</v>
      </c>
      <c r="I118" s="76">
        <v>127.4</v>
      </c>
      <c r="J118" s="76">
        <v>126.6</v>
      </c>
      <c r="K118" s="76">
        <v>126.7</v>
      </c>
      <c r="L118" s="76">
        <v>124.5</v>
      </c>
      <c r="M118" s="76">
        <v>124</v>
      </c>
      <c r="N118" s="76">
        <v>121</v>
      </c>
      <c r="O118" s="76">
        <v>119</v>
      </c>
      <c r="P118" s="76">
        <v>115.2</v>
      </c>
      <c r="Q118" s="76">
        <v>115.2</v>
      </c>
      <c r="R118" s="76">
        <v>115.2</v>
      </c>
      <c r="S118" s="76">
        <v>125.4</v>
      </c>
      <c r="T118" s="76">
        <v>125.4</v>
      </c>
      <c r="U118" s="76">
        <v>125.4</v>
      </c>
      <c r="V118" s="76"/>
      <c r="W118" s="76"/>
      <c r="X118" s="76"/>
      <c r="Y118" s="76">
        <v>122.3</v>
      </c>
      <c r="Z118" s="76"/>
      <c r="AA118" s="76"/>
      <c r="AB118" s="76">
        <v>119</v>
      </c>
      <c r="AC118" s="76">
        <v>124.4</v>
      </c>
      <c r="AD118" s="76">
        <v>128.19999999999999</v>
      </c>
      <c r="AE118" s="76">
        <v>117</v>
      </c>
      <c r="AF118" s="76">
        <v>129.69999999999999</v>
      </c>
      <c r="AG118" s="117"/>
      <c r="AH118" s="48">
        <f t="shared" si="36"/>
        <v>129.69999999999999</v>
      </c>
      <c r="AI118" s="49">
        <f t="shared" si="37"/>
        <v>115.2</v>
      </c>
    </row>
    <row r="119" spans="1:35" ht="15.75" thickBot="1" x14ac:dyDescent="0.3">
      <c r="A119" s="116" t="s">
        <v>139</v>
      </c>
      <c r="B119" s="105">
        <v>65.900000000000006</v>
      </c>
      <c r="C119" s="105">
        <v>66</v>
      </c>
      <c r="D119" s="105">
        <v>66</v>
      </c>
      <c r="E119" s="105">
        <v>66.400000000000006</v>
      </c>
      <c r="F119" s="105">
        <v>66.400000000000006</v>
      </c>
      <c r="G119" s="105">
        <v>66</v>
      </c>
      <c r="H119" s="105">
        <v>66</v>
      </c>
      <c r="I119" s="105">
        <v>65.400000000000006</v>
      </c>
      <c r="J119" s="105">
        <v>65.3</v>
      </c>
      <c r="K119" s="105">
        <v>64.900000000000006</v>
      </c>
      <c r="L119" s="105">
        <v>64.400000000000006</v>
      </c>
      <c r="M119" s="105">
        <v>64.400000000000006</v>
      </c>
      <c r="N119" s="105">
        <v>64.400000000000006</v>
      </c>
      <c r="O119" s="105">
        <v>63.1</v>
      </c>
      <c r="P119" s="105">
        <v>63.4</v>
      </c>
      <c r="Q119" s="105">
        <v>63.4</v>
      </c>
      <c r="R119" s="105">
        <v>63.4</v>
      </c>
      <c r="S119" s="105">
        <v>62.4</v>
      </c>
      <c r="T119" s="105">
        <v>62.4</v>
      </c>
      <c r="U119" s="105">
        <v>62.4</v>
      </c>
      <c r="V119" s="105"/>
      <c r="W119" s="105"/>
      <c r="X119" s="105"/>
      <c r="Y119" s="105">
        <v>64.400000000000006</v>
      </c>
      <c r="Z119" s="105"/>
      <c r="AA119" s="105"/>
      <c r="AB119" s="105">
        <v>64.7</v>
      </c>
      <c r="AC119" s="105">
        <v>64.400000000000006</v>
      </c>
      <c r="AD119" s="105">
        <v>64.7</v>
      </c>
      <c r="AE119" s="105">
        <v>65.5</v>
      </c>
      <c r="AF119" s="105">
        <v>66</v>
      </c>
      <c r="AG119" s="121"/>
      <c r="AH119" s="48">
        <f t="shared" si="36"/>
        <v>66.400000000000006</v>
      </c>
      <c r="AI119" s="49">
        <f t="shared" si="37"/>
        <v>62.4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6"/>
        <v>0</v>
      </c>
      <c r="AI120" s="49">
        <f t="shared" si="37"/>
        <v>0</v>
      </c>
    </row>
    <row r="121" spans="1:35" ht="15.75" thickBot="1" x14ac:dyDescent="0.3">
      <c r="A121" s="123" t="s">
        <v>141</v>
      </c>
      <c r="B121" s="124">
        <f t="shared" ref="B121" si="70">SUM(B25,B31,B34:B35,B69,B71:B72,B74,B76,B122:B126,B158,B164,B170,B179,B181,B193,B200,B203:B204,B211,B213,B215,B219:B221,B223:B225,B230,B236:B237,B239:B241,B249,B254)</f>
        <v>116.24000000000001</v>
      </c>
      <c r="C121" s="124">
        <f t="shared" ref="C121:O121" si="71">SUM(C25,C31,C34:C35,C69,C71:C72,C74,C76,C122:C126,C158,C164,C170,C179,C181,C193,C200,C203:C204,C211,C213,C215,C219:C221,C223:C225,C230,C236:C237,C239:C241,C249,C254)</f>
        <v>108.33999999999999</v>
      </c>
      <c r="D121" s="124">
        <f t="shared" si="71"/>
        <v>99.04000000000002</v>
      </c>
      <c r="E121" s="124">
        <f t="shared" si="71"/>
        <v>92.240000000000009</v>
      </c>
      <c r="F121" s="124">
        <f t="shared" si="71"/>
        <v>92.440000000000012</v>
      </c>
      <c r="G121" s="124">
        <f t="shared" si="71"/>
        <v>136.34</v>
      </c>
      <c r="H121" s="124">
        <f t="shared" si="71"/>
        <v>135.13999999999999</v>
      </c>
      <c r="I121" s="124">
        <f t="shared" si="71"/>
        <v>197.04</v>
      </c>
      <c r="J121" s="124">
        <f t="shared" si="71"/>
        <v>216.94</v>
      </c>
      <c r="K121" s="124">
        <f t="shared" si="71"/>
        <v>240.33999999999997</v>
      </c>
      <c r="L121" s="124">
        <f t="shared" si="71"/>
        <v>264.24</v>
      </c>
      <c r="M121" s="124">
        <f t="shared" si="71"/>
        <v>178.14000000000001</v>
      </c>
      <c r="N121" s="124">
        <f t="shared" si="71"/>
        <v>178.14000000000001</v>
      </c>
      <c r="O121" s="124">
        <f t="shared" si="71"/>
        <v>290.04000000000002</v>
      </c>
      <c r="P121" s="124">
        <v>42</v>
      </c>
      <c r="Q121" s="124">
        <f t="shared" ref="Q121:X121" si="72">SUM(Q25,Q31,Q34:Q35,Q69,Q71:Q72,Q74,Q76,Q122:Q126,Q158,Q164,Q170,Q179,Q181,Q193,Q200,Q203:Q204,Q211,Q213,Q215,Q219:Q221,Q223:Q225,Q230,Q236:Q237,Q239:Q241,Q249,Q254)</f>
        <v>274.44000000000005</v>
      </c>
      <c r="R121" s="124">
        <f t="shared" si="72"/>
        <v>289.44000000000005</v>
      </c>
      <c r="S121" s="124">
        <f>SUM(S25,S31,S34:S35,S69,S71:S72,S74,S76,S122:S126,S158,S164,S170,S179,S181,S193,S200,S203:S204,S211,S213,S215,S219:S221,S223:S225,S230,S236:S237,S239:S241,S249,S254)</f>
        <v>259.64000000000004</v>
      </c>
      <c r="T121" s="124">
        <f>SUM(T25,T31,T34:T35,T69,T71:T72,T74,T76,T122:T126,T158,T164,T170,T179,T181,T193,T200,T203:T204,T211,T213,T215,T219:T221,T223:T225,T230,T236:T237,T239:T241,T249,T254)</f>
        <v>291.14000000000004</v>
      </c>
      <c r="U121" s="124">
        <f t="shared" si="72"/>
        <v>300.04000000000002</v>
      </c>
      <c r="V121" s="124">
        <f t="shared" si="72"/>
        <v>115.93999999999998</v>
      </c>
      <c r="W121" s="124">
        <f t="shared" si="72"/>
        <v>0.94</v>
      </c>
      <c r="X121" s="124">
        <f t="shared" si="72"/>
        <v>0.94</v>
      </c>
      <c r="Y121" s="124">
        <f>SUM(Y23,Y29,Y40:Y41,Y69,Y71:Y72,Y74,Y76,Y122:Y126,Y151,Y157,Y163,Y172,Y174,Y186,Y193,Y196:Y197,Y204,Y206,Y208,Y212:Y214,Y216:Y218,Y223,Y229:Y230,Y232:Y234,Y242,Y247)</f>
        <v>336</v>
      </c>
      <c r="Z121" s="124">
        <f>SUM(Z23,Z29,Z40:Z41,Z69,Z71:Z72,Z74,Z76,Z122:Z126,Z151,Z157,Z163,Z172,Z174,Z186,Z193,Z196:Z197,Z204,Z206,Z208,Z212:Z214,Z216:Z218,Z223,Z229:Z230,Z232:Z234,Z242,Z247)</f>
        <v>0</v>
      </c>
      <c r="AA121" s="124">
        <f t="shared" ref="AA121:AF121" si="73">SUM(AA25,AA31,AA34:AA35,AA69,AA71:AA72,AA74,AA76,AA122:AA126,AA158,AA164,AA170,AA179,AA181,AA193,AA200,AA203:AA204,AA211,AA213,AA215,AA219:AA221,AA223:AA225,AA230,AA236:AA237,AA239:AA241,AA249,AA254)</f>
        <v>0.94</v>
      </c>
      <c r="AB121" s="124">
        <f t="shared" si="73"/>
        <v>233.24</v>
      </c>
      <c r="AC121" s="124">
        <f t="shared" si="73"/>
        <v>215.64</v>
      </c>
      <c r="AD121" s="124">
        <f t="shared" si="73"/>
        <v>210.04</v>
      </c>
      <c r="AE121" s="124">
        <f t="shared" si="73"/>
        <v>126.34</v>
      </c>
      <c r="AF121" s="124">
        <f t="shared" si="73"/>
        <v>107.04000000000002</v>
      </c>
      <c r="AG121" s="125"/>
      <c r="AH121" s="48">
        <f t="shared" si="36"/>
        <v>336</v>
      </c>
      <c r="AI121" s="49">
        <f t="shared" si="37"/>
        <v>0</v>
      </c>
    </row>
    <row r="122" spans="1:35" x14ac:dyDescent="0.25">
      <c r="A122" s="126" t="s">
        <v>142</v>
      </c>
      <c r="B122" s="127">
        <v>41.3</v>
      </c>
      <c r="C122" s="127">
        <v>41.5</v>
      </c>
      <c r="D122" s="127">
        <v>41.4</v>
      </c>
      <c r="E122" s="127">
        <v>47.9</v>
      </c>
      <c r="F122" s="127">
        <v>46.8</v>
      </c>
      <c r="G122" s="127">
        <v>50.1</v>
      </c>
      <c r="H122" s="127">
        <v>49.8</v>
      </c>
      <c r="I122" s="127">
        <v>42.5</v>
      </c>
      <c r="J122" s="127">
        <v>31.9</v>
      </c>
      <c r="K122" s="127">
        <v>29.2</v>
      </c>
      <c r="L122" s="127">
        <v>30.3</v>
      </c>
      <c r="M122" s="127">
        <v>32.299999999999997</v>
      </c>
      <c r="N122" s="127">
        <v>32.299999999999997</v>
      </c>
      <c r="O122" s="127">
        <v>29.8</v>
      </c>
      <c r="P122" s="127">
        <v>44.5</v>
      </c>
      <c r="Q122" s="127">
        <v>44.5</v>
      </c>
      <c r="R122" s="127">
        <v>31</v>
      </c>
      <c r="S122" s="127">
        <v>0</v>
      </c>
      <c r="T122" s="127">
        <v>41.6</v>
      </c>
      <c r="U122" s="127">
        <v>59.7</v>
      </c>
      <c r="V122" s="127"/>
      <c r="W122" s="127"/>
      <c r="X122" s="127"/>
      <c r="Y122" s="127">
        <v>48.8</v>
      </c>
      <c r="Z122" s="127"/>
      <c r="AA122" s="127"/>
      <c r="AB122" s="127">
        <v>59</v>
      </c>
      <c r="AC122" s="127">
        <v>58.4</v>
      </c>
      <c r="AD122" s="127">
        <v>54.4</v>
      </c>
      <c r="AE122" s="127">
        <v>51.8</v>
      </c>
      <c r="AF122" s="127">
        <v>47.6</v>
      </c>
      <c r="AG122" s="128">
        <v>75</v>
      </c>
      <c r="AH122" s="48">
        <f t="shared" si="36"/>
        <v>59.7</v>
      </c>
      <c r="AI122" s="49">
        <f t="shared" si="37"/>
        <v>0</v>
      </c>
    </row>
    <row r="123" spans="1:35" x14ac:dyDescent="0.25">
      <c r="A123" s="129" t="s">
        <v>143</v>
      </c>
      <c r="B123" s="130">
        <v>61.5</v>
      </c>
      <c r="C123" s="130">
        <v>62.2</v>
      </c>
      <c r="D123" s="130">
        <v>61.7</v>
      </c>
      <c r="E123" s="130">
        <v>70.400000000000006</v>
      </c>
      <c r="F123" s="130">
        <v>68.400000000000006</v>
      </c>
      <c r="G123" s="130">
        <v>71.5</v>
      </c>
      <c r="H123" s="130">
        <v>71.400000000000006</v>
      </c>
      <c r="I123" s="130">
        <v>61.7</v>
      </c>
      <c r="J123" s="130">
        <v>47.8</v>
      </c>
      <c r="K123" s="130">
        <v>42.5</v>
      </c>
      <c r="L123" s="130">
        <v>43.1</v>
      </c>
      <c r="M123" s="130">
        <v>45.1</v>
      </c>
      <c r="N123" s="130">
        <v>45.1</v>
      </c>
      <c r="O123" s="130">
        <v>41.7</v>
      </c>
      <c r="P123" s="130">
        <v>60.2</v>
      </c>
      <c r="Q123" s="130">
        <v>60.2</v>
      </c>
      <c r="R123" s="130">
        <v>40.700000000000003</v>
      </c>
      <c r="S123" s="130">
        <v>53.5</v>
      </c>
      <c r="T123" s="130">
        <v>53.5</v>
      </c>
      <c r="U123" s="130">
        <v>79.900000000000006</v>
      </c>
      <c r="V123" s="130"/>
      <c r="W123" s="130"/>
      <c r="X123" s="130"/>
      <c r="Y123" s="130">
        <v>78.3</v>
      </c>
      <c r="Z123" s="130"/>
      <c r="AA123" s="130"/>
      <c r="AB123" s="130">
        <v>88</v>
      </c>
      <c r="AC123" s="130">
        <v>85</v>
      </c>
      <c r="AD123" s="130">
        <v>79.2</v>
      </c>
      <c r="AE123" s="130">
        <v>79</v>
      </c>
      <c r="AF123" s="130">
        <v>75.400000000000006</v>
      </c>
      <c r="AG123" s="128">
        <v>240</v>
      </c>
      <c r="AH123" s="48">
        <f t="shared" si="36"/>
        <v>88</v>
      </c>
      <c r="AI123" s="49">
        <f t="shared" si="37"/>
        <v>40.700000000000003</v>
      </c>
    </row>
    <row r="124" spans="1:35" x14ac:dyDescent="0.25">
      <c r="A124" s="129" t="s">
        <v>144</v>
      </c>
      <c r="B124" s="130">
        <f>-51.9-59.8</f>
        <v>-111.69999999999999</v>
      </c>
      <c r="C124" s="130">
        <f>-54-62.3</f>
        <v>-116.3</v>
      </c>
      <c r="D124" s="130">
        <f>-55.7-63.3</f>
        <v>-119</v>
      </c>
      <c r="E124" s="130">
        <f>-53.6-64.8</f>
        <v>-118.4</v>
      </c>
      <c r="F124" s="130">
        <f>-53.6-63.8</f>
        <v>-117.4</v>
      </c>
      <c r="G124" s="130">
        <f>-41-53</f>
        <v>-94</v>
      </c>
      <c r="H124" s="130">
        <f>-41-52</f>
        <v>-93</v>
      </c>
      <c r="I124" s="130">
        <f>-22.9-32.8</f>
        <v>-55.699999999999996</v>
      </c>
      <c r="J124" s="130">
        <f>-22.6-30.5</f>
        <v>-53.1</v>
      </c>
      <c r="K124" s="130">
        <f>-13-23</f>
        <v>-36</v>
      </c>
      <c r="L124" s="130">
        <f>-11-21.1</f>
        <v>-32.1</v>
      </c>
      <c r="M124" s="130">
        <v>-76</v>
      </c>
      <c r="N124" s="130">
        <v>-76</v>
      </c>
      <c r="O124" s="130">
        <v>21</v>
      </c>
      <c r="P124" s="130">
        <v>-70</v>
      </c>
      <c r="Q124" s="130">
        <v>-70</v>
      </c>
      <c r="R124" s="130">
        <v>-42</v>
      </c>
      <c r="S124" s="130">
        <v>-38.5</v>
      </c>
      <c r="T124" s="130">
        <v>-38.5</v>
      </c>
      <c r="U124" s="130">
        <v>-55</v>
      </c>
      <c r="V124" s="130"/>
      <c r="W124" s="130"/>
      <c r="X124" s="130"/>
      <c r="Y124" s="130">
        <v>-86.6</v>
      </c>
      <c r="Z124" s="130"/>
      <c r="AA124" s="130"/>
      <c r="AB124" s="130">
        <v>-62</v>
      </c>
      <c r="AC124" s="130">
        <v>-61</v>
      </c>
      <c r="AD124" s="130">
        <v>-68</v>
      </c>
      <c r="AE124" s="130">
        <v>-108</v>
      </c>
      <c r="AF124" s="130">
        <v>-114</v>
      </c>
      <c r="AG124" s="128">
        <v>240</v>
      </c>
      <c r="AH124" s="48">
        <f t="shared" si="36"/>
        <v>21</v>
      </c>
      <c r="AI124" s="49">
        <f t="shared" si="37"/>
        <v>-119</v>
      </c>
    </row>
    <row r="125" spans="1:35" ht="15.75" thickBot="1" x14ac:dyDescent="0.3">
      <c r="A125" s="129" t="s">
        <v>145</v>
      </c>
      <c r="B125" s="130">
        <v>7.6</v>
      </c>
      <c r="C125" s="130">
        <v>6.2</v>
      </c>
      <c r="D125" s="130">
        <v>13.8</v>
      </c>
      <c r="E125" s="130">
        <v>9.4</v>
      </c>
      <c r="F125" s="130">
        <v>9.5</v>
      </c>
      <c r="G125" s="130">
        <v>16.3</v>
      </c>
      <c r="H125" s="130">
        <v>16.2</v>
      </c>
      <c r="I125" s="130">
        <v>13.1</v>
      </c>
      <c r="J125" s="130">
        <v>10.8</v>
      </c>
      <c r="K125" s="130">
        <v>20.5</v>
      </c>
      <c r="L125" s="130">
        <v>21.9</v>
      </c>
      <c r="M125" s="130">
        <v>21.9</v>
      </c>
      <c r="N125" s="130">
        <v>21.9</v>
      </c>
      <c r="O125" s="130">
        <v>24.8</v>
      </c>
      <c r="P125" s="130">
        <v>17.3</v>
      </c>
      <c r="Q125" s="130">
        <v>17.3</v>
      </c>
      <c r="R125" s="130">
        <v>16.3</v>
      </c>
      <c r="S125" s="130">
        <v>2.1</v>
      </c>
      <c r="T125" s="130">
        <v>2.1</v>
      </c>
      <c r="U125" s="130">
        <v>0.2</v>
      </c>
      <c r="V125" s="130"/>
      <c r="W125" s="130"/>
      <c r="X125" s="130"/>
      <c r="Y125" s="130">
        <v>29.5</v>
      </c>
      <c r="Z125" s="130"/>
      <c r="AA125" s="130"/>
      <c r="AB125" s="130">
        <v>2.2999999999999998</v>
      </c>
      <c r="AC125" s="130">
        <v>0</v>
      </c>
      <c r="AD125" s="130">
        <v>-1.6</v>
      </c>
      <c r="AE125" s="130">
        <v>4.3</v>
      </c>
      <c r="AF125" s="130">
        <v>1.8</v>
      </c>
      <c r="AG125" s="128">
        <v>60</v>
      </c>
      <c r="AH125" s="48">
        <f t="shared" si="36"/>
        <v>29.5</v>
      </c>
      <c r="AI125" s="49">
        <f t="shared" si="37"/>
        <v>-1.6</v>
      </c>
    </row>
    <row r="126" spans="1:35" x14ac:dyDescent="0.25">
      <c r="A126" s="126" t="s">
        <v>146</v>
      </c>
      <c r="B126" s="131">
        <v>-7.4</v>
      </c>
      <c r="C126" s="131">
        <v>-10.199999999999999</v>
      </c>
      <c r="D126" s="131">
        <v>-23.8</v>
      </c>
      <c r="E126" s="131">
        <v>-42</v>
      </c>
      <c r="F126" s="131">
        <v>-39.799999999999997</v>
      </c>
      <c r="G126" s="131">
        <v>-32.5</v>
      </c>
      <c r="H126" s="131">
        <v>-34.200000000000003</v>
      </c>
      <c r="I126" s="131">
        <v>10.5</v>
      </c>
      <c r="J126" s="131">
        <v>52.6</v>
      </c>
      <c r="K126" s="131">
        <v>57.2</v>
      </c>
      <c r="L126" s="131">
        <v>70.599999999999994</v>
      </c>
      <c r="M126" s="131">
        <v>73.099999999999994</v>
      </c>
      <c r="N126" s="131">
        <v>73.099999999999994</v>
      </c>
      <c r="O126" s="131">
        <v>91</v>
      </c>
      <c r="P126" s="131">
        <v>87.3</v>
      </c>
      <c r="Q126" s="131">
        <v>87.3</v>
      </c>
      <c r="R126" s="131">
        <v>108.3</v>
      </c>
      <c r="S126" s="131">
        <v>108.9</v>
      </c>
      <c r="T126" s="131">
        <v>108.9</v>
      </c>
      <c r="U126" s="131">
        <v>100</v>
      </c>
      <c r="V126" s="131"/>
      <c r="W126" s="131"/>
      <c r="X126" s="131"/>
      <c r="Y126" s="131">
        <v>119</v>
      </c>
      <c r="Z126" s="131"/>
      <c r="AA126" s="131"/>
      <c r="AB126" s="131">
        <v>45</v>
      </c>
      <c r="AC126" s="131">
        <v>13.5</v>
      </c>
      <c r="AD126" s="131">
        <v>26.3</v>
      </c>
      <c r="AE126" s="131">
        <v>-20.5</v>
      </c>
      <c r="AF126" s="131">
        <v>-23.5</v>
      </c>
      <c r="AG126" s="132">
        <v>120</v>
      </c>
      <c r="AH126" s="48">
        <f t="shared" si="36"/>
        <v>119</v>
      </c>
      <c r="AI126" s="49">
        <f t="shared" si="37"/>
        <v>-42</v>
      </c>
    </row>
    <row r="127" spans="1:35" x14ac:dyDescent="0.25">
      <c r="A127" s="129" t="s">
        <v>147</v>
      </c>
      <c r="B127" s="131">
        <v>44.6</v>
      </c>
      <c r="C127" s="131">
        <v>43.2</v>
      </c>
      <c r="D127" s="131">
        <v>35.200000000000003</v>
      </c>
      <c r="E127" s="131">
        <v>25.9</v>
      </c>
      <c r="F127" s="131">
        <v>27.5</v>
      </c>
      <c r="G127" s="131">
        <v>30.4</v>
      </c>
      <c r="H127" s="131">
        <v>29.6</v>
      </c>
      <c r="I127" s="131">
        <v>51.6</v>
      </c>
      <c r="J127" s="131">
        <v>70.8</v>
      </c>
      <c r="K127" s="131">
        <v>76.2</v>
      </c>
      <c r="L127" s="131">
        <v>82.3</v>
      </c>
      <c r="M127" s="131">
        <v>82.8</v>
      </c>
      <c r="N127" s="131">
        <v>82.8</v>
      </c>
      <c r="O127" s="131">
        <v>90</v>
      </c>
      <c r="P127" s="131">
        <v>88.1</v>
      </c>
      <c r="Q127" s="131">
        <v>88.1</v>
      </c>
      <c r="R127" s="131">
        <v>97</v>
      </c>
      <c r="S127" s="131">
        <v>98</v>
      </c>
      <c r="T127" s="131">
        <v>98</v>
      </c>
      <c r="U127" s="131">
        <v>91</v>
      </c>
      <c r="V127" s="131"/>
      <c r="W127" s="131"/>
      <c r="X127" s="131"/>
      <c r="Y127" s="131">
        <v>101.7</v>
      </c>
      <c r="Z127" s="131"/>
      <c r="AA127" s="131"/>
      <c r="AB127" s="131">
        <v>68</v>
      </c>
      <c r="AC127" s="131">
        <v>52</v>
      </c>
      <c r="AD127" s="131">
        <v>58</v>
      </c>
      <c r="AE127" s="131">
        <v>33.5</v>
      </c>
      <c r="AF127" s="131">
        <v>30.4</v>
      </c>
      <c r="AG127" s="132"/>
      <c r="AH127" s="48">
        <f t="shared" si="36"/>
        <v>101.7</v>
      </c>
      <c r="AI127" s="49">
        <f t="shared" si="37"/>
        <v>25.9</v>
      </c>
    </row>
    <row r="128" spans="1:35" x14ac:dyDescent="0.25">
      <c r="A128" s="129" t="s">
        <v>148</v>
      </c>
      <c r="B128" s="131">
        <v>-4.4000000000000004</v>
      </c>
      <c r="C128" s="131">
        <v>-3.3</v>
      </c>
      <c r="D128" s="131">
        <v>-8.1999999999999993</v>
      </c>
      <c r="E128" s="131">
        <v>-22.1</v>
      </c>
      <c r="F128" s="131">
        <v>-22.4</v>
      </c>
      <c r="G128" s="131">
        <v>-41.8</v>
      </c>
      <c r="H128" s="131">
        <v>-44.6</v>
      </c>
      <c r="I128" s="131">
        <v>-38.9</v>
      </c>
      <c r="J128" s="131">
        <v>-13.2</v>
      </c>
      <c r="K128" s="131">
        <v>-17.100000000000001</v>
      </c>
      <c r="L128" s="131">
        <v>-18.8</v>
      </c>
      <c r="M128" s="131">
        <v>-16.3</v>
      </c>
      <c r="N128" s="131">
        <v>-16.3</v>
      </c>
      <c r="O128" s="131">
        <v>71</v>
      </c>
      <c r="P128" s="131">
        <v>-18.3</v>
      </c>
      <c r="Q128" s="131">
        <v>-18.3</v>
      </c>
      <c r="R128" s="131">
        <v>6.9</v>
      </c>
      <c r="S128" s="131">
        <v>-3.7</v>
      </c>
      <c r="T128" s="131">
        <v>-3.7</v>
      </c>
      <c r="U128" s="131">
        <v>-274.3</v>
      </c>
      <c r="V128" s="131"/>
      <c r="W128" s="131"/>
      <c r="X128" s="131"/>
      <c r="Y128" s="131">
        <v>-24.3</v>
      </c>
      <c r="Z128" s="131"/>
      <c r="AA128" s="131"/>
      <c r="AB128" s="131">
        <v>-46.3</v>
      </c>
      <c r="AC128" s="131">
        <v>-64</v>
      </c>
      <c r="AD128" s="131">
        <v>-49</v>
      </c>
      <c r="AE128" s="131">
        <v>-46.5</v>
      </c>
      <c r="AF128" s="131">
        <v>-40.6</v>
      </c>
      <c r="AG128" s="132"/>
      <c r="AH128" s="48">
        <f t="shared" si="36"/>
        <v>71</v>
      </c>
      <c r="AI128" s="49">
        <f t="shared" si="37"/>
        <v>-274.3</v>
      </c>
    </row>
    <row r="129" spans="1:37" ht="15.75" thickBot="1" x14ac:dyDescent="0.3">
      <c r="A129" s="129" t="s">
        <v>149</v>
      </c>
      <c r="B129" s="131">
        <v>10.7</v>
      </c>
      <c r="C129" s="131">
        <v>6.5</v>
      </c>
      <c r="D129" s="131">
        <v>-2.2000000000000002</v>
      </c>
      <c r="E129" s="131">
        <v>-9.8000000000000007</v>
      </c>
      <c r="F129" s="131">
        <v>-7.8</v>
      </c>
      <c r="G129" s="131">
        <v>-11.3</v>
      </c>
      <c r="H129" s="131">
        <v>-13.2</v>
      </c>
      <c r="I129" s="131">
        <v>15.8</v>
      </c>
      <c r="J129" s="131">
        <v>32.299999999999997</v>
      </c>
      <c r="K129" s="131">
        <v>36</v>
      </c>
      <c r="L129" s="131">
        <v>41.3</v>
      </c>
      <c r="M129" s="131">
        <v>46.7</v>
      </c>
      <c r="N129" s="131">
        <v>46.7</v>
      </c>
      <c r="O129" s="131">
        <v>75</v>
      </c>
      <c r="P129" s="131">
        <v>74.099999999999994</v>
      </c>
      <c r="Q129" s="131">
        <v>74.099999999999994</v>
      </c>
      <c r="R129" s="131">
        <v>77.7</v>
      </c>
      <c r="S129" s="131">
        <v>85.8</v>
      </c>
      <c r="T129" s="131">
        <v>85.8</v>
      </c>
      <c r="U129" s="131">
        <v>62.3</v>
      </c>
      <c r="V129" s="131"/>
      <c r="W129" s="131"/>
      <c r="X129" s="131"/>
      <c r="Y129" s="131">
        <v>20.2</v>
      </c>
      <c r="Z129" s="131"/>
      <c r="AA129" s="131"/>
      <c r="AB129" s="131">
        <v>15.3</v>
      </c>
      <c r="AC129" s="131">
        <v>6</v>
      </c>
      <c r="AD129" s="131">
        <v>11</v>
      </c>
      <c r="AE129" s="131">
        <v>-25.9</v>
      </c>
      <c r="AF129" s="131">
        <v>-17.899999999999999</v>
      </c>
      <c r="AG129" s="128"/>
      <c r="AH129" s="48">
        <f>MAX(B129:AF129)</f>
        <v>85.8</v>
      </c>
      <c r="AI129" s="49">
        <f>MIN(B129:AF129)</f>
        <v>-25.9</v>
      </c>
    </row>
    <row r="130" spans="1:37" x14ac:dyDescent="0.25">
      <c r="A130" s="126" t="s">
        <v>150</v>
      </c>
      <c r="B130" s="131">
        <v>-289</v>
      </c>
      <c r="C130" s="131">
        <v>-290.2</v>
      </c>
      <c r="D130" s="131">
        <v>-285</v>
      </c>
      <c r="E130" s="131">
        <v>-264</v>
      </c>
      <c r="F130" s="131">
        <v>-253.4</v>
      </c>
      <c r="G130" s="131">
        <v>-240</v>
      </c>
      <c r="H130" s="131">
        <v>-241</v>
      </c>
      <c r="I130" s="131">
        <v>-168.4</v>
      </c>
      <c r="J130" s="131">
        <v>-193</v>
      </c>
      <c r="K130" s="131">
        <v>-197</v>
      </c>
      <c r="L130" s="131">
        <v>-219.2</v>
      </c>
      <c r="M130" s="131">
        <v>-218.6</v>
      </c>
      <c r="N130" s="131">
        <v>-218.6</v>
      </c>
      <c r="O130" s="131">
        <v>-84</v>
      </c>
      <c r="P130" s="131">
        <v>-75.900000000000006</v>
      </c>
      <c r="Q130" s="131">
        <v>-75.900000000000006</v>
      </c>
      <c r="R130" s="131">
        <v>-64.400000000000006</v>
      </c>
      <c r="S130" s="131">
        <v>-55.9</v>
      </c>
      <c r="T130" s="131">
        <v>-55.9</v>
      </c>
      <c r="U130" s="131">
        <v>-168.6</v>
      </c>
      <c r="V130" s="131"/>
      <c r="W130" s="131"/>
      <c r="X130" s="131"/>
      <c r="Y130" s="131">
        <v>-115.8</v>
      </c>
      <c r="Z130" s="131"/>
      <c r="AA130" s="131"/>
      <c r="AB130" s="131">
        <v>-193</v>
      </c>
      <c r="AC130" s="131">
        <v>-189</v>
      </c>
      <c r="AD130" s="131">
        <v>-262</v>
      </c>
      <c r="AE130" s="131">
        <v>-296.60000000000002</v>
      </c>
      <c r="AF130" s="131">
        <v>-277</v>
      </c>
      <c r="AG130" s="128"/>
      <c r="AH130" s="48">
        <f>MAX(B130:AF130)</f>
        <v>-55.9</v>
      </c>
      <c r="AI130" s="49">
        <f>MIN(B130:AF130)</f>
        <v>-296.60000000000002</v>
      </c>
    </row>
    <row r="131" spans="1:37" x14ac:dyDescent="0.25">
      <c r="A131" s="129" t="s">
        <v>151</v>
      </c>
      <c r="B131" s="119">
        <v>-2.5</v>
      </c>
      <c r="C131" s="119">
        <v>-3.9</v>
      </c>
      <c r="D131" s="119">
        <v>-6.1</v>
      </c>
      <c r="E131" s="119">
        <v>-2</v>
      </c>
      <c r="F131" s="119">
        <v>0.4</v>
      </c>
      <c r="G131" s="119">
        <v>8.1999999999999993</v>
      </c>
      <c r="H131" s="119">
        <v>7.6</v>
      </c>
      <c r="I131" s="119">
        <v>0</v>
      </c>
      <c r="J131" s="119">
        <v>0.9</v>
      </c>
      <c r="K131" s="119">
        <v>-4.5999999999999996</v>
      </c>
      <c r="L131" s="119">
        <v>-7.9</v>
      </c>
      <c r="M131" s="119">
        <v>-7.5</v>
      </c>
      <c r="N131" s="119">
        <v>-7.5</v>
      </c>
      <c r="O131" s="119">
        <v>-1.2</v>
      </c>
      <c r="P131" s="119">
        <v>-1.2</v>
      </c>
      <c r="Q131" s="119">
        <v>-1.2</v>
      </c>
      <c r="R131" s="119">
        <v>-0.8</v>
      </c>
      <c r="S131" s="119">
        <v>-5.6</v>
      </c>
      <c r="T131" s="119">
        <v>-5.6</v>
      </c>
      <c r="U131" s="119">
        <v>-13.7</v>
      </c>
      <c r="V131" s="119"/>
      <c r="W131" s="119"/>
      <c r="X131" s="119"/>
      <c r="Y131" s="119">
        <v>5.0999999999999996</v>
      </c>
      <c r="Z131" s="119"/>
      <c r="AA131" s="119"/>
      <c r="AB131" s="119">
        <v>-38.5</v>
      </c>
      <c r="AC131" s="119">
        <v>-36.4</v>
      </c>
      <c r="AD131" s="119">
        <v>-36.299999999999997</v>
      </c>
      <c r="AE131" s="119">
        <v>-27.5</v>
      </c>
      <c r="AF131" s="119">
        <v>-26.1</v>
      </c>
      <c r="AG131" s="128"/>
      <c r="AH131" s="48">
        <f>MAX(B131:AF131)</f>
        <v>8.1999999999999993</v>
      </c>
      <c r="AI131" s="49">
        <f>MIN(B131:AF131)</f>
        <v>-38.5</v>
      </c>
    </row>
    <row r="132" spans="1:37" x14ac:dyDescent="0.25">
      <c r="A132" s="129" t="s">
        <v>152</v>
      </c>
      <c r="B132" s="119">
        <v>38</v>
      </c>
      <c r="C132" s="119">
        <v>48.9</v>
      </c>
      <c r="D132" s="119">
        <v>48.5</v>
      </c>
      <c r="E132" s="119">
        <v>44.5</v>
      </c>
      <c r="F132" s="119">
        <v>40.4</v>
      </c>
      <c r="G132" s="119">
        <v>23.3</v>
      </c>
      <c r="H132" s="119">
        <v>23.8</v>
      </c>
      <c r="I132" s="119">
        <v>33.4</v>
      </c>
      <c r="J132" s="119">
        <v>47.3</v>
      </c>
      <c r="K132" s="119">
        <v>60.7</v>
      </c>
      <c r="L132" s="119">
        <v>70.2</v>
      </c>
      <c r="M132" s="119">
        <v>75.400000000000006</v>
      </c>
      <c r="N132" s="119">
        <v>75.400000000000006</v>
      </c>
      <c r="O132" s="119">
        <v>77</v>
      </c>
      <c r="P132" s="119">
        <v>82.7</v>
      </c>
      <c r="Q132" s="119">
        <v>82.7</v>
      </c>
      <c r="R132" s="119">
        <v>82</v>
      </c>
      <c r="S132" s="119">
        <v>83.2</v>
      </c>
      <c r="T132" s="119">
        <v>83.2</v>
      </c>
      <c r="U132" s="119">
        <v>71.7</v>
      </c>
      <c r="V132" s="119"/>
      <c r="W132" s="119"/>
      <c r="X132" s="119"/>
      <c r="Y132" s="119">
        <v>-7.6</v>
      </c>
      <c r="Z132" s="119"/>
      <c r="AA132" s="119"/>
      <c r="AB132" s="119">
        <v>57</v>
      </c>
      <c r="AC132" s="119">
        <v>49</v>
      </c>
      <c r="AD132" s="119">
        <v>48.3</v>
      </c>
      <c r="AE132" s="119">
        <v>63.2</v>
      </c>
      <c r="AF132" s="119">
        <v>64.3</v>
      </c>
      <c r="AG132" s="128"/>
      <c r="AH132" s="48">
        <f>MAX(B132:AF132)</f>
        <v>83.2</v>
      </c>
      <c r="AI132" s="49">
        <f>MIN(B132:AF132)</f>
        <v>-7.6</v>
      </c>
    </row>
    <row r="133" spans="1:37" ht="15.75" thickBot="1" x14ac:dyDescent="0.3">
      <c r="A133" s="129" t="s">
        <v>153</v>
      </c>
      <c r="B133" s="119">
        <v>50</v>
      </c>
      <c r="C133" s="119">
        <v>58.5</v>
      </c>
      <c r="D133" s="119">
        <v>61.8</v>
      </c>
      <c r="E133" s="119">
        <v>54.7</v>
      </c>
      <c r="F133" s="119">
        <v>51.6</v>
      </c>
      <c r="G133" s="119">
        <v>31.8</v>
      </c>
      <c r="H133" s="119">
        <v>34.9</v>
      </c>
      <c r="I133" s="119">
        <v>46.9</v>
      </c>
      <c r="J133" s="119">
        <v>57.1</v>
      </c>
      <c r="K133" s="119">
        <v>69.099999999999994</v>
      </c>
      <c r="L133" s="119">
        <v>78.599999999999994</v>
      </c>
      <c r="M133" s="119">
        <v>80.900000000000006</v>
      </c>
      <c r="N133" s="119">
        <v>80.900000000000006</v>
      </c>
      <c r="O133" s="119">
        <v>82</v>
      </c>
      <c r="P133" s="119">
        <v>100</v>
      </c>
      <c r="Q133" s="119">
        <v>100</v>
      </c>
      <c r="R133" s="119">
        <v>96.1</v>
      </c>
      <c r="S133" s="119">
        <v>96.8</v>
      </c>
      <c r="T133" s="119">
        <v>96.8</v>
      </c>
      <c r="U133" s="119">
        <v>94.7</v>
      </c>
      <c r="V133" s="119"/>
      <c r="W133" s="119"/>
      <c r="X133" s="119"/>
      <c r="Y133" s="119">
        <v>10</v>
      </c>
      <c r="Z133" s="119"/>
      <c r="AA133" s="119"/>
      <c r="AB133" s="119">
        <v>68</v>
      </c>
      <c r="AC133" s="119">
        <v>58</v>
      </c>
      <c r="AD133" s="119">
        <v>56</v>
      </c>
      <c r="AE133" s="119">
        <v>74.099999999999994</v>
      </c>
      <c r="AF133" s="119">
        <v>73.099999999999994</v>
      </c>
      <c r="AG133" s="128"/>
      <c r="AH133" s="48">
        <f>MAX(B133:AF133)</f>
        <v>100</v>
      </c>
      <c r="AI133" s="49">
        <f>MIN(B133:AF133)</f>
        <v>10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1984.22</v>
      </c>
      <c r="C135" s="137">
        <v>1983.8</v>
      </c>
      <c r="D135" s="137">
        <v>1983.54</v>
      </c>
      <c r="E135" s="137">
        <v>1983.28</v>
      </c>
      <c r="F135" s="137"/>
      <c r="G135" s="137">
        <v>1983.18</v>
      </c>
      <c r="H135" s="137"/>
      <c r="I135" s="137">
        <v>1983.18</v>
      </c>
      <c r="J135" s="137"/>
      <c r="K135" s="137">
        <v>1983.2</v>
      </c>
      <c r="L135" s="137"/>
      <c r="M135" s="137">
        <v>1982.98</v>
      </c>
      <c r="N135" s="137">
        <v>1983.05</v>
      </c>
      <c r="O135" s="137">
        <v>1983.6</v>
      </c>
      <c r="P135" s="137">
        <v>1984.1</v>
      </c>
      <c r="Q135" s="137">
        <v>1984.7</v>
      </c>
      <c r="R135" s="137">
        <v>1985.18</v>
      </c>
      <c r="S135" s="137">
        <v>1985.6</v>
      </c>
      <c r="T135" s="137"/>
      <c r="U135" s="137"/>
      <c r="V135" s="137"/>
      <c r="W135" s="137"/>
      <c r="X135" s="137"/>
      <c r="Y135" s="137"/>
      <c r="Z135" s="137"/>
      <c r="AA135" s="137"/>
      <c r="AB135" s="137">
        <v>1986.62</v>
      </c>
      <c r="AC135" s="137"/>
      <c r="AD135" s="137">
        <v>1986.6</v>
      </c>
      <c r="AE135" s="137">
        <v>1986.29</v>
      </c>
      <c r="AF135" s="138">
        <v>1985.91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885.9</v>
      </c>
      <c r="F139" s="140"/>
      <c r="G139" s="140"/>
      <c r="H139" s="140"/>
      <c r="I139" s="140">
        <v>886.6</v>
      </c>
      <c r="J139" s="140"/>
      <c r="K139" s="140"/>
      <c r="L139" s="140"/>
      <c r="M139" s="140">
        <v>886.3</v>
      </c>
      <c r="N139" s="140">
        <v>885.9</v>
      </c>
      <c r="O139" s="140">
        <v>885.5</v>
      </c>
      <c r="P139" s="140">
        <v>885</v>
      </c>
      <c r="Q139" s="140">
        <v>884.5</v>
      </c>
      <c r="R139" s="140">
        <v>883.9</v>
      </c>
      <c r="S139" s="140">
        <v>883.2</v>
      </c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1491.31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>
        <v>1490.57</v>
      </c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74">SUM(B142:B246)</f>
        <v>0</v>
      </c>
      <c r="C247" s="161">
        <f t="shared" si="74"/>
        <v>0</v>
      </c>
      <c r="D247" s="161">
        <f t="shared" si="74"/>
        <v>0</v>
      </c>
      <c r="E247" s="161">
        <f t="shared" si="74"/>
        <v>0</v>
      </c>
      <c r="F247" s="161">
        <f t="shared" si="74"/>
        <v>0</v>
      </c>
      <c r="G247" s="161">
        <f t="shared" si="74"/>
        <v>0</v>
      </c>
      <c r="H247" s="161">
        <f t="shared" si="74"/>
        <v>0</v>
      </c>
      <c r="I247" s="161">
        <f t="shared" si="74"/>
        <v>0</v>
      </c>
      <c r="J247" s="161">
        <f t="shared" si="74"/>
        <v>0</v>
      </c>
      <c r="K247" s="161">
        <f t="shared" si="74"/>
        <v>0</v>
      </c>
      <c r="L247" s="161">
        <f t="shared" si="74"/>
        <v>0</v>
      </c>
      <c r="M247" s="161">
        <f t="shared" si="74"/>
        <v>0</v>
      </c>
      <c r="N247" s="161">
        <f t="shared" si="74"/>
        <v>0</v>
      </c>
      <c r="O247" s="161">
        <f t="shared" si="74"/>
        <v>0</v>
      </c>
      <c r="P247" s="161">
        <f t="shared" si="74"/>
        <v>0</v>
      </c>
      <c r="Q247" s="161">
        <f t="shared" si="74"/>
        <v>0</v>
      </c>
      <c r="R247" s="161">
        <f t="shared" si="74"/>
        <v>0</v>
      </c>
      <c r="S247" s="161">
        <f t="shared" si="74"/>
        <v>0</v>
      </c>
      <c r="T247" s="161">
        <f t="shared" si="74"/>
        <v>0</v>
      </c>
      <c r="U247" s="161">
        <f t="shared" si="74"/>
        <v>0</v>
      </c>
      <c r="V247" s="161">
        <f t="shared" si="74"/>
        <v>0</v>
      </c>
      <c r="W247" s="161">
        <f t="shared" si="74"/>
        <v>0</v>
      </c>
      <c r="X247" s="161">
        <f t="shared" si="74"/>
        <v>0</v>
      </c>
      <c r="Y247" s="161">
        <f t="shared" si="74"/>
        <v>0</v>
      </c>
      <c r="Z247" s="161">
        <f t="shared" si="74"/>
        <v>0</v>
      </c>
      <c r="AA247" s="161">
        <f t="shared" si="74"/>
        <v>0</v>
      </c>
      <c r="AB247" s="161">
        <f t="shared" si="74"/>
        <v>0</v>
      </c>
      <c r="AC247" s="161">
        <f t="shared" si="74"/>
        <v>0</v>
      </c>
      <c r="AD247" s="161">
        <f t="shared" si="74"/>
        <v>0</v>
      </c>
      <c r="AE247" s="161">
        <f t="shared" si="74"/>
        <v>0</v>
      </c>
      <c r="AF247" s="162">
        <f t="shared" si="74"/>
        <v>0</v>
      </c>
      <c r="AG247" s="163">
        <f t="shared" si="7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75">AF249</f>
        <v>0.3</v>
      </c>
      <c r="C249" s="166">
        <v>0.3</v>
      </c>
      <c r="D249" s="166">
        <f t="shared" ref="D249:S254" si="76">C249</f>
        <v>0.3</v>
      </c>
      <c r="E249" s="166">
        <f t="shared" si="76"/>
        <v>0.3</v>
      </c>
      <c r="F249" s="166">
        <f t="shared" si="76"/>
        <v>0.3</v>
      </c>
      <c r="G249" s="166">
        <f t="shared" si="76"/>
        <v>0.3</v>
      </c>
      <c r="H249" s="166">
        <f t="shared" si="76"/>
        <v>0.3</v>
      </c>
      <c r="I249" s="166">
        <f t="shared" si="76"/>
        <v>0.3</v>
      </c>
      <c r="J249" s="166">
        <f t="shared" si="76"/>
        <v>0.3</v>
      </c>
      <c r="K249" s="166">
        <f t="shared" si="76"/>
        <v>0.3</v>
      </c>
      <c r="L249" s="166">
        <f t="shared" si="76"/>
        <v>0.3</v>
      </c>
      <c r="M249" s="166">
        <f t="shared" si="76"/>
        <v>0.3</v>
      </c>
      <c r="N249" s="166">
        <f t="shared" si="76"/>
        <v>0.3</v>
      </c>
      <c r="O249" s="166">
        <f t="shared" si="76"/>
        <v>0.3</v>
      </c>
      <c r="P249" s="166">
        <f t="shared" si="76"/>
        <v>0.3</v>
      </c>
      <c r="Q249" s="166">
        <f t="shared" si="76"/>
        <v>0.3</v>
      </c>
      <c r="R249" s="166">
        <f t="shared" si="76"/>
        <v>0.3</v>
      </c>
      <c r="S249" s="166">
        <f t="shared" si="76"/>
        <v>0.3</v>
      </c>
      <c r="T249" s="166">
        <f t="shared" ref="T249:AF254" si="77">S249</f>
        <v>0.3</v>
      </c>
      <c r="U249" s="166">
        <f t="shared" si="77"/>
        <v>0.3</v>
      </c>
      <c r="V249" s="166">
        <f t="shared" si="77"/>
        <v>0.3</v>
      </c>
      <c r="W249" s="166">
        <f t="shared" si="77"/>
        <v>0.3</v>
      </c>
      <c r="X249" s="166">
        <f t="shared" si="77"/>
        <v>0.3</v>
      </c>
      <c r="Y249" s="166">
        <f t="shared" si="77"/>
        <v>0.3</v>
      </c>
      <c r="Z249" s="166">
        <f t="shared" si="77"/>
        <v>0.3</v>
      </c>
      <c r="AA249" s="166">
        <f t="shared" si="77"/>
        <v>0.3</v>
      </c>
      <c r="AB249" s="166">
        <f t="shared" si="77"/>
        <v>0.3</v>
      </c>
      <c r="AC249" s="166">
        <f t="shared" si="77"/>
        <v>0.3</v>
      </c>
      <c r="AD249" s="166">
        <f t="shared" si="77"/>
        <v>0.3</v>
      </c>
      <c r="AE249" s="166">
        <f t="shared" si="77"/>
        <v>0.3</v>
      </c>
      <c r="AF249" s="166">
        <f t="shared" si="7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75"/>
        <v>0.4</v>
      </c>
      <c r="C250" s="152">
        <v>0.4</v>
      </c>
      <c r="D250" s="152">
        <f t="shared" si="76"/>
        <v>0.4</v>
      </c>
      <c r="E250" s="152">
        <f t="shared" si="76"/>
        <v>0.4</v>
      </c>
      <c r="F250" s="152">
        <f t="shared" si="76"/>
        <v>0.4</v>
      </c>
      <c r="G250" s="152">
        <f t="shared" si="76"/>
        <v>0.4</v>
      </c>
      <c r="H250" s="152">
        <f t="shared" si="76"/>
        <v>0.4</v>
      </c>
      <c r="I250" s="152">
        <f t="shared" si="76"/>
        <v>0.4</v>
      </c>
      <c r="J250" s="152">
        <f t="shared" si="76"/>
        <v>0.4</v>
      </c>
      <c r="K250" s="152">
        <f t="shared" si="76"/>
        <v>0.4</v>
      </c>
      <c r="L250" s="152">
        <f t="shared" si="76"/>
        <v>0.4</v>
      </c>
      <c r="M250" s="152">
        <f t="shared" si="76"/>
        <v>0.4</v>
      </c>
      <c r="N250" s="152">
        <f t="shared" si="76"/>
        <v>0.4</v>
      </c>
      <c r="O250" s="152">
        <f t="shared" si="76"/>
        <v>0.4</v>
      </c>
      <c r="P250" s="152">
        <f t="shared" si="76"/>
        <v>0.4</v>
      </c>
      <c r="Q250" s="152">
        <f t="shared" si="76"/>
        <v>0.4</v>
      </c>
      <c r="R250" s="152">
        <f t="shared" si="76"/>
        <v>0.4</v>
      </c>
      <c r="S250" s="152">
        <f t="shared" si="76"/>
        <v>0.4</v>
      </c>
      <c r="T250" s="152">
        <f t="shared" si="77"/>
        <v>0.4</v>
      </c>
      <c r="U250" s="152">
        <f t="shared" si="77"/>
        <v>0.4</v>
      </c>
      <c r="V250" s="152">
        <f t="shared" si="77"/>
        <v>0.4</v>
      </c>
      <c r="W250" s="152">
        <f t="shared" si="77"/>
        <v>0.4</v>
      </c>
      <c r="X250" s="152">
        <f t="shared" si="77"/>
        <v>0.4</v>
      </c>
      <c r="Y250" s="152">
        <f t="shared" si="77"/>
        <v>0.4</v>
      </c>
      <c r="Z250" s="152">
        <f t="shared" si="77"/>
        <v>0.4</v>
      </c>
      <c r="AA250" s="152">
        <f t="shared" si="77"/>
        <v>0.4</v>
      </c>
      <c r="AB250" s="152">
        <f t="shared" si="77"/>
        <v>0.4</v>
      </c>
      <c r="AC250" s="152">
        <f t="shared" si="77"/>
        <v>0.4</v>
      </c>
      <c r="AD250" s="152">
        <f t="shared" si="77"/>
        <v>0.4</v>
      </c>
      <c r="AE250" s="152">
        <f t="shared" si="77"/>
        <v>0.4</v>
      </c>
      <c r="AF250" s="152">
        <f t="shared" si="7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75"/>
        <v>1.5</v>
      </c>
      <c r="C251" s="152">
        <v>1.5</v>
      </c>
      <c r="D251" s="152">
        <f t="shared" si="76"/>
        <v>1.5</v>
      </c>
      <c r="E251" s="152">
        <f t="shared" si="76"/>
        <v>1.5</v>
      </c>
      <c r="F251" s="152">
        <f t="shared" si="76"/>
        <v>1.5</v>
      </c>
      <c r="G251" s="152">
        <f t="shared" si="76"/>
        <v>1.5</v>
      </c>
      <c r="H251" s="152">
        <f t="shared" si="76"/>
        <v>1.5</v>
      </c>
      <c r="I251" s="152">
        <f t="shared" si="76"/>
        <v>1.5</v>
      </c>
      <c r="J251" s="152">
        <f t="shared" si="76"/>
        <v>1.5</v>
      </c>
      <c r="K251" s="152">
        <f t="shared" si="76"/>
        <v>1.5</v>
      </c>
      <c r="L251" s="152">
        <f t="shared" si="76"/>
        <v>1.5</v>
      </c>
      <c r="M251" s="152">
        <f t="shared" si="76"/>
        <v>1.5</v>
      </c>
      <c r="N251" s="152">
        <f t="shared" si="76"/>
        <v>1.5</v>
      </c>
      <c r="O251" s="152">
        <f t="shared" si="76"/>
        <v>1.5</v>
      </c>
      <c r="P251" s="152">
        <f t="shared" si="76"/>
        <v>1.5</v>
      </c>
      <c r="Q251" s="152">
        <f t="shared" si="76"/>
        <v>1.5</v>
      </c>
      <c r="R251" s="152">
        <f t="shared" si="76"/>
        <v>1.5</v>
      </c>
      <c r="S251" s="152">
        <f t="shared" si="76"/>
        <v>1.5</v>
      </c>
      <c r="T251" s="152">
        <f t="shared" si="77"/>
        <v>1.5</v>
      </c>
      <c r="U251" s="152">
        <f t="shared" si="77"/>
        <v>1.5</v>
      </c>
      <c r="V251" s="152">
        <f t="shared" si="77"/>
        <v>1.5</v>
      </c>
      <c r="W251" s="152">
        <f t="shared" si="77"/>
        <v>1.5</v>
      </c>
      <c r="X251" s="152">
        <f t="shared" si="77"/>
        <v>1.5</v>
      </c>
      <c r="Y251" s="152">
        <f t="shared" si="77"/>
        <v>1.5</v>
      </c>
      <c r="Z251" s="152">
        <f t="shared" si="77"/>
        <v>1.5</v>
      </c>
      <c r="AA251" s="152">
        <f t="shared" si="77"/>
        <v>1.5</v>
      </c>
      <c r="AB251" s="152">
        <f t="shared" si="77"/>
        <v>1.5</v>
      </c>
      <c r="AC251" s="152">
        <f t="shared" si="77"/>
        <v>1.5</v>
      </c>
      <c r="AD251" s="152">
        <f t="shared" si="77"/>
        <v>1.5</v>
      </c>
      <c r="AE251" s="152">
        <f t="shared" si="77"/>
        <v>1.5</v>
      </c>
      <c r="AF251" s="152">
        <f t="shared" si="7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75"/>
        <v>0.3</v>
      </c>
      <c r="C252" s="152">
        <v>0.3</v>
      </c>
      <c r="D252" s="152">
        <f t="shared" si="76"/>
        <v>0.3</v>
      </c>
      <c r="E252" s="152">
        <f t="shared" si="76"/>
        <v>0.3</v>
      </c>
      <c r="F252" s="152">
        <f t="shared" si="76"/>
        <v>0.3</v>
      </c>
      <c r="G252" s="152">
        <f t="shared" si="76"/>
        <v>0.3</v>
      </c>
      <c r="H252" s="152">
        <f t="shared" si="76"/>
        <v>0.3</v>
      </c>
      <c r="I252" s="152">
        <f t="shared" si="76"/>
        <v>0.3</v>
      </c>
      <c r="J252" s="152">
        <f t="shared" si="76"/>
        <v>0.3</v>
      </c>
      <c r="K252" s="152">
        <f t="shared" si="76"/>
        <v>0.3</v>
      </c>
      <c r="L252" s="152">
        <f t="shared" si="76"/>
        <v>0.3</v>
      </c>
      <c r="M252" s="152">
        <f t="shared" si="76"/>
        <v>0.3</v>
      </c>
      <c r="N252" s="152">
        <f t="shared" si="76"/>
        <v>0.3</v>
      </c>
      <c r="O252" s="152">
        <f t="shared" si="76"/>
        <v>0.3</v>
      </c>
      <c r="P252" s="152">
        <f t="shared" si="76"/>
        <v>0.3</v>
      </c>
      <c r="Q252" s="152">
        <f t="shared" si="76"/>
        <v>0.3</v>
      </c>
      <c r="R252" s="152">
        <f t="shared" si="76"/>
        <v>0.3</v>
      </c>
      <c r="S252" s="152">
        <f t="shared" si="76"/>
        <v>0.3</v>
      </c>
      <c r="T252" s="152">
        <f t="shared" si="77"/>
        <v>0.3</v>
      </c>
      <c r="U252" s="152">
        <f t="shared" si="77"/>
        <v>0.3</v>
      </c>
      <c r="V252" s="152">
        <f t="shared" si="77"/>
        <v>0.3</v>
      </c>
      <c r="W252" s="152">
        <f t="shared" si="77"/>
        <v>0.3</v>
      </c>
      <c r="X252" s="152">
        <f t="shared" si="77"/>
        <v>0.3</v>
      </c>
      <c r="Y252" s="152">
        <f t="shared" si="77"/>
        <v>0.3</v>
      </c>
      <c r="Z252" s="152">
        <f t="shared" si="77"/>
        <v>0.3</v>
      </c>
      <c r="AA252" s="152">
        <f t="shared" si="77"/>
        <v>0.3</v>
      </c>
      <c r="AB252" s="152">
        <f t="shared" si="77"/>
        <v>0.3</v>
      </c>
      <c r="AC252" s="152">
        <f t="shared" si="77"/>
        <v>0.3</v>
      </c>
      <c r="AD252" s="152">
        <f t="shared" si="77"/>
        <v>0.3</v>
      </c>
      <c r="AE252" s="152">
        <f t="shared" si="77"/>
        <v>0.3</v>
      </c>
      <c r="AF252" s="152">
        <f t="shared" si="7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75"/>
        <v>0.4</v>
      </c>
      <c r="C253" s="152">
        <v>0.4</v>
      </c>
      <c r="D253" s="152">
        <f t="shared" si="76"/>
        <v>0.4</v>
      </c>
      <c r="E253" s="152">
        <f t="shared" si="76"/>
        <v>0.4</v>
      </c>
      <c r="F253" s="152">
        <f t="shared" si="76"/>
        <v>0.4</v>
      </c>
      <c r="G253" s="152">
        <f t="shared" si="76"/>
        <v>0.4</v>
      </c>
      <c r="H253" s="152">
        <f t="shared" si="76"/>
        <v>0.4</v>
      </c>
      <c r="I253" s="152">
        <f t="shared" si="76"/>
        <v>0.4</v>
      </c>
      <c r="J253" s="152">
        <f t="shared" si="76"/>
        <v>0.4</v>
      </c>
      <c r="K253" s="152">
        <f t="shared" si="76"/>
        <v>0.4</v>
      </c>
      <c r="L253" s="152">
        <f t="shared" si="76"/>
        <v>0.4</v>
      </c>
      <c r="M253" s="152">
        <f t="shared" si="76"/>
        <v>0.4</v>
      </c>
      <c r="N253" s="152">
        <f t="shared" si="76"/>
        <v>0.4</v>
      </c>
      <c r="O253" s="152">
        <f t="shared" si="76"/>
        <v>0.4</v>
      </c>
      <c r="P253" s="152">
        <f t="shared" si="76"/>
        <v>0.4</v>
      </c>
      <c r="Q253" s="152">
        <f t="shared" si="76"/>
        <v>0.4</v>
      </c>
      <c r="R253" s="152">
        <f t="shared" si="76"/>
        <v>0.4</v>
      </c>
      <c r="S253" s="152">
        <f t="shared" si="76"/>
        <v>0.4</v>
      </c>
      <c r="T253" s="152">
        <f t="shared" si="77"/>
        <v>0.4</v>
      </c>
      <c r="U253" s="152">
        <f t="shared" si="77"/>
        <v>0.4</v>
      </c>
      <c r="V253" s="152">
        <f t="shared" si="77"/>
        <v>0.4</v>
      </c>
      <c r="W253" s="152">
        <f t="shared" si="77"/>
        <v>0.4</v>
      </c>
      <c r="X253" s="152">
        <f t="shared" si="77"/>
        <v>0.4</v>
      </c>
      <c r="Y253" s="152">
        <f t="shared" si="77"/>
        <v>0.4</v>
      </c>
      <c r="Z253" s="152">
        <f t="shared" si="77"/>
        <v>0.4</v>
      </c>
      <c r="AA253" s="152">
        <f t="shared" si="77"/>
        <v>0.4</v>
      </c>
      <c r="AB253" s="152">
        <f t="shared" si="77"/>
        <v>0.4</v>
      </c>
      <c r="AC253" s="152">
        <f t="shared" si="77"/>
        <v>0.4</v>
      </c>
      <c r="AD253" s="152">
        <f t="shared" si="77"/>
        <v>0.4</v>
      </c>
      <c r="AE253" s="152">
        <f t="shared" si="77"/>
        <v>0.4</v>
      </c>
      <c r="AF253" s="152">
        <f t="shared" si="7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75"/>
        <v>0.64</v>
      </c>
      <c r="C254" s="157">
        <v>0.64</v>
      </c>
      <c r="D254" s="157">
        <f t="shared" si="76"/>
        <v>0.64</v>
      </c>
      <c r="E254" s="157">
        <f t="shared" si="76"/>
        <v>0.64</v>
      </c>
      <c r="F254" s="157">
        <f t="shared" si="76"/>
        <v>0.64</v>
      </c>
      <c r="G254" s="157">
        <f t="shared" si="76"/>
        <v>0.64</v>
      </c>
      <c r="H254" s="157">
        <f t="shared" si="76"/>
        <v>0.64</v>
      </c>
      <c r="I254" s="157">
        <f t="shared" si="76"/>
        <v>0.64</v>
      </c>
      <c r="J254" s="157">
        <f t="shared" si="76"/>
        <v>0.64</v>
      </c>
      <c r="K254" s="157">
        <f t="shared" si="76"/>
        <v>0.64</v>
      </c>
      <c r="L254" s="157">
        <f t="shared" si="76"/>
        <v>0.64</v>
      </c>
      <c r="M254" s="157">
        <f t="shared" si="76"/>
        <v>0.64</v>
      </c>
      <c r="N254" s="157">
        <f t="shared" si="76"/>
        <v>0.64</v>
      </c>
      <c r="O254" s="157">
        <f t="shared" si="76"/>
        <v>0.64</v>
      </c>
      <c r="P254" s="157">
        <f t="shared" si="76"/>
        <v>0.64</v>
      </c>
      <c r="Q254" s="157">
        <f t="shared" si="76"/>
        <v>0.64</v>
      </c>
      <c r="R254" s="157">
        <f t="shared" si="76"/>
        <v>0.64</v>
      </c>
      <c r="S254" s="157">
        <f t="shared" si="76"/>
        <v>0.64</v>
      </c>
      <c r="T254" s="157">
        <f t="shared" si="77"/>
        <v>0.64</v>
      </c>
      <c r="U254" s="157">
        <f t="shared" si="77"/>
        <v>0.64</v>
      </c>
      <c r="V254" s="157">
        <f t="shared" si="77"/>
        <v>0.64</v>
      </c>
      <c r="W254" s="157">
        <f t="shared" si="77"/>
        <v>0.64</v>
      </c>
      <c r="X254" s="157">
        <f t="shared" si="77"/>
        <v>0.64</v>
      </c>
      <c r="Y254" s="157">
        <f t="shared" si="77"/>
        <v>0.64</v>
      </c>
      <c r="Z254" s="157">
        <f t="shared" si="77"/>
        <v>0.64</v>
      </c>
      <c r="AA254" s="157">
        <f t="shared" si="77"/>
        <v>0.64</v>
      </c>
      <c r="AB254" s="157">
        <f t="shared" si="77"/>
        <v>0.64</v>
      </c>
      <c r="AC254" s="157">
        <f t="shared" si="77"/>
        <v>0.64</v>
      </c>
      <c r="AD254" s="157">
        <f t="shared" si="77"/>
        <v>0.64</v>
      </c>
      <c r="AE254" s="157">
        <f t="shared" si="77"/>
        <v>0.64</v>
      </c>
      <c r="AF254" s="157">
        <f t="shared" si="7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78">SUM(B249:B254)</f>
        <v>3.54</v>
      </c>
      <c r="C255" s="161">
        <f t="shared" si="78"/>
        <v>3.54</v>
      </c>
      <c r="D255" s="161">
        <f t="shared" si="78"/>
        <v>3.54</v>
      </c>
      <c r="E255" s="161">
        <f t="shared" si="78"/>
        <v>3.54</v>
      </c>
      <c r="F255" s="161">
        <f t="shared" si="78"/>
        <v>3.54</v>
      </c>
      <c r="G255" s="161">
        <f t="shared" si="78"/>
        <v>3.54</v>
      </c>
      <c r="H255" s="161">
        <f t="shared" si="78"/>
        <v>3.54</v>
      </c>
      <c r="I255" s="161">
        <f t="shared" si="78"/>
        <v>3.54</v>
      </c>
      <c r="J255" s="161">
        <f t="shared" si="78"/>
        <v>3.54</v>
      </c>
      <c r="K255" s="161">
        <f t="shared" si="78"/>
        <v>3.54</v>
      </c>
      <c r="L255" s="161">
        <f t="shared" si="78"/>
        <v>3.54</v>
      </c>
      <c r="M255" s="161">
        <f t="shared" si="78"/>
        <v>3.54</v>
      </c>
      <c r="N255" s="161">
        <f t="shared" si="78"/>
        <v>3.54</v>
      </c>
      <c r="O255" s="161">
        <f t="shared" si="78"/>
        <v>3.54</v>
      </c>
      <c r="P255" s="161">
        <f t="shared" si="78"/>
        <v>3.54</v>
      </c>
      <c r="Q255" s="161">
        <f t="shared" si="78"/>
        <v>3.54</v>
      </c>
      <c r="R255" s="161">
        <f t="shared" si="78"/>
        <v>3.54</v>
      </c>
      <c r="S255" s="161">
        <f t="shared" si="78"/>
        <v>3.54</v>
      </c>
      <c r="T255" s="161">
        <f t="shared" si="78"/>
        <v>3.54</v>
      </c>
      <c r="U255" s="161">
        <f t="shared" si="78"/>
        <v>3.54</v>
      </c>
      <c r="V255" s="161">
        <f t="shared" si="78"/>
        <v>3.54</v>
      </c>
      <c r="W255" s="161">
        <f t="shared" si="78"/>
        <v>3.54</v>
      </c>
      <c r="X255" s="161">
        <f t="shared" si="78"/>
        <v>3.54</v>
      </c>
      <c r="Y255" s="161">
        <f t="shared" si="78"/>
        <v>3.54</v>
      </c>
      <c r="Z255" s="161">
        <f t="shared" si="78"/>
        <v>3.54</v>
      </c>
      <c r="AA255" s="161">
        <f t="shared" si="78"/>
        <v>3.54</v>
      </c>
      <c r="AB255" s="161">
        <f t="shared" si="78"/>
        <v>3.54</v>
      </c>
      <c r="AC255" s="161">
        <f t="shared" si="78"/>
        <v>3.54</v>
      </c>
      <c r="AD255" s="161">
        <f t="shared" si="78"/>
        <v>3.54</v>
      </c>
      <c r="AE255" s="161">
        <f t="shared" si="78"/>
        <v>3.54</v>
      </c>
      <c r="AF255" s="161">
        <f t="shared" si="78"/>
        <v>3.54</v>
      </c>
      <c r="AG255" s="171">
        <f t="shared" si="7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2137.04</v>
      </c>
      <c r="C259" s="174">
        <f>INDEX(G9:N9,1,MATCH(MAX(G102:N102),G102:N102,0))</f>
        <v>0.20833333333333301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2080/10/17)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51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U9:U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V9:V10"/>
    <mergeCell ref="W9:W10"/>
    <mergeCell ref="X9:X10"/>
    <mergeCell ref="Y9:Y10"/>
    <mergeCell ref="Z9:Z10"/>
    <mergeCell ref="AN90:AN91"/>
    <mergeCell ref="W11:X11"/>
    <mergeCell ref="W24:X24"/>
    <mergeCell ref="Z19:AA19"/>
    <mergeCell ref="AB9:AB10"/>
    <mergeCell ref="AC9:AC10"/>
    <mergeCell ref="AD9:AD10"/>
    <mergeCell ref="AE9:AE10"/>
    <mergeCell ref="AF9:AF10"/>
    <mergeCell ref="AG9:AG10"/>
    <mergeCell ref="AA9:AA10"/>
  </mergeCells>
  <conditionalFormatting sqref="A11:A89 A95:A133 A135:A256">
    <cfRule type="expression" dxfId="2366" priority="117">
      <formula>$AH11=0</formula>
    </cfRule>
  </conditionalFormatting>
  <conditionalFormatting sqref="A89">
    <cfRule type="expression" dxfId="2365" priority="175">
      <formula>$AH94=0</formula>
    </cfRule>
  </conditionalFormatting>
  <conditionalFormatting sqref="A90:A94">
    <cfRule type="expression" dxfId="2364" priority="118">
      <formula>$AH89=0</formula>
    </cfRule>
  </conditionalFormatting>
  <conditionalFormatting sqref="B8">
    <cfRule type="expression" dxfId="2363" priority="171">
      <formula>AND(C$9&gt;=14/24,C$9&lt;20/24)</formula>
    </cfRule>
    <cfRule type="expression" dxfId="2362" priority="172">
      <formula>AND(C$9&gt;=8/24,C$9&lt;14/24)</formula>
    </cfRule>
    <cfRule type="expression" dxfId="2361" priority="173">
      <formula>C$9&lt;8/24</formula>
    </cfRule>
    <cfRule type="expression" dxfId="2360" priority="174">
      <formula>C$9&gt;=20/24</formula>
    </cfRule>
  </conditionalFormatting>
  <conditionalFormatting sqref="B11:D57 E12:R57">
    <cfRule type="expression" dxfId="2359" priority="27">
      <formula>AND(B$9&gt;=14/24,B$9&lt;20/24)</formula>
    </cfRule>
    <cfRule type="expression" dxfId="2358" priority="28">
      <formula>AND(B$9&gt;=8/24,B$9&lt;14/24)</formula>
    </cfRule>
    <cfRule type="expression" dxfId="2357" priority="29">
      <formula>B$9&lt;8/24</formula>
    </cfRule>
  </conditionalFormatting>
  <conditionalFormatting sqref="B11:D83 F15:R59 E15:E63 J60:L77 F66:I77 E66:E78">
    <cfRule type="expression" dxfId="2356" priority="19">
      <formula>B11&gt;$AG11</formula>
    </cfRule>
  </conditionalFormatting>
  <conditionalFormatting sqref="B66:I71">
    <cfRule type="expression" dxfId="2355" priority="34">
      <formula>B$9&gt;=20/24</formula>
    </cfRule>
    <cfRule type="expression" dxfId="2354" priority="35">
      <formula>AND(B$9&gt;=14/24,B$9&lt;20/24)</formula>
    </cfRule>
    <cfRule type="expression" dxfId="2353" priority="36">
      <formula>AND(B$9&gt;=8/24,B$9&lt;14/24)</formula>
    </cfRule>
    <cfRule type="expression" dxfId="2352" priority="37">
      <formula>B$9&lt;8/24</formula>
    </cfRule>
  </conditionalFormatting>
  <conditionalFormatting sqref="B72:L77 B80:D102 B104:AF120 B122:AF140">
    <cfRule type="expression" dxfId="2351" priority="20">
      <formula>B$9&gt;=20/24</formula>
    </cfRule>
    <cfRule type="expression" dxfId="2350" priority="21">
      <formula>AND(B$9&gt;=14/24,B$9&lt;20/24)</formula>
    </cfRule>
    <cfRule type="expression" dxfId="2349" priority="22">
      <formula>AND(B$9&gt;=8/24,B$9&lt;14/24)</formula>
    </cfRule>
    <cfRule type="expression" dxfId="2348" priority="23">
      <formula>B$9&lt;8/24</formula>
    </cfRule>
  </conditionalFormatting>
  <conditionalFormatting sqref="B9:AF10 E11:F11 S12:Y15 Y24 S25:Y57 M72:AF77 E80:AF102 B247:AF247 B249:B255">
    <cfRule type="expression" dxfId="2347" priority="79">
      <formula>AND(B$9&gt;=14/24,B$9&lt;20/24)</formula>
    </cfRule>
    <cfRule type="expression" dxfId="2346" priority="80">
      <formula>AND(B$9&gt;=8/24,B$9&lt;14/24)</formula>
    </cfRule>
    <cfRule type="expression" dxfId="2345" priority="81">
      <formula>B$9&lt;8/24</formula>
    </cfRule>
  </conditionalFormatting>
  <conditionalFormatting sqref="B58:AF60">
    <cfRule type="expression" dxfId="2344" priority="16">
      <formula>B$9&gt;=20/24</formula>
    </cfRule>
    <cfRule type="expression" dxfId="2343" priority="17">
      <formula>AND(B$9&gt;=14/24,B$9&lt;20/24)</formula>
    </cfRule>
    <cfRule type="expression" dxfId="2342" priority="18">
      <formula>AND(B$9&gt;=8/24,B$9&lt;14/24)</formula>
    </cfRule>
  </conditionalFormatting>
  <conditionalFormatting sqref="D249:AF255">
    <cfRule type="expression" dxfId="2341" priority="156">
      <formula>D$9&gt;=20/24</formula>
    </cfRule>
    <cfRule type="expression" dxfId="2340" priority="157">
      <formula>AND(D$9&gt;=14/24,D$9&lt;20/24)</formula>
    </cfRule>
    <cfRule type="expression" dxfId="2339" priority="158">
      <formula>AND(D$9&gt;=8/24,D$9&lt;14/24)</formula>
    </cfRule>
    <cfRule type="expression" dxfId="2338" priority="159">
      <formula>D$9&lt;8/24</formula>
    </cfRule>
  </conditionalFormatting>
  <conditionalFormatting sqref="E62:E63 B62:D65">
    <cfRule type="expression" dxfId="2337" priority="30">
      <formula>B$9&gt;=20/24</formula>
    </cfRule>
    <cfRule type="expression" dxfId="2336" priority="31">
      <formula>AND(B$9&gt;=14/24,B$9&lt;20/24)</formula>
    </cfRule>
    <cfRule type="expression" dxfId="2335" priority="32">
      <formula>AND(B$9&gt;=8/24,B$9&lt;14/24)</formula>
    </cfRule>
    <cfRule type="expression" dxfId="2334" priority="33">
      <formula>B$9&lt;8/24</formula>
    </cfRule>
  </conditionalFormatting>
  <conditionalFormatting sqref="E11:F11 Y24 S25:Y57 M72:AF77 E80:AF102 S12:Y15 B9:AF10 B247:AF247 B249:B255">
    <cfRule type="expression" dxfId="2333" priority="78">
      <formula>B$9&gt;=20/24</formula>
    </cfRule>
  </conditionalFormatting>
  <conditionalFormatting sqref="E12:R57 B11:D57">
    <cfRule type="expression" dxfId="2332" priority="26">
      <formula>B$9&gt;=20/24</formula>
    </cfRule>
  </conditionalFormatting>
  <conditionalFormatting sqref="E11:W11 Y11 Z11:AF18 AB19:AF19 Z20:AF57">
    <cfRule type="expression" dxfId="2331" priority="92">
      <formula>E$9&gt;=20/24</formula>
    </cfRule>
    <cfRule type="expression" dxfId="2330" priority="93">
      <formula>AND(E$9&gt;=14/24,E$9&lt;20/24)</formula>
    </cfRule>
    <cfRule type="expression" dxfId="2329" priority="94">
      <formula>AND(E$9&gt;=8/24,E$9&lt;14/24)</formula>
    </cfRule>
    <cfRule type="expression" dxfId="2328" priority="95">
      <formula>E$9&lt;8/24</formula>
    </cfRule>
  </conditionalFormatting>
  <conditionalFormatting sqref="E11:W11 Y11:AF11 Z13:Z16">
    <cfRule type="expression" dxfId="2327" priority="91">
      <formula>E11&gt;$AG11</formula>
    </cfRule>
  </conditionalFormatting>
  <conditionalFormatting sqref="E12:AF14">
    <cfRule type="expression" dxfId="2326" priority="25">
      <formula>E12&gt;$AG12</formula>
    </cfRule>
  </conditionalFormatting>
  <conditionalFormatting sqref="F62:H63 I62:AF65 E64:H65">
    <cfRule type="expression" dxfId="2325" priority="97">
      <formula>E$9&gt;=20/24</formula>
    </cfRule>
    <cfRule type="expression" dxfId="2324" priority="98">
      <formula>AND(E$9&gt;=14/24,E$9&lt;20/24)</formula>
    </cfRule>
    <cfRule type="expression" dxfId="2323" priority="99">
      <formula>AND(E$9&gt;=8/24,E$9&lt;14/24)</formula>
    </cfRule>
    <cfRule type="expression" dxfId="2322" priority="100">
      <formula>E$9&lt;8/24</formula>
    </cfRule>
  </conditionalFormatting>
  <conditionalFormatting sqref="F58:R59 B58:E60">
    <cfRule type="expression" dxfId="2321" priority="24">
      <formula>B$9&lt;8/24</formula>
    </cfRule>
  </conditionalFormatting>
  <conditionalFormatting sqref="J66:L68">
    <cfRule type="expression" dxfId="2320" priority="109">
      <formula>J$9&gt;=20/24</formula>
    </cfRule>
    <cfRule type="expression" dxfId="2319" priority="110">
      <formula>AND(J$9&gt;=14/24,J$9&lt;20/24)</formula>
    </cfRule>
    <cfRule type="expression" dxfId="2318" priority="111">
      <formula>AND(J$9&gt;=8/24,J$9&lt;14/24)</formula>
    </cfRule>
    <cfRule type="expression" dxfId="2317" priority="112">
      <formula>J$9&lt;8/24</formula>
    </cfRule>
  </conditionalFormatting>
  <conditionalFormatting sqref="J67:L71">
    <cfRule type="expression" dxfId="2316" priority="82">
      <formula>J$9&gt;=20/24</formula>
    </cfRule>
    <cfRule type="expression" dxfId="2315" priority="83">
      <formula>AND(J$9&gt;=14/24,J$9&lt;20/24)</formula>
    </cfRule>
    <cfRule type="expression" dxfId="2314" priority="84">
      <formula>AND(J$9&gt;=8/24,J$9&lt;14/24)</formula>
    </cfRule>
    <cfRule type="expression" dxfId="2313" priority="85">
      <formula>J$9&lt;8/24</formula>
    </cfRule>
  </conditionalFormatting>
  <conditionalFormatting sqref="M8 S8 AB8">
    <cfRule type="expression" dxfId="2312" priority="163">
      <formula>AND(N$9&gt;=14/24,N$9&lt;20/24)</formula>
    </cfRule>
    <cfRule type="expression" dxfId="2311" priority="164">
      <formula>AND(N$9&gt;=8/24,N$9&lt;14/24)</formula>
    </cfRule>
    <cfRule type="expression" dxfId="2310" priority="165">
      <formula>N$9&lt;8/24</formula>
    </cfRule>
  </conditionalFormatting>
  <conditionalFormatting sqref="M66:Y71">
    <cfRule type="expression" dxfId="2309" priority="105">
      <formula>M$9&gt;=20/24</formula>
    </cfRule>
    <cfRule type="expression" dxfId="2308" priority="106">
      <formula>AND(M$9&gt;=14/24,M$9&lt;20/24)</formula>
    </cfRule>
    <cfRule type="expression" dxfId="2307" priority="107">
      <formula>AND(M$9&gt;=8/24,M$9&lt;14/24)</formula>
    </cfRule>
    <cfRule type="expression" dxfId="2306" priority="108">
      <formula>M$9&lt;8/24</formula>
    </cfRule>
  </conditionalFormatting>
  <conditionalFormatting sqref="O3:P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05" priority="162">
      <formula>N$9&gt;=20/24</formula>
    </cfRule>
  </conditionalFormatting>
  <conditionalFormatting sqref="S8">
    <cfRule type="expression" dxfId="2304" priority="149">
      <formula>U$9&gt;=20/24</formula>
    </cfRule>
    <cfRule type="expression" dxfId="2303" priority="150">
      <formula>AND(U$9&gt;=14/24,U$9&lt;20/24)</formula>
    </cfRule>
    <cfRule type="expression" dxfId="2302" priority="151">
      <formula>AND(U$9&gt;=8/24,U$9&lt;14/24)</formula>
    </cfRule>
    <cfRule type="expression" dxfId="2301" priority="152">
      <formula>U$9&lt;8/24</formula>
    </cfRule>
  </conditionalFormatting>
  <conditionalFormatting sqref="S24:W24">
    <cfRule type="expression" dxfId="2300" priority="6">
      <formula>S24&gt;$AG24</formula>
    </cfRule>
    <cfRule type="expression" dxfId="2299" priority="7">
      <formula>S$9&gt;=20/24</formula>
    </cfRule>
    <cfRule type="expression" dxfId="2298" priority="8">
      <formula>AND(S$9&gt;=14/24,S$9&lt;20/24)</formula>
    </cfRule>
    <cfRule type="expression" dxfId="2297" priority="9">
      <formula>AND(S$9&gt;=8/24,S$9&lt;14/24)</formula>
    </cfRule>
    <cfRule type="expression" dxfId="2296" priority="10">
      <formula>S$9&lt;8/24</formula>
    </cfRule>
  </conditionalFormatting>
  <conditionalFormatting sqref="S15:Y23">
    <cfRule type="expression" dxfId="2295" priority="11">
      <formula>S15&gt;$AG15</formula>
    </cfRule>
  </conditionalFormatting>
  <conditionalFormatting sqref="S16:Y23">
    <cfRule type="expression" dxfId="2294" priority="12">
      <formula>S$9&gt;=20/24</formula>
    </cfRule>
    <cfRule type="expression" dxfId="2293" priority="13">
      <formula>AND(S$9&gt;=14/24,S$9&lt;20/24)</formula>
    </cfRule>
    <cfRule type="expression" dxfId="2292" priority="14">
      <formula>AND(S$9&gt;=8/24,S$9&lt;14/24)</formula>
    </cfRule>
    <cfRule type="expression" dxfId="2291" priority="15">
      <formula>S$9&lt;8/24</formula>
    </cfRule>
  </conditionalFormatting>
  <conditionalFormatting sqref="S58:AE59 AF58:AF60 F60:AE60">
    <cfRule type="expression" dxfId="2290" priority="86">
      <formula>F$9&lt;8/24</formula>
    </cfRule>
  </conditionalFormatting>
  <conditionalFormatting sqref="T66:AF71">
    <cfRule type="expression" dxfId="2289" priority="101">
      <formula>T$9&gt;=20/24</formula>
    </cfRule>
    <cfRule type="expression" dxfId="2288" priority="102">
      <formula>AND(T$9&gt;=14/24,T$9&lt;20/24)</formula>
    </cfRule>
    <cfRule type="expression" dxfId="2287" priority="103">
      <formula>AND(T$9&gt;=8/24,T$9&lt;14/24)</formula>
    </cfRule>
    <cfRule type="expression" dxfId="2286" priority="104">
      <formula>T$9&lt;8/24</formula>
    </cfRule>
  </conditionalFormatting>
  <conditionalFormatting sqref="V3 AB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Z19">
    <cfRule type="expression" dxfId="2285" priority="1">
      <formula>Z19&gt;$AG19</formula>
    </cfRule>
    <cfRule type="expression" dxfId="2284" priority="2">
      <formula>Z$9&gt;=20/24</formula>
    </cfRule>
    <cfRule type="expression" dxfId="2283" priority="3">
      <formula>AND(Z$9&gt;=14/24,Z$9&lt;20/24)</formula>
    </cfRule>
    <cfRule type="expression" dxfId="2282" priority="4">
      <formula>AND(Z$9&gt;=8/24,Z$9&lt;14/24)</formula>
    </cfRule>
    <cfRule type="expression" dxfId="2281" priority="5">
      <formula>Z$9&lt;8/24</formula>
    </cfRule>
  </conditionalFormatting>
  <conditionalFormatting sqref="Z59:Z60">
    <cfRule type="expression" dxfId="2280" priority="96">
      <formula>Z59&gt;$AG59</formula>
    </cfRule>
  </conditionalFormatting>
  <conditionalFormatting sqref="AB8">
    <cfRule type="expression" dxfId="2279" priority="145">
      <formula>AD$9&gt;=20/24</formula>
    </cfRule>
    <cfRule type="expression" dxfId="2278" priority="146">
      <formula>AND(AD$9&gt;=14/24,AD$9&lt;20/24)</formula>
    </cfRule>
    <cfRule type="expression" dxfId="2277" priority="147">
      <formula>AND(AD$9&gt;=8/24,AD$9&lt;14/24)</formula>
    </cfRule>
    <cfRule type="expression" dxfId="2276" priority="148">
      <formula>AD$9&lt;8/24</formula>
    </cfRule>
  </conditionalFormatting>
  <conditionalFormatting sqref="AC15:AF60 Z20:AB58 S25:Y60 AA59:AB60 M60:R60 F60:H63 I60:I65 E11:F11 Z15:AB18 AB19 Y24 M61:AG61 M62:AF64 E64:H65 M65:AG65 M66:AF83 F78:K78 L78:L83 E79:K83 AG83">
    <cfRule type="expression" dxfId="2275" priority="77">
      <formula>E11&gt;$AG11</formula>
    </cfRule>
  </conditionalFormatting>
  <conditionalFormatting sqref="AG65">
    <cfRule type="expression" dxfId="2274" priority="124">
      <formula>AG$9&gt;=20/24</formula>
    </cfRule>
    <cfRule type="expression" dxfId="2273" priority="125">
      <formula>AND(AG$9&gt;=14/24,AG$9&lt;20/24)</formula>
    </cfRule>
    <cfRule type="expression" dxfId="2272" priority="126">
      <formula>AND(AG$9&gt;=8/24,AG$9&lt;14/24)</formula>
    </cfRule>
    <cfRule type="expression" dxfId="2271" priority="127">
      <formula>AG$9&lt;8/24</formula>
    </cfRule>
  </conditionalFormatting>
  <conditionalFormatting sqref="AG78:AG79">
    <cfRule type="expression" dxfId="2270" priority="119">
      <formula>AG78&gt;$AG78</formula>
    </cfRule>
  </conditionalFormatting>
  <conditionalFormatting sqref="AG83">
    <cfRule type="expression" dxfId="2269" priority="120">
      <formula>AG$9&gt;=20/24</formula>
    </cfRule>
    <cfRule type="expression" dxfId="2268" priority="121">
      <formula>AND(AG$9&gt;=14/24,AG$9&lt;20/24)</formula>
    </cfRule>
    <cfRule type="expression" dxfId="2267" priority="122">
      <formula>AND(AG$9&gt;=8/24,AG$9&lt;14/24)</formula>
    </cfRule>
    <cfRule type="expression" dxfId="2266" priority="123">
      <formula>AG$9&lt;8/24</formula>
    </cfRule>
  </conditionalFormatting>
  <conditionalFormatting sqref="AG100">
    <cfRule type="expression" dxfId="2265" priority="141">
      <formula>AG$9&gt;=20/24</formula>
    </cfRule>
    <cfRule type="expression" dxfId="2264" priority="142">
      <formula>AND(AG$9&gt;=14/24,AG$9&lt;20/24)</formula>
    </cfRule>
    <cfRule type="expression" dxfId="2263" priority="143">
      <formula>AND(AG$9&gt;=8/24,AG$9&lt;14/24)</formula>
    </cfRule>
    <cfRule type="expression" dxfId="2262" priority="144">
      <formula>AG$9&lt;8/24</formula>
    </cfRule>
  </conditionalFormatting>
  <conditionalFormatting sqref="AL4:AL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261" priority="166">
      <formula>AJ$9&gt;=20/24</formula>
    </cfRule>
    <cfRule type="expression" dxfId="2260" priority="167">
      <formula>AND(AJ$9&gt;=14/24,AJ$9&lt;20/24)</formula>
    </cfRule>
    <cfRule type="expression" dxfId="2259" priority="168">
      <formula>AND(AJ$9&gt;=8/24,AJ$9&lt;14/24)</formula>
    </cfRule>
    <cfRule type="expression" dxfId="2258" priority="169">
      <formula>AJ$9&lt;8/24</formula>
    </cfRule>
  </conditionalFormatting>
  <conditionalFormatting sqref="AL86:AN86 AL92:AN92">
    <cfRule type="expression" dxfId="2257" priority="134">
      <formula>AL$9&gt;=20/24</formula>
    </cfRule>
    <cfRule type="expression" dxfId="2256" priority="135">
      <formula>AND(AL$9&gt;=14/24,AL$9&lt;20/24)</formula>
    </cfRule>
    <cfRule type="expression" dxfId="2255" priority="136">
      <formula>AND(AL$9&gt;=8/24,AL$9&lt;14/24)</formula>
    </cfRule>
    <cfRule type="expression" dxfId="2254" priority="137">
      <formula>AL$9&lt;8/24</formula>
    </cfRule>
  </conditionalFormatting>
  <conditionalFormatting sqref="AM15:AM21 AN16:AR21">
    <cfRule type="expression" dxfId="2253" priority="50">
      <formula>AX$9&gt;=20/24</formula>
    </cfRule>
    <cfRule type="expression" dxfId="2252" priority="51">
      <formula>AND(AX$9&gt;=14/24,AX$9&lt;20/24)</formula>
    </cfRule>
    <cfRule type="expression" dxfId="2251" priority="52">
      <formula>AND(AX$9&gt;=8/24,AX$9&lt;14/24)</formula>
    </cfRule>
    <cfRule type="expression" dxfId="2250" priority="53">
      <formula>AX$9&lt;8/24</formula>
    </cfRule>
  </conditionalFormatting>
  <conditionalFormatting sqref="AN87:AN90">
    <cfRule type="expression" dxfId="2249" priority="130">
      <formula>AN$9&gt;=20/24</formula>
    </cfRule>
    <cfRule type="expression" dxfId="2248" priority="131">
      <formula>AND(AN$9&gt;=14/24,AN$9&lt;20/24)</formula>
    </cfRule>
    <cfRule type="expression" dxfId="2247" priority="132">
      <formula>AND(AN$9&gt;=8/24,AN$9&lt;14/24)</formula>
    </cfRule>
    <cfRule type="expression" dxfId="2246" priority="133">
      <formula>AN$9&lt;8/24</formula>
    </cfRule>
  </conditionalFormatting>
  <conditionalFormatting sqref="AN15:AR15">
    <cfRule type="expression" dxfId="2245" priority="38">
      <formula>U$9&gt;=20/24</formula>
    </cfRule>
    <cfRule type="expression" dxfId="2244" priority="39">
      <formula>AND(U$9&gt;=14/24,U$9&lt;20/24)</formula>
    </cfRule>
    <cfRule type="expression" dxfId="2243" priority="40">
      <formula>AND(U$9&gt;=8/24,U$9&lt;14/24)</formula>
    </cfRule>
    <cfRule type="expression" dxfId="2242" priority="41">
      <formula>U$9&lt;8/24</formula>
    </cfRule>
  </conditionalFormatting>
  <conditionalFormatting sqref="AS15">
    <cfRule type="expression" dxfId="2241" priority="46">
      <formula>AA$9&gt;=20/24</formula>
    </cfRule>
    <cfRule type="expression" dxfId="2240" priority="47">
      <formula>AND(AA$9&gt;=14/24,AA$9&lt;20/24)</formula>
    </cfRule>
    <cfRule type="expression" dxfId="2239" priority="48">
      <formula>AND(AA$9&gt;=8/24,AA$9&lt;14/24)</formula>
    </cfRule>
    <cfRule type="expression" dxfId="2238" priority="49">
      <formula>AA$9&lt;8/24</formula>
    </cfRule>
  </conditionalFormatting>
  <conditionalFormatting sqref="AS16:AS21">
    <cfRule type="expression" dxfId="2237" priority="54">
      <formula>BE$9&gt;=20/24</formula>
    </cfRule>
    <cfRule type="expression" dxfId="2236" priority="55">
      <formula>AND(BE$9&gt;=14/24,BE$9&lt;20/24)</formula>
    </cfRule>
    <cfRule type="expression" dxfId="2235" priority="56">
      <formula>AND(BE$9&gt;=8/24,BE$9&lt;14/24)</formula>
    </cfRule>
    <cfRule type="expression" dxfId="2234" priority="57">
      <formula>BE$9&lt;8/24</formula>
    </cfRule>
  </conditionalFormatting>
  <conditionalFormatting sqref="AT15 AX15:BJ15">
    <cfRule type="expression" dxfId="2233" priority="58">
      <formula>AC$9&gt;=20/24</formula>
    </cfRule>
    <cfRule type="expression" dxfId="2232" priority="59">
      <formula>AND(AC$9&gt;=14/24,AC$9&lt;20/24)</formula>
    </cfRule>
    <cfRule type="expression" dxfId="2231" priority="60">
      <formula>AND(AC$9&gt;=8/24,AC$9&lt;14/24)</formula>
    </cfRule>
    <cfRule type="expression" dxfId="2230" priority="61">
      <formula>AC$9&lt;8/24</formula>
    </cfRule>
  </conditionalFormatting>
  <conditionalFormatting sqref="AT16:AT21">
    <cfRule type="expression" dxfId="2229" priority="62">
      <formula>BG$9&gt;=20/24</formula>
    </cfRule>
    <cfRule type="expression" dxfId="2228" priority="63">
      <formula>AND(BG$9&gt;=14/24,BG$9&lt;20/24)</formula>
    </cfRule>
    <cfRule type="expression" dxfId="2227" priority="64">
      <formula>AND(BG$9&gt;=8/24,BG$9&lt;14/24)</formula>
    </cfRule>
    <cfRule type="expression" dxfId="2226" priority="65">
      <formula>BG$9&lt;8/24</formula>
    </cfRule>
  </conditionalFormatting>
  <conditionalFormatting sqref="AU15:AV15">
    <cfRule type="expression" dxfId="2225" priority="66">
      <formula>AE$9&gt;=20/24</formula>
    </cfRule>
    <cfRule type="expression" dxfId="2224" priority="67">
      <formula>AND(AE$9&gt;=14/24,AE$9&lt;20/24)</formula>
    </cfRule>
    <cfRule type="expression" dxfId="2223" priority="68">
      <formula>AND(AE$9&gt;=8/24,AE$9&lt;14/24)</formula>
    </cfRule>
    <cfRule type="expression" dxfId="2222" priority="69">
      <formula>AE$9&lt;8/24</formula>
    </cfRule>
  </conditionalFormatting>
  <conditionalFormatting sqref="AU16:BJ21">
    <cfRule type="expression" dxfId="2221" priority="70">
      <formula>BI$9&gt;=20/24</formula>
    </cfRule>
    <cfRule type="expression" dxfId="2220" priority="71">
      <formula>AND(BI$9&gt;=14/24,BI$9&lt;20/24)</formula>
    </cfRule>
    <cfRule type="expression" dxfId="2219" priority="72">
      <formula>AND(BI$9&gt;=8/24,BI$9&lt;14/24)</formula>
    </cfRule>
    <cfRule type="expression" dxfId="2218" priority="73">
      <formula>BI$9&lt;8/24</formula>
    </cfRule>
  </conditionalFormatting>
  <conditionalFormatting sqref="AW15">
    <cfRule type="expression" dxfId="2217" priority="42">
      <formula>B$9&gt;=20/24</formula>
    </cfRule>
    <cfRule type="expression" dxfId="2216" priority="43">
      <formula>AND(B$9&gt;=14/24,B$9&lt;20/24)</formula>
    </cfRule>
    <cfRule type="expression" dxfId="2215" priority="44">
      <formula>AND(B$9&gt;=8/24,B$9&lt;14/24)</formula>
    </cfRule>
    <cfRule type="expression" dxfId="2214" priority="45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74EC-4CEB-4531-8070-BA7105B29A22}">
  <sheetPr codeName="Sheet19"/>
  <dimension ref="A1:CJ297"/>
  <sheetViews>
    <sheetView zoomScale="106" workbookViewId="0">
      <pane xSplit="1" ySplit="10" topLeftCell="B1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X75" sqref="X7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2080/10/18</v>
      </c>
      <c r="C4" s="187"/>
      <c r="D4" s="187"/>
      <c r="E4" s="188" t="str">
        <f ca="1">"2080/"&amp;"10/"&amp;INT(MID(CELL("filename",G6),FIND("]",CELL("filename",G6))+1,200))</f>
        <v>2080/10/18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17</v>
      </c>
      <c r="C5" s="30">
        <f t="shared" si="0"/>
        <v>16</v>
      </c>
      <c r="D5" s="30">
        <f t="shared" si="0"/>
        <v>21.9</v>
      </c>
      <c r="E5" s="30">
        <f t="shared" si="0"/>
        <v>19.7</v>
      </c>
      <c r="F5" s="30">
        <f t="shared" si="0"/>
        <v>13.5</v>
      </c>
      <c r="G5" s="30">
        <f t="shared" si="0"/>
        <v>7.9</v>
      </c>
      <c r="H5" s="30">
        <f t="shared" si="0"/>
        <v>10.7</v>
      </c>
      <c r="I5" s="30">
        <f t="shared" si="0"/>
        <v>18</v>
      </c>
      <c r="J5" s="30">
        <f t="shared" si="0"/>
        <v>13</v>
      </c>
      <c r="K5" s="30">
        <f t="shared" si="0"/>
        <v>13</v>
      </c>
      <c r="L5" s="30">
        <f t="shared" si="0"/>
        <v>118.4</v>
      </c>
      <c r="M5" s="30">
        <f t="shared" si="0"/>
        <v>172.4</v>
      </c>
      <c r="N5" s="30">
        <f t="shared" si="0"/>
        <v>365</v>
      </c>
      <c r="O5" s="30">
        <f t="shared" si="0"/>
        <v>405</v>
      </c>
      <c r="P5" s="30">
        <f t="shared" si="0"/>
        <v>507</v>
      </c>
      <c r="Q5" s="30">
        <f t="shared" si="0"/>
        <v>599.6</v>
      </c>
      <c r="R5" s="30">
        <f t="shared" si="0"/>
        <v>625.20000000000005</v>
      </c>
      <c r="S5" s="30">
        <f t="shared" si="0"/>
        <v>587.5</v>
      </c>
      <c r="T5" s="30">
        <f t="shared" si="0"/>
        <v>530.08000000000004</v>
      </c>
      <c r="U5" s="30">
        <f t="shared" si="0"/>
        <v>209.70000000000002</v>
      </c>
      <c r="V5" s="30">
        <f t="shared" si="0"/>
        <v>266.5</v>
      </c>
      <c r="W5" s="30">
        <f t="shared" si="0"/>
        <v>0</v>
      </c>
      <c r="X5" s="30">
        <f t="shared" si="0"/>
        <v>0</v>
      </c>
      <c r="Y5" s="30">
        <f t="shared" si="0"/>
        <v>272.89999999999998</v>
      </c>
      <c r="Z5" s="30">
        <f t="shared" si="0"/>
        <v>58.400000000000006</v>
      </c>
      <c r="AA5" s="30">
        <f t="shared" si="0"/>
        <v>90</v>
      </c>
      <c r="AB5" s="30">
        <f t="shared" si="0"/>
        <v>122</v>
      </c>
      <c r="AC5" s="30">
        <f t="shared" si="0"/>
        <v>104</v>
      </c>
      <c r="AD5" s="30">
        <f t="shared" si="0"/>
        <v>104</v>
      </c>
      <c r="AE5" s="30">
        <f t="shared" si="0"/>
        <v>107</v>
      </c>
      <c r="AF5" s="30">
        <f>B95</f>
        <v>15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1867MW at 6:00hr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1443.8400000000001</v>
      </c>
      <c r="C7" s="35">
        <f t="shared" si="1"/>
        <v>1416.3400000000004</v>
      </c>
      <c r="D7" s="35">
        <f t="shared" si="1"/>
        <v>1420.44</v>
      </c>
      <c r="E7" s="35">
        <f t="shared" si="1"/>
        <v>1427.2400000000002</v>
      </c>
      <c r="F7" s="35">
        <f t="shared" si="1"/>
        <v>1398.0400000000002</v>
      </c>
      <c r="G7" s="35">
        <f t="shared" si="1"/>
        <v>1383.74</v>
      </c>
      <c r="H7" s="35">
        <f t="shared" si="1"/>
        <v>1414.3400000000001</v>
      </c>
      <c r="I7" s="35">
        <f t="shared" si="1"/>
        <v>1452.14</v>
      </c>
      <c r="J7" s="35">
        <f t="shared" si="1"/>
        <v>1457.54</v>
      </c>
      <c r="K7" s="35">
        <f t="shared" si="1"/>
        <v>1436.54</v>
      </c>
      <c r="L7" s="35">
        <f t="shared" si="1"/>
        <v>1436.3400000000001</v>
      </c>
      <c r="M7" s="35">
        <f t="shared" si="1"/>
        <v>1513.8400000000001</v>
      </c>
      <c r="N7" s="35">
        <f t="shared" si="1"/>
        <v>1668.94</v>
      </c>
      <c r="O7" s="35">
        <f t="shared" si="1"/>
        <v>1742.1399999999999</v>
      </c>
      <c r="P7" s="35">
        <f t="shared" si="1"/>
        <v>1799.1399999999999</v>
      </c>
      <c r="Q7" s="35">
        <f t="shared" si="1"/>
        <v>1845.1399999999999</v>
      </c>
      <c r="R7" s="35">
        <f t="shared" si="1"/>
        <v>1887.7399999999998</v>
      </c>
      <c r="S7" s="35">
        <f t="shared" si="1"/>
        <v>1922.74</v>
      </c>
      <c r="T7" s="35">
        <f t="shared" si="1"/>
        <v>1882.74</v>
      </c>
      <c r="U7" s="35">
        <f t="shared" si="1"/>
        <v>1875.02</v>
      </c>
      <c r="V7" s="35">
        <f t="shared" si="1"/>
        <v>1551.94</v>
      </c>
      <c r="W7" s="35">
        <f t="shared" si="1"/>
        <v>1795.64</v>
      </c>
      <c r="X7" s="35">
        <f t="shared" si="1"/>
        <v>153.54</v>
      </c>
      <c r="Y7" s="35">
        <f t="shared" si="1"/>
        <v>153.5</v>
      </c>
      <c r="Z7" s="35">
        <f t="shared" si="1"/>
        <v>1881.7399999999998</v>
      </c>
      <c r="AA7" s="35">
        <f t="shared" si="1"/>
        <v>1959.24</v>
      </c>
      <c r="AB7" s="35">
        <f t="shared" si="1"/>
        <v>1997.7399999999998</v>
      </c>
      <c r="AC7" s="35">
        <f t="shared" si="1"/>
        <v>2052.7399999999998</v>
      </c>
      <c r="AD7" s="35">
        <f t="shared" si="1"/>
        <v>1962.7399999999998</v>
      </c>
      <c r="AE7" s="35">
        <f t="shared" si="1"/>
        <v>1949.7399999999998</v>
      </c>
      <c r="AF7" s="35">
        <f t="shared" si="1"/>
        <v>1881.74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2124.74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1997.74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22.7</v>
      </c>
      <c r="C11" s="46">
        <v>22.7</v>
      </c>
      <c r="D11" s="46">
        <v>22.7</v>
      </c>
      <c r="E11" s="46">
        <v>22.7</v>
      </c>
      <c r="F11" s="46">
        <v>22.7</v>
      </c>
      <c r="G11" s="46">
        <v>22.7</v>
      </c>
      <c r="H11" s="46">
        <v>22.7</v>
      </c>
      <c r="I11" s="46">
        <v>22.7</v>
      </c>
      <c r="J11" s="46">
        <v>22.7</v>
      </c>
      <c r="K11" s="46">
        <v>22.7</v>
      </c>
      <c r="L11" s="46">
        <v>25.8</v>
      </c>
      <c r="M11" s="46">
        <v>29.9</v>
      </c>
      <c r="N11" s="46">
        <v>29.9</v>
      </c>
      <c r="O11" s="46">
        <v>29.9</v>
      </c>
      <c r="P11" s="46">
        <v>29.9</v>
      </c>
      <c r="Q11" s="46">
        <v>29.9</v>
      </c>
      <c r="R11" s="46">
        <v>29.9</v>
      </c>
      <c r="S11" s="46">
        <v>29.9</v>
      </c>
      <c r="T11" s="46">
        <v>29.9</v>
      </c>
      <c r="U11" s="46">
        <v>29.9</v>
      </c>
      <c r="V11" s="46">
        <v>29.9</v>
      </c>
      <c r="W11" s="46">
        <v>29.9</v>
      </c>
      <c r="X11" s="46" t="s">
        <v>296</v>
      </c>
      <c r="Y11" s="46" t="s">
        <v>296</v>
      </c>
      <c r="Z11" s="46">
        <v>29.9</v>
      </c>
      <c r="AA11" s="46">
        <v>29.9</v>
      </c>
      <c r="AB11" s="46">
        <v>29.9</v>
      </c>
      <c r="AC11" s="46">
        <v>29.9</v>
      </c>
      <c r="AD11" s="46">
        <v>29.9</v>
      </c>
      <c r="AE11" s="46">
        <v>29.9</v>
      </c>
      <c r="AF11" s="46">
        <v>29.9</v>
      </c>
      <c r="AG11" s="47">
        <v>86</v>
      </c>
      <c r="AH11" s="48">
        <f t="shared" ref="AH11:AH74" si="2">MAX(B11:AF11)</f>
        <v>29.9</v>
      </c>
      <c r="AI11" s="49">
        <f t="shared" ref="AI11:AI74" si="3">MIN(B11:AF11)</f>
        <v>22.7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25.3</v>
      </c>
      <c r="C12" s="46">
        <v>25.3</v>
      </c>
      <c r="D12" s="46">
        <v>25.3</v>
      </c>
      <c r="E12" s="46">
        <v>25.3</v>
      </c>
      <c r="F12" s="46">
        <v>25.3</v>
      </c>
      <c r="G12" s="46">
        <v>25.3</v>
      </c>
      <c r="H12" s="46">
        <v>25.3</v>
      </c>
      <c r="I12" s="46">
        <v>25.3</v>
      </c>
      <c r="J12" s="46">
        <v>25.3</v>
      </c>
      <c r="K12" s="46">
        <v>25.3</v>
      </c>
      <c r="L12" s="46">
        <v>25.3</v>
      </c>
      <c r="M12" s="46">
        <v>25.2</v>
      </c>
      <c r="N12" s="46">
        <v>25.2</v>
      </c>
      <c r="O12" s="46">
        <v>25.2</v>
      </c>
      <c r="P12" s="46">
        <v>25.2</v>
      </c>
      <c r="Q12" s="46">
        <v>25.2</v>
      </c>
      <c r="R12" s="46">
        <v>25.2</v>
      </c>
      <c r="S12" s="46">
        <v>25.2</v>
      </c>
      <c r="T12" s="46">
        <v>25.2</v>
      </c>
      <c r="U12" s="46">
        <v>25.2</v>
      </c>
      <c r="V12" s="46">
        <v>25.2</v>
      </c>
      <c r="W12" s="46">
        <v>25.2</v>
      </c>
      <c r="X12" s="46" t="s">
        <v>301</v>
      </c>
      <c r="Y12" s="46" t="s">
        <v>301</v>
      </c>
      <c r="Z12" s="46">
        <v>25.2</v>
      </c>
      <c r="AA12" s="46">
        <v>25.2</v>
      </c>
      <c r="AB12" s="46">
        <v>25.2</v>
      </c>
      <c r="AC12" s="46">
        <v>25.2</v>
      </c>
      <c r="AD12" s="46">
        <v>25.2</v>
      </c>
      <c r="AE12" s="46">
        <v>25.2</v>
      </c>
      <c r="AF12" s="46">
        <v>25.2</v>
      </c>
      <c r="AG12" s="50">
        <v>77</v>
      </c>
      <c r="AH12" s="48">
        <f t="shared" si="2"/>
        <v>25.3</v>
      </c>
      <c r="AI12" s="49">
        <f t="shared" si="3"/>
        <v>25.2</v>
      </c>
      <c r="AK12" s="51"/>
      <c r="AL12" s="52" t="str">
        <f ca="1">MID(CELL("filename",C7),FIND("]",CELL("filename",C7))+1,600)</f>
        <v>18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72.8</v>
      </c>
      <c r="C13" s="46">
        <v>72.8</v>
      </c>
      <c r="D13" s="46">
        <v>72.8</v>
      </c>
      <c r="E13" s="46">
        <v>72.8</v>
      </c>
      <c r="F13" s="46">
        <v>72.8</v>
      </c>
      <c r="G13" s="46">
        <v>72.8</v>
      </c>
      <c r="H13" s="46">
        <v>72.8</v>
      </c>
      <c r="I13" s="46">
        <v>72.8</v>
      </c>
      <c r="J13" s="46">
        <v>72.8</v>
      </c>
      <c r="K13" s="46">
        <v>72.8</v>
      </c>
      <c r="L13" s="46">
        <v>69.5</v>
      </c>
      <c r="M13" s="46">
        <v>69.5</v>
      </c>
      <c r="N13" s="46">
        <v>69.5</v>
      </c>
      <c r="O13" s="46">
        <v>69.5</v>
      </c>
      <c r="P13" s="46">
        <v>69.5</v>
      </c>
      <c r="Q13" s="46">
        <v>69.5</v>
      </c>
      <c r="R13" s="46">
        <v>69.5</v>
      </c>
      <c r="S13" s="46">
        <v>69.5</v>
      </c>
      <c r="T13" s="46">
        <v>69.5</v>
      </c>
      <c r="U13" s="46">
        <v>69.5</v>
      </c>
      <c r="V13" s="46">
        <v>69.5</v>
      </c>
      <c r="W13" s="46">
        <v>69.5</v>
      </c>
      <c r="X13" s="46" t="s">
        <v>296</v>
      </c>
      <c r="Y13" s="46" t="s">
        <v>296</v>
      </c>
      <c r="Z13" s="46">
        <v>69.5</v>
      </c>
      <c r="AA13" s="46">
        <v>69.5</v>
      </c>
      <c r="AB13" s="46">
        <v>69.5</v>
      </c>
      <c r="AC13" s="46">
        <v>69.5</v>
      </c>
      <c r="AD13" s="46">
        <v>69.5</v>
      </c>
      <c r="AE13" s="46">
        <v>69.5</v>
      </c>
      <c r="AF13" s="46">
        <v>69.5</v>
      </c>
      <c r="AG13" s="50">
        <v>73</v>
      </c>
      <c r="AH13" s="48">
        <f t="shared" si="2"/>
        <v>72.8</v>
      </c>
      <c r="AI13" s="49">
        <f t="shared" si="3"/>
        <v>69.5</v>
      </c>
      <c r="AK13" s="51"/>
      <c r="AL13" s="52" t="str">
        <f ca="1">"Daily Load Curve(Excluding of Export) of Nepal ("&amp;A4&amp;" "&amp;B4&amp;")"</f>
        <v>Daily Load Curve(Excluding of Export) of Nepal (Nepali Date: 2080/10/18)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14</v>
      </c>
      <c r="C14" s="46">
        <v>14</v>
      </c>
      <c r="D14" s="46">
        <v>14</v>
      </c>
      <c r="E14" s="46">
        <v>14</v>
      </c>
      <c r="F14" s="46">
        <v>14</v>
      </c>
      <c r="G14" s="46">
        <v>14</v>
      </c>
      <c r="H14" s="46">
        <v>14</v>
      </c>
      <c r="I14" s="46">
        <v>14</v>
      </c>
      <c r="J14" s="46">
        <v>14</v>
      </c>
      <c r="K14" s="46">
        <v>14</v>
      </c>
      <c r="L14" s="46">
        <v>14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 t="s">
        <v>289</v>
      </c>
      <c r="Y14" s="46" t="s">
        <v>289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50">
        <v>71</v>
      </c>
      <c r="AH14" s="48">
        <f t="shared" si="2"/>
        <v>14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17.399999999999999</v>
      </c>
      <c r="C15" s="46">
        <v>17.399999999999999</v>
      </c>
      <c r="D15" s="46">
        <v>17.399999999999999</v>
      </c>
      <c r="E15" s="46">
        <v>17.399999999999999</v>
      </c>
      <c r="F15" s="46">
        <v>17.399999999999999</v>
      </c>
      <c r="G15" s="46">
        <v>17.399999999999999</v>
      </c>
      <c r="H15" s="46">
        <v>17.399999999999999</v>
      </c>
      <c r="I15" s="46">
        <v>17.399999999999999</v>
      </c>
      <c r="J15" s="46">
        <v>17.399999999999999</v>
      </c>
      <c r="K15" s="46">
        <v>17.399999999999999</v>
      </c>
      <c r="L15" s="46">
        <v>17.399999999999999</v>
      </c>
      <c r="M15" s="46">
        <v>17.399999999999999</v>
      </c>
      <c r="N15" s="46">
        <v>17.399999999999999</v>
      </c>
      <c r="O15" s="46">
        <v>17.399999999999999</v>
      </c>
      <c r="P15" s="46">
        <v>17.399999999999999</v>
      </c>
      <c r="Q15" s="46">
        <v>17.399999999999999</v>
      </c>
      <c r="R15" s="46">
        <v>17.399999999999999</v>
      </c>
      <c r="S15" s="46">
        <v>17.399999999999999</v>
      </c>
      <c r="T15" s="46">
        <v>17.399999999999999</v>
      </c>
      <c r="U15" s="46">
        <v>17.399999999999999</v>
      </c>
      <c r="V15" s="46">
        <v>17.399999999999999</v>
      </c>
      <c r="W15" s="46">
        <v>17.399999999999999</v>
      </c>
      <c r="X15" s="46" t="s">
        <v>293</v>
      </c>
      <c r="Y15" s="46" t="s">
        <v>293</v>
      </c>
      <c r="Z15" s="46">
        <v>17.399999999999999</v>
      </c>
      <c r="AA15" s="46">
        <v>17.399999999999999</v>
      </c>
      <c r="AB15" s="46">
        <v>17.399999999999999</v>
      </c>
      <c r="AC15" s="46">
        <v>17.399999999999999</v>
      </c>
      <c r="AD15" s="46">
        <v>17.399999999999999</v>
      </c>
      <c r="AE15" s="46">
        <v>17.399999999999999</v>
      </c>
      <c r="AF15" s="46">
        <v>17.399999999999999</v>
      </c>
      <c r="AG15" s="50">
        <v>54</v>
      </c>
      <c r="AH15" s="48">
        <f t="shared" si="2"/>
        <v>17.399999999999999</v>
      </c>
      <c r="AI15" s="49">
        <f t="shared" si="3"/>
        <v>17.399999999999999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26.9</v>
      </c>
      <c r="E16" s="46">
        <v>26.9</v>
      </c>
      <c r="F16" s="46">
        <v>26.9</v>
      </c>
      <c r="G16" s="46">
        <v>26.9</v>
      </c>
      <c r="H16" s="46">
        <v>26.9</v>
      </c>
      <c r="I16" s="46">
        <v>26.9</v>
      </c>
      <c r="J16" s="46">
        <v>26.9</v>
      </c>
      <c r="K16" s="46">
        <v>26.9</v>
      </c>
      <c r="L16" s="46">
        <v>26.9</v>
      </c>
      <c r="M16" s="46">
        <v>26.9</v>
      </c>
      <c r="N16" s="46">
        <v>26.9</v>
      </c>
      <c r="O16" s="46">
        <v>26.9</v>
      </c>
      <c r="P16" s="46">
        <v>26.9</v>
      </c>
      <c r="Q16" s="46">
        <v>26.9</v>
      </c>
      <c r="R16" s="46">
        <v>26.9</v>
      </c>
      <c r="S16" s="46">
        <v>26.9</v>
      </c>
      <c r="T16" s="46">
        <v>26.9</v>
      </c>
      <c r="U16" s="46">
        <v>26.9</v>
      </c>
      <c r="V16" s="46">
        <v>26.9</v>
      </c>
      <c r="W16" s="46">
        <v>26.9</v>
      </c>
      <c r="X16" s="46" t="s">
        <v>302</v>
      </c>
      <c r="Y16" s="46" t="s">
        <v>302</v>
      </c>
      <c r="Z16" s="46">
        <v>26.9</v>
      </c>
      <c r="AA16" s="46">
        <v>26.9</v>
      </c>
      <c r="AB16" s="46">
        <v>26.9</v>
      </c>
      <c r="AC16" s="46">
        <v>26.9</v>
      </c>
      <c r="AD16" s="46">
        <v>26.9</v>
      </c>
      <c r="AE16" s="46">
        <v>26.9</v>
      </c>
      <c r="AF16" s="46">
        <v>26.9</v>
      </c>
      <c r="AG16" s="50">
        <v>54</v>
      </c>
      <c r="AH16" s="48">
        <f t="shared" si="2"/>
        <v>26.9</v>
      </c>
      <c r="AI16" s="49">
        <f t="shared" si="3"/>
        <v>26.9</v>
      </c>
      <c r="AK16" s="51"/>
      <c r="AL16" s="54" t="s">
        <v>7</v>
      </c>
      <c r="AM16" s="59">
        <f t="shared" ref="AM16:AR16" si="4">B61</f>
        <v>790.2</v>
      </c>
      <c r="AN16" s="59">
        <f t="shared" si="4"/>
        <v>790.2</v>
      </c>
      <c r="AO16" s="59">
        <f t="shared" si="4"/>
        <v>790.2</v>
      </c>
      <c r="AP16" s="59">
        <f t="shared" si="4"/>
        <v>790.2</v>
      </c>
      <c r="AQ16" s="59">
        <f t="shared" si="4"/>
        <v>790.2</v>
      </c>
      <c r="AR16" s="59">
        <f t="shared" si="4"/>
        <v>790.2</v>
      </c>
      <c r="AS16" s="59">
        <f>I61</f>
        <v>790.2</v>
      </c>
      <c r="AT16" s="59">
        <f>K61</f>
        <v>790.2</v>
      </c>
      <c r="AU16" s="59">
        <f t="shared" ref="AU16:BD16" si="5">M61</f>
        <v>780</v>
      </c>
      <c r="AV16" s="59">
        <f t="shared" si="5"/>
        <v>780</v>
      </c>
      <c r="AW16" s="59">
        <f t="shared" si="5"/>
        <v>780</v>
      </c>
      <c r="AX16" s="59">
        <f t="shared" si="5"/>
        <v>780</v>
      </c>
      <c r="AY16" s="59">
        <f t="shared" si="5"/>
        <v>780</v>
      </c>
      <c r="AZ16" s="59">
        <f t="shared" si="5"/>
        <v>780</v>
      </c>
      <c r="BA16" s="59">
        <f t="shared" si="5"/>
        <v>780</v>
      </c>
      <c r="BB16" s="59">
        <f t="shared" si="5"/>
        <v>780</v>
      </c>
      <c r="BC16" s="59">
        <f t="shared" si="5"/>
        <v>780</v>
      </c>
      <c r="BD16" s="59">
        <f t="shared" si="5"/>
        <v>780</v>
      </c>
      <c r="BE16" s="60">
        <f>X61</f>
        <v>150</v>
      </c>
      <c r="BF16" s="60">
        <f>Z61</f>
        <v>780</v>
      </c>
      <c r="BG16" s="60">
        <f>AB61</f>
        <v>780</v>
      </c>
      <c r="BH16" s="60">
        <f>AD61</f>
        <v>780</v>
      </c>
      <c r="BI16" s="60">
        <f>AE61</f>
        <v>780</v>
      </c>
      <c r="BJ16" s="60">
        <f>AF61</f>
        <v>780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26</v>
      </c>
      <c r="C17" s="46">
        <v>26</v>
      </c>
      <c r="D17" s="46">
        <v>26</v>
      </c>
      <c r="E17" s="46">
        <v>26</v>
      </c>
      <c r="F17" s="46">
        <v>26</v>
      </c>
      <c r="G17" s="46">
        <v>26</v>
      </c>
      <c r="H17" s="46">
        <v>26</v>
      </c>
      <c r="I17" s="46">
        <v>26</v>
      </c>
      <c r="J17" s="46">
        <v>26</v>
      </c>
      <c r="K17" s="46">
        <v>26</v>
      </c>
      <c r="L17" s="46">
        <v>26</v>
      </c>
      <c r="M17" s="46">
        <v>26</v>
      </c>
      <c r="N17" s="46">
        <v>26</v>
      </c>
      <c r="O17" s="46">
        <v>26</v>
      </c>
      <c r="P17" s="46">
        <v>26</v>
      </c>
      <c r="Q17" s="46">
        <v>26</v>
      </c>
      <c r="R17" s="46">
        <v>26</v>
      </c>
      <c r="S17" s="46">
        <v>26</v>
      </c>
      <c r="T17" s="46">
        <v>26</v>
      </c>
      <c r="U17" s="46">
        <v>26</v>
      </c>
      <c r="V17" s="46">
        <v>26</v>
      </c>
      <c r="W17" s="46">
        <v>26</v>
      </c>
      <c r="X17" s="46"/>
      <c r="Y17" s="46"/>
      <c r="Z17" s="46">
        <v>26</v>
      </c>
      <c r="AA17" s="46">
        <v>26</v>
      </c>
      <c r="AB17" s="46">
        <v>26</v>
      </c>
      <c r="AC17" s="46">
        <v>26</v>
      </c>
      <c r="AD17" s="46">
        <v>26</v>
      </c>
      <c r="AE17" s="46">
        <v>26</v>
      </c>
      <c r="AF17" s="46">
        <v>26</v>
      </c>
      <c r="AG17" s="47">
        <v>52.4</v>
      </c>
      <c r="AH17" s="48">
        <f t="shared" si="2"/>
        <v>26</v>
      </c>
      <c r="AI17" s="49">
        <f t="shared" si="3"/>
        <v>26</v>
      </c>
      <c r="AK17" s="51"/>
      <c r="AL17" s="54" t="s">
        <v>27</v>
      </c>
      <c r="AM17" s="59">
        <f t="shared" ref="AM17:AR17" si="6">B65</f>
        <v>513.20000000000005</v>
      </c>
      <c r="AN17" s="59">
        <f t="shared" si="6"/>
        <v>464.6</v>
      </c>
      <c r="AO17" s="59">
        <f t="shared" si="6"/>
        <v>464.9</v>
      </c>
      <c r="AP17" s="59">
        <f t="shared" si="6"/>
        <v>478</v>
      </c>
      <c r="AQ17" s="59">
        <f t="shared" si="6"/>
        <v>435</v>
      </c>
      <c r="AR17" s="59">
        <f t="shared" si="6"/>
        <v>425</v>
      </c>
      <c r="AS17" s="59">
        <f>I65</f>
        <v>511</v>
      </c>
      <c r="AT17" s="59">
        <f>K65</f>
        <v>255</v>
      </c>
      <c r="AU17" s="59">
        <f t="shared" ref="AU17:BD17" si="7">M65</f>
        <v>227.5</v>
      </c>
      <c r="AV17" s="59">
        <f t="shared" si="7"/>
        <v>275</v>
      </c>
      <c r="AW17" s="59">
        <f t="shared" si="7"/>
        <v>196</v>
      </c>
      <c r="AX17" s="59">
        <f t="shared" si="7"/>
        <v>175</v>
      </c>
      <c r="AY17" s="59">
        <f t="shared" si="7"/>
        <v>105</v>
      </c>
      <c r="AZ17" s="59">
        <f t="shared" si="7"/>
        <v>55</v>
      </c>
      <c r="BA17" s="59">
        <f t="shared" si="7"/>
        <v>55</v>
      </c>
      <c r="BB17" s="59">
        <f t="shared" si="7"/>
        <v>55</v>
      </c>
      <c r="BC17" s="59">
        <f t="shared" si="7"/>
        <v>110.3</v>
      </c>
      <c r="BD17" s="59">
        <f t="shared" si="7"/>
        <v>110.3</v>
      </c>
      <c r="BE17" s="60">
        <f>X65</f>
        <v>0</v>
      </c>
      <c r="BF17" s="60">
        <f>Z65</f>
        <v>399.1</v>
      </c>
      <c r="BG17" s="60">
        <f>AB65</f>
        <v>471</v>
      </c>
      <c r="BH17" s="60">
        <f>AD65</f>
        <v>435</v>
      </c>
      <c r="BI17" s="60">
        <f>AE65</f>
        <v>417</v>
      </c>
      <c r="BJ17" s="60">
        <f>AF65</f>
        <v>226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53" t="s">
        <v>287</v>
      </c>
      <c r="Y18" s="53" t="s">
        <v>287</v>
      </c>
      <c r="Z18" s="53">
        <v>50.3</v>
      </c>
      <c r="AA18" s="53">
        <v>50.3</v>
      </c>
      <c r="AB18" s="53">
        <v>50.3</v>
      </c>
      <c r="AC18" s="53">
        <v>50.3</v>
      </c>
      <c r="AD18" s="53">
        <v>50.3</v>
      </c>
      <c r="AE18" s="53">
        <v>50.3</v>
      </c>
      <c r="AF18" s="53">
        <v>50.3</v>
      </c>
      <c r="AG18" s="50">
        <v>50</v>
      </c>
      <c r="AH18" s="48">
        <f t="shared" si="2"/>
        <v>50.3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405.44</v>
      </c>
      <c r="AN18" s="59">
        <f t="shared" si="8"/>
        <v>401.34000000000003</v>
      </c>
      <c r="AO18" s="59">
        <f t="shared" si="8"/>
        <v>401.34000000000003</v>
      </c>
      <c r="AP18" s="59">
        <f t="shared" si="8"/>
        <v>402.14</v>
      </c>
      <c r="AQ18" s="59">
        <f t="shared" si="8"/>
        <v>402.14</v>
      </c>
      <c r="AR18" s="59">
        <f t="shared" si="8"/>
        <v>403.03999999999996</v>
      </c>
      <c r="AS18" s="59">
        <f>I79</f>
        <v>405.24</v>
      </c>
      <c r="AT18" s="59">
        <f>K79</f>
        <v>340.14</v>
      </c>
      <c r="AU18" s="59">
        <f t="shared" ref="AU18:BD18" si="9">M79</f>
        <v>340.14</v>
      </c>
      <c r="AV18" s="59">
        <f t="shared" si="9"/>
        <v>340.14</v>
      </c>
      <c r="AW18" s="59">
        <f t="shared" si="9"/>
        <v>340.14</v>
      </c>
      <c r="AX18" s="59">
        <f t="shared" si="9"/>
        <v>340.14</v>
      </c>
      <c r="AY18" s="59">
        <f t="shared" si="9"/>
        <v>354.14</v>
      </c>
      <c r="AZ18" s="59">
        <f t="shared" si="9"/>
        <v>354.14</v>
      </c>
      <c r="BA18" s="59">
        <f t="shared" si="9"/>
        <v>363.53999999999996</v>
      </c>
      <c r="BB18" s="59">
        <f t="shared" si="9"/>
        <v>361.23999999999995</v>
      </c>
      <c r="BC18" s="59">
        <f t="shared" si="9"/>
        <v>355.64</v>
      </c>
      <c r="BD18" s="59">
        <f t="shared" si="9"/>
        <v>352.94</v>
      </c>
      <c r="BE18" s="60">
        <f>X79</f>
        <v>3.54</v>
      </c>
      <c r="BF18" s="60">
        <f>Z79</f>
        <v>357.74</v>
      </c>
      <c r="BG18" s="60">
        <f>AB79</f>
        <v>407.73999999999995</v>
      </c>
      <c r="BH18" s="60">
        <f>AD79</f>
        <v>407.73999999999995</v>
      </c>
      <c r="BI18" s="60">
        <f>AE79</f>
        <v>407.73999999999995</v>
      </c>
      <c r="BJ18" s="60">
        <f>AF79</f>
        <v>407.73999999999995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38</v>
      </c>
      <c r="C19" s="46">
        <v>38</v>
      </c>
      <c r="D19" s="46">
        <v>38</v>
      </c>
      <c r="E19" s="46">
        <v>38</v>
      </c>
      <c r="F19" s="46">
        <v>38</v>
      </c>
      <c r="G19" s="46">
        <v>38</v>
      </c>
      <c r="H19" s="46">
        <v>38</v>
      </c>
      <c r="I19" s="46">
        <v>38</v>
      </c>
      <c r="J19" s="46">
        <v>38</v>
      </c>
      <c r="K19" s="46">
        <v>38</v>
      </c>
      <c r="L19" s="46">
        <v>38</v>
      </c>
      <c r="M19" s="46">
        <v>38</v>
      </c>
      <c r="N19" s="46">
        <v>38</v>
      </c>
      <c r="O19" s="46">
        <v>38</v>
      </c>
      <c r="P19" s="46">
        <v>38</v>
      </c>
      <c r="Q19" s="46">
        <v>38</v>
      </c>
      <c r="R19" s="46">
        <v>38</v>
      </c>
      <c r="S19" s="46">
        <v>38</v>
      </c>
      <c r="T19" s="46">
        <v>38</v>
      </c>
      <c r="U19" s="46">
        <v>38</v>
      </c>
      <c r="V19" s="46">
        <v>38</v>
      </c>
      <c r="W19" s="46">
        <v>38</v>
      </c>
      <c r="X19" s="46" t="s">
        <v>300</v>
      </c>
      <c r="Y19" s="46" t="s">
        <v>300</v>
      </c>
      <c r="Z19" s="46">
        <v>38</v>
      </c>
      <c r="AA19" s="46">
        <v>38</v>
      </c>
      <c r="AB19" s="46">
        <v>38</v>
      </c>
      <c r="AC19" s="46">
        <v>38</v>
      </c>
      <c r="AD19" s="46">
        <v>38</v>
      </c>
      <c r="AE19" s="46">
        <v>38</v>
      </c>
      <c r="AF19" s="46">
        <v>38</v>
      </c>
      <c r="AG19" s="50">
        <v>45</v>
      </c>
      <c r="AH19" s="48">
        <f t="shared" si="2"/>
        <v>38</v>
      </c>
      <c r="AI19" s="49">
        <f t="shared" si="3"/>
        <v>38</v>
      </c>
      <c r="AK19" s="51"/>
      <c r="AL19" s="54" t="s">
        <v>31</v>
      </c>
      <c r="AM19" s="59">
        <f t="shared" ref="AM19:AR19" si="10">B95</f>
        <v>15</v>
      </c>
      <c r="AN19" s="59">
        <f t="shared" si="10"/>
        <v>17</v>
      </c>
      <c r="AO19" s="59">
        <f t="shared" si="10"/>
        <v>16</v>
      </c>
      <c r="AP19" s="59">
        <f t="shared" si="10"/>
        <v>21.9</v>
      </c>
      <c r="AQ19" s="59">
        <f t="shared" si="10"/>
        <v>19.7</v>
      </c>
      <c r="AR19" s="59">
        <f t="shared" si="10"/>
        <v>13.5</v>
      </c>
      <c r="AS19" s="59">
        <f>I95</f>
        <v>10.7</v>
      </c>
      <c r="AT19" s="59">
        <f>K95</f>
        <v>13</v>
      </c>
      <c r="AU19" s="59">
        <f t="shared" ref="AU19:BD19" si="11">M95</f>
        <v>118.4</v>
      </c>
      <c r="AV19" s="59">
        <f t="shared" si="11"/>
        <v>172.4</v>
      </c>
      <c r="AW19" s="59">
        <f t="shared" si="11"/>
        <v>365</v>
      </c>
      <c r="AX19" s="59">
        <f t="shared" si="11"/>
        <v>405</v>
      </c>
      <c r="AY19" s="59">
        <f t="shared" si="11"/>
        <v>507</v>
      </c>
      <c r="AZ19" s="59">
        <f t="shared" si="11"/>
        <v>599.6</v>
      </c>
      <c r="BA19" s="59">
        <f t="shared" si="11"/>
        <v>625.20000000000005</v>
      </c>
      <c r="BB19" s="59">
        <f t="shared" si="11"/>
        <v>587.5</v>
      </c>
      <c r="BC19" s="59">
        <f t="shared" si="11"/>
        <v>530.08000000000004</v>
      </c>
      <c r="BD19" s="59">
        <f t="shared" si="11"/>
        <v>209.70000000000002</v>
      </c>
      <c r="BE19" s="60">
        <f>X95</f>
        <v>0</v>
      </c>
      <c r="BF19" s="60">
        <f>Z95</f>
        <v>272.89999999999998</v>
      </c>
      <c r="BG19" s="60">
        <f>AB95</f>
        <v>90</v>
      </c>
      <c r="BH19" s="60">
        <f>AD95</f>
        <v>104</v>
      </c>
      <c r="BI19" s="60">
        <f>AE95</f>
        <v>104</v>
      </c>
      <c r="BJ19" s="60">
        <f>AF95</f>
        <v>107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33.4</v>
      </c>
      <c r="C20" s="46">
        <v>33.4</v>
      </c>
      <c r="D20" s="46">
        <v>33.4</v>
      </c>
      <c r="E20" s="46">
        <v>33.4</v>
      </c>
      <c r="F20" s="46">
        <v>33.4</v>
      </c>
      <c r="G20" s="46">
        <v>33.4</v>
      </c>
      <c r="H20" s="46">
        <v>33.4</v>
      </c>
      <c r="I20" s="46">
        <v>33.4</v>
      </c>
      <c r="J20" s="46">
        <v>33.4</v>
      </c>
      <c r="K20" s="46">
        <v>33.4</v>
      </c>
      <c r="L20" s="46">
        <v>33.4</v>
      </c>
      <c r="M20" s="46">
        <v>33.4</v>
      </c>
      <c r="N20" s="46">
        <v>33.4</v>
      </c>
      <c r="O20" s="46">
        <v>33.4</v>
      </c>
      <c r="P20" s="46">
        <v>33.4</v>
      </c>
      <c r="Q20" s="46">
        <v>33.4</v>
      </c>
      <c r="R20" s="46">
        <v>33.4</v>
      </c>
      <c r="S20" s="46">
        <v>33.4</v>
      </c>
      <c r="T20" s="46">
        <v>33.4</v>
      </c>
      <c r="U20" s="46">
        <v>33.4</v>
      </c>
      <c r="V20" s="46">
        <v>33.4</v>
      </c>
      <c r="W20" s="46">
        <v>33.4</v>
      </c>
      <c r="X20" s="46" t="s">
        <v>296</v>
      </c>
      <c r="Y20" s="46" t="s">
        <v>296</v>
      </c>
      <c r="Z20" s="46">
        <v>33.4</v>
      </c>
      <c r="AA20" s="46">
        <v>33.4</v>
      </c>
      <c r="AB20" s="46">
        <v>33.4</v>
      </c>
      <c r="AC20" s="46">
        <v>33.4</v>
      </c>
      <c r="AD20" s="46">
        <v>33.4</v>
      </c>
      <c r="AE20" s="46">
        <v>33.4</v>
      </c>
      <c r="AF20" s="46">
        <v>33.4</v>
      </c>
      <c r="AG20" s="50">
        <v>44</v>
      </c>
      <c r="AH20" s="48">
        <f t="shared" si="2"/>
        <v>33.4</v>
      </c>
      <c r="AI20" s="49">
        <f t="shared" si="3"/>
        <v>33.4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38.199999999999996</v>
      </c>
      <c r="AU20" s="59">
        <f t="shared" ref="AU20:BD20" si="13">M83</f>
        <v>47.8</v>
      </c>
      <c r="AV20" s="59">
        <f t="shared" si="13"/>
        <v>101.4</v>
      </c>
      <c r="AW20" s="59">
        <f t="shared" si="13"/>
        <v>61</v>
      </c>
      <c r="AX20" s="59">
        <f t="shared" si="13"/>
        <v>99</v>
      </c>
      <c r="AY20" s="59">
        <f t="shared" si="13"/>
        <v>99</v>
      </c>
      <c r="AZ20" s="59">
        <f t="shared" si="13"/>
        <v>99</v>
      </c>
      <c r="BA20" s="59">
        <f t="shared" si="13"/>
        <v>99</v>
      </c>
      <c r="BB20" s="59">
        <f t="shared" si="13"/>
        <v>99</v>
      </c>
      <c r="BC20" s="59">
        <f t="shared" si="13"/>
        <v>99</v>
      </c>
      <c r="BD20" s="59">
        <f t="shared" si="13"/>
        <v>99</v>
      </c>
      <c r="BE20" s="60">
        <f>X83</f>
        <v>0</v>
      </c>
      <c r="BF20" s="60">
        <f>Z83</f>
        <v>72</v>
      </c>
      <c r="BG20" s="60">
        <f>AB83</f>
        <v>59</v>
      </c>
      <c r="BH20" s="60">
        <f>AD83</f>
        <v>98</v>
      </c>
      <c r="BI20" s="60">
        <f>AE83</f>
        <v>98</v>
      </c>
      <c r="BJ20" s="60">
        <f>AF83</f>
        <v>61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 t="s">
        <v>289</v>
      </c>
      <c r="Y21" s="46" t="s">
        <v>289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150</v>
      </c>
      <c r="AO21" s="59">
        <f t="shared" si="14"/>
        <v>150</v>
      </c>
      <c r="AP21" s="59">
        <f t="shared" si="14"/>
        <v>150</v>
      </c>
      <c r="AQ21" s="59">
        <f t="shared" si="14"/>
        <v>150</v>
      </c>
      <c r="AR21" s="59">
        <f t="shared" si="14"/>
        <v>150</v>
      </c>
      <c r="AS21" s="59">
        <f>I101</f>
        <v>150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300</v>
      </c>
      <c r="BH21" s="60">
        <f>AD101</f>
        <v>300</v>
      </c>
      <c r="BI21" s="60">
        <f>AE101</f>
        <v>300</v>
      </c>
      <c r="BJ21" s="60">
        <f>AF101</f>
        <v>300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27</v>
      </c>
      <c r="G22" s="46">
        <v>27</v>
      </c>
      <c r="H22" s="46">
        <v>27</v>
      </c>
      <c r="I22" s="46">
        <v>27</v>
      </c>
      <c r="J22" s="46">
        <v>27</v>
      </c>
      <c r="K22" s="46">
        <v>27</v>
      </c>
      <c r="L22" s="46">
        <v>27</v>
      </c>
      <c r="M22" s="46">
        <v>27</v>
      </c>
      <c r="N22" s="46">
        <v>27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>
        <v>27</v>
      </c>
      <c r="X22" s="46" t="s">
        <v>304</v>
      </c>
      <c r="Y22" s="46" t="s">
        <v>304</v>
      </c>
      <c r="Z22" s="46">
        <v>27</v>
      </c>
      <c r="AA22" s="46">
        <v>27</v>
      </c>
      <c r="AB22" s="46">
        <v>27</v>
      </c>
      <c r="AC22" s="46">
        <v>27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27</v>
      </c>
      <c r="AI22" s="49">
        <f t="shared" si="3"/>
        <v>27</v>
      </c>
      <c r="AK22" s="51"/>
      <c r="AL22" s="62" t="s">
        <v>37</v>
      </c>
      <c r="AM22" s="63">
        <f t="shared" ref="AM22:BJ22" si="16">SUM(AM16:AM21)</f>
        <v>1873.8400000000001</v>
      </c>
      <c r="AN22" s="63">
        <f t="shared" si="16"/>
        <v>1823.1400000000003</v>
      </c>
      <c r="AO22" s="63">
        <f t="shared" si="16"/>
        <v>1822.44</v>
      </c>
      <c r="AP22" s="63">
        <f t="shared" si="16"/>
        <v>1842.2400000000002</v>
      </c>
      <c r="AQ22" s="63">
        <f t="shared" si="16"/>
        <v>1797.0400000000002</v>
      </c>
      <c r="AR22" s="63">
        <f t="shared" si="16"/>
        <v>1781.74</v>
      </c>
      <c r="AS22" s="63">
        <f t="shared" si="16"/>
        <v>1867.14</v>
      </c>
      <c r="AT22" s="63">
        <f t="shared" si="16"/>
        <v>1436.5400000000002</v>
      </c>
      <c r="AU22" s="63">
        <f t="shared" si="16"/>
        <v>1513.84</v>
      </c>
      <c r="AV22" s="63">
        <f t="shared" si="16"/>
        <v>1668.94</v>
      </c>
      <c r="AW22" s="63">
        <f t="shared" si="16"/>
        <v>1742.1399999999999</v>
      </c>
      <c r="AX22" s="63">
        <f t="shared" si="16"/>
        <v>1799.1399999999999</v>
      </c>
      <c r="AY22" s="63">
        <f t="shared" si="16"/>
        <v>1845.1399999999999</v>
      </c>
      <c r="AZ22" s="63">
        <f t="shared" si="16"/>
        <v>1887.7399999999998</v>
      </c>
      <c r="BA22" s="63">
        <f t="shared" si="16"/>
        <v>1922.74</v>
      </c>
      <c r="BB22" s="63">
        <f t="shared" si="16"/>
        <v>1882.74</v>
      </c>
      <c r="BC22" s="63">
        <f t="shared" si="16"/>
        <v>1875.02</v>
      </c>
      <c r="BD22" s="63">
        <f t="shared" si="16"/>
        <v>1551.94</v>
      </c>
      <c r="BE22" s="63">
        <f t="shared" si="16"/>
        <v>153.54</v>
      </c>
      <c r="BF22" s="63">
        <f t="shared" si="16"/>
        <v>1881.7399999999998</v>
      </c>
      <c r="BG22" s="63">
        <f t="shared" si="16"/>
        <v>2107.7399999999998</v>
      </c>
      <c r="BH22" s="63">
        <f t="shared" si="16"/>
        <v>2124.7399999999998</v>
      </c>
      <c r="BI22" s="63">
        <f t="shared" si="16"/>
        <v>2106.7399999999998</v>
      </c>
      <c r="BJ22" s="63">
        <f t="shared" si="16"/>
        <v>1881.74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>
        <v>30</v>
      </c>
      <c r="X23" s="46" t="s">
        <v>297</v>
      </c>
      <c r="Y23" s="46" t="s">
        <v>297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-430</v>
      </c>
      <c r="AN23" s="63">
        <f t="shared" si="17"/>
        <v>-406.8</v>
      </c>
      <c r="AO23" s="63">
        <f t="shared" si="17"/>
        <v>-402</v>
      </c>
      <c r="AP23" s="63">
        <f t="shared" si="17"/>
        <v>-415</v>
      </c>
      <c r="AQ23" s="63">
        <f t="shared" si="17"/>
        <v>-399</v>
      </c>
      <c r="AR23" s="63">
        <f t="shared" si="17"/>
        <v>-398</v>
      </c>
      <c r="AS23" s="63">
        <f>I110*-1</f>
        <v>-415</v>
      </c>
      <c r="AT23" s="63">
        <f>K110*-1</f>
        <v>0</v>
      </c>
      <c r="AU23" s="63">
        <f t="shared" ref="AU23:BD23" si="18">M110*-1</f>
        <v>0</v>
      </c>
      <c r="AV23" s="63">
        <f t="shared" si="18"/>
        <v>0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0</v>
      </c>
      <c r="BG23" s="63">
        <f>AB110*-1</f>
        <v>-110</v>
      </c>
      <c r="BH23" s="63">
        <f>AD110*-1</f>
        <v>-162</v>
      </c>
      <c r="BI23" s="63">
        <f>AE110*-1</f>
        <v>-157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 t="s">
        <v>298</v>
      </c>
      <c r="Y24" s="46" t="s">
        <v>298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1443.8400000000001</v>
      </c>
      <c r="AN24" s="63">
        <f t="shared" si="19"/>
        <v>1416.3400000000004</v>
      </c>
      <c r="AO24" s="63">
        <f t="shared" si="19"/>
        <v>1420.44</v>
      </c>
      <c r="AP24" s="63">
        <f t="shared" si="19"/>
        <v>1427.2400000000002</v>
      </c>
      <c r="AQ24" s="63">
        <f t="shared" si="19"/>
        <v>1398.0400000000002</v>
      </c>
      <c r="AR24" s="63">
        <f t="shared" si="19"/>
        <v>1383.74</v>
      </c>
      <c r="AS24" s="63">
        <f t="shared" si="19"/>
        <v>1452.14</v>
      </c>
      <c r="AT24" s="63">
        <f t="shared" si="19"/>
        <v>1436.5400000000002</v>
      </c>
      <c r="AU24" s="63">
        <f t="shared" si="19"/>
        <v>1513.84</v>
      </c>
      <c r="AV24" s="63">
        <f t="shared" si="19"/>
        <v>1668.94</v>
      </c>
      <c r="AW24" s="63">
        <f t="shared" si="19"/>
        <v>1742.1399999999999</v>
      </c>
      <c r="AX24" s="63">
        <f t="shared" si="19"/>
        <v>1799.1399999999999</v>
      </c>
      <c r="AY24" s="63">
        <f t="shared" si="19"/>
        <v>1845.1399999999999</v>
      </c>
      <c r="AZ24" s="63">
        <f t="shared" si="19"/>
        <v>1887.7399999999998</v>
      </c>
      <c r="BA24" s="63">
        <f t="shared" si="19"/>
        <v>1922.74</v>
      </c>
      <c r="BB24" s="63">
        <f t="shared" si="19"/>
        <v>1882.74</v>
      </c>
      <c r="BC24" s="63">
        <f t="shared" si="19"/>
        <v>1875.02</v>
      </c>
      <c r="BD24" s="63">
        <f t="shared" si="19"/>
        <v>1551.94</v>
      </c>
      <c r="BE24" s="63">
        <f t="shared" si="19"/>
        <v>153.54</v>
      </c>
      <c r="BF24" s="63">
        <f t="shared" si="19"/>
        <v>1881.7399999999998</v>
      </c>
      <c r="BG24" s="63">
        <f t="shared" si="19"/>
        <v>1997.7399999999998</v>
      </c>
      <c r="BH24" s="63">
        <f t="shared" si="19"/>
        <v>1962.7399999999998</v>
      </c>
      <c r="BI24" s="63">
        <f t="shared" si="19"/>
        <v>1949.7399999999998</v>
      </c>
      <c r="BJ24" s="63">
        <f t="shared" si="19"/>
        <v>1881.74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15</v>
      </c>
      <c r="F25" s="46">
        <v>15</v>
      </c>
      <c r="G25" s="46">
        <v>15</v>
      </c>
      <c r="H25" s="46">
        <v>15</v>
      </c>
      <c r="I25" s="46">
        <v>15</v>
      </c>
      <c r="J25" s="46">
        <v>15</v>
      </c>
      <c r="K25" s="46">
        <v>15</v>
      </c>
      <c r="L25" s="46">
        <v>15</v>
      </c>
      <c r="M25" s="46">
        <v>15</v>
      </c>
      <c r="N25" s="46">
        <v>15</v>
      </c>
      <c r="O25" s="46">
        <v>15</v>
      </c>
      <c r="P25" s="46">
        <v>15</v>
      </c>
      <c r="Q25" s="46">
        <v>15</v>
      </c>
      <c r="R25" s="46">
        <v>15</v>
      </c>
      <c r="S25" s="46">
        <v>15</v>
      </c>
      <c r="T25" s="46">
        <v>15</v>
      </c>
      <c r="U25" s="46">
        <v>15</v>
      </c>
      <c r="V25" s="46">
        <v>15</v>
      </c>
      <c r="W25" s="46">
        <v>15</v>
      </c>
      <c r="X25" s="46" t="s">
        <v>288</v>
      </c>
      <c r="Y25" s="46" t="s">
        <v>288</v>
      </c>
      <c r="Z25" s="46">
        <v>15</v>
      </c>
      <c r="AA25" s="46">
        <v>15</v>
      </c>
      <c r="AB25" s="46">
        <v>15</v>
      </c>
      <c r="AC25" s="46">
        <v>15</v>
      </c>
      <c r="AD25" s="46">
        <v>15</v>
      </c>
      <c r="AE25" s="46">
        <v>15</v>
      </c>
      <c r="AF25" s="46">
        <v>15</v>
      </c>
      <c r="AG25" s="61">
        <v>30</v>
      </c>
      <c r="AH25" s="48">
        <f t="shared" si="2"/>
        <v>15</v>
      </c>
      <c r="AI25" s="49">
        <f t="shared" si="3"/>
        <v>15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>
        <v>11.5</v>
      </c>
      <c r="X26" s="46" t="s">
        <v>292</v>
      </c>
      <c r="Y26" s="46" t="s">
        <v>292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13.5</v>
      </c>
      <c r="C27" s="46">
        <v>13.5</v>
      </c>
      <c r="D27" s="46">
        <v>13.5</v>
      </c>
      <c r="E27" s="46">
        <v>13.5</v>
      </c>
      <c r="F27" s="46">
        <v>13.5</v>
      </c>
      <c r="G27" s="46">
        <v>13.5</v>
      </c>
      <c r="H27" s="46">
        <v>13.5</v>
      </c>
      <c r="I27" s="46">
        <v>13.5</v>
      </c>
      <c r="J27" s="46">
        <v>13.5</v>
      </c>
      <c r="K27" s="46">
        <v>13.5</v>
      </c>
      <c r="L27" s="46">
        <v>13.5</v>
      </c>
      <c r="M27" s="46">
        <v>13.5</v>
      </c>
      <c r="N27" s="46">
        <v>13.5</v>
      </c>
      <c r="O27" s="46">
        <v>13.5</v>
      </c>
      <c r="P27" s="46">
        <v>13.5</v>
      </c>
      <c r="Q27" s="46">
        <v>13.5</v>
      </c>
      <c r="R27" s="46">
        <v>13.5</v>
      </c>
      <c r="S27" s="46">
        <v>13.5</v>
      </c>
      <c r="T27" s="46">
        <v>13.5</v>
      </c>
      <c r="U27" s="46">
        <v>13.5</v>
      </c>
      <c r="V27" s="46">
        <v>13.5</v>
      </c>
      <c r="W27" s="46">
        <v>13.5</v>
      </c>
      <c r="X27" s="46" t="s">
        <v>303</v>
      </c>
      <c r="Y27" s="46" t="s">
        <v>303</v>
      </c>
      <c r="Z27" s="46">
        <v>13.5</v>
      </c>
      <c r="AA27" s="46">
        <v>13.5</v>
      </c>
      <c r="AB27" s="46">
        <v>13.5</v>
      </c>
      <c r="AC27" s="46">
        <v>13.5</v>
      </c>
      <c r="AD27" s="46">
        <v>13.5</v>
      </c>
      <c r="AE27" s="46">
        <v>13.5</v>
      </c>
      <c r="AF27" s="46">
        <v>13.5</v>
      </c>
      <c r="AG27" s="50">
        <v>28</v>
      </c>
      <c r="AH27" s="48">
        <f t="shared" si="2"/>
        <v>13.5</v>
      </c>
      <c r="AI27" s="49">
        <f t="shared" si="3"/>
        <v>13.5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18.600000000000001</v>
      </c>
      <c r="C28" s="46">
        <v>18.600000000000001</v>
      </c>
      <c r="D28" s="46">
        <v>18.600000000000001</v>
      </c>
      <c r="E28" s="46">
        <v>18.600000000000001</v>
      </c>
      <c r="F28" s="46">
        <v>18.600000000000001</v>
      </c>
      <c r="G28" s="46">
        <v>18.600000000000001</v>
      </c>
      <c r="H28" s="46">
        <v>18.600000000000001</v>
      </c>
      <c r="I28" s="46">
        <v>18.600000000000001</v>
      </c>
      <c r="J28" s="46">
        <v>18.600000000000001</v>
      </c>
      <c r="K28" s="46">
        <v>18.600000000000001</v>
      </c>
      <c r="L28" s="46">
        <v>18.600000000000001</v>
      </c>
      <c r="M28" s="46">
        <v>18.600000000000001</v>
      </c>
      <c r="N28" s="46">
        <v>18.600000000000001</v>
      </c>
      <c r="O28" s="46">
        <v>18.600000000000001</v>
      </c>
      <c r="P28" s="46">
        <v>18.600000000000001</v>
      </c>
      <c r="Q28" s="46">
        <v>18.600000000000001</v>
      </c>
      <c r="R28" s="46">
        <v>18.600000000000001</v>
      </c>
      <c r="S28" s="46">
        <v>18.600000000000001</v>
      </c>
      <c r="T28" s="46">
        <v>18.600000000000001</v>
      </c>
      <c r="U28" s="46">
        <v>18.600000000000001</v>
      </c>
      <c r="V28" s="46">
        <v>18.600000000000001</v>
      </c>
      <c r="W28" s="46">
        <v>18.600000000000001</v>
      </c>
      <c r="X28" s="46" t="s">
        <v>293</v>
      </c>
      <c r="Y28" s="46" t="s">
        <v>293</v>
      </c>
      <c r="Z28" s="46">
        <v>18.600000000000001</v>
      </c>
      <c r="AA28" s="46">
        <v>18.600000000000001</v>
      </c>
      <c r="AB28" s="46">
        <v>18.600000000000001</v>
      </c>
      <c r="AC28" s="46">
        <v>18.600000000000001</v>
      </c>
      <c r="AD28" s="46">
        <v>18.600000000000001</v>
      </c>
      <c r="AE28" s="46">
        <v>18.600000000000001</v>
      </c>
      <c r="AF28" s="46">
        <v>18.600000000000001</v>
      </c>
      <c r="AG28" s="61">
        <v>30</v>
      </c>
      <c r="AH28" s="48">
        <f t="shared" si="2"/>
        <v>18.600000000000001</v>
      </c>
      <c r="AI28" s="49">
        <f t="shared" si="3"/>
        <v>18.600000000000001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14.7</v>
      </c>
      <c r="C29" s="46">
        <v>14.7</v>
      </c>
      <c r="D29" s="46">
        <v>14.7</v>
      </c>
      <c r="E29" s="46">
        <v>14.7</v>
      </c>
      <c r="F29" s="46">
        <v>14.7</v>
      </c>
      <c r="G29" s="46">
        <v>14.7</v>
      </c>
      <c r="H29" s="46">
        <v>14.7</v>
      </c>
      <c r="I29" s="46">
        <v>14.7</v>
      </c>
      <c r="J29" s="46">
        <v>14.7</v>
      </c>
      <c r="K29" s="46">
        <v>14.7</v>
      </c>
      <c r="L29" s="46">
        <v>14.7</v>
      </c>
      <c r="M29" s="46">
        <v>14.7</v>
      </c>
      <c r="N29" s="46">
        <v>14.7</v>
      </c>
      <c r="O29" s="46">
        <v>14.7</v>
      </c>
      <c r="P29" s="46">
        <v>14.7</v>
      </c>
      <c r="Q29" s="46">
        <v>14.7</v>
      </c>
      <c r="R29" s="46">
        <v>14.7</v>
      </c>
      <c r="S29" s="46">
        <v>14.7</v>
      </c>
      <c r="T29" s="46">
        <v>14.7</v>
      </c>
      <c r="U29" s="46">
        <v>14.7</v>
      </c>
      <c r="V29" s="46">
        <v>14.7</v>
      </c>
      <c r="W29" s="46">
        <v>14.7</v>
      </c>
      <c r="X29" s="46"/>
      <c r="Y29" s="46"/>
      <c r="Z29" s="46">
        <v>14.7</v>
      </c>
      <c r="AA29" s="46">
        <v>14.7</v>
      </c>
      <c r="AB29" s="46">
        <v>14.7</v>
      </c>
      <c r="AC29" s="46">
        <v>14.7</v>
      </c>
      <c r="AD29" s="46">
        <v>14.7</v>
      </c>
      <c r="AE29" s="46">
        <v>14.7</v>
      </c>
      <c r="AF29" s="46">
        <v>14.7</v>
      </c>
      <c r="AG29" s="50">
        <v>25</v>
      </c>
      <c r="AH29" s="48">
        <f t="shared" si="2"/>
        <v>14.7</v>
      </c>
      <c r="AI29" s="49">
        <f t="shared" si="3"/>
        <v>14.7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7.8</v>
      </c>
      <c r="C30" s="46">
        <v>7.8</v>
      </c>
      <c r="D30" s="46">
        <v>7.8</v>
      </c>
      <c r="E30" s="46">
        <v>7.8</v>
      </c>
      <c r="F30" s="46">
        <v>7.8</v>
      </c>
      <c r="G30" s="46">
        <v>7.8</v>
      </c>
      <c r="H30" s="46">
        <v>7.8</v>
      </c>
      <c r="I30" s="46">
        <v>7.8</v>
      </c>
      <c r="J30" s="46">
        <v>7.8</v>
      </c>
      <c r="K30" s="46">
        <v>7.8</v>
      </c>
      <c r="L30" s="46">
        <v>7.8</v>
      </c>
      <c r="M30" s="46">
        <v>7.8</v>
      </c>
      <c r="N30" s="46">
        <v>7.8</v>
      </c>
      <c r="O30" s="46">
        <v>7.8</v>
      </c>
      <c r="P30" s="46">
        <v>7.8</v>
      </c>
      <c r="Q30" s="46">
        <v>7.8</v>
      </c>
      <c r="R30" s="46">
        <v>7.8</v>
      </c>
      <c r="S30" s="46">
        <v>7.8</v>
      </c>
      <c r="T30" s="46">
        <v>7.8</v>
      </c>
      <c r="U30" s="46">
        <v>7.8</v>
      </c>
      <c r="V30" s="46">
        <v>7.8</v>
      </c>
      <c r="W30" s="46">
        <v>7.8</v>
      </c>
      <c r="X30" s="46"/>
      <c r="Y30" s="46"/>
      <c r="Z30" s="46">
        <v>7.8</v>
      </c>
      <c r="AA30" s="46">
        <v>7.8</v>
      </c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7.8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/>
      <c r="Y31" s="46"/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20.9</v>
      </c>
      <c r="C32" s="46">
        <v>20.9</v>
      </c>
      <c r="D32" s="46">
        <v>20.9</v>
      </c>
      <c r="E32" s="46">
        <v>20.9</v>
      </c>
      <c r="F32" s="46">
        <v>20.9</v>
      </c>
      <c r="G32" s="46">
        <v>20.9</v>
      </c>
      <c r="H32" s="46">
        <v>20.9</v>
      </c>
      <c r="I32" s="46">
        <v>20.9</v>
      </c>
      <c r="J32" s="46">
        <v>20.9</v>
      </c>
      <c r="K32" s="46">
        <v>20.9</v>
      </c>
      <c r="L32" s="46">
        <v>20.9</v>
      </c>
      <c r="M32" s="46">
        <v>20.9</v>
      </c>
      <c r="N32" s="46">
        <v>20.9</v>
      </c>
      <c r="O32" s="46">
        <v>20.9</v>
      </c>
      <c r="P32" s="46">
        <v>20.9</v>
      </c>
      <c r="Q32" s="46">
        <v>20.9</v>
      </c>
      <c r="R32" s="46">
        <v>20.9</v>
      </c>
      <c r="S32" s="46">
        <v>20.9</v>
      </c>
      <c r="T32" s="46">
        <v>20.9</v>
      </c>
      <c r="U32" s="46">
        <v>20.9</v>
      </c>
      <c r="V32" s="46">
        <v>20.9</v>
      </c>
      <c r="W32" s="46">
        <v>20.9</v>
      </c>
      <c r="X32" s="46"/>
      <c r="Y32" s="46"/>
      <c r="Z32" s="46">
        <v>20.9</v>
      </c>
      <c r="AA32" s="46">
        <v>20.9</v>
      </c>
      <c r="AB32" s="46">
        <v>20.9</v>
      </c>
      <c r="AC32" s="46">
        <v>20.9</v>
      </c>
      <c r="AD32" s="46">
        <v>20.9</v>
      </c>
      <c r="AE32" s="46">
        <v>20.9</v>
      </c>
      <c r="AF32" s="46">
        <v>20.9</v>
      </c>
      <c r="AG32" s="50">
        <v>25</v>
      </c>
      <c r="AH32" s="48">
        <f t="shared" si="2"/>
        <v>20.9</v>
      </c>
      <c r="AI32" s="49">
        <f t="shared" si="3"/>
        <v>20.9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6.6</v>
      </c>
      <c r="C33" s="46">
        <v>6.6</v>
      </c>
      <c r="D33" s="46">
        <v>6.6</v>
      </c>
      <c r="E33" s="46">
        <v>6.6</v>
      </c>
      <c r="F33" s="46">
        <v>6.6</v>
      </c>
      <c r="G33" s="46">
        <v>6.6</v>
      </c>
      <c r="H33" s="46">
        <v>6.6</v>
      </c>
      <c r="I33" s="46">
        <v>6.6</v>
      </c>
      <c r="J33" s="46">
        <v>6.6</v>
      </c>
      <c r="K33" s="46">
        <v>6.6</v>
      </c>
      <c r="L33" s="46">
        <v>6.6</v>
      </c>
      <c r="M33" s="46">
        <v>6.6</v>
      </c>
      <c r="N33" s="46">
        <v>6.6</v>
      </c>
      <c r="O33" s="46">
        <v>6.6</v>
      </c>
      <c r="P33" s="46">
        <v>6.6</v>
      </c>
      <c r="Q33" s="46">
        <v>6.6</v>
      </c>
      <c r="R33" s="46">
        <v>6.6</v>
      </c>
      <c r="S33" s="46">
        <v>6.6</v>
      </c>
      <c r="T33" s="46">
        <v>6.6</v>
      </c>
      <c r="U33" s="46">
        <v>6.6</v>
      </c>
      <c r="V33" s="46">
        <v>6.6</v>
      </c>
      <c r="W33" s="46">
        <v>6.6</v>
      </c>
      <c r="X33" s="46"/>
      <c r="Y33" s="46"/>
      <c r="Z33" s="46">
        <v>6.6</v>
      </c>
      <c r="AA33" s="46">
        <v>6.6</v>
      </c>
      <c r="AB33" s="46">
        <v>6.6</v>
      </c>
      <c r="AC33" s="46">
        <v>6.6</v>
      </c>
      <c r="AD33" s="46">
        <v>6.6</v>
      </c>
      <c r="AE33" s="46">
        <v>6.6</v>
      </c>
      <c r="AF33" s="46">
        <v>6.6</v>
      </c>
      <c r="AG33" s="50">
        <v>23.5</v>
      </c>
      <c r="AH33" s="48">
        <f t="shared" si="2"/>
        <v>6.6</v>
      </c>
      <c r="AI33" s="49">
        <f t="shared" si="3"/>
        <v>6.6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/>
      <c r="Y34" s="46"/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/>
      <c r="Y35" s="46"/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/>
      <c r="Y36" s="46"/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10</v>
      </c>
      <c r="C37" s="46">
        <v>10</v>
      </c>
      <c r="D37" s="46">
        <v>10</v>
      </c>
      <c r="E37" s="46">
        <v>10</v>
      </c>
      <c r="F37" s="46">
        <v>10</v>
      </c>
      <c r="G37" s="46">
        <v>10</v>
      </c>
      <c r="H37" s="46">
        <v>10</v>
      </c>
      <c r="I37" s="46">
        <v>10</v>
      </c>
      <c r="J37" s="46">
        <v>10</v>
      </c>
      <c r="K37" s="46">
        <v>10</v>
      </c>
      <c r="L37" s="46">
        <v>10</v>
      </c>
      <c r="M37" s="46">
        <v>10</v>
      </c>
      <c r="N37" s="46">
        <v>10</v>
      </c>
      <c r="O37" s="46">
        <v>10</v>
      </c>
      <c r="P37" s="46">
        <v>10</v>
      </c>
      <c r="Q37" s="46">
        <v>10</v>
      </c>
      <c r="R37" s="46">
        <v>10</v>
      </c>
      <c r="S37" s="46">
        <v>10</v>
      </c>
      <c r="T37" s="46">
        <v>10</v>
      </c>
      <c r="U37" s="46">
        <v>10</v>
      </c>
      <c r="V37" s="46">
        <v>10</v>
      </c>
      <c r="W37" s="46">
        <v>10</v>
      </c>
      <c r="X37" s="46"/>
      <c r="Y37" s="46"/>
      <c r="Z37" s="46">
        <v>10</v>
      </c>
      <c r="AA37" s="46">
        <v>10</v>
      </c>
      <c r="AB37" s="46">
        <v>10</v>
      </c>
      <c r="AC37" s="46">
        <v>10</v>
      </c>
      <c r="AD37" s="46">
        <v>10</v>
      </c>
      <c r="AE37" s="46">
        <v>10</v>
      </c>
      <c r="AF37" s="46">
        <v>10</v>
      </c>
      <c r="AG37" s="50">
        <v>22</v>
      </c>
      <c r="AH37" s="48">
        <f t="shared" si="2"/>
        <v>10</v>
      </c>
      <c r="AI37" s="49">
        <f t="shared" si="3"/>
        <v>10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/>
      <c r="Y38" s="46"/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/>
      <c r="Y39" s="46"/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14.7</v>
      </c>
      <c r="C40" s="46">
        <v>14.7</v>
      </c>
      <c r="D40" s="46">
        <v>14.7</v>
      </c>
      <c r="E40" s="46">
        <v>14.7</v>
      </c>
      <c r="F40" s="46">
        <v>14.7</v>
      </c>
      <c r="G40" s="46">
        <v>14.7</v>
      </c>
      <c r="H40" s="46">
        <v>14.7</v>
      </c>
      <c r="I40" s="46">
        <v>14.7</v>
      </c>
      <c r="J40" s="46">
        <v>14.7</v>
      </c>
      <c r="K40" s="46">
        <v>14.7</v>
      </c>
      <c r="L40" s="46">
        <v>14.7</v>
      </c>
      <c r="M40" s="46">
        <v>14.7</v>
      </c>
      <c r="N40" s="46">
        <v>14.7</v>
      </c>
      <c r="O40" s="46">
        <v>14.7</v>
      </c>
      <c r="P40" s="46">
        <v>14.7</v>
      </c>
      <c r="Q40" s="46">
        <v>14.7</v>
      </c>
      <c r="R40" s="46">
        <v>14.7</v>
      </c>
      <c r="S40" s="46">
        <v>14.7</v>
      </c>
      <c r="T40" s="46">
        <v>14.7</v>
      </c>
      <c r="U40" s="46">
        <v>14.7</v>
      </c>
      <c r="V40" s="46">
        <v>14.7</v>
      </c>
      <c r="W40" s="46">
        <v>14.7</v>
      </c>
      <c r="X40" s="46"/>
      <c r="Y40" s="46"/>
      <c r="Z40" s="46">
        <v>14.7</v>
      </c>
      <c r="AA40" s="46">
        <v>14.7</v>
      </c>
      <c r="AB40" s="46">
        <v>14.7</v>
      </c>
      <c r="AC40" s="46">
        <v>14.7</v>
      </c>
      <c r="AD40" s="46">
        <v>14.7</v>
      </c>
      <c r="AE40" s="46">
        <v>14.7</v>
      </c>
      <c r="AF40" s="46">
        <v>14.7</v>
      </c>
      <c r="AG40" s="50">
        <v>18</v>
      </c>
      <c r="AH40" s="48">
        <f t="shared" si="2"/>
        <v>14.7</v>
      </c>
      <c r="AI40" s="49">
        <f t="shared" si="3"/>
        <v>14.7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6.8</v>
      </c>
      <c r="C41" s="46">
        <v>6.8</v>
      </c>
      <c r="D41" s="46">
        <v>6.8</v>
      </c>
      <c r="E41" s="46">
        <v>6.8</v>
      </c>
      <c r="F41" s="46">
        <v>6.8</v>
      </c>
      <c r="G41" s="46">
        <v>6.8</v>
      </c>
      <c r="H41" s="46">
        <v>6.8</v>
      </c>
      <c r="I41" s="46">
        <v>6.8</v>
      </c>
      <c r="J41" s="46">
        <v>6.8</v>
      </c>
      <c r="K41" s="46">
        <v>6.8</v>
      </c>
      <c r="L41" s="46">
        <v>6.8</v>
      </c>
      <c r="M41" s="46">
        <v>6.8</v>
      </c>
      <c r="N41" s="46">
        <v>6.8</v>
      </c>
      <c r="O41" s="46">
        <v>6.8</v>
      </c>
      <c r="P41" s="46">
        <v>6.8</v>
      </c>
      <c r="Q41" s="46">
        <v>6.8</v>
      </c>
      <c r="R41" s="46">
        <v>6.8</v>
      </c>
      <c r="S41" s="46">
        <v>6.8</v>
      </c>
      <c r="T41" s="46">
        <v>6.8</v>
      </c>
      <c r="U41" s="46">
        <v>6.8</v>
      </c>
      <c r="V41" s="46">
        <v>6.8</v>
      </c>
      <c r="W41" s="46">
        <v>6.8</v>
      </c>
      <c r="X41" s="46"/>
      <c r="Y41" s="46"/>
      <c r="Z41" s="46">
        <v>6.8</v>
      </c>
      <c r="AA41" s="46">
        <v>6.8</v>
      </c>
      <c r="AB41" s="46">
        <v>6.8</v>
      </c>
      <c r="AC41" s="46">
        <v>6.8</v>
      </c>
      <c r="AD41" s="46">
        <v>6.8</v>
      </c>
      <c r="AE41" s="46">
        <v>6.8</v>
      </c>
      <c r="AF41" s="46">
        <v>6.8</v>
      </c>
      <c r="AG41" s="50">
        <v>15.33</v>
      </c>
      <c r="AH41" s="48">
        <f t="shared" si="2"/>
        <v>6.8</v>
      </c>
      <c r="AI41" s="49">
        <f t="shared" si="3"/>
        <v>6.8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/>
      <c r="Y42" s="46"/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/>
      <c r="Y43" s="46"/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/>
      <c r="Y44" s="46"/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3.5</v>
      </c>
      <c r="C46" s="46">
        <v>3.5</v>
      </c>
      <c r="D46" s="46">
        <v>3.5</v>
      </c>
      <c r="E46" s="46">
        <v>3.5</v>
      </c>
      <c r="F46" s="46">
        <v>3.5</v>
      </c>
      <c r="G46" s="46">
        <v>3.5</v>
      </c>
      <c r="H46" s="46">
        <v>3.5</v>
      </c>
      <c r="I46" s="46">
        <v>3.5</v>
      </c>
      <c r="J46" s="46">
        <v>3.5</v>
      </c>
      <c r="K46" s="46">
        <v>3.5</v>
      </c>
      <c r="L46" s="46">
        <v>3.5</v>
      </c>
      <c r="M46" s="46">
        <v>3.5</v>
      </c>
      <c r="N46" s="46">
        <v>3.5</v>
      </c>
      <c r="O46" s="46">
        <v>3.5</v>
      </c>
      <c r="P46" s="46">
        <v>3.5</v>
      </c>
      <c r="Q46" s="46">
        <v>3.5</v>
      </c>
      <c r="R46" s="46">
        <v>3.5</v>
      </c>
      <c r="S46" s="46">
        <v>3.5</v>
      </c>
      <c r="T46" s="46">
        <v>3.5</v>
      </c>
      <c r="U46" s="46">
        <v>3.5</v>
      </c>
      <c r="V46" s="46">
        <v>3.5</v>
      </c>
      <c r="W46" s="46">
        <v>3.5</v>
      </c>
      <c r="X46" s="46"/>
      <c r="Y46" s="46"/>
      <c r="Z46" s="46">
        <v>3.5</v>
      </c>
      <c r="AA46" s="46">
        <v>3.5</v>
      </c>
      <c r="AB46" s="46">
        <v>3.5</v>
      </c>
      <c r="AC46" s="46">
        <v>3.5</v>
      </c>
      <c r="AD46" s="46">
        <v>3.5</v>
      </c>
      <c r="AE46" s="46">
        <v>3.5</v>
      </c>
      <c r="AF46" s="46">
        <v>3.5</v>
      </c>
      <c r="AG46" s="50">
        <v>14</v>
      </c>
      <c r="AH46" s="48">
        <f t="shared" si="2"/>
        <v>3.5</v>
      </c>
      <c r="AI46" s="49">
        <f t="shared" si="3"/>
        <v>3.5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/>
      <c r="Y47" s="46"/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2</v>
      </c>
      <c r="C48" s="46">
        <v>2</v>
      </c>
      <c r="D48" s="46">
        <v>2</v>
      </c>
      <c r="E48" s="46">
        <v>2</v>
      </c>
      <c r="F48" s="46">
        <v>2</v>
      </c>
      <c r="G48" s="46">
        <v>2</v>
      </c>
      <c r="H48" s="46">
        <v>2</v>
      </c>
      <c r="I48" s="46">
        <v>2</v>
      </c>
      <c r="J48" s="46">
        <v>2</v>
      </c>
      <c r="K48" s="46">
        <v>2</v>
      </c>
      <c r="L48" s="46">
        <v>2</v>
      </c>
      <c r="M48" s="46">
        <v>2</v>
      </c>
      <c r="N48" s="46">
        <v>2</v>
      </c>
      <c r="O48" s="46">
        <v>2</v>
      </c>
      <c r="P48" s="46">
        <v>2</v>
      </c>
      <c r="Q48" s="46">
        <v>2</v>
      </c>
      <c r="R48" s="46">
        <v>2</v>
      </c>
      <c r="S48" s="46">
        <v>2</v>
      </c>
      <c r="T48" s="46">
        <v>2</v>
      </c>
      <c r="U48" s="46">
        <v>2</v>
      </c>
      <c r="V48" s="46">
        <v>2</v>
      </c>
      <c r="W48" s="46">
        <v>2</v>
      </c>
      <c r="X48" s="46"/>
      <c r="Y48" s="46"/>
      <c r="Z48" s="46">
        <v>2</v>
      </c>
      <c r="AA48" s="46">
        <v>2</v>
      </c>
      <c r="AB48" s="46">
        <v>2</v>
      </c>
      <c r="AC48" s="46">
        <v>2</v>
      </c>
      <c r="AD48" s="46">
        <v>2</v>
      </c>
      <c r="AE48" s="46">
        <v>2</v>
      </c>
      <c r="AF48" s="46">
        <v>2</v>
      </c>
      <c r="AG48" s="50">
        <v>13</v>
      </c>
      <c r="AH48" s="48">
        <f t="shared" si="2"/>
        <v>2</v>
      </c>
      <c r="AI48" s="49">
        <f t="shared" si="3"/>
        <v>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6.5</v>
      </c>
      <c r="C49" s="46">
        <v>6.5</v>
      </c>
      <c r="D49" s="46">
        <v>6.5</v>
      </c>
      <c r="E49" s="46">
        <v>6.5</v>
      </c>
      <c r="F49" s="46">
        <v>6.5</v>
      </c>
      <c r="G49" s="46">
        <v>6.5</v>
      </c>
      <c r="H49" s="46">
        <v>6.5</v>
      </c>
      <c r="I49" s="46">
        <v>6.5</v>
      </c>
      <c r="J49" s="46">
        <v>6.5</v>
      </c>
      <c r="K49" s="46">
        <v>6.5</v>
      </c>
      <c r="L49" s="46">
        <v>6.5</v>
      </c>
      <c r="M49" s="46">
        <v>6.5</v>
      </c>
      <c r="N49" s="46">
        <v>6.5</v>
      </c>
      <c r="O49" s="46">
        <v>6.5</v>
      </c>
      <c r="P49" s="46">
        <v>6.5</v>
      </c>
      <c r="Q49" s="46">
        <v>6.5</v>
      </c>
      <c r="R49" s="46">
        <v>6.5</v>
      </c>
      <c r="S49" s="46">
        <v>6.5</v>
      </c>
      <c r="T49" s="46">
        <v>6.5</v>
      </c>
      <c r="U49" s="46">
        <v>6.5</v>
      </c>
      <c r="V49" s="46">
        <v>6.5</v>
      </c>
      <c r="W49" s="46">
        <v>6.5</v>
      </c>
      <c r="X49" s="46"/>
      <c r="Y49" s="46"/>
      <c r="Z49" s="46">
        <v>6.5</v>
      </c>
      <c r="AA49" s="46">
        <v>6.5</v>
      </c>
      <c r="AB49" s="46">
        <v>6.5</v>
      </c>
      <c r="AC49" s="46">
        <v>6.5</v>
      </c>
      <c r="AD49" s="46">
        <v>6.5</v>
      </c>
      <c r="AE49" s="46">
        <v>6.5</v>
      </c>
      <c r="AF49" s="46">
        <v>6.5</v>
      </c>
      <c r="AG49" s="50">
        <v>12</v>
      </c>
      <c r="AH49" s="48">
        <f t="shared" si="2"/>
        <v>6.5</v>
      </c>
      <c r="AI49" s="49">
        <f t="shared" si="3"/>
        <v>6.5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/>
      <c r="Y50" s="46"/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/>
      <c r="Y51" s="46"/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/>
      <c r="Y52" s="46"/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/>
      <c r="Y53" s="46"/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/>
      <c r="Y54" s="46"/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1.9</v>
      </c>
      <c r="C55" s="46">
        <v>1.9</v>
      </c>
      <c r="D55" s="46">
        <v>1.9</v>
      </c>
      <c r="E55" s="46">
        <v>1.9</v>
      </c>
      <c r="F55" s="46">
        <v>1.9</v>
      </c>
      <c r="G55" s="46">
        <v>1.9</v>
      </c>
      <c r="H55" s="46">
        <v>1.9</v>
      </c>
      <c r="I55" s="46">
        <v>1.9</v>
      </c>
      <c r="J55" s="46">
        <v>1.9</v>
      </c>
      <c r="K55" s="46">
        <v>1.9</v>
      </c>
      <c r="L55" s="46">
        <v>1.9</v>
      </c>
      <c r="M55" s="46">
        <v>1.9</v>
      </c>
      <c r="N55" s="46">
        <v>1.9</v>
      </c>
      <c r="O55" s="46">
        <v>1.9</v>
      </c>
      <c r="P55" s="46">
        <v>1.9</v>
      </c>
      <c r="Q55" s="46">
        <v>1.9</v>
      </c>
      <c r="R55" s="46">
        <v>1.9</v>
      </c>
      <c r="S55" s="46">
        <v>1.9</v>
      </c>
      <c r="T55" s="46">
        <v>1.9</v>
      </c>
      <c r="U55" s="46">
        <v>1.9</v>
      </c>
      <c r="V55" s="46">
        <v>1.9</v>
      </c>
      <c r="W55" s="46">
        <v>1.9</v>
      </c>
      <c r="X55" s="46"/>
      <c r="Y55" s="46"/>
      <c r="Z55" s="46">
        <v>1.9</v>
      </c>
      <c r="AA55" s="46">
        <v>1.9</v>
      </c>
      <c r="AB55" s="46">
        <v>1.9</v>
      </c>
      <c r="AC55" s="46">
        <v>1.9</v>
      </c>
      <c r="AD55" s="46">
        <v>1.9</v>
      </c>
      <c r="AE55" s="46">
        <v>1.9</v>
      </c>
      <c r="AF55" s="46">
        <v>1.9</v>
      </c>
      <c r="AG55" s="66">
        <v>11</v>
      </c>
      <c r="AH55" s="48">
        <f t="shared" si="2"/>
        <v>1.9</v>
      </c>
      <c r="AI55" s="49">
        <f t="shared" si="3"/>
        <v>1.9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/>
      <c r="Y56" s="46"/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/>
      <c r="Y57" s="46"/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/>
      <c r="Y58" s="46"/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32.1</v>
      </c>
      <c r="C60" s="68">
        <v>32.1</v>
      </c>
      <c r="D60" s="68">
        <v>32.1</v>
      </c>
      <c r="E60" s="68">
        <v>41.8</v>
      </c>
      <c r="F60" s="68">
        <v>43.8</v>
      </c>
      <c r="G60" s="68">
        <v>43.8</v>
      </c>
      <c r="H60" s="68">
        <v>43.8</v>
      </c>
      <c r="I60" s="68">
        <v>43.8</v>
      </c>
      <c r="J60" s="68">
        <v>42</v>
      </c>
      <c r="K60" s="68">
        <v>42</v>
      </c>
      <c r="L60" s="53">
        <v>41</v>
      </c>
      <c r="M60" s="53">
        <v>39.200000000000003</v>
      </c>
      <c r="N60" s="53">
        <v>39.200000000000003</v>
      </c>
      <c r="O60" s="53">
        <v>39.200000000000003</v>
      </c>
      <c r="P60" s="53">
        <v>39.200000000000003</v>
      </c>
      <c r="Q60" s="53">
        <v>39.200000000000003</v>
      </c>
      <c r="R60" s="53">
        <v>39.200000000000003</v>
      </c>
      <c r="S60" s="53">
        <v>39.200000000000003</v>
      </c>
      <c r="T60" s="53">
        <v>39.200000000000003</v>
      </c>
      <c r="U60" s="53">
        <v>43</v>
      </c>
      <c r="V60" s="53">
        <v>43</v>
      </c>
      <c r="W60" s="53">
        <v>37</v>
      </c>
      <c r="X60" s="53"/>
      <c r="Y60" s="68"/>
      <c r="Z60" s="68">
        <v>37.799999999999997</v>
      </c>
      <c r="AA60" s="68">
        <v>37.799999999999997</v>
      </c>
      <c r="AB60" s="68">
        <v>37.799999999999997</v>
      </c>
      <c r="AC60" s="68">
        <v>37.799999999999997</v>
      </c>
      <c r="AD60" s="68">
        <v>37.799999999999997</v>
      </c>
      <c r="AE60" s="68">
        <v>37.799999999999997</v>
      </c>
      <c r="AF60" s="68">
        <v>37.799999999999997</v>
      </c>
      <c r="AG60" s="66">
        <v>240</v>
      </c>
      <c r="AH60" s="48">
        <f t="shared" si="2"/>
        <v>43.8</v>
      </c>
      <c r="AI60" s="49">
        <f t="shared" si="3"/>
        <v>32.1</v>
      </c>
      <c r="AK60" s="51"/>
    </row>
    <row r="61" spans="1:88" ht="15.75" thickBot="1" x14ac:dyDescent="0.3">
      <c r="A61" s="70" t="s">
        <v>75</v>
      </c>
      <c r="B61" s="71">
        <f>SUM(B11:B59)</f>
        <v>790.2</v>
      </c>
      <c r="C61" s="71">
        <f t="shared" ref="C61:AG61" si="20">SUM(C11:C59)</f>
        <v>790.2</v>
      </c>
      <c r="D61" s="71">
        <f t="shared" si="20"/>
        <v>790.2</v>
      </c>
      <c r="E61" s="71">
        <f t="shared" si="20"/>
        <v>790.2</v>
      </c>
      <c r="F61" s="71">
        <f t="shared" si="20"/>
        <v>790.2</v>
      </c>
      <c r="G61" s="71">
        <f t="shared" si="20"/>
        <v>790.2</v>
      </c>
      <c r="H61" s="71">
        <f t="shared" si="20"/>
        <v>790.2</v>
      </c>
      <c r="I61" s="71">
        <f t="shared" si="20"/>
        <v>790.2</v>
      </c>
      <c r="J61" s="71">
        <f t="shared" si="20"/>
        <v>790.2</v>
      </c>
      <c r="K61" s="71">
        <f t="shared" si="20"/>
        <v>790.2</v>
      </c>
      <c r="L61" s="71">
        <f t="shared" si="20"/>
        <v>790</v>
      </c>
      <c r="M61" s="71">
        <f t="shared" si="20"/>
        <v>780</v>
      </c>
      <c r="N61" s="71">
        <f t="shared" si="20"/>
        <v>780</v>
      </c>
      <c r="O61" s="71">
        <f t="shared" si="20"/>
        <v>780</v>
      </c>
      <c r="P61" s="71">
        <f t="shared" si="20"/>
        <v>780</v>
      </c>
      <c r="Q61" s="71">
        <f t="shared" si="20"/>
        <v>780</v>
      </c>
      <c r="R61" s="71">
        <f t="shared" si="20"/>
        <v>780</v>
      </c>
      <c r="S61" s="71">
        <f t="shared" ref="S61:T61" si="21">SUM(S11:S59)</f>
        <v>780</v>
      </c>
      <c r="T61" s="71">
        <f t="shared" si="21"/>
        <v>780</v>
      </c>
      <c r="U61" s="71">
        <f t="shared" ref="U61:V61" si="22">SUM(U11:U59)</f>
        <v>780</v>
      </c>
      <c r="V61" s="71">
        <f t="shared" si="22"/>
        <v>780</v>
      </c>
      <c r="W61" s="71">
        <f t="shared" ref="W61" si="23">SUM(W11:W59)</f>
        <v>780</v>
      </c>
      <c r="X61" s="71">
        <f t="shared" si="20"/>
        <v>150</v>
      </c>
      <c r="Y61" s="71">
        <f t="shared" si="20"/>
        <v>150</v>
      </c>
      <c r="Z61" s="71">
        <f t="shared" si="20"/>
        <v>780</v>
      </c>
      <c r="AA61" s="71">
        <f t="shared" si="20"/>
        <v>780</v>
      </c>
      <c r="AB61" s="71">
        <f t="shared" si="20"/>
        <v>780</v>
      </c>
      <c r="AC61" s="71">
        <f t="shared" si="20"/>
        <v>780</v>
      </c>
      <c r="AD61" s="71">
        <f t="shared" si="20"/>
        <v>780</v>
      </c>
      <c r="AE61" s="71">
        <f t="shared" si="20"/>
        <v>780</v>
      </c>
      <c r="AF61" s="71">
        <f t="shared" si="20"/>
        <v>780</v>
      </c>
      <c r="AG61" s="71">
        <f t="shared" si="20"/>
        <v>1466.0300000000002</v>
      </c>
      <c r="AH61" s="48">
        <f t="shared" si="2"/>
        <v>790.2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458</v>
      </c>
      <c r="C62" s="46">
        <v>410</v>
      </c>
      <c r="D62" s="46">
        <v>409.9</v>
      </c>
      <c r="E62" s="46">
        <v>423</v>
      </c>
      <c r="F62" s="46">
        <v>380</v>
      </c>
      <c r="G62" s="46">
        <v>370</v>
      </c>
      <c r="H62" s="46">
        <v>410</v>
      </c>
      <c r="I62" s="46">
        <v>456</v>
      </c>
      <c r="J62" s="46">
        <v>90.4</v>
      </c>
      <c r="K62" s="46">
        <v>200</v>
      </c>
      <c r="L62" s="46">
        <v>200</v>
      </c>
      <c r="M62" s="46">
        <v>172.5</v>
      </c>
      <c r="N62" s="46">
        <v>220</v>
      </c>
      <c r="O62" s="46">
        <v>141</v>
      </c>
      <c r="P62" s="46">
        <v>120</v>
      </c>
      <c r="Q62" s="46">
        <v>50</v>
      </c>
      <c r="R62" s="46">
        <v>0</v>
      </c>
      <c r="S62" s="46">
        <v>0</v>
      </c>
      <c r="T62" s="46">
        <v>0</v>
      </c>
      <c r="U62" s="46">
        <v>55.3</v>
      </c>
      <c r="V62" s="46">
        <v>55.3</v>
      </c>
      <c r="W62" s="46">
        <v>329</v>
      </c>
      <c r="X62" s="46"/>
      <c r="Y62" s="46"/>
      <c r="Z62" s="46">
        <v>344.1</v>
      </c>
      <c r="AA62" s="46">
        <v>457.8</v>
      </c>
      <c r="AB62" s="46">
        <v>416</v>
      </c>
      <c r="AC62" s="46">
        <v>400</v>
      </c>
      <c r="AD62" s="46">
        <v>380</v>
      </c>
      <c r="AE62" s="46">
        <v>362</v>
      </c>
      <c r="AF62" s="46">
        <v>171</v>
      </c>
      <c r="AG62" s="61">
        <v>456</v>
      </c>
      <c r="AH62" s="48">
        <f t="shared" si="2"/>
        <v>458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32.700000000000003</v>
      </c>
      <c r="C63" s="76">
        <v>32.1</v>
      </c>
      <c r="D63" s="76">
        <v>32.5</v>
      </c>
      <c r="E63" s="76">
        <v>32.5</v>
      </c>
      <c r="F63" s="76">
        <v>32.5</v>
      </c>
      <c r="G63" s="76">
        <v>32.5</v>
      </c>
      <c r="H63" s="76">
        <v>32.5</v>
      </c>
      <c r="I63" s="76">
        <v>32.5</v>
      </c>
      <c r="J63" s="76">
        <v>32.5</v>
      </c>
      <c r="K63" s="76">
        <v>32.5</v>
      </c>
      <c r="L63" s="76">
        <v>32.5</v>
      </c>
      <c r="M63" s="76">
        <v>32.5</v>
      </c>
      <c r="N63" s="76">
        <v>32.5</v>
      </c>
      <c r="O63" s="76">
        <v>32.5</v>
      </c>
      <c r="P63" s="76">
        <v>32.5</v>
      </c>
      <c r="Q63" s="76">
        <v>32.5</v>
      </c>
      <c r="R63" s="76">
        <v>32.5</v>
      </c>
      <c r="S63" s="76">
        <v>32.5</v>
      </c>
      <c r="T63" s="76">
        <v>32.5</v>
      </c>
      <c r="U63" s="76">
        <v>32.5</v>
      </c>
      <c r="V63" s="76">
        <v>32.5</v>
      </c>
      <c r="W63" s="76">
        <v>32.5</v>
      </c>
      <c r="X63" s="76"/>
      <c r="Y63" s="76"/>
      <c r="Z63" s="76">
        <v>32.5</v>
      </c>
      <c r="AA63" s="76">
        <v>32.5</v>
      </c>
      <c r="AB63" s="76">
        <v>32.5</v>
      </c>
      <c r="AC63" s="76">
        <v>32.5</v>
      </c>
      <c r="AD63" s="76">
        <v>32.5</v>
      </c>
      <c r="AE63" s="76">
        <v>32.5</v>
      </c>
      <c r="AF63" s="76">
        <v>32.5</v>
      </c>
      <c r="AG63" s="66">
        <v>60</v>
      </c>
      <c r="AH63" s="48">
        <f t="shared" si="2"/>
        <v>32.700000000000003</v>
      </c>
      <c r="AI63" s="49">
        <f t="shared" si="3"/>
        <v>32.1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/>
      <c r="Y64" s="78"/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4">SUM(B62:B64)</f>
        <v>513.20000000000005</v>
      </c>
      <c r="C65" s="71">
        <f t="shared" si="24"/>
        <v>464.6</v>
      </c>
      <c r="D65" s="71">
        <f t="shared" si="24"/>
        <v>464.9</v>
      </c>
      <c r="E65" s="71">
        <f t="shared" si="24"/>
        <v>478</v>
      </c>
      <c r="F65" s="71">
        <f t="shared" si="24"/>
        <v>435</v>
      </c>
      <c r="G65" s="71">
        <f t="shared" si="24"/>
        <v>425</v>
      </c>
      <c r="H65" s="71">
        <f t="shared" si="24"/>
        <v>465</v>
      </c>
      <c r="I65" s="71">
        <f t="shared" si="24"/>
        <v>511</v>
      </c>
      <c r="J65" s="71">
        <f t="shared" si="24"/>
        <v>145.4</v>
      </c>
      <c r="K65" s="71">
        <f t="shared" si="24"/>
        <v>255</v>
      </c>
      <c r="L65" s="71">
        <f t="shared" si="24"/>
        <v>255</v>
      </c>
      <c r="M65" s="71">
        <f t="shared" si="24"/>
        <v>227.5</v>
      </c>
      <c r="N65" s="71">
        <f t="shared" si="24"/>
        <v>275</v>
      </c>
      <c r="O65" s="71">
        <f t="shared" si="24"/>
        <v>196</v>
      </c>
      <c r="P65" s="71">
        <f t="shared" si="24"/>
        <v>175</v>
      </c>
      <c r="Q65" s="71">
        <f t="shared" si="24"/>
        <v>105</v>
      </c>
      <c r="R65" s="71">
        <f t="shared" si="24"/>
        <v>55</v>
      </c>
      <c r="S65" s="71">
        <f t="shared" ref="S65:T65" si="25">SUM(S62:S64)</f>
        <v>55</v>
      </c>
      <c r="T65" s="71">
        <f t="shared" si="25"/>
        <v>55</v>
      </c>
      <c r="U65" s="71">
        <f t="shared" ref="U65:V65" si="26">SUM(U62:U64)</f>
        <v>110.3</v>
      </c>
      <c r="V65" s="71">
        <f t="shared" si="26"/>
        <v>110.3</v>
      </c>
      <c r="W65" s="71">
        <f t="shared" ref="W65" si="27">SUM(W62:W64)</f>
        <v>384</v>
      </c>
      <c r="X65" s="71">
        <f t="shared" si="24"/>
        <v>0</v>
      </c>
      <c r="Y65" s="71">
        <f t="shared" si="24"/>
        <v>0</v>
      </c>
      <c r="Z65" s="71">
        <f t="shared" si="24"/>
        <v>399.1</v>
      </c>
      <c r="AA65" s="71">
        <f t="shared" si="24"/>
        <v>512.79999999999995</v>
      </c>
      <c r="AB65" s="71">
        <f t="shared" si="24"/>
        <v>471</v>
      </c>
      <c r="AC65" s="71">
        <f t="shared" si="24"/>
        <v>455</v>
      </c>
      <c r="AD65" s="71">
        <f t="shared" si="24"/>
        <v>435</v>
      </c>
      <c r="AE65" s="71">
        <f t="shared" si="24"/>
        <v>417</v>
      </c>
      <c r="AF65" s="71">
        <f t="shared" si="24"/>
        <v>226</v>
      </c>
      <c r="AG65" s="72">
        <f t="shared" si="24"/>
        <v>538.1</v>
      </c>
      <c r="AH65" s="48">
        <f t="shared" si="2"/>
        <v>513.20000000000005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144</v>
      </c>
      <c r="E66" s="46">
        <v>144</v>
      </c>
      <c r="F66" s="46">
        <v>144</v>
      </c>
      <c r="G66" s="46">
        <v>144</v>
      </c>
      <c r="H66" s="46">
        <v>144</v>
      </c>
      <c r="I66" s="46">
        <v>144</v>
      </c>
      <c r="J66" s="46">
        <v>144</v>
      </c>
      <c r="K66" s="46">
        <v>144</v>
      </c>
      <c r="L66" s="46">
        <v>144</v>
      </c>
      <c r="M66" s="46">
        <v>144</v>
      </c>
      <c r="N66" s="46">
        <v>144</v>
      </c>
      <c r="O66" s="46">
        <v>144</v>
      </c>
      <c r="P66" s="46">
        <v>144</v>
      </c>
      <c r="Q66" s="46">
        <v>144</v>
      </c>
      <c r="R66" s="46">
        <v>144</v>
      </c>
      <c r="S66" s="46">
        <v>144</v>
      </c>
      <c r="T66" s="46">
        <v>144</v>
      </c>
      <c r="U66" s="46">
        <v>144</v>
      </c>
      <c r="V66" s="46">
        <v>144</v>
      </c>
      <c r="W66" s="46">
        <v>144</v>
      </c>
      <c r="X66" s="46"/>
      <c r="Y66" s="46"/>
      <c r="Z66" s="46">
        <v>110</v>
      </c>
      <c r="AA66" s="46">
        <v>143.9</v>
      </c>
      <c r="AB66" s="46">
        <v>143.9</v>
      </c>
      <c r="AC66" s="46">
        <v>143.9</v>
      </c>
      <c r="AD66" s="46">
        <v>143.9</v>
      </c>
      <c r="AE66" s="46">
        <v>143.9</v>
      </c>
      <c r="AF66" s="46">
        <v>143.9</v>
      </c>
      <c r="AG66" s="61">
        <v>144</v>
      </c>
      <c r="AH66" s="48">
        <f t="shared" si="2"/>
        <v>144</v>
      </c>
      <c r="AI66" s="49">
        <f t="shared" si="3"/>
        <v>110</v>
      </c>
      <c r="AK66" s="51"/>
      <c r="AY66" s="1" t="s">
        <v>86</v>
      </c>
      <c r="AZ66" s="82">
        <f>ROUND(C84,0)</f>
        <v>17</v>
      </c>
      <c r="BA66" s="81">
        <f t="shared" ref="BA66:BD70" si="28">D84</f>
        <v>16</v>
      </c>
      <c r="BB66" s="81">
        <f t="shared" si="28"/>
        <v>21.9</v>
      </c>
      <c r="BC66" s="81">
        <f t="shared" si="28"/>
        <v>19.7</v>
      </c>
      <c r="BD66" s="81">
        <f t="shared" si="28"/>
        <v>13.5</v>
      </c>
      <c r="BE66" s="82">
        <f>I84</f>
        <v>10.7</v>
      </c>
      <c r="BF66" s="82">
        <f>K84</f>
        <v>6.3</v>
      </c>
      <c r="BG66" s="82">
        <f t="shared" ref="BG66:BP70" si="29">M84</f>
        <v>6.5</v>
      </c>
      <c r="BH66" s="82">
        <f t="shared" si="29"/>
        <v>42.4</v>
      </c>
      <c r="BI66" s="82">
        <f t="shared" si="29"/>
        <v>59</v>
      </c>
      <c r="BJ66" s="82">
        <f t="shared" si="29"/>
        <v>59</v>
      </c>
      <c r="BK66" s="82">
        <f t="shared" si="29"/>
        <v>49.4</v>
      </c>
      <c r="BL66" s="82">
        <f t="shared" si="29"/>
        <v>58</v>
      </c>
      <c r="BM66" s="82">
        <f t="shared" si="29"/>
        <v>61.6</v>
      </c>
      <c r="BN66" s="82">
        <f t="shared" si="29"/>
        <v>53</v>
      </c>
      <c r="BO66" s="82">
        <f t="shared" si="29"/>
        <v>46.1</v>
      </c>
      <c r="BP66" s="82">
        <f t="shared" si="29"/>
        <v>60.4</v>
      </c>
      <c r="BQ66" s="82">
        <f>X84</f>
        <v>0</v>
      </c>
      <c r="BR66" s="82">
        <f>Z84</f>
        <v>49.7</v>
      </c>
      <c r="BS66" s="81">
        <f>AB84</f>
        <v>27</v>
      </c>
      <c r="BT66" s="81">
        <f t="shared" ref="BT66:BV70" si="30">AD84</f>
        <v>60</v>
      </c>
      <c r="BU66" s="81">
        <f t="shared" si="30"/>
        <v>59</v>
      </c>
      <c r="BV66" s="81">
        <f t="shared" si="30"/>
        <v>62</v>
      </c>
      <c r="BW66" s="81">
        <f>B84</f>
        <v>15</v>
      </c>
    </row>
    <row r="67" spans="1:75" x14ac:dyDescent="0.25">
      <c r="A67" s="65" t="s">
        <v>81</v>
      </c>
      <c r="B67" s="76">
        <v>69</v>
      </c>
      <c r="C67" s="76">
        <v>70</v>
      </c>
      <c r="D67" s="76">
        <v>70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46"/>
      <c r="Y67" s="46"/>
      <c r="Z67" s="46">
        <v>56.9</v>
      </c>
      <c r="AA67" s="46">
        <v>68.3</v>
      </c>
      <c r="AB67" s="46">
        <v>68.3</v>
      </c>
      <c r="AC67" s="46">
        <v>68.3</v>
      </c>
      <c r="AD67" s="46">
        <v>68.3</v>
      </c>
      <c r="AE67" s="46">
        <v>68.3</v>
      </c>
      <c r="AF67" s="46">
        <v>68.3</v>
      </c>
      <c r="AG67" s="66">
        <v>70</v>
      </c>
      <c r="AH67" s="48">
        <f t="shared" si="2"/>
        <v>70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28"/>
        <v>0</v>
      </c>
      <c r="BB67" s="81">
        <f t="shared" si="28"/>
        <v>0</v>
      </c>
      <c r="BC67" s="81">
        <f t="shared" si="28"/>
        <v>0</v>
      </c>
      <c r="BD67" s="81">
        <f t="shared" si="28"/>
        <v>0</v>
      </c>
      <c r="BE67" s="82">
        <f>I85</f>
        <v>0</v>
      </c>
      <c r="BF67" s="82">
        <f>K85</f>
        <v>0</v>
      </c>
      <c r="BG67" s="82">
        <f t="shared" si="29"/>
        <v>0</v>
      </c>
      <c r="BH67" s="82">
        <f t="shared" si="29"/>
        <v>0</v>
      </c>
      <c r="BI67" s="82">
        <f t="shared" si="29"/>
        <v>0</v>
      </c>
      <c r="BJ67" s="82">
        <f t="shared" si="29"/>
        <v>0</v>
      </c>
      <c r="BK67" s="82">
        <f t="shared" si="29"/>
        <v>0</v>
      </c>
      <c r="BL67" s="82">
        <f t="shared" si="29"/>
        <v>0</v>
      </c>
      <c r="BM67" s="82">
        <f t="shared" si="29"/>
        <v>0</v>
      </c>
      <c r="BN67" s="82">
        <f t="shared" si="29"/>
        <v>0</v>
      </c>
      <c r="BO67" s="82">
        <f t="shared" si="29"/>
        <v>0</v>
      </c>
      <c r="BP67" s="82">
        <f t="shared" si="29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0"/>
        <v>0</v>
      </c>
      <c r="BU67" s="81">
        <f t="shared" si="30"/>
        <v>0</v>
      </c>
      <c r="BV67" s="81">
        <f t="shared" si="30"/>
        <v>0</v>
      </c>
      <c r="BW67" s="81">
        <f>B85</f>
        <v>0</v>
      </c>
    </row>
    <row r="68" spans="1:75" x14ac:dyDescent="0.25">
      <c r="A68" s="65" t="s">
        <v>82</v>
      </c>
      <c r="B68" s="76">
        <v>69</v>
      </c>
      <c r="C68" s="76">
        <v>63.5</v>
      </c>
      <c r="D68" s="76">
        <v>63.5</v>
      </c>
      <c r="E68" s="76">
        <v>69.2</v>
      </c>
      <c r="F68" s="76">
        <v>69.2</v>
      </c>
      <c r="G68" s="76">
        <v>69.2</v>
      </c>
      <c r="H68" s="76">
        <v>69.2</v>
      </c>
      <c r="I68" s="76">
        <v>69.2</v>
      </c>
      <c r="J68" s="76">
        <v>69.2</v>
      </c>
      <c r="K68" s="76">
        <v>69.2</v>
      </c>
      <c r="L68" s="76">
        <v>69.2</v>
      </c>
      <c r="M68" s="76">
        <v>69.2</v>
      </c>
      <c r="N68" s="76">
        <v>69.2</v>
      </c>
      <c r="O68" s="76">
        <v>69.2</v>
      </c>
      <c r="P68" s="76">
        <v>69.2</v>
      </c>
      <c r="Q68" s="76">
        <v>69.2</v>
      </c>
      <c r="R68" s="76">
        <v>69.2</v>
      </c>
      <c r="S68" s="76">
        <v>69.2</v>
      </c>
      <c r="T68" s="76">
        <v>69.2</v>
      </c>
      <c r="U68" s="76">
        <v>69.2</v>
      </c>
      <c r="V68" s="76">
        <v>69.2</v>
      </c>
      <c r="W68" s="76">
        <v>69.2</v>
      </c>
      <c r="X68" s="46"/>
      <c r="Y68" s="46"/>
      <c r="Z68" s="46">
        <v>69.2</v>
      </c>
      <c r="AA68" s="46">
        <v>51.2</v>
      </c>
      <c r="AB68" s="46">
        <v>70</v>
      </c>
      <c r="AC68" s="46">
        <v>70</v>
      </c>
      <c r="AD68" s="46">
        <v>70</v>
      </c>
      <c r="AE68" s="46">
        <v>70</v>
      </c>
      <c r="AF68" s="46">
        <v>70</v>
      </c>
      <c r="AG68" s="66">
        <v>69</v>
      </c>
      <c r="AH68" s="48">
        <f t="shared" si="2"/>
        <v>70</v>
      </c>
      <c r="AI68" s="49">
        <f t="shared" si="3"/>
        <v>51.2</v>
      </c>
      <c r="AK68" s="51"/>
      <c r="AL68" s="83"/>
      <c r="AO68" s="83"/>
      <c r="AY68" s="1" t="s">
        <v>90</v>
      </c>
      <c r="AZ68" s="82">
        <f>ROUND(C86,0)</f>
        <v>-407</v>
      </c>
      <c r="BA68" s="81">
        <f t="shared" si="28"/>
        <v>-402</v>
      </c>
      <c r="BB68" s="81">
        <f t="shared" si="28"/>
        <v>-415</v>
      </c>
      <c r="BC68" s="81">
        <f t="shared" si="28"/>
        <v>-399</v>
      </c>
      <c r="BD68" s="81">
        <f t="shared" si="28"/>
        <v>-398</v>
      </c>
      <c r="BE68" s="82">
        <f>I86</f>
        <v>-415</v>
      </c>
      <c r="BF68" s="82">
        <f>K86</f>
        <v>6.7</v>
      </c>
      <c r="BG68" s="82">
        <f t="shared" si="29"/>
        <v>1.9</v>
      </c>
      <c r="BH68" s="82">
        <f t="shared" si="29"/>
        <v>10</v>
      </c>
      <c r="BI68" s="82">
        <f t="shared" si="29"/>
        <v>165</v>
      </c>
      <c r="BJ68" s="82">
        <f t="shared" si="29"/>
        <v>165</v>
      </c>
      <c r="BK68" s="82">
        <f t="shared" si="29"/>
        <v>245</v>
      </c>
      <c r="BL68" s="82">
        <f t="shared" si="29"/>
        <v>349</v>
      </c>
      <c r="BM68" s="82">
        <f t="shared" si="29"/>
        <v>340.5</v>
      </c>
      <c r="BN68" s="82">
        <f t="shared" si="29"/>
        <v>344</v>
      </c>
      <c r="BO68" s="82">
        <f t="shared" si="29"/>
        <v>300.39999999999998</v>
      </c>
      <c r="BP68" s="82">
        <f t="shared" si="29"/>
        <v>20</v>
      </c>
      <c r="BQ68" s="82">
        <f>X86</f>
        <v>0</v>
      </c>
      <c r="BR68" s="82">
        <f>Z86</f>
        <v>148.6</v>
      </c>
      <c r="BS68" s="81">
        <f>AB86</f>
        <v>-110</v>
      </c>
      <c r="BT68" s="81">
        <f t="shared" si="30"/>
        <v>-162</v>
      </c>
      <c r="BU68" s="81">
        <f t="shared" si="30"/>
        <v>-157</v>
      </c>
      <c r="BV68" s="81">
        <f t="shared" si="30"/>
        <v>0</v>
      </c>
      <c r="BW68" s="81">
        <f>B86</f>
        <v>-430</v>
      </c>
    </row>
    <row r="69" spans="1:75" s="83" customFormat="1" x14ac:dyDescent="0.25">
      <c r="A69" s="65" t="s">
        <v>83</v>
      </c>
      <c r="B69" s="76">
        <v>62</v>
      </c>
      <c r="C69" s="76">
        <v>62</v>
      </c>
      <c r="D69" s="76">
        <v>62</v>
      </c>
      <c r="E69" s="76">
        <v>62</v>
      </c>
      <c r="F69" s="76">
        <v>62</v>
      </c>
      <c r="G69" s="76">
        <v>62</v>
      </c>
      <c r="H69" s="76">
        <v>62</v>
      </c>
      <c r="I69" s="76">
        <v>62</v>
      </c>
      <c r="J69" s="76">
        <v>62</v>
      </c>
      <c r="K69" s="76">
        <v>62</v>
      </c>
      <c r="L69" s="76">
        <v>62</v>
      </c>
      <c r="M69" s="76">
        <v>62</v>
      </c>
      <c r="N69" s="76">
        <v>62</v>
      </c>
      <c r="O69" s="76">
        <v>62</v>
      </c>
      <c r="P69" s="76">
        <v>62</v>
      </c>
      <c r="Q69" s="76">
        <v>62</v>
      </c>
      <c r="R69" s="76">
        <v>62</v>
      </c>
      <c r="S69" s="76">
        <v>62</v>
      </c>
      <c r="T69" s="76">
        <v>62</v>
      </c>
      <c r="U69" s="76">
        <v>62</v>
      </c>
      <c r="V69" s="76">
        <v>62</v>
      </c>
      <c r="W69" s="76">
        <v>62</v>
      </c>
      <c r="X69" s="46"/>
      <c r="Y69" s="46"/>
      <c r="Z69" s="46">
        <v>62</v>
      </c>
      <c r="AA69" s="46">
        <v>61.5</v>
      </c>
      <c r="AB69" s="46">
        <v>61.5</v>
      </c>
      <c r="AC69" s="46">
        <v>61.5</v>
      </c>
      <c r="AD69" s="46">
        <v>61.5</v>
      </c>
      <c r="AE69" s="46">
        <v>61.5</v>
      </c>
      <c r="AF69" s="46">
        <v>61.5</v>
      </c>
      <c r="AG69" s="66">
        <v>60</v>
      </c>
      <c r="AH69" s="48">
        <f t="shared" si="2"/>
        <v>62</v>
      </c>
      <c r="AI69" s="49">
        <f t="shared" si="3"/>
        <v>61.5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8"/>
        <v>0</v>
      </c>
      <c r="BB69" s="81">
        <f t="shared" si="28"/>
        <v>0</v>
      </c>
      <c r="BC69" s="81">
        <f t="shared" si="28"/>
        <v>0</v>
      </c>
      <c r="BD69" s="81">
        <f t="shared" si="28"/>
        <v>0</v>
      </c>
      <c r="BE69" s="82">
        <f>I87</f>
        <v>0</v>
      </c>
      <c r="BF69" s="82">
        <f>K87</f>
        <v>0</v>
      </c>
      <c r="BG69" s="82">
        <f t="shared" si="29"/>
        <v>0</v>
      </c>
      <c r="BH69" s="82">
        <f t="shared" si="29"/>
        <v>0</v>
      </c>
      <c r="BI69" s="82">
        <f t="shared" si="29"/>
        <v>21</v>
      </c>
      <c r="BJ69" s="82">
        <f t="shared" si="29"/>
        <v>21</v>
      </c>
      <c r="BK69" s="82">
        <f t="shared" si="29"/>
        <v>25.6</v>
      </c>
      <c r="BL69" s="82">
        <f t="shared" si="29"/>
        <v>25.6</v>
      </c>
      <c r="BM69" s="82">
        <f t="shared" si="29"/>
        <v>26.9</v>
      </c>
      <c r="BN69" s="82">
        <f t="shared" si="29"/>
        <v>23.2</v>
      </c>
      <c r="BO69" s="82">
        <f t="shared" si="29"/>
        <v>27.5</v>
      </c>
      <c r="BP69" s="82">
        <f t="shared" si="29"/>
        <v>9.4</v>
      </c>
      <c r="BQ69" s="82">
        <f>X87</f>
        <v>0</v>
      </c>
      <c r="BR69" s="82">
        <f>Z87</f>
        <v>9</v>
      </c>
      <c r="BS69" s="81">
        <f>AB87</f>
        <v>14</v>
      </c>
      <c r="BT69" s="81">
        <f t="shared" si="30"/>
        <v>13</v>
      </c>
      <c r="BU69" s="81">
        <f t="shared" si="30"/>
        <v>14</v>
      </c>
      <c r="BV69" s="81">
        <f t="shared" si="30"/>
        <v>15</v>
      </c>
      <c r="BW69" s="81">
        <f>B87</f>
        <v>0</v>
      </c>
    </row>
    <row r="70" spans="1:75" x14ac:dyDescent="0.25">
      <c r="A70" s="65" t="s">
        <v>84</v>
      </c>
      <c r="B70" s="46">
        <v>14</v>
      </c>
      <c r="C70" s="46">
        <v>14</v>
      </c>
      <c r="D70" s="46">
        <v>14</v>
      </c>
      <c r="E70" s="46">
        <v>10</v>
      </c>
      <c r="F70" s="46">
        <v>10</v>
      </c>
      <c r="G70" s="46">
        <v>10</v>
      </c>
      <c r="H70" s="46">
        <v>10</v>
      </c>
      <c r="I70" s="46">
        <v>10</v>
      </c>
      <c r="J70" s="46">
        <v>10</v>
      </c>
      <c r="K70" s="46">
        <v>10</v>
      </c>
      <c r="L70" s="46">
        <v>10</v>
      </c>
      <c r="M70" s="46">
        <v>10</v>
      </c>
      <c r="N70" s="46">
        <v>10</v>
      </c>
      <c r="O70" s="46">
        <v>10</v>
      </c>
      <c r="P70" s="46">
        <v>10</v>
      </c>
      <c r="Q70" s="46">
        <v>24</v>
      </c>
      <c r="R70" s="46">
        <v>24</v>
      </c>
      <c r="S70" s="46">
        <v>24</v>
      </c>
      <c r="T70" s="46">
        <v>24</v>
      </c>
      <c r="U70" s="46">
        <v>24</v>
      </c>
      <c r="V70" s="46">
        <v>24</v>
      </c>
      <c r="W70" s="46">
        <v>22.8</v>
      </c>
      <c r="X70" s="46"/>
      <c r="Y70" s="46"/>
      <c r="Z70" s="46">
        <v>10</v>
      </c>
      <c r="AA70" s="46">
        <v>14.4</v>
      </c>
      <c r="AB70" s="46">
        <v>14.4</v>
      </c>
      <c r="AC70" s="46">
        <v>14.4</v>
      </c>
      <c r="AD70" s="46">
        <v>14.4</v>
      </c>
      <c r="AE70" s="46">
        <v>14.4</v>
      </c>
      <c r="AF70" s="46">
        <v>14.4</v>
      </c>
      <c r="AG70" s="66">
        <v>30</v>
      </c>
      <c r="AH70" s="48">
        <f t="shared" si="2"/>
        <v>24</v>
      </c>
      <c r="AI70" s="49">
        <f t="shared" si="3"/>
        <v>10</v>
      </c>
      <c r="AK70" s="51"/>
      <c r="AY70" s="1" t="s">
        <v>94</v>
      </c>
      <c r="AZ70" s="82">
        <f>ROUND(C88,0)</f>
        <v>0</v>
      </c>
      <c r="BA70" s="81">
        <f t="shared" si="28"/>
        <v>0</v>
      </c>
      <c r="BB70" s="81">
        <f t="shared" si="28"/>
        <v>0</v>
      </c>
      <c r="BC70" s="81">
        <f t="shared" si="28"/>
        <v>0</v>
      </c>
      <c r="BD70" s="81">
        <f t="shared" si="28"/>
        <v>0</v>
      </c>
      <c r="BE70" s="82">
        <f>I88</f>
        <v>0</v>
      </c>
      <c r="BF70" s="82">
        <f>K88</f>
        <v>0</v>
      </c>
      <c r="BG70" s="82">
        <f t="shared" si="29"/>
        <v>110</v>
      </c>
      <c r="BH70" s="82">
        <f t="shared" si="29"/>
        <v>120</v>
      </c>
      <c r="BI70" s="82">
        <f t="shared" si="29"/>
        <v>120</v>
      </c>
      <c r="BJ70" s="82">
        <f t="shared" si="29"/>
        <v>120</v>
      </c>
      <c r="BK70" s="82">
        <f t="shared" si="29"/>
        <v>137</v>
      </c>
      <c r="BL70" s="82">
        <f t="shared" si="29"/>
        <v>117</v>
      </c>
      <c r="BM70" s="82">
        <f t="shared" si="29"/>
        <v>143.19999999999999</v>
      </c>
      <c r="BN70" s="82">
        <f t="shared" si="29"/>
        <v>118.6</v>
      </c>
      <c r="BO70" s="82">
        <f t="shared" si="29"/>
        <v>103.98</v>
      </c>
      <c r="BP70" s="82">
        <f t="shared" si="29"/>
        <v>119.9</v>
      </c>
      <c r="BQ70" s="82">
        <f>X88</f>
        <v>0</v>
      </c>
      <c r="BR70" s="82">
        <f>Z88</f>
        <v>65.599999999999994</v>
      </c>
      <c r="BS70" s="81">
        <f>AB88</f>
        <v>0</v>
      </c>
      <c r="BT70" s="81">
        <f t="shared" si="30"/>
        <v>0</v>
      </c>
      <c r="BU70" s="81">
        <f t="shared" si="30"/>
        <v>0</v>
      </c>
      <c r="BV70" s="81">
        <f t="shared" si="30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0.2</v>
      </c>
      <c r="I71" s="46">
        <v>1.6</v>
      </c>
      <c r="J71" s="46">
        <v>2.4</v>
      </c>
      <c r="K71" s="46">
        <v>5.3</v>
      </c>
      <c r="L71" s="46">
        <v>5.3</v>
      </c>
      <c r="M71" s="46">
        <v>5.3</v>
      </c>
      <c r="N71" s="46">
        <v>5.3</v>
      </c>
      <c r="O71" s="46">
        <v>5.3</v>
      </c>
      <c r="P71" s="46">
        <v>5.3</v>
      </c>
      <c r="Q71" s="46">
        <v>5.3</v>
      </c>
      <c r="R71" s="46">
        <v>5.3</v>
      </c>
      <c r="S71" s="46">
        <v>14.7</v>
      </c>
      <c r="T71" s="46">
        <v>12.4</v>
      </c>
      <c r="U71" s="46">
        <v>6.8</v>
      </c>
      <c r="V71" s="46">
        <v>4.0999999999999996</v>
      </c>
      <c r="W71" s="46">
        <v>1.1000000000000001</v>
      </c>
      <c r="X71" s="46"/>
      <c r="Y71" s="46"/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14.7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1">M94</f>
        <v>0</v>
      </c>
      <c r="BH71" s="82">
        <f t="shared" si="31"/>
        <v>0</v>
      </c>
      <c r="BI71" s="82">
        <f t="shared" si="31"/>
        <v>0</v>
      </c>
      <c r="BJ71" s="82">
        <f t="shared" si="31"/>
        <v>0</v>
      </c>
      <c r="BK71" s="82">
        <f t="shared" si="31"/>
        <v>0</v>
      </c>
      <c r="BL71" s="82">
        <f t="shared" si="31"/>
        <v>0</v>
      </c>
      <c r="BM71" s="82">
        <f t="shared" si="31"/>
        <v>0</v>
      </c>
      <c r="BN71" s="82">
        <f t="shared" si="31"/>
        <v>0</v>
      </c>
      <c r="BO71" s="82">
        <f t="shared" si="31"/>
        <v>0</v>
      </c>
      <c r="BP71" s="82">
        <f t="shared" si="31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8.8000000000000007</v>
      </c>
      <c r="C72" s="76">
        <v>9.1999999999999993</v>
      </c>
      <c r="D72" s="76">
        <v>9.1999999999999993</v>
      </c>
      <c r="E72" s="76">
        <v>9.1999999999999993</v>
      </c>
      <c r="F72" s="76">
        <v>9.1999999999999993</v>
      </c>
      <c r="G72" s="76">
        <v>9.1999999999999993</v>
      </c>
      <c r="H72" s="76">
        <v>9.1999999999999993</v>
      </c>
      <c r="I72" s="76">
        <v>9.1999999999999993</v>
      </c>
      <c r="J72" s="76">
        <v>10.4</v>
      </c>
      <c r="K72" s="76">
        <v>10.4</v>
      </c>
      <c r="L72" s="76">
        <v>10.4</v>
      </c>
      <c r="M72" s="76">
        <v>10.4</v>
      </c>
      <c r="N72" s="76">
        <v>10.4</v>
      </c>
      <c r="O72" s="76">
        <v>10.4</v>
      </c>
      <c r="P72" s="76">
        <v>10.4</v>
      </c>
      <c r="Q72" s="76">
        <v>10.4</v>
      </c>
      <c r="R72" s="76">
        <v>10.4</v>
      </c>
      <c r="S72" s="76">
        <v>10.4</v>
      </c>
      <c r="T72" s="76">
        <v>10.4</v>
      </c>
      <c r="U72" s="76">
        <v>10.4</v>
      </c>
      <c r="V72" s="76">
        <v>10.4</v>
      </c>
      <c r="W72" s="76">
        <v>10.4</v>
      </c>
      <c r="X72" s="76"/>
      <c r="Y72" s="76"/>
      <c r="Z72" s="76">
        <v>10.4</v>
      </c>
      <c r="AA72" s="76">
        <v>10.4</v>
      </c>
      <c r="AB72" s="76">
        <v>10.4</v>
      </c>
      <c r="AC72" s="76">
        <v>10.4</v>
      </c>
      <c r="AD72" s="76">
        <v>10.4</v>
      </c>
      <c r="AE72" s="76">
        <v>10.4</v>
      </c>
      <c r="AF72" s="76">
        <v>10.4</v>
      </c>
      <c r="AG72" s="66">
        <v>24</v>
      </c>
      <c r="AH72" s="48">
        <f t="shared" si="2"/>
        <v>10.4</v>
      </c>
      <c r="AI72" s="49">
        <f t="shared" si="3"/>
        <v>8.8000000000000007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2.5</v>
      </c>
      <c r="C73" s="76">
        <v>2.5</v>
      </c>
      <c r="D73" s="76">
        <v>2.5</v>
      </c>
      <c r="E73" s="76">
        <v>2.5</v>
      </c>
      <c r="F73" s="76">
        <v>2.5</v>
      </c>
      <c r="G73" s="76">
        <v>2.5</v>
      </c>
      <c r="H73" s="76">
        <v>2.5</v>
      </c>
      <c r="I73" s="76">
        <v>2.5</v>
      </c>
      <c r="J73" s="76">
        <v>2.5</v>
      </c>
      <c r="K73" s="76">
        <v>2.5</v>
      </c>
      <c r="L73" s="76">
        <v>2.5</v>
      </c>
      <c r="M73" s="76">
        <v>2.5</v>
      </c>
      <c r="N73" s="76">
        <v>2.5</v>
      </c>
      <c r="O73" s="76">
        <v>2.5</v>
      </c>
      <c r="P73" s="76">
        <v>2.5</v>
      </c>
      <c r="Q73" s="76">
        <v>2.5</v>
      </c>
      <c r="R73" s="76">
        <v>2.5</v>
      </c>
      <c r="S73" s="76">
        <v>2.5</v>
      </c>
      <c r="T73" s="76">
        <v>2.5</v>
      </c>
      <c r="U73" s="76">
        <v>2.5</v>
      </c>
      <c r="V73" s="76">
        <v>2.5</v>
      </c>
      <c r="W73" s="76">
        <v>2.5</v>
      </c>
      <c r="X73" s="76"/>
      <c r="Y73" s="76"/>
      <c r="Z73" s="76">
        <v>2.5</v>
      </c>
      <c r="AA73" s="76">
        <v>2.5</v>
      </c>
      <c r="AB73" s="76">
        <v>2.5</v>
      </c>
      <c r="AC73" s="76">
        <v>2.5</v>
      </c>
      <c r="AD73" s="76">
        <v>2.5</v>
      </c>
      <c r="AE73" s="76">
        <v>2.5</v>
      </c>
      <c r="AF73" s="76">
        <v>2.5</v>
      </c>
      <c r="AG73" s="66">
        <v>15</v>
      </c>
      <c r="AH73" s="48">
        <f t="shared" si="2"/>
        <v>2.5</v>
      </c>
      <c r="AI73" s="49">
        <f t="shared" si="3"/>
        <v>2.5</v>
      </c>
      <c r="AK73" s="51"/>
      <c r="AZ73" s="82">
        <f t="shared" ref="AZ73:BW78" si="32">VALUE(AZ66)</f>
        <v>17</v>
      </c>
      <c r="BA73" s="82">
        <f t="shared" si="32"/>
        <v>16</v>
      </c>
      <c r="BB73" s="82">
        <f t="shared" si="32"/>
        <v>21.9</v>
      </c>
      <c r="BC73" s="82">
        <f t="shared" si="32"/>
        <v>19.7</v>
      </c>
      <c r="BD73" s="82">
        <f t="shared" si="32"/>
        <v>13.5</v>
      </c>
      <c r="BE73" s="82">
        <f t="shared" si="32"/>
        <v>10.7</v>
      </c>
      <c r="BF73" s="82">
        <f t="shared" si="32"/>
        <v>6.3</v>
      </c>
      <c r="BG73" s="82">
        <f t="shared" si="32"/>
        <v>6.5</v>
      </c>
      <c r="BH73" s="82">
        <f t="shared" si="32"/>
        <v>42.4</v>
      </c>
      <c r="BI73" s="82">
        <f t="shared" si="32"/>
        <v>59</v>
      </c>
      <c r="BJ73" s="82">
        <f t="shared" si="32"/>
        <v>59</v>
      </c>
      <c r="BK73" s="82">
        <f t="shared" si="32"/>
        <v>49.4</v>
      </c>
      <c r="BL73" s="82">
        <f t="shared" si="32"/>
        <v>58</v>
      </c>
      <c r="BM73" s="82">
        <f t="shared" si="32"/>
        <v>61.6</v>
      </c>
      <c r="BN73" s="82">
        <f t="shared" si="32"/>
        <v>53</v>
      </c>
      <c r="BO73" s="82">
        <f t="shared" si="32"/>
        <v>46.1</v>
      </c>
      <c r="BP73" s="82">
        <f t="shared" si="32"/>
        <v>60.4</v>
      </c>
      <c r="BQ73" s="82">
        <f t="shared" si="32"/>
        <v>0</v>
      </c>
      <c r="BR73" s="82">
        <f t="shared" si="32"/>
        <v>49.7</v>
      </c>
      <c r="BS73" s="82">
        <f t="shared" si="32"/>
        <v>27</v>
      </c>
      <c r="BT73" s="82">
        <f t="shared" si="32"/>
        <v>60</v>
      </c>
      <c r="BU73" s="82">
        <f t="shared" si="32"/>
        <v>59</v>
      </c>
      <c r="BV73" s="82">
        <f t="shared" si="32"/>
        <v>62</v>
      </c>
      <c r="BW73" s="82">
        <f t="shared" si="32"/>
        <v>15</v>
      </c>
    </row>
    <row r="74" spans="1:75" x14ac:dyDescent="0.25">
      <c r="A74" s="65" t="s">
        <v>91</v>
      </c>
      <c r="B74" s="76">
        <v>7.2</v>
      </c>
      <c r="C74" s="76">
        <v>7.8</v>
      </c>
      <c r="D74" s="76">
        <v>7.8</v>
      </c>
      <c r="E74" s="76">
        <v>7.8</v>
      </c>
      <c r="F74" s="76">
        <v>7.8</v>
      </c>
      <c r="G74" s="76">
        <v>8.6999999999999993</v>
      </c>
      <c r="H74" s="76">
        <v>8.6999999999999993</v>
      </c>
      <c r="I74" s="76">
        <v>8.6999999999999993</v>
      </c>
      <c r="J74" s="76">
        <v>8.6999999999999993</v>
      </c>
      <c r="K74" s="76">
        <v>8.6999999999999993</v>
      </c>
      <c r="L74" s="76">
        <v>8.6999999999999993</v>
      </c>
      <c r="M74" s="76">
        <v>8.6999999999999993</v>
      </c>
      <c r="N74" s="76">
        <v>8.6999999999999993</v>
      </c>
      <c r="O74" s="76">
        <v>8.6999999999999993</v>
      </c>
      <c r="P74" s="76">
        <v>8.6999999999999993</v>
      </c>
      <c r="Q74" s="76">
        <v>8.6999999999999993</v>
      </c>
      <c r="R74" s="76">
        <v>8.6999999999999993</v>
      </c>
      <c r="S74" s="76">
        <v>8.6999999999999993</v>
      </c>
      <c r="T74" s="76">
        <v>8.6999999999999993</v>
      </c>
      <c r="U74" s="76">
        <v>8.6999999999999993</v>
      </c>
      <c r="V74" s="76">
        <v>8.6999999999999993</v>
      </c>
      <c r="W74" s="76">
        <v>8.6999999999999993</v>
      </c>
      <c r="X74" s="76"/>
      <c r="Y74" s="76"/>
      <c r="Z74" s="76">
        <v>8.6999999999999993</v>
      </c>
      <c r="AA74" s="76">
        <v>8.6999999999999993</v>
      </c>
      <c r="AB74" s="76">
        <v>8.6999999999999993</v>
      </c>
      <c r="AC74" s="76">
        <v>8.6999999999999993</v>
      </c>
      <c r="AD74" s="76">
        <v>8.6999999999999993</v>
      </c>
      <c r="AE74" s="76">
        <v>8.6999999999999993</v>
      </c>
      <c r="AF74" s="76">
        <v>8.6999999999999993</v>
      </c>
      <c r="AG74" s="66">
        <v>14.1</v>
      </c>
      <c r="AH74" s="48">
        <f t="shared" si="2"/>
        <v>8.6999999999999993</v>
      </c>
      <c r="AI74" s="49">
        <f t="shared" si="3"/>
        <v>7.2</v>
      </c>
      <c r="AK74" s="51"/>
      <c r="AZ74" s="82">
        <f t="shared" si="32"/>
        <v>0</v>
      </c>
      <c r="BA74" s="82">
        <f t="shared" si="32"/>
        <v>0</v>
      </c>
      <c r="BB74" s="82">
        <f t="shared" si="32"/>
        <v>0</v>
      </c>
      <c r="BC74" s="82">
        <f t="shared" si="32"/>
        <v>0</v>
      </c>
      <c r="BD74" s="82">
        <f t="shared" si="32"/>
        <v>0</v>
      </c>
      <c r="BE74" s="82">
        <f t="shared" si="32"/>
        <v>0</v>
      </c>
      <c r="BF74" s="82">
        <f t="shared" si="32"/>
        <v>0</v>
      </c>
      <c r="BG74" s="82">
        <f t="shared" si="32"/>
        <v>0</v>
      </c>
      <c r="BH74" s="82">
        <f t="shared" si="32"/>
        <v>0</v>
      </c>
      <c r="BI74" s="82">
        <f t="shared" si="32"/>
        <v>0</v>
      </c>
      <c r="BJ74" s="82">
        <f t="shared" si="32"/>
        <v>0</v>
      </c>
      <c r="BK74" s="82">
        <f t="shared" si="32"/>
        <v>0</v>
      </c>
      <c r="BL74" s="82">
        <f t="shared" si="32"/>
        <v>0</v>
      </c>
      <c r="BM74" s="82">
        <f t="shared" si="32"/>
        <v>0</v>
      </c>
      <c r="BN74" s="82">
        <f t="shared" si="32"/>
        <v>0</v>
      </c>
      <c r="BO74" s="82">
        <f t="shared" si="32"/>
        <v>0</v>
      </c>
      <c r="BP74" s="82">
        <f t="shared" si="32"/>
        <v>0</v>
      </c>
      <c r="BQ74" s="82">
        <f t="shared" si="32"/>
        <v>0</v>
      </c>
      <c r="BR74" s="82">
        <f t="shared" si="32"/>
        <v>0</v>
      </c>
      <c r="BS74" s="82">
        <f t="shared" si="32"/>
        <v>0</v>
      </c>
      <c r="BT74" s="82">
        <f t="shared" si="32"/>
        <v>0</v>
      </c>
      <c r="BU74" s="82">
        <f t="shared" si="32"/>
        <v>0</v>
      </c>
      <c r="BV74" s="82">
        <f t="shared" si="32"/>
        <v>0</v>
      </c>
      <c r="BW74" s="82">
        <f t="shared" si="32"/>
        <v>0</v>
      </c>
    </row>
    <row r="75" spans="1:75" x14ac:dyDescent="0.25">
      <c r="A75" s="84" t="s">
        <v>93</v>
      </c>
      <c r="B75" s="76">
        <v>13.9</v>
      </c>
      <c r="C75" s="76">
        <v>13.3</v>
      </c>
      <c r="D75" s="76">
        <v>13.3</v>
      </c>
      <c r="E75" s="76">
        <v>12.4</v>
      </c>
      <c r="F75" s="76">
        <v>12.4</v>
      </c>
      <c r="G75" s="76">
        <v>12.4</v>
      </c>
      <c r="H75" s="76">
        <v>12.4</v>
      </c>
      <c r="I75" s="76">
        <v>13</v>
      </c>
      <c r="J75" s="76">
        <v>13</v>
      </c>
      <c r="K75" s="76">
        <v>13</v>
      </c>
      <c r="L75" s="76">
        <v>13</v>
      </c>
      <c r="M75" s="76">
        <v>13</v>
      </c>
      <c r="N75" s="76">
        <v>13</v>
      </c>
      <c r="O75" s="76">
        <v>13</v>
      </c>
      <c r="P75" s="76">
        <v>13</v>
      </c>
      <c r="Q75" s="76">
        <v>13</v>
      </c>
      <c r="R75" s="76">
        <v>13</v>
      </c>
      <c r="S75" s="76">
        <v>13</v>
      </c>
      <c r="T75" s="76">
        <v>13</v>
      </c>
      <c r="U75" s="76">
        <v>13</v>
      </c>
      <c r="V75" s="76">
        <v>13</v>
      </c>
      <c r="W75" s="76">
        <v>13</v>
      </c>
      <c r="X75" s="76"/>
      <c r="Y75" s="76"/>
      <c r="Z75" s="76">
        <v>13</v>
      </c>
      <c r="AA75" s="76">
        <v>13</v>
      </c>
      <c r="AB75" s="76">
        <v>13</v>
      </c>
      <c r="AC75" s="76">
        <v>13</v>
      </c>
      <c r="AD75" s="76">
        <v>13</v>
      </c>
      <c r="AE75" s="76">
        <v>13</v>
      </c>
      <c r="AF75" s="76">
        <v>13</v>
      </c>
      <c r="AG75" s="66">
        <v>14</v>
      </c>
      <c r="AH75" s="48">
        <f t="shared" ref="AH75:AH128" si="33">MAX(B75:AF75)</f>
        <v>13.9</v>
      </c>
      <c r="AI75" s="49">
        <f t="shared" ref="AI75:AI128" si="34">MIN(B75:AF75)</f>
        <v>12.4</v>
      </c>
      <c r="AK75" s="51"/>
      <c r="AZ75" s="82">
        <f t="shared" si="32"/>
        <v>-407</v>
      </c>
      <c r="BA75" s="82">
        <f t="shared" si="32"/>
        <v>-402</v>
      </c>
      <c r="BB75" s="82">
        <f t="shared" si="32"/>
        <v>-415</v>
      </c>
      <c r="BC75" s="82">
        <f t="shared" si="32"/>
        <v>-399</v>
      </c>
      <c r="BD75" s="82">
        <f t="shared" si="32"/>
        <v>-398</v>
      </c>
      <c r="BE75" s="82">
        <f t="shared" si="32"/>
        <v>-415</v>
      </c>
      <c r="BF75" s="82">
        <f t="shared" si="32"/>
        <v>6.7</v>
      </c>
      <c r="BG75" s="82">
        <f t="shared" si="32"/>
        <v>1.9</v>
      </c>
      <c r="BH75" s="82">
        <f t="shared" si="32"/>
        <v>10</v>
      </c>
      <c r="BI75" s="82">
        <f t="shared" si="32"/>
        <v>165</v>
      </c>
      <c r="BJ75" s="82">
        <f t="shared" si="32"/>
        <v>165</v>
      </c>
      <c r="BK75" s="82">
        <f t="shared" si="32"/>
        <v>245</v>
      </c>
      <c r="BL75" s="82">
        <f t="shared" si="32"/>
        <v>349</v>
      </c>
      <c r="BM75" s="82">
        <f t="shared" si="32"/>
        <v>340.5</v>
      </c>
      <c r="BN75" s="82">
        <f t="shared" si="32"/>
        <v>344</v>
      </c>
      <c r="BO75" s="82">
        <f t="shared" si="32"/>
        <v>300.39999999999998</v>
      </c>
      <c r="BP75" s="82">
        <f t="shared" si="32"/>
        <v>20</v>
      </c>
      <c r="BQ75" s="82">
        <f t="shared" si="32"/>
        <v>0</v>
      </c>
      <c r="BR75" s="82">
        <f t="shared" si="32"/>
        <v>148.6</v>
      </c>
      <c r="BS75" s="82">
        <f t="shared" si="32"/>
        <v>-110</v>
      </c>
      <c r="BT75" s="82">
        <f t="shared" si="32"/>
        <v>-162</v>
      </c>
      <c r="BU75" s="82">
        <f t="shared" si="32"/>
        <v>-157</v>
      </c>
      <c r="BV75" s="82">
        <f t="shared" si="32"/>
        <v>0</v>
      </c>
      <c r="BW75" s="82">
        <f t="shared" si="32"/>
        <v>-430</v>
      </c>
    </row>
    <row r="76" spans="1:75" x14ac:dyDescent="0.25">
      <c r="A76" s="65" t="s">
        <v>95</v>
      </c>
      <c r="B76" s="76">
        <v>8.5</v>
      </c>
      <c r="C76" s="76">
        <v>8.5</v>
      </c>
      <c r="D76" s="76">
        <v>8.5</v>
      </c>
      <c r="E76" s="76">
        <v>8.5</v>
      </c>
      <c r="F76" s="76">
        <v>8.5</v>
      </c>
      <c r="G76" s="76">
        <v>8.5</v>
      </c>
      <c r="H76" s="76">
        <v>8.5</v>
      </c>
      <c r="I76" s="76">
        <v>8.5</v>
      </c>
      <c r="J76" s="76">
        <v>8.5</v>
      </c>
      <c r="K76" s="76">
        <v>8.5</v>
      </c>
      <c r="L76" s="76">
        <v>8.5</v>
      </c>
      <c r="M76" s="76">
        <v>8.5</v>
      </c>
      <c r="N76" s="76">
        <v>8.5</v>
      </c>
      <c r="O76" s="76">
        <v>8.5</v>
      </c>
      <c r="P76" s="76">
        <v>8.5</v>
      </c>
      <c r="Q76" s="76">
        <v>8.5</v>
      </c>
      <c r="R76" s="76">
        <v>8.5</v>
      </c>
      <c r="S76" s="76">
        <v>8.5</v>
      </c>
      <c r="T76" s="76">
        <v>8.5</v>
      </c>
      <c r="U76" s="76">
        <v>8.5</v>
      </c>
      <c r="V76" s="76">
        <v>8.5</v>
      </c>
      <c r="W76" s="76">
        <v>8.5</v>
      </c>
      <c r="X76" s="76"/>
      <c r="Y76" s="76"/>
      <c r="Z76" s="76">
        <v>8.5</v>
      </c>
      <c r="AA76" s="76">
        <v>8.5</v>
      </c>
      <c r="AB76" s="76">
        <v>8.5</v>
      </c>
      <c r="AC76" s="76">
        <v>8.5</v>
      </c>
      <c r="AD76" s="76">
        <v>8.5</v>
      </c>
      <c r="AE76" s="76">
        <v>8.5</v>
      </c>
      <c r="AF76" s="76">
        <v>8.5</v>
      </c>
      <c r="AG76" s="66">
        <v>10.050000000000001</v>
      </c>
      <c r="AH76" s="48">
        <f t="shared" si="33"/>
        <v>8.5</v>
      </c>
      <c r="AI76" s="49">
        <f t="shared" si="34"/>
        <v>8.5</v>
      </c>
      <c r="AK76" s="51"/>
      <c r="AZ76" s="82">
        <f t="shared" si="32"/>
        <v>0</v>
      </c>
      <c r="BA76" s="82">
        <f t="shared" si="32"/>
        <v>0</v>
      </c>
      <c r="BB76" s="82">
        <f t="shared" si="32"/>
        <v>0</v>
      </c>
      <c r="BC76" s="82">
        <f t="shared" si="32"/>
        <v>0</v>
      </c>
      <c r="BD76" s="82">
        <f t="shared" si="32"/>
        <v>0</v>
      </c>
      <c r="BE76" s="82">
        <f t="shared" si="32"/>
        <v>0</v>
      </c>
      <c r="BF76" s="82">
        <f t="shared" si="32"/>
        <v>0</v>
      </c>
      <c r="BG76" s="82">
        <f t="shared" si="32"/>
        <v>0</v>
      </c>
      <c r="BH76" s="82">
        <f t="shared" si="32"/>
        <v>0</v>
      </c>
      <c r="BI76" s="82">
        <f t="shared" si="32"/>
        <v>21</v>
      </c>
      <c r="BJ76" s="82">
        <f t="shared" si="32"/>
        <v>21</v>
      </c>
      <c r="BK76" s="82">
        <f t="shared" si="32"/>
        <v>25.6</v>
      </c>
      <c r="BL76" s="82">
        <f t="shared" si="32"/>
        <v>25.6</v>
      </c>
      <c r="BM76" s="82">
        <f t="shared" si="32"/>
        <v>26.9</v>
      </c>
      <c r="BN76" s="82">
        <f t="shared" si="32"/>
        <v>23.2</v>
      </c>
      <c r="BO76" s="82">
        <f t="shared" si="32"/>
        <v>27.5</v>
      </c>
      <c r="BP76" s="82">
        <f t="shared" si="32"/>
        <v>9.4</v>
      </c>
      <c r="BQ76" s="82">
        <f t="shared" si="32"/>
        <v>0</v>
      </c>
      <c r="BR76" s="82">
        <f t="shared" si="32"/>
        <v>9</v>
      </c>
      <c r="BS76" s="82">
        <f t="shared" si="32"/>
        <v>14</v>
      </c>
      <c r="BT76" s="82">
        <f t="shared" si="32"/>
        <v>13</v>
      </c>
      <c r="BU76" s="82">
        <f t="shared" si="32"/>
        <v>14</v>
      </c>
      <c r="BV76" s="82">
        <f t="shared" si="32"/>
        <v>15</v>
      </c>
      <c r="BW76" s="82">
        <f t="shared" si="32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/>
      <c r="Y77" s="76"/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3"/>
        <v>3</v>
      </c>
      <c r="AI77" s="49">
        <f t="shared" si="34"/>
        <v>3</v>
      </c>
      <c r="AK77" s="51"/>
      <c r="AZ77" s="82">
        <f t="shared" si="32"/>
        <v>0</v>
      </c>
      <c r="BA77" s="82">
        <f t="shared" si="32"/>
        <v>0</v>
      </c>
      <c r="BB77" s="82">
        <f t="shared" si="32"/>
        <v>0</v>
      </c>
      <c r="BC77" s="82">
        <f t="shared" si="32"/>
        <v>0</v>
      </c>
      <c r="BD77" s="82">
        <f t="shared" si="32"/>
        <v>0</v>
      </c>
      <c r="BE77" s="82">
        <f t="shared" si="32"/>
        <v>0</v>
      </c>
      <c r="BF77" s="82">
        <f t="shared" si="32"/>
        <v>0</v>
      </c>
      <c r="BG77" s="82">
        <f t="shared" si="32"/>
        <v>110</v>
      </c>
      <c r="BH77" s="82">
        <f t="shared" si="32"/>
        <v>120</v>
      </c>
      <c r="BI77" s="82">
        <f t="shared" si="32"/>
        <v>120</v>
      </c>
      <c r="BJ77" s="82">
        <f t="shared" si="32"/>
        <v>120</v>
      </c>
      <c r="BK77" s="82">
        <f t="shared" si="32"/>
        <v>137</v>
      </c>
      <c r="BL77" s="82">
        <f t="shared" si="32"/>
        <v>117</v>
      </c>
      <c r="BM77" s="82">
        <f t="shared" si="32"/>
        <v>143.19999999999999</v>
      </c>
      <c r="BN77" s="82">
        <f t="shared" si="32"/>
        <v>118.6</v>
      </c>
      <c r="BO77" s="82">
        <f t="shared" si="32"/>
        <v>103.98</v>
      </c>
      <c r="BP77" s="82">
        <f t="shared" si="32"/>
        <v>119.9</v>
      </c>
      <c r="BQ77" s="82">
        <f t="shared" si="32"/>
        <v>0</v>
      </c>
      <c r="BR77" s="82">
        <f t="shared" si="32"/>
        <v>65.599999999999994</v>
      </c>
      <c r="BS77" s="82">
        <f t="shared" si="32"/>
        <v>0</v>
      </c>
      <c r="BT77" s="82">
        <f t="shared" si="32"/>
        <v>0</v>
      </c>
      <c r="BU77" s="82">
        <f t="shared" si="32"/>
        <v>0</v>
      </c>
      <c r="BV77" s="82">
        <f t="shared" si="32"/>
        <v>0</v>
      </c>
      <c r="BW77" s="82">
        <f t="shared" si="32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3"/>
        <v>3.54</v>
      </c>
      <c r="AI78" s="49">
        <f t="shared" si="34"/>
        <v>3.5</v>
      </c>
      <c r="AK78" s="51"/>
      <c r="AZ78" s="82">
        <f t="shared" si="32"/>
        <v>0</v>
      </c>
      <c r="BA78" s="82">
        <f t="shared" si="32"/>
        <v>0</v>
      </c>
      <c r="BB78" s="82">
        <f t="shared" si="32"/>
        <v>0</v>
      </c>
      <c r="BC78" s="82">
        <f t="shared" si="32"/>
        <v>0</v>
      </c>
      <c r="BD78" s="82">
        <f t="shared" si="32"/>
        <v>0</v>
      </c>
      <c r="BE78" s="82">
        <f t="shared" si="32"/>
        <v>0</v>
      </c>
      <c r="BF78" s="82">
        <f t="shared" si="32"/>
        <v>0</v>
      </c>
      <c r="BG78" s="82">
        <f t="shared" si="32"/>
        <v>0</v>
      </c>
      <c r="BH78" s="82">
        <f t="shared" si="32"/>
        <v>0</v>
      </c>
      <c r="BI78" s="82">
        <f t="shared" si="32"/>
        <v>0</v>
      </c>
      <c r="BJ78" s="82">
        <f t="shared" si="32"/>
        <v>0</v>
      </c>
      <c r="BK78" s="82">
        <f t="shared" si="32"/>
        <v>0</v>
      </c>
      <c r="BL78" s="82">
        <f t="shared" si="32"/>
        <v>0</v>
      </c>
      <c r="BM78" s="82">
        <f t="shared" si="32"/>
        <v>0</v>
      </c>
      <c r="BN78" s="82">
        <f t="shared" si="32"/>
        <v>0</v>
      </c>
      <c r="BO78" s="82">
        <f t="shared" si="32"/>
        <v>0</v>
      </c>
      <c r="BP78" s="82">
        <f t="shared" si="32"/>
        <v>0</v>
      </c>
      <c r="BQ78" s="82">
        <f t="shared" si="32"/>
        <v>0</v>
      </c>
      <c r="BR78" s="82">
        <f t="shared" si="32"/>
        <v>0</v>
      </c>
      <c r="BS78" s="82">
        <f t="shared" si="32"/>
        <v>0</v>
      </c>
      <c r="BT78" s="82">
        <f t="shared" si="32"/>
        <v>0</v>
      </c>
      <c r="BU78" s="82">
        <f t="shared" si="32"/>
        <v>0</v>
      </c>
      <c r="BV78" s="82">
        <f t="shared" si="32"/>
        <v>0</v>
      </c>
      <c r="BW78" s="82">
        <f t="shared" si="32"/>
        <v>0</v>
      </c>
    </row>
    <row r="79" spans="1:75" ht="15.75" thickBot="1" x14ac:dyDescent="0.3">
      <c r="A79" s="87" t="s">
        <v>99</v>
      </c>
      <c r="B79" s="71">
        <f t="shared" ref="B79:AG79" si="35">SUM(B66:B78)</f>
        <v>405.44</v>
      </c>
      <c r="C79" s="71">
        <f t="shared" si="35"/>
        <v>401.34000000000003</v>
      </c>
      <c r="D79" s="71">
        <f t="shared" si="35"/>
        <v>401.34000000000003</v>
      </c>
      <c r="E79" s="71">
        <f t="shared" si="35"/>
        <v>402.14</v>
      </c>
      <c r="F79" s="71">
        <f t="shared" si="35"/>
        <v>402.14</v>
      </c>
      <c r="G79" s="71">
        <f t="shared" si="35"/>
        <v>403.03999999999996</v>
      </c>
      <c r="H79" s="71">
        <f t="shared" si="35"/>
        <v>403.23999999999995</v>
      </c>
      <c r="I79" s="71">
        <f t="shared" si="35"/>
        <v>405.24</v>
      </c>
      <c r="J79" s="71">
        <f t="shared" si="35"/>
        <v>337.23999999999995</v>
      </c>
      <c r="K79" s="71">
        <f t="shared" si="35"/>
        <v>340.14</v>
      </c>
      <c r="L79" s="71">
        <f t="shared" si="35"/>
        <v>340.14</v>
      </c>
      <c r="M79" s="71">
        <f t="shared" si="35"/>
        <v>340.14</v>
      </c>
      <c r="N79" s="71">
        <f t="shared" si="35"/>
        <v>340.14</v>
      </c>
      <c r="O79" s="71">
        <f t="shared" si="35"/>
        <v>340.14</v>
      </c>
      <c r="P79" s="71">
        <f t="shared" si="35"/>
        <v>340.14</v>
      </c>
      <c r="Q79" s="71">
        <f t="shared" si="35"/>
        <v>354.14</v>
      </c>
      <c r="R79" s="71">
        <f t="shared" si="35"/>
        <v>354.14</v>
      </c>
      <c r="S79" s="71">
        <f t="shared" ref="S79:T79" si="36">SUM(S66:S78)</f>
        <v>363.53999999999996</v>
      </c>
      <c r="T79" s="71">
        <f t="shared" si="36"/>
        <v>361.23999999999995</v>
      </c>
      <c r="U79" s="71">
        <f t="shared" ref="U79:V79" si="37">SUM(U66:U78)</f>
        <v>355.64</v>
      </c>
      <c r="V79" s="71">
        <f t="shared" si="37"/>
        <v>352.94</v>
      </c>
      <c r="W79" s="71">
        <f t="shared" ref="W79" si="38">SUM(W66:W78)</f>
        <v>348.74</v>
      </c>
      <c r="X79" s="71">
        <f t="shared" si="35"/>
        <v>3.54</v>
      </c>
      <c r="Y79" s="71">
        <f t="shared" si="35"/>
        <v>3.5</v>
      </c>
      <c r="Z79" s="71">
        <f t="shared" si="35"/>
        <v>357.74</v>
      </c>
      <c r="AA79" s="71">
        <f t="shared" si="35"/>
        <v>388.93999999999994</v>
      </c>
      <c r="AB79" s="71">
        <f t="shared" si="35"/>
        <v>407.73999999999995</v>
      </c>
      <c r="AC79" s="71">
        <f t="shared" si="35"/>
        <v>407.73999999999995</v>
      </c>
      <c r="AD79" s="71">
        <f t="shared" si="35"/>
        <v>407.73999999999995</v>
      </c>
      <c r="AE79" s="71">
        <f t="shared" si="35"/>
        <v>407.73999999999995</v>
      </c>
      <c r="AF79" s="71">
        <f t="shared" si="35"/>
        <v>407.73999999999995</v>
      </c>
      <c r="AG79" s="72">
        <f t="shared" si="35"/>
        <v>489.91</v>
      </c>
      <c r="AH79" s="48">
        <f t="shared" si="33"/>
        <v>407.73999999999995</v>
      </c>
      <c r="AI79" s="49">
        <f t="shared" si="34"/>
        <v>3.5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10</v>
      </c>
      <c r="K80" s="46">
        <v>29.5</v>
      </c>
      <c r="L80" s="46">
        <v>29.5</v>
      </c>
      <c r="M80" s="46">
        <v>39.1</v>
      </c>
      <c r="N80" s="46">
        <v>59</v>
      </c>
      <c r="O80" s="46">
        <v>39</v>
      </c>
      <c r="P80" s="46">
        <v>58</v>
      </c>
      <c r="Q80" s="46">
        <v>58</v>
      </c>
      <c r="R80" s="46">
        <v>58</v>
      </c>
      <c r="S80" s="46">
        <v>58</v>
      </c>
      <c r="T80" s="46">
        <v>58</v>
      </c>
      <c r="U80" s="46">
        <v>58</v>
      </c>
      <c r="V80" s="46">
        <v>58</v>
      </c>
      <c r="W80" s="46">
        <v>10.7</v>
      </c>
      <c r="X80" s="46"/>
      <c r="Y80" s="46"/>
      <c r="Z80" s="46">
        <v>44.2</v>
      </c>
      <c r="AA80" s="46">
        <v>54.5</v>
      </c>
      <c r="AB80" s="46">
        <v>59</v>
      </c>
      <c r="AC80" s="46">
        <v>59</v>
      </c>
      <c r="AD80" s="46">
        <v>59</v>
      </c>
      <c r="AE80" s="46">
        <v>59</v>
      </c>
      <c r="AF80" s="46">
        <v>39</v>
      </c>
      <c r="AG80" s="61">
        <v>60</v>
      </c>
      <c r="AH80" s="48">
        <f t="shared" si="33"/>
        <v>59</v>
      </c>
      <c r="AI80" s="49">
        <f t="shared" si="34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4.9000000000000004</v>
      </c>
      <c r="K81" s="76">
        <v>6.4</v>
      </c>
      <c r="L81" s="76">
        <v>6.4</v>
      </c>
      <c r="M81" s="76">
        <v>6.4</v>
      </c>
      <c r="N81" s="76">
        <v>31</v>
      </c>
      <c r="O81" s="76">
        <v>16</v>
      </c>
      <c r="P81" s="76">
        <v>30</v>
      </c>
      <c r="Q81" s="76">
        <v>30</v>
      </c>
      <c r="R81" s="76">
        <v>30</v>
      </c>
      <c r="S81" s="76">
        <v>30</v>
      </c>
      <c r="T81" s="76">
        <v>30</v>
      </c>
      <c r="U81" s="76">
        <v>30</v>
      </c>
      <c r="V81" s="76">
        <v>30</v>
      </c>
      <c r="W81" s="76">
        <v>4.2</v>
      </c>
      <c r="X81" s="76"/>
      <c r="Y81" s="76"/>
      <c r="Z81" s="76">
        <v>20.399999999999999</v>
      </c>
      <c r="AA81" s="76">
        <v>21.4</v>
      </c>
      <c r="AB81" s="76">
        <v>0</v>
      </c>
      <c r="AC81" s="76">
        <v>29</v>
      </c>
      <c r="AD81" s="76">
        <v>29</v>
      </c>
      <c r="AE81" s="76">
        <v>29</v>
      </c>
      <c r="AF81" s="76">
        <v>16</v>
      </c>
      <c r="AG81" s="66">
        <v>32</v>
      </c>
      <c r="AH81" s="48">
        <f t="shared" si="33"/>
        <v>31</v>
      </c>
      <c r="AI81" s="49">
        <f t="shared" si="34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1.8</v>
      </c>
      <c r="K82" s="78">
        <v>2.2999999999999998</v>
      </c>
      <c r="L82" s="78">
        <v>2.2999999999999998</v>
      </c>
      <c r="M82" s="78">
        <v>2.2999999999999998</v>
      </c>
      <c r="N82" s="78">
        <v>11.4</v>
      </c>
      <c r="O82" s="78">
        <v>6</v>
      </c>
      <c r="P82" s="78">
        <v>11</v>
      </c>
      <c r="Q82" s="78">
        <v>11</v>
      </c>
      <c r="R82" s="78">
        <v>11</v>
      </c>
      <c r="S82" s="78">
        <v>11</v>
      </c>
      <c r="T82" s="78">
        <v>11</v>
      </c>
      <c r="U82" s="78">
        <v>11</v>
      </c>
      <c r="V82" s="78">
        <v>11</v>
      </c>
      <c r="W82" s="78">
        <v>1.5</v>
      </c>
      <c r="X82" s="78"/>
      <c r="Y82" s="78"/>
      <c r="Z82" s="78">
        <v>7.4</v>
      </c>
      <c r="AA82" s="78">
        <v>7.5</v>
      </c>
      <c r="AB82" s="78">
        <v>0</v>
      </c>
      <c r="AC82" s="78">
        <v>10</v>
      </c>
      <c r="AD82" s="78">
        <v>10</v>
      </c>
      <c r="AE82" s="78">
        <v>10</v>
      </c>
      <c r="AF82" s="78">
        <v>6</v>
      </c>
      <c r="AG82" s="79">
        <v>14</v>
      </c>
      <c r="AH82" s="48">
        <f t="shared" si="33"/>
        <v>11.4</v>
      </c>
      <c r="AI82" s="49">
        <f t="shared" si="34"/>
        <v>0</v>
      </c>
      <c r="AK82" s="51"/>
      <c r="AY82" s="82"/>
      <c r="BF82" s="81"/>
      <c r="BG82" s="82">
        <f t="array" ref="BG82:BL105">TRANSPOSE(AZ66:BW71)</f>
        <v>17</v>
      </c>
      <c r="BH82" s="82">
        <v>0</v>
      </c>
      <c r="BI82" s="82">
        <v>-407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9">B80+B81+B82</f>
        <v>0</v>
      </c>
      <c r="C83" s="71">
        <f t="shared" si="39"/>
        <v>0</v>
      </c>
      <c r="D83" s="71">
        <f t="shared" si="39"/>
        <v>0</v>
      </c>
      <c r="E83" s="71">
        <f t="shared" si="39"/>
        <v>0</v>
      </c>
      <c r="F83" s="71">
        <f t="shared" si="39"/>
        <v>0</v>
      </c>
      <c r="G83" s="71">
        <f t="shared" si="39"/>
        <v>0</v>
      </c>
      <c r="H83" s="71">
        <f t="shared" si="39"/>
        <v>0</v>
      </c>
      <c r="I83" s="71">
        <f t="shared" si="39"/>
        <v>0</v>
      </c>
      <c r="J83" s="71">
        <f t="shared" si="39"/>
        <v>16.7</v>
      </c>
      <c r="K83" s="71">
        <f t="shared" si="39"/>
        <v>38.199999999999996</v>
      </c>
      <c r="L83" s="71">
        <f t="shared" si="39"/>
        <v>38.199999999999996</v>
      </c>
      <c r="M83" s="71">
        <f t="shared" si="39"/>
        <v>47.8</v>
      </c>
      <c r="N83" s="71">
        <f t="shared" si="39"/>
        <v>101.4</v>
      </c>
      <c r="O83" s="71">
        <f t="shared" si="39"/>
        <v>61</v>
      </c>
      <c r="P83" s="71">
        <f t="shared" si="39"/>
        <v>99</v>
      </c>
      <c r="Q83" s="71">
        <f t="shared" si="39"/>
        <v>99</v>
      </c>
      <c r="R83" s="71">
        <f t="shared" si="39"/>
        <v>99</v>
      </c>
      <c r="S83" s="71">
        <f t="shared" ref="S83:T83" si="40">S80+S81+S82</f>
        <v>99</v>
      </c>
      <c r="T83" s="71">
        <f t="shared" si="40"/>
        <v>99</v>
      </c>
      <c r="U83" s="71">
        <f t="shared" ref="U83" si="41">U80+U81+U82</f>
        <v>99</v>
      </c>
      <c r="V83" s="71">
        <f t="shared" si="39"/>
        <v>99</v>
      </c>
      <c r="W83" s="71">
        <f t="shared" ref="W83" si="42">W80+W81+W82</f>
        <v>16.399999999999999</v>
      </c>
      <c r="X83" s="71">
        <f t="shared" si="39"/>
        <v>0</v>
      </c>
      <c r="Y83" s="71">
        <f t="shared" si="39"/>
        <v>0</v>
      </c>
      <c r="Z83" s="71">
        <f t="shared" si="39"/>
        <v>72</v>
      </c>
      <c r="AA83" s="71">
        <f t="shared" si="39"/>
        <v>83.4</v>
      </c>
      <c r="AB83" s="71">
        <f t="shared" si="39"/>
        <v>59</v>
      </c>
      <c r="AC83" s="71">
        <f t="shared" si="39"/>
        <v>98</v>
      </c>
      <c r="AD83" s="71">
        <f t="shared" si="39"/>
        <v>98</v>
      </c>
      <c r="AE83" s="71">
        <f t="shared" si="39"/>
        <v>98</v>
      </c>
      <c r="AF83" s="71">
        <f t="shared" si="39"/>
        <v>61</v>
      </c>
      <c r="AG83" s="72">
        <f>SUM(AG80:AG82)</f>
        <v>106</v>
      </c>
      <c r="AH83" s="48">
        <f t="shared" si="33"/>
        <v>101.4</v>
      </c>
      <c r="AI83" s="49">
        <f t="shared" si="34"/>
        <v>0</v>
      </c>
      <c r="AK83" s="51"/>
      <c r="AY83" s="82"/>
      <c r="BF83" s="81"/>
      <c r="BG83" s="82">
        <v>16</v>
      </c>
      <c r="BH83" s="82">
        <v>0</v>
      </c>
      <c r="BI83" s="82">
        <v>-402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15</v>
      </c>
      <c r="C84" s="46">
        <v>17</v>
      </c>
      <c r="D84" s="46">
        <v>16</v>
      </c>
      <c r="E84" s="46">
        <v>21.9</v>
      </c>
      <c r="F84" s="46">
        <v>19.7</v>
      </c>
      <c r="G84" s="46">
        <v>13.5</v>
      </c>
      <c r="H84" s="46">
        <v>7.9</v>
      </c>
      <c r="I84" s="46">
        <v>10.7</v>
      </c>
      <c r="J84" s="46">
        <v>13</v>
      </c>
      <c r="K84" s="46">
        <v>6.3</v>
      </c>
      <c r="L84" s="46">
        <v>6.3</v>
      </c>
      <c r="M84" s="46">
        <v>6.5</v>
      </c>
      <c r="N84" s="46">
        <v>42.4</v>
      </c>
      <c r="O84" s="46">
        <v>59</v>
      </c>
      <c r="P84" s="46">
        <v>59</v>
      </c>
      <c r="Q84" s="46">
        <v>49.4</v>
      </c>
      <c r="R84" s="46">
        <v>58</v>
      </c>
      <c r="S84" s="46">
        <v>61.6</v>
      </c>
      <c r="T84" s="46">
        <v>53</v>
      </c>
      <c r="U84" s="46">
        <v>46.1</v>
      </c>
      <c r="V84" s="46">
        <v>60.4</v>
      </c>
      <c r="W84" s="46">
        <v>48.8</v>
      </c>
      <c r="X84" s="46"/>
      <c r="Y84" s="46"/>
      <c r="Z84" s="46">
        <v>49.7</v>
      </c>
      <c r="AA84" s="46">
        <v>48.1</v>
      </c>
      <c r="AB84" s="46">
        <v>27</v>
      </c>
      <c r="AC84" s="46">
        <v>59</v>
      </c>
      <c r="AD84" s="46">
        <v>60</v>
      </c>
      <c r="AE84" s="46">
        <v>59</v>
      </c>
      <c r="AF84" s="46">
        <v>62</v>
      </c>
      <c r="AG84" s="61"/>
      <c r="AH84" s="48">
        <f t="shared" si="33"/>
        <v>62</v>
      </c>
      <c r="AI84" s="49">
        <f t="shared" si="34"/>
        <v>6.3</v>
      </c>
      <c r="AK84" s="51"/>
      <c r="AY84" s="82"/>
      <c r="BF84" s="81"/>
      <c r="BG84" s="82">
        <v>21.9</v>
      </c>
      <c r="BH84" s="82">
        <v>0</v>
      </c>
      <c r="BI84" s="82">
        <v>-415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3"/>
        <v>0</v>
      </c>
      <c r="AI85" s="49">
        <f t="shared" si="34"/>
        <v>0</v>
      </c>
      <c r="AK85" s="51"/>
      <c r="AL85" s="91" t="s">
        <v>111</v>
      </c>
      <c r="AM85" s="91"/>
      <c r="AY85" s="82"/>
      <c r="BF85" s="82"/>
      <c r="BG85" s="82">
        <v>19.7</v>
      </c>
      <c r="BH85" s="82">
        <v>0</v>
      </c>
      <c r="BI85" s="82">
        <v>-399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-430</v>
      </c>
      <c r="C86" s="76">
        <v>-406.8</v>
      </c>
      <c r="D86" s="76">
        <v>-402</v>
      </c>
      <c r="E86" s="76">
        <v>-415</v>
      </c>
      <c r="F86" s="76">
        <v>-399</v>
      </c>
      <c r="G86" s="76">
        <v>-398</v>
      </c>
      <c r="H86" s="76">
        <v>-402</v>
      </c>
      <c r="I86" s="76">
        <v>-415</v>
      </c>
      <c r="J86" s="76">
        <v>5</v>
      </c>
      <c r="K86" s="76">
        <v>6.7</v>
      </c>
      <c r="L86" s="76">
        <v>6.7</v>
      </c>
      <c r="M86" s="76">
        <v>1.9</v>
      </c>
      <c r="N86" s="76">
        <v>10</v>
      </c>
      <c r="O86" s="76">
        <v>165</v>
      </c>
      <c r="P86" s="76">
        <v>165</v>
      </c>
      <c r="Q86" s="76">
        <v>245</v>
      </c>
      <c r="R86" s="76">
        <v>349</v>
      </c>
      <c r="S86" s="76">
        <v>340.5</v>
      </c>
      <c r="T86" s="76">
        <v>344</v>
      </c>
      <c r="U86" s="76">
        <v>300.39999999999998</v>
      </c>
      <c r="V86" s="76">
        <v>20</v>
      </c>
      <c r="W86" s="76">
        <v>73.7</v>
      </c>
      <c r="X86" s="76"/>
      <c r="Y86" s="76"/>
      <c r="Z86" s="76">
        <v>148.6</v>
      </c>
      <c r="AA86" s="76">
        <v>-164.3</v>
      </c>
      <c r="AB86" s="76">
        <v>-110</v>
      </c>
      <c r="AC86" s="76">
        <v>-110</v>
      </c>
      <c r="AD86" s="76">
        <v>-162</v>
      </c>
      <c r="AE86" s="76">
        <v>-157</v>
      </c>
      <c r="AF86" s="76">
        <v>0</v>
      </c>
      <c r="AG86" s="88"/>
      <c r="AH86" s="48">
        <f t="shared" si="33"/>
        <v>349</v>
      </c>
      <c r="AI86" s="49">
        <f t="shared" si="34"/>
        <v>-430</v>
      </c>
      <c r="AK86" s="92"/>
      <c r="AL86" s="93"/>
      <c r="AM86" s="93"/>
      <c r="AN86" s="94"/>
      <c r="AY86" s="82"/>
      <c r="BF86" s="82"/>
      <c r="BG86" s="82">
        <v>13.5</v>
      </c>
      <c r="BH86" s="82">
        <v>0</v>
      </c>
      <c r="BI86" s="82">
        <v>-398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>
        <v>21</v>
      </c>
      <c r="P87" s="89">
        <v>21</v>
      </c>
      <c r="Q87" s="89">
        <v>25.6</v>
      </c>
      <c r="R87" s="89">
        <v>25.6</v>
      </c>
      <c r="S87" s="89">
        <v>26.9</v>
      </c>
      <c r="T87" s="89">
        <v>23.2</v>
      </c>
      <c r="U87" s="89">
        <v>27.5</v>
      </c>
      <c r="V87" s="89">
        <v>9.4</v>
      </c>
      <c r="W87" s="89">
        <v>9.1</v>
      </c>
      <c r="X87" s="89"/>
      <c r="Y87" s="89"/>
      <c r="Z87" s="89">
        <v>9</v>
      </c>
      <c r="AA87" s="89">
        <v>10.3</v>
      </c>
      <c r="AB87" s="89">
        <v>14</v>
      </c>
      <c r="AC87" s="89">
        <v>14</v>
      </c>
      <c r="AD87" s="89">
        <v>13</v>
      </c>
      <c r="AE87" s="89">
        <v>14</v>
      </c>
      <c r="AF87" s="89">
        <v>15</v>
      </c>
      <c r="AG87" s="88"/>
      <c r="AH87" s="48">
        <f t="shared" si="33"/>
        <v>27.5</v>
      </c>
      <c r="AI87" s="49">
        <f t="shared" si="34"/>
        <v>0</v>
      </c>
      <c r="AK87" s="95" t="s">
        <v>114</v>
      </c>
      <c r="AL87" s="76"/>
      <c r="AM87" s="89"/>
      <c r="AN87" s="96"/>
      <c r="AY87" s="82"/>
      <c r="BF87" s="82"/>
      <c r="BG87" s="82">
        <v>10.7</v>
      </c>
      <c r="BH87" s="82">
        <v>0</v>
      </c>
      <c r="BI87" s="82">
        <v>-415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>
        <v>110</v>
      </c>
      <c r="N88" s="46">
        <v>120</v>
      </c>
      <c r="O88" s="46">
        <v>120</v>
      </c>
      <c r="P88" s="46">
        <v>120</v>
      </c>
      <c r="Q88" s="46">
        <v>137</v>
      </c>
      <c r="R88" s="46">
        <v>117</v>
      </c>
      <c r="S88" s="46">
        <v>143.19999999999999</v>
      </c>
      <c r="T88" s="46">
        <v>118.6</v>
      </c>
      <c r="U88" s="46">
        <v>103.98</v>
      </c>
      <c r="V88" s="46">
        <v>119.9</v>
      </c>
      <c r="W88" s="46">
        <v>134.9</v>
      </c>
      <c r="X88" s="46"/>
      <c r="Y88" s="46"/>
      <c r="Z88" s="46">
        <v>65.599999999999994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3"/>
        <v>143.19999999999999</v>
      </c>
      <c r="AI88" s="49">
        <f t="shared" si="34"/>
        <v>0</v>
      </c>
      <c r="AK88" s="95" t="s">
        <v>116</v>
      </c>
      <c r="AL88" s="89"/>
      <c r="AM88" s="89"/>
      <c r="AN88" s="96"/>
      <c r="AY88" s="82"/>
      <c r="BF88" s="82"/>
      <c r="BG88" s="82">
        <v>6.3</v>
      </c>
      <c r="BH88" s="82">
        <v>0</v>
      </c>
      <c r="BI88" s="82">
        <v>6.7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>
        <v>40</v>
      </c>
      <c r="Q89" s="90">
        <v>50</v>
      </c>
      <c r="R89" s="90">
        <v>50</v>
      </c>
      <c r="S89" s="90">
        <v>53</v>
      </c>
      <c r="T89" s="90">
        <v>48.7</v>
      </c>
      <c r="U89" s="90">
        <v>52.1</v>
      </c>
      <c r="V89" s="90">
        <v>0</v>
      </c>
      <c r="W89" s="90">
        <v>0</v>
      </c>
      <c r="X89" s="90"/>
      <c r="Y89" s="90"/>
      <c r="Z89" s="90">
        <v>0</v>
      </c>
      <c r="AA89" s="90">
        <v>0</v>
      </c>
      <c r="AB89" s="90">
        <v>49</v>
      </c>
      <c r="AC89" s="90">
        <v>49</v>
      </c>
      <c r="AD89" s="90">
        <v>31</v>
      </c>
      <c r="AE89" s="90">
        <v>31</v>
      </c>
      <c r="AF89" s="90">
        <v>30</v>
      </c>
      <c r="AG89" s="88"/>
      <c r="AH89" s="48">
        <f>MAX(B89:AF89)</f>
        <v>53</v>
      </c>
      <c r="AI89" s="49">
        <f t="shared" si="34"/>
        <v>0</v>
      </c>
      <c r="AK89" s="99"/>
      <c r="AL89" s="46"/>
      <c r="AM89" s="46"/>
      <c r="AN89" s="100"/>
      <c r="AY89" s="82"/>
      <c r="BF89" s="82"/>
      <c r="BG89" s="82">
        <v>6.5</v>
      </c>
      <c r="BH89" s="82">
        <v>0</v>
      </c>
      <c r="BI89" s="82">
        <v>1.9</v>
      </c>
      <c r="BJ89" s="82">
        <v>0</v>
      </c>
      <c r="BK89" s="82">
        <v>110</v>
      </c>
      <c r="BL89" s="82">
        <v>0</v>
      </c>
    </row>
    <row r="90" spans="1:64" x14ac:dyDescent="0.25">
      <c r="A90" s="65" t="s">
        <v>109</v>
      </c>
      <c r="B90" s="90">
        <v>0</v>
      </c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3"/>
        <v>0</v>
      </c>
      <c r="AI90" s="49">
        <f t="shared" si="34"/>
        <v>0</v>
      </c>
      <c r="AK90" s="99"/>
      <c r="AL90" s="90"/>
      <c r="AM90" s="102"/>
      <c r="AN90" s="202"/>
      <c r="AY90" s="82"/>
      <c r="BF90" s="82"/>
      <c r="BG90" s="82">
        <v>42.4</v>
      </c>
      <c r="BH90" s="82">
        <v>0</v>
      </c>
      <c r="BI90" s="82">
        <v>10</v>
      </c>
      <c r="BJ90" s="82">
        <v>0</v>
      </c>
      <c r="BK90" s="82">
        <v>120</v>
      </c>
      <c r="BL90" s="82">
        <v>0</v>
      </c>
    </row>
    <row r="91" spans="1:64" x14ac:dyDescent="0.25">
      <c r="A91" s="65" t="s">
        <v>110</v>
      </c>
      <c r="B91" s="90">
        <v>0</v>
      </c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3"/>
        <v>0</v>
      </c>
      <c r="AI91" s="49">
        <f t="shared" si="34"/>
        <v>0</v>
      </c>
      <c r="AK91" s="99"/>
      <c r="AL91" s="90"/>
      <c r="AM91" s="90"/>
      <c r="AN91" s="203"/>
      <c r="BF91" s="82"/>
      <c r="BG91" s="82">
        <v>59</v>
      </c>
      <c r="BH91" s="82">
        <v>0</v>
      </c>
      <c r="BI91" s="82">
        <v>165</v>
      </c>
      <c r="BJ91" s="82">
        <v>21</v>
      </c>
      <c r="BK91" s="82">
        <v>120</v>
      </c>
      <c r="BL91" s="82">
        <v>0</v>
      </c>
    </row>
    <row r="92" spans="1:64" ht="15.75" thickBot="1" x14ac:dyDescent="0.3">
      <c r="A92" s="65" t="s">
        <v>112</v>
      </c>
      <c r="B92" s="90">
        <v>0</v>
      </c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3"/>
        <v>0</v>
      </c>
      <c r="AI92" s="49">
        <f t="shared" si="34"/>
        <v>0</v>
      </c>
      <c r="AK92" s="104"/>
      <c r="AL92" s="105"/>
      <c r="AM92" s="105"/>
      <c r="AN92" s="106"/>
      <c r="BF92" s="82"/>
      <c r="BG92" s="82">
        <v>59</v>
      </c>
      <c r="BH92" s="82">
        <v>0</v>
      </c>
      <c r="BI92" s="82">
        <v>165</v>
      </c>
      <c r="BJ92" s="82">
        <v>21</v>
      </c>
      <c r="BK92" s="82">
        <v>120</v>
      </c>
      <c r="BL92" s="82">
        <v>0</v>
      </c>
    </row>
    <row r="93" spans="1:64" x14ac:dyDescent="0.25">
      <c r="A93" s="65" t="s">
        <v>113</v>
      </c>
      <c r="B93" s="90">
        <v>0</v>
      </c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3"/>
        <v>0</v>
      </c>
      <c r="AI93" s="49">
        <f t="shared" si="34"/>
        <v>0</v>
      </c>
      <c r="BF93" s="82"/>
      <c r="BG93" s="82">
        <v>49.4</v>
      </c>
      <c r="BH93" s="82">
        <v>0</v>
      </c>
      <c r="BI93" s="82">
        <v>245</v>
      </c>
      <c r="BJ93" s="82">
        <v>25.6</v>
      </c>
      <c r="BK93" s="82">
        <v>137</v>
      </c>
      <c r="BL93" s="82">
        <v>0</v>
      </c>
    </row>
    <row r="94" spans="1:64" ht="15.75" thickBot="1" x14ac:dyDescent="0.3">
      <c r="A94" s="97" t="s">
        <v>115</v>
      </c>
      <c r="B94" s="90">
        <v>0</v>
      </c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3"/>
        <v>0</v>
      </c>
      <c r="AI94" s="49">
        <f t="shared" si="34"/>
        <v>0</v>
      </c>
      <c r="BF94" s="82"/>
      <c r="BG94" s="82">
        <v>58</v>
      </c>
      <c r="BH94" s="82">
        <v>0</v>
      </c>
      <c r="BI94" s="82">
        <v>349</v>
      </c>
      <c r="BJ94" s="82">
        <v>25.6</v>
      </c>
      <c r="BK94" s="82">
        <v>117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15</v>
      </c>
      <c r="C95" s="71">
        <f>SUMIF(C84:C94,"&gt;0")</f>
        <v>17</v>
      </c>
      <c r="D95" s="71">
        <f t="shared" ref="D95:AF95" si="43">SUMIF(D84:D94,"&gt;0")</f>
        <v>16</v>
      </c>
      <c r="E95" s="71">
        <f t="shared" si="43"/>
        <v>21.9</v>
      </c>
      <c r="F95" s="71">
        <f t="shared" si="43"/>
        <v>19.7</v>
      </c>
      <c r="G95" s="71">
        <f t="shared" si="43"/>
        <v>13.5</v>
      </c>
      <c r="H95" s="71">
        <f t="shared" si="43"/>
        <v>7.9</v>
      </c>
      <c r="I95" s="71">
        <f t="shared" si="43"/>
        <v>10.7</v>
      </c>
      <c r="J95" s="71">
        <f t="shared" si="43"/>
        <v>18</v>
      </c>
      <c r="K95" s="71">
        <f t="shared" si="43"/>
        <v>13</v>
      </c>
      <c r="L95" s="71">
        <f t="shared" si="43"/>
        <v>13</v>
      </c>
      <c r="M95" s="71">
        <f t="shared" si="43"/>
        <v>118.4</v>
      </c>
      <c r="N95" s="71">
        <f t="shared" si="43"/>
        <v>172.4</v>
      </c>
      <c r="O95" s="71">
        <f t="shared" si="43"/>
        <v>365</v>
      </c>
      <c r="P95" s="71">
        <f t="shared" si="43"/>
        <v>405</v>
      </c>
      <c r="Q95" s="71">
        <f t="shared" si="43"/>
        <v>507</v>
      </c>
      <c r="R95" s="71">
        <f t="shared" si="43"/>
        <v>599.6</v>
      </c>
      <c r="S95" s="71">
        <f t="shared" ref="S95:T95" si="44">SUMIF(S84:S94,"&gt;0")</f>
        <v>625.20000000000005</v>
      </c>
      <c r="T95" s="71">
        <f t="shared" si="44"/>
        <v>587.5</v>
      </c>
      <c r="U95" s="71">
        <f t="shared" ref="U95" si="45">SUMIF(U84:U94,"&gt;0")</f>
        <v>530.08000000000004</v>
      </c>
      <c r="V95" s="71">
        <f t="shared" si="43"/>
        <v>209.70000000000002</v>
      </c>
      <c r="W95" s="71">
        <f t="shared" ref="W95" si="46">SUMIF(W84:W94,"&gt;0")</f>
        <v>266.5</v>
      </c>
      <c r="X95" s="71">
        <f t="shared" si="43"/>
        <v>0</v>
      </c>
      <c r="Y95" s="71">
        <f t="shared" si="43"/>
        <v>0</v>
      </c>
      <c r="Z95" s="71">
        <f t="shared" si="43"/>
        <v>272.89999999999998</v>
      </c>
      <c r="AA95" s="71">
        <f t="shared" si="43"/>
        <v>58.400000000000006</v>
      </c>
      <c r="AB95" s="71">
        <f t="shared" si="43"/>
        <v>90</v>
      </c>
      <c r="AC95" s="71">
        <f t="shared" si="43"/>
        <v>122</v>
      </c>
      <c r="AD95" s="71">
        <f t="shared" si="43"/>
        <v>104</v>
      </c>
      <c r="AE95" s="71">
        <f t="shared" si="43"/>
        <v>104</v>
      </c>
      <c r="AF95" s="71">
        <f t="shared" si="43"/>
        <v>107</v>
      </c>
      <c r="AG95" s="101">
        <f>SUM(AG84:AG94)</f>
        <v>0</v>
      </c>
      <c r="AH95" s="48">
        <f t="shared" si="33"/>
        <v>625.20000000000005</v>
      </c>
      <c r="AI95" s="49">
        <f t="shared" si="34"/>
        <v>0</v>
      </c>
      <c r="BF95" s="82"/>
      <c r="BG95" s="82">
        <v>61.6</v>
      </c>
      <c r="BH95" s="82">
        <v>0</v>
      </c>
      <c r="BI95" s="82">
        <v>340.5</v>
      </c>
      <c r="BJ95" s="82">
        <v>26.9</v>
      </c>
      <c r="BK95" s="82">
        <v>143.19999999999999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3"/>
        <v>0</v>
      </c>
      <c r="AI96" s="49">
        <f t="shared" si="34"/>
        <v>0</v>
      </c>
      <c r="BF96" s="82"/>
      <c r="BG96" s="82">
        <v>53</v>
      </c>
      <c r="BH96" s="82">
        <v>0</v>
      </c>
      <c r="BI96" s="82">
        <v>344</v>
      </c>
      <c r="BJ96" s="82">
        <v>23.2</v>
      </c>
      <c r="BK96" s="82">
        <v>118.6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3"/>
        <v>0</v>
      </c>
      <c r="AI97" s="49">
        <f t="shared" si="34"/>
        <v>0</v>
      </c>
      <c r="BF97" s="82"/>
      <c r="BG97" s="82">
        <v>46.1</v>
      </c>
      <c r="BH97" s="82">
        <v>0</v>
      </c>
      <c r="BI97" s="82">
        <v>300.39999999999998</v>
      </c>
      <c r="BJ97" s="82">
        <v>27.5</v>
      </c>
      <c r="BK97" s="82">
        <v>103.98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3"/>
        <v>0</v>
      </c>
      <c r="AI98" s="49">
        <f t="shared" si="34"/>
        <v>0</v>
      </c>
      <c r="BF98" s="82"/>
      <c r="BG98" s="82">
        <v>60.4</v>
      </c>
      <c r="BH98" s="82">
        <v>0</v>
      </c>
      <c r="BI98" s="82">
        <v>20</v>
      </c>
      <c r="BJ98" s="82">
        <v>9.4</v>
      </c>
      <c r="BK98" s="82">
        <v>119.9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3"/>
        <v>0</v>
      </c>
      <c r="AI99" s="49">
        <f t="shared" si="34"/>
        <v>0</v>
      </c>
      <c r="BF99" s="81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47">B61+B65+B83+B79+B95+B99</f>
        <v>1723.8400000000001</v>
      </c>
      <c r="C100" s="108">
        <f t="shared" si="47"/>
        <v>1673.1400000000003</v>
      </c>
      <c r="D100" s="108">
        <f t="shared" si="47"/>
        <v>1672.44</v>
      </c>
      <c r="E100" s="108">
        <f t="shared" si="47"/>
        <v>1692.2400000000002</v>
      </c>
      <c r="F100" s="108">
        <f t="shared" si="47"/>
        <v>1647.0400000000002</v>
      </c>
      <c r="G100" s="108">
        <f t="shared" si="47"/>
        <v>1631.74</v>
      </c>
      <c r="H100" s="108">
        <f t="shared" si="47"/>
        <v>1666.3400000000001</v>
      </c>
      <c r="I100" s="108">
        <f t="shared" si="47"/>
        <v>1717.14</v>
      </c>
      <c r="J100" s="108">
        <f t="shared" si="47"/>
        <v>1307.54</v>
      </c>
      <c r="K100" s="108">
        <f t="shared" si="47"/>
        <v>1436.54</v>
      </c>
      <c r="L100" s="108">
        <f t="shared" si="47"/>
        <v>1436.3400000000001</v>
      </c>
      <c r="M100" s="108">
        <f t="shared" si="47"/>
        <v>1513.8400000000001</v>
      </c>
      <c r="N100" s="108">
        <f t="shared" si="47"/>
        <v>1668.94</v>
      </c>
      <c r="O100" s="108">
        <f t="shared" si="47"/>
        <v>1742.1399999999999</v>
      </c>
      <c r="P100" s="108">
        <f t="shared" si="47"/>
        <v>1799.1399999999999</v>
      </c>
      <c r="Q100" s="108">
        <f t="shared" si="47"/>
        <v>1845.1399999999999</v>
      </c>
      <c r="R100" s="108">
        <f t="shared" si="47"/>
        <v>1887.7399999999998</v>
      </c>
      <c r="S100" s="108">
        <f t="shared" ref="S100:T100" si="48">S61+S65+S83+S79+S95+S99</f>
        <v>1922.74</v>
      </c>
      <c r="T100" s="108">
        <f t="shared" si="48"/>
        <v>1882.74</v>
      </c>
      <c r="U100" s="108">
        <f t="shared" ref="U100" si="49">U61+U65+U83+U79+U95+U99</f>
        <v>1875.02</v>
      </c>
      <c r="V100" s="108">
        <f t="shared" si="47"/>
        <v>1551.94</v>
      </c>
      <c r="W100" s="108">
        <f t="shared" ref="W100" si="50">W61+W65+W83+W79+W95+W99</f>
        <v>1795.64</v>
      </c>
      <c r="X100" s="108">
        <f t="shared" si="47"/>
        <v>153.54</v>
      </c>
      <c r="Y100" s="108">
        <f t="shared" si="47"/>
        <v>153.5</v>
      </c>
      <c r="Z100" s="108">
        <f t="shared" si="47"/>
        <v>1881.7399999999998</v>
      </c>
      <c r="AA100" s="108">
        <f t="shared" si="47"/>
        <v>1823.54</v>
      </c>
      <c r="AB100" s="108">
        <f t="shared" si="47"/>
        <v>1807.74</v>
      </c>
      <c r="AC100" s="108">
        <f t="shared" si="47"/>
        <v>1862.74</v>
      </c>
      <c r="AD100" s="108">
        <f t="shared" si="47"/>
        <v>1824.74</v>
      </c>
      <c r="AE100" s="108">
        <f t="shared" si="47"/>
        <v>1806.74</v>
      </c>
      <c r="AF100" s="108">
        <f t="shared" si="47"/>
        <v>1581.74</v>
      </c>
      <c r="AG100" s="72">
        <f t="shared" si="47"/>
        <v>2655.44</v>
      </c>
      <c r="AH100" s="48">
        <f t="shared" si="33"/>
        <v>1922.74</v>
      </c>
      <c r="AI100" s="49">
        <f t="shared" si="34"/>
        <v>153.5</v>
      </c>
      <c r="BF100" s="81"/>
      <c r="BG100" s="82">
        <v>49.7</v>
      </c>
      <c r="BH100" s="82">
        <v>0</v>
      </c>
      <c r="BI100" s="82">
        <v>148.6</v>
      </c>
      <c r="BJ100" s="82">
        <v>9</v>
      </c>
      <c r="BK100" s="82">
        <v>65.599999999999994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150</v>
      </c>
      <c r="D101" s="110">
        <v>150</v>
      </c>
      <c r="E101" s="110">
        <v>150</v>
      </c>
      <c r="F101" s="110">
        <v>150</v>
      </c>
      <c r="G101" s="110">
        <v>150</v>
      </c>
      <c r="H101" s="110">
        <v>150</v>
      </c>
      <c r="I101" s="110">
        <v>150</v>
      </c>
      <c r="J101" s="110">
        <v>150</v>
      </c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>
        <v>300</v>
      </c>
      <c r="AB101" s="110">
        <v>300</v>
      </c>
      <c r="AC101" s="110">
        <v>300</v>
      </c>
      <c r="AD101" s="110">
        <v>300</v>
      </c>
      <c r="AE101" s="110">
        <v>300</v>
      </c>
      <c r="AF101" s="110">
        <v>300</v>
      </c>
      <c r="AG101" s="101"/>
      <c r="AH101" s="48">
        <f t="shared" si="33"/>
        <v>300</v>
      </c>
      <c r="AI101" s="49">
        <f t="shared" si="34"/>
        <v>150</v>
      </c>
      <c r="BF101" s="81"/>
      <c r="BG101" s="82">
        <v>27</v>
      </c>
      <c r="BH101" s="82">
        <v>0</v>
      </c>
      <c r="BI101" s="82">
        <v>-110</v>
      </c>
      <c r="BJ101" s="82">
        <v>14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1873.8400000000001</v>
      </c>
      <c r="C102" s="108">
        <f t="shared" ref="C102:AF102" si="51">C100+C101</f>
        <v>1823.1400000000003</v>
      </c>
      <c r="D102" s="108">
        <f t="shared" si="51"/>
        <v>1822.44</v>
      </c>
      <c r="E102" s="108">
        <f t="shared" si="51"/>
        <v>1842.2400000000002</v>
      </c>
      <c r="F102" s="108">
        <f t="shared" si="51"/>
        <v>1797.0400000000002</v>
      </c>
      <c r="G102" s="108">
        <f t="shared" si="51"/>
        <v>1781.74</v>
      </c>
      <c r="H102" s="108">
        <f t="shared" si="51"/>
        <v>1816.3400000000001</v>
      </c>
      <c r="I102" s="108">
        <f t="shared" si="51"/>
        <v>1867.14</v>
      </c>
      <c r="J102" s="108">
        <f t="shared" si="51"/>
        <v>1457.54</v>
      </c>
      <c r="K102" s="108">
        <f t="shared" si="51"/>
        <v>1436.54</v>
      </c>
      <c r="L102" s="108">
        <f t="shared" si="51"/>
        <v>1436.3400000000001</v>
      </c>
      <c r="M102" s="108">
        <f t="shared" si="51"/>
        <v>1513.8400000000001</v>
      </c>
      <c r="N102" s="108">
        <f t="shared" si="51"/>
        <v>1668.94</v>
      </c>
      <c r="O102" s="108">
        <f t="shared" si="51"/>
        <v>1742.1399999999999</v>
      </c>
      <c r="P102" s="108">
        <f t="shared" si="51"/>
        <v>1799.1399999999999</v>
      </c>
      <c r="Q102" s="108">
        <f t="shared" si="51"/>
        <v>1845.1399999999999</v>
      </c>
      <c r="R102" s="108">
        <f t="shared" si="51"/>
        <v>1887.7399999999998</v>
      </c>
      <c r="S102" s="108">
        <f t="shared" ref="S102:T102" si="52">S100+S101</f>
        <v>1922.74</v>
      </c>
      <c r="T102" s="108">
        <f t="shared" si="52"/>
        <v>1882.74</v>
      </c>
      <c r="U102" s="108">
        <f t="shared" ref="U102" si="53">U100+U101</f>
        <v>1875.02</v>
      </c>
      <c r="V102" s="108">
        <f t="shared" si="51"/>
        <v>1551.94</v>
      </c>
      <c r="W102" s="108">
        <f t="shared" ref="W102" si="54">W100+W101</f>
        <v>1795.64</v>
      </c>
      <c r="X102" s="108">
        <f t="shared" si="51"/>
        <v>153.54</v>
      </c>
      <c r="Y102" s="108">
        <f t="shared" si="51"/>
        <v>153.5</v>
      </c>
      <c r="Z102" s="108">
        <f t="shared" si="51"/>
        <v>1881.7399999999998</v>
      </c>
      <c r="AA102" s="108">
        <f t="shared" si="51"/>
        <v>2123.54</v>
      </c>
      <c r="AB102" s="108">
        <f t="shared" si="51"/>
        <v>2107.7399999999998</v>
      </c>
      <c r="AC102" s="108">
        <f t="shared" si="51"/>
        <v>2162.7399999999998</v>
      </c>
      <c r="AD102" s="108">
        <f t="shared" si="51"/>
        <v>2124.7399999999998</v>
      </c>
      <c r="AE102" s="108">
        <f t="shared" si="51"/>
        <v>2106.7399999999998</v>
      </c>
      <c r="AF102" s="108">
        <f t="shared" si="51"/>
        <v>1881.74</v>
      </c>
      <c r="AG102" s="101">
        <f>AG99+AG95+AG83+AG79+AG61+AG101</f>
        <v>2117.34</v>
      </c>
      <c r="AH102" s="48">
        <f t="shared" si="33"/>
        <v>2162.7399999999998</v>
      </c>
      <c r="AI102" s="49">
        <f t="shared" si="34"/>
        <v>153.5</v>
      </c>
      <c r="BF102" s="81"/>
      <c r="BG102" s="82">
        <v>60</v>
      </c>
      <c r="BH102" s="82">
        <v>0</v>
      </c>
      <c r="BI102" s="82">
        <v>-162</v>
      </c>
      <c r="BJ102" s="82">
        <v>13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1443.8400000000001</v>
      </c>
      <c r="C103" s="108">
        <f t="shared" ref="C103:AF103" si="55">C102-(C110)</f>
        <v>1416.3400000000004</v>
      </c>
      <c r="D103" s="108">
        <f t="shared" si="55"/>
        <v>1420.44</v>
      </c>
      <c r="E103" s="108">
        <f t="shared" si="55"/>
        <v>1427.2400000000002</v>
      </c>
      <c r="F103" s="108">
        <f t="shared" si="55"/>
        <v>1398.0400000000002</v>
      </c>
      <c r="G103" s="108">
        <f t="shared" si="55"/>
        <v>1383.74</v>
      </c>
      <c r="H103" s="108">
        <f t="shared" si="55"/>
        <v>1414.3400000000001</v>
      </c>
      <c r="I103" s="108">
        <f t="shared" si="55"/>
        <v>1452.14</v>
      </c>
      <c r="J103" s="108">
        <f t="shared" si="55"/>
        <v>1457.54</v>
      </c>
      <c r="K103" s="108">
        <f t="shared" si="55"/>
        <v>1436.54</v>
      </c>
      <c r="L103" s="108">
        <f t="shared" si="55"/>
        <v>1436.3400000000001</v>
      </c>
      <c r="M103" s="108">
        <f t="shared" si="55"/>
        <v>1513.8400000000001</v>
      </c>
      <c r="N103" s="108">
        <f t="shared" si="55"/>
        <v>1668.94</v>
      </c>
      <c r="O103" s="108">
        <f t="shared" si="55"/>
        <v>1742.1399999999999</v>
      </c>
      <c r="P103" s="108">
        <f t="shared" si="55"/>
        <v>1799.1399999999999</v>
      </c>
      <c r="Q103" s="108">
        <f t="shared" si="55"/>
        <v>1845.1399999999999</v>
      </c>
      <c r="R103" s="108">
        <f t="shared" si="55"/>
        <v>1887.7399999999998</v>
      </c>
      <c r="S103" s="108">
        <f t="shared" ref="S103:T103" si="56">S102-(S110)</f>
        <v>1922.74</v>
      </c>
      <c r="T103" s="108">
        <f t="shared" si="56"/>
        <v>1882.74</v>
      </c>
      <c r="U103" s="108">
        <f t="shared" ref="U103" si="57">U102-(U110)</f>
        <v>1875.02</v>
      </c>
      <c r="V103" s="108">
        <f t="shared" si="55"/>
        <v>1551.94</v>
      </c>
      <c r="W103" s="108">
        <f t="shared" ref="W103" si="58">W102-(W110)</f>
        <v>1795.64</v>
      </c>
      <c r="X103" s="108">
        <f t="shared" si="55"/>
        <v>153.54</v>
      </c>
      <c r="Y103" s="108">
        <f t="shared" si="55"/>
        <v>153.5</v>
      </c>
      <c r="Z103" s="108">
        <f t="shared" si="55"/>
        <v>1881.7399999999998</v>
      </c>
      <c r="AA103" s="108">
        <f t="shared" si="55"/>
        <v>1959.24</v>
      </c>
      <c r="AB103" s="108">
        <f t="shared" si="55"/>
        <v>1997.7399999999998</v>
      </c>
      <c r="AC103" s="108">
        <f t="shared" si="55"/>
        <v>2052.7399999999998</v>
      </c>
      <c r="AD103" s="108">
        <f t="shared" si="55"/>
        <v>1962.7399999999998</v>
      </c>
      <c r="AE103" s="108">
        <f t="shared" si="55"/>
        <v>1949.7399999999998</v>
      </c>
      <c r="AF103" s="108">
        <f t="shared" si="55"/>
        <v>1881.74</v>
      </c>
      <c r="AG103" s="101"/>
      <c r="AH103" s="48">
        <f t="shared" si="33"/>
        <v>2052.7399999999998</v>
      </c>
      <c r="AI103" s="49">
        <f t="shared" si="34"/>
        <v>153.5</v>
      </c>
      <c r="BF103" s="81"/>
      <c r="BG103" s="82">
        <v>59</v>
      </c>
      <c r="BH103" s="82">
        <v>0</v>
      </c>
      <c r="BI103" s="82">
        <v>-157</v>
      </c>
      <c r="BJ103" s="82">
        <v>14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59">IF(C84&lt;0,C84*-1,0)</f>
        <v>0</v>
      </c>
      <c r="D104" s="89">
        <f t="shared" si="59"/>
        <v>0</v>
      </c>
      <c r="E104" s="89">
        <f t="shared" si="59"/>
        <v>0</v>
      </c>
      <c r="F104" s="89">
        <f t="shared" si="59"/>
        <v>0</v>
      </c>
      <c r="G104" s="89">
        <f t="shared" si="59"/>
        <v>0</v>
      </c>
      <c r="H104" s="89">
        <f t="shared" si="59"/>
        <v>0</v>
      </c>
      <c r="I104" s="89">
        <f t="shared" si="59"/>
        <v>0</v>
      </c>
      <c r="J104" s="89">
        <f t="shared" si="59"/>
        <v>0</v>
      </c>
      <c r="K104" s="89">
        <f t="shared" si="59"/>
        <v>0</v>
      </c>
      <c r="L104" s="89">
        <f t="shared" si="59"/>
        <v>0</v>
      </c>
      <c r="M104" s="89">
        <f t="shared" si="59"/>
        <v>0</v>
      </c>
      <c r="N104" s="89">
        <f t="shared" si="59"/>
        <v>0</v>
      </c>
      <c r="O104" s="89">
        <f t="shared" si="59"/>
        <v>0</v>
      </c>
      <c r="P104" s="89">
        <f t="shared" si="59"/>
        <v>0</v>
      </c>
      <c r="Q104" s="89">
        <f t="shared" si="59"/>
        <v>0</v>
      </c>
      <c r="R104" s="89">
        <f t="shared" si="59"/>
        <v>0</v>
      </c>
      <c r="S104" s="89">
        <f t="shared" ref="S104:T104" si="60">IF(S84&lt;0,S84*-1,0)</f>
        <v>0</v>
      </c>
      <c r="T104" s="89">
        <f t="shared" si="60"/>
        <v>0</v>
      </c>
      <c r="U104" s="89">
        <f t="shared" ref="U104" si="61">IF(U84&lt;0,U84*-1,0)</f>
        <v>0</v>
      </c>
      <c r="V104" s="89">
        <f t="shared" si="59"/>
        <v>0</v>
      </c>
      <c r="W104" s="89">
        <f t="shared" ref="W104" si="62">IF(W84&lt;0,W84*-1,0)</f>
        <v>0</v>
      </c>
      <c r="X104" s="89">
        <f t="shared" si="59"/>
        <v>0</v>
      </c>
      <c r="Y104" s="89">
        <f t="shared" si="59"/>
        <v>0</v>
      </c>
      <c r="Z104" s="89">
        <f t="shared" si="59"/>
        <v>0</v>
      </c>
      <c r="AA104" s="89">
        <f t="shared" si="59"/>
        <v>0</v>
      </c>
      <c r="AB104" s="89">
        <f t="shared" si="59"/>
        <v>0</v>
      </c>
      <c r="AC104" s="89">
        <f t="shared" si="59"/>
        <v>0</v>
      </c>
      <c r="AD104" s="89">
        <f t="shared" si="59"/>
        <v>0</v>
      </c>
      <c r="AE104" s="89">
        <f t="shared" si="59"/>
        <v>0</v>
      </c>
      <c r="AF104" s="89">
        <f t="shared" si="59"/>
        <v>0</v>
      </c>
      <c r="AG104" s="61"/>
      <c r="AH104" s="48">
        <f t="shared" si="33"/>
        <v>0</v>
      </c>
      <c r="AI104" s="49">
        <f t="shared" si="34"/>
        <v>0</v>
      </c>
      <c r="BG104" s="82">
        <v>62</v>
      </c>
      <c r="BH104" s="82">
        <v>0</v>
      </c>
      <c r="BI104" s="82">
        <v>0</v>
      </c>
      <c r="BJ104" s="82">
        <v>15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63">IF(B85&lt;0,B85*-1,0)</f>
        <v>0</v>
      </c>
      <c r="C105" s="89">
        <f t="shared" si="63"/>
        <v>0</v>
      </c>
      <c r="D105" s="89">
        <f t="shared" si="63"/>
        <v>0</v>
      </c>
      <c r="E105" s="89">
        <f t="shared" si="63"/>
        <v>0</v>
      </c>
      <c r="F105" s="89">
        <f t="shared" si="63"/>
        <v>0</v>
      </c>
      <c r="G105" s="89">
        <f t="shared" si="63"/>
        <v>0</v>
      </c>
      <c r="H105" s="89">
        <f t="shared" si="63"/>
        <v>0</v>
      </c>
      <c r="I105" s="89">
        <f t="shared" si="63"/>
        <v>0</v>
      </c>
      <c r="J105" s="89">
        <f t="shared" si="63"/>
        <v>0</v>
      </c>
      <c r="K105" s="89">
        <f t="shared" si="63"/>
        <v>0</v>
      </c>
      <c r="L105" s="89">
        <f t="shared" si="63"/>
        <v>0</v>
      </c>
      <c r="M105" s="89">
        <f t="shared" si="63"/>
        <v>0</v>
      </c>
      <c r="N105" s="89">
        <f t="shared" si="63"/>
        <v>0</v>
      </c>
      <c r="O105" s="89">
        <f t="shared" si="63"/>
        <v>0</v>
      </c>
      <c r="P105" s="89">
        <f t="shared" si="63"/>
        <v>0</v>
      </c>
      <c r="Q105" s="89">
        <f t="shared" si="63"/>
        <v>0</v>
      </c>
      <c r="R105" s="89">
        <f t="shared" si="59"/>
        <v>0</v>
      </c>
      <c r="S105" s="89">
        <f t="shared" ref="S105:T105" si="64">IF(S85&lt;0,S85*-1,0)</f>
        <v>0</v>
      </c>
      <c r="T105" s="89">
        <f t="shared" si="64"/>
        <v>0</v>
      </c>
      <c r="U105" s="89">
        <f t="shared" ref="U105" si="65">IF(U85&lt;0,U85*-1,0)</f>
        <v>0</v>
      </c>
      <c r="V105" s="89">
        <f t="shared" si="59"/>
        <v>0</v>
      </c>
      <c r="W105" s="89">
        <f t="shared" ref="W105" si="66">IF(W85&lt;0,W85*-1,0)</f>
        <v>0</v>
      </c>
      <c r="X105" s="89">
        <f t="shared" si="59"/>
        <v>0</v>
      </c>
      <c r="Y105" s="89">
        <f t="shared" si="59"/>
        <v>0</v>
      </c>
      <c r="Z105" s="89">
        <f t="shared" si="59"/>
        <v>0</v>
      </c>
      <c r="AA105" s="89">
        <f t="shared" si="59"/>
        <v>0</v>
      </c>
      <c r="AB105" s="89">
        <f t="shared" si="59"/>
        <v>0</v>
      </c>
      <c r="AC105" s="89">
        <f t="shared" si="59"/>
        <v>0</v>
      </c>
      <c r="AD105" s="89">
        <f t="shared" si="59"/>
        <v>0</v>
      </c>
      <c r="AE105" s="89">
        <f t="shared" si="59"/>
        <v>0</v>
      </c>
      <c r="AF105" s="89">
        <f t="shared" si="59"/>
        <v>0</v>
      </c>
      <c r="AG105" s="66"/>
      <c r="AH105" s="48">
        <f t="shared" si="33"/>
        <v>0</v>
      </c>
      <c r="AI105" s="49">
        <f t="shared" si="34"/>
        <v>0</v>
      </c>
      <c r="AK105" s="51"/>
      <c r="BG105" s="82">
        <v>15</v>
      </c>
      <c r="BH105" s="82">
        <v>0</v>
      </c>
      <c r="BI105" s="82">
        <v>-430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3"/>
        <v>430</v>
      </c>
      <c r="C106" s="89">
        <f t="shared" si="59"/>
        <v>406.8</v>
      </c>
      <c r="D106" s="89">
        <f t="shared" si="59"/>
        <v>402</v>
      </c>
      <c r="E106" s="89">
        <f t="shared" si="59"/>
        <v>415</v>
      </c>
      <c r="F106" s="89">
        <f t="shared" si="59"/>
        <v>399</v>
      </c>
      <c r="G106" s="89">
        <f t="shared" si="59"/>
        <v>398</v>
      </c>
      <c r="H106" s="89">
        <f t="shared" si="59"/>
        <v>402</v>
      </c>
      <c r="I106" s="89">
        <f t="shared" si="59"/>
        <v>415</v>
      </c>
      <c r="J106" s="89">
        <f t="shared" si="59"/>
        <v>0</v>
      </c>
      <c r="K106" s="89">
        <f t="shared" si="59"/>
        <v>0</v>
      </c>
      <c r="L106" s="89">
        <f t="shared" si="59"/>
        <v>0</v>
      </c>
      <c r="M106" s="89">
        <f t="shared" si="59"/>
        <v>0</v>
      </c>
      <c r="N106" s="89">
        <f t="shared" si="59"/>
        <v>0</v>
      </c>
      <c r="O106" s="89">
        <f t="shared" si="59"/>
        <v>0</v>
      </c>
      <c r="P106" s="89">
        <f t="shared" si="59"/>
        <v>0</v>
      </c>
      <c r="Q106" s="89">
        <f t="shared" si="59"/>
        <v>0</v>
      </c>
      <c r="R106" s="89">
        <f t="shared" si="59"/>
        <v>0</v>
      </c>
      <c r="S106" s="89">
        <f t="shared" ref="S106:T106" si="67">IF(S86&lt;0,S86*-1,0)</f>
        <v>0</v>
      </c>
      <c r="T106" s="89">
        <f t="shared" si="67"/>
        <v>0</v>
      </c>
      <c r="U106" s="89">
        <f t="shared" ref="U106" si="68">IF(U86&lt;0,U86*-1,0)</f>
        <v>0</v>
      </c>
      <c r="V106" s="89">
        <f t="shared" si="59"/>
        <v>0</v>
      </c>
      <c r="W106" s="89">
        <f t="shared" ref="W106" si="69">IF(W86&lt;0,W86*-1,0)</f>
        <v>0</v>
      </c>
      <c r="X106" s="89">
        <f t="shared" si="59"/>
        <v>0</v>
      </c>
      <c r="Y106" s="89">
        <f t="shared" si="59"/>
        <v>0</v>
      </c>
      <c r="Z106" s="89">
        <f t="shared" si="59"/>
        <v>0</v>
      </c>
      <c r="AA106" s="89">
        <f t="shared" si="59"/>
        <v>164.3</v>
      </c>
      <c r="AB106" s="89">
        <f t="shared" si="59"/>
        <v>110</v>
      </c>
      <c r="AC106" s="89">
        <f t="shared" si="59"/>
        <v>110</v>
      </c>
      <c r="AD106" s="89">
        <f t="shared" si="59"/>
        <v>162</v>
      </c>
      <c r="AE106" s="89">
        <f t="shared" si="59"/>
        <v>157</v>
      </c>
      <c r="AF106" s="89">
        <f t="shared" si="59"/>
        <v>0</v>
      </c>
      <c r="AG106" s="111"/>
      <c r="AH106" s="48">
        <f t="shared" si="33"/>
        <v>430</v>
      </c>
      <c r="AI106" s="49">
        <f t="shared" si="34"/>
        <v>0</v>
      </c>
    </row>
    <row r="107" spans="1:64" x14ac:dyDescent="0.25">
      <c r="A107" s="97" t="s">
        <v>107</v>
      </c>
      <c r="B107" s="89">
        <f t="shared" si="63"/>
        <v>0</v>
      </c>
      <c r="C107" s="89">
        <f t="shared" si="59"/>
        <v>0</v>
      </c>
      <c r="D107" s="89">
        <f t="shared" si="59"/>
        <v>0</v>
      </c>
      <c r="E107" s="89">
        <f t="shared" si="59"/>
        <v>0</v>
      </c>
      <c r="F107" s="89">
        <f t="shared" si="59"/>
        <v>0</v>
      </c>
      <c r="G107" s="89">
        <f t="shared" si="59"/>
        <v>0</v>
      </c>
      <c r="H107" s="89">
        <f t="shared" si="59"/>
        <v>0</v>
      </c>
      <c r="I107" s="89">
        <f t="shared" si="59"/>
        <v>0</v>
      </c>
      <c r="J107" s="89">
        <f t="shared" si="59"/>
        <v>0</v>
      </c>
      <c r="K107" s="89">
        <f t="shared" si="59"/>
        <v>0</v>
      </c>
      <c r="L107" s="89">
        <f t="shared" si="59"/>
        <v>0</v>
      </c>
      <c r="M107" s="89">
        <f t="shared" si="59"/>
        <v>0</v>
      </c>
      <c r="N107" s="89">
        <f t="shared" si="59"/>
        <v>0</v>
      </c>
      <c r="O107" s="89">
        <f t="shared" si="59"/>
        <v>0</v>
      </c>
      <c r="P107" s="89">
        <f t="shared" si="59"/>
        <v>0</v>
      </c>
      <c r="Q107" s="89">
        <f t="shared" si="59"/>
        <v>0</v>
      </c>
      <c r="R107" s="89">
        <f t="shared" si="59"/>
        <v>0</v>
      </c>
      <c r="S107" s="89">
        <f t="shared" ref="S107:T107" si="70">IF(S87&lt;0,S87*-1,0)</f>
        <v>0</v>
      </c>
      <c r="T107" s="89">
        <f t="shared" si="70"/>
        <v>0</v>
      </c>
      <c r="U107" s="89">
        <f t="shared" ref="U107" si="71">IF(U87&lt;0,U87*-1,0)</f>
        <v>0</v>
      </c>
      <c r="V107" s="89">
        <f t="shared" si="59"/>
        <v>0</v>
      </c>
      <c r="W107" s="89">
        <f t="shared" ref="W107" si="72">IF(W87&lt;0,W87*-1,0)</f>
        <v>0</v>
      </c>
      <c r="X107" s="89">
        <f t="shared" si="59"/>
        <v>0</v>
      </c>
      <c r="Y107" s="89">
        <f t="shared" si="59"/>
        <v>0</v>
      </c>
      <c r="Z107" s="89">
        <f t="shared" si="59"/>
        <v>0</v>
      </c>
      <c r="AA107" s="89">
        <f t="shared" si="59"/>
        <v>0</v>
      </c>
      <c r="AB107" s="89">
        <f t="shared" si="59"/>
        <v>0</v>
      </c>
      <c r="AC107" s="89">
        <f t="shared" si="59"/>
        <v>0</v>
      </c>
      <c r="AD107" s="89">
        <f t="shared" si="59"/>
        <v>0</v>
      </c>
      <c r="AE107" s="89">
        <f t="shared" si="59"/>
        <v>0</v>
      </c>
      <c r="AF107" s="89">
        <f t="shared" si="59"/>
        <v>0</v>
      </c>
      <c r="AG107" s="111"/>
      <c r="AH107" s="48">
        <f t="shared" si="33"/>
        <v>0</v>
      </c>
      <c r="AI107" s="49">
        <f t="shared" si="34"/>
        <v>0</v>
      </c>
    </row>
    <row r="108" spans="1:64" x14ac:dyDescent="0.25">
      <c r="A108" s="97" t="s">
        <v>108</v>
      </c>
      <c r="B108" s="89">
        <f t="shared" si="63"/>
        <v>0</v>
      </c>
      <c r="C108" s="89">
        <f t="shared" si="59"/>
        <v>0</v>
      </c>
      <c r="D108" s="89">
        <f t="shared" si="59"/>
        <v>0</v>
      </c>
      <c r="E108" s="89">
        <f t="shared" si="59"/>
        <v>0</v>
      </c>
      <c r="F108" s="89">
        <f t="shared" si="59"/>
        <v>0</v>
      </c>
      <c r="G108" s="89">
        <f t="shared" si="59"/>
        <v>0</v>
      </c>
      <c r="H108" s="89">
        <f t="shared" si="59"/>
        <v>0</v>
      </c>
      <c r="I108" s="89">
        <f t="shared" si="59"/>
        <v>0</v>
      </c>
      <c r="J108" s="89">
        <f t="shared" si="59"/>
        <v>0</v>
      </c>
      <c r="K108" s="89">
        <f t="shared" si="59"/>
        <v>0</v>
      </c>
      <c r="L108" s="89">
        <f t="shared" si="59"/>
        <v>0</v>
      </c>
      <c r="M108" s="89">
        <f t="shared" si="59"/>
        <v>0</v>
      </c>
      <c r="N108" s="89">
        <f t="shared" si="59"/>
        <v>0</v>
      </c>
      <c r="O108" s="89">
        <f t="shared" si="59"/>
        <v>0</v>
      </c>
      <c r="P108" s="89">
        <f t="shared" si="59"/>
        <v>0</v>
      </c>
      <c r="Q108" s="89">
        <f t="shared" si="59"/>
        <v>0</v>
      </c>
      <c r="R108" s="89">
        <f t="shared" si="59"/>
        <v>0</v>
      </c>
      <c r="S108" s="89">
        <f t="shared" ref="S108:T108" si="73">IF(S88&lt;0,S88*-1,0)</f>
        <v>0</v>
      </c>
      <c r="T108" s="89">
        <f t="shared" si="73"/>
        <v>0</v>
      </c>
      <c r="U108" s="89">
        <f t="shared" ref="U108" si="74">IF(U88&lt;0,U88*-1,0)</f>
        <v>0</v>
      </c>
      <c r="V108" s="89">
        <f t="shared" si="59"/>
        <v>0</v>
      </c>
      <c r="W108" s="89">
        <f t="shared" ref="W108" si="75">IF(W88&lt;0,W88*-1,0)</f>
        <v>0</v>
      </c>
      <c r="X108" s="89">
        <f t="shared" si="59"/>
        <v>0</v>
      </c>
      <c r="Y108" s="89">
        <f t="shared" si="59"/>
        <v>0</v>
      </c>
      <c r="Z108" s="89">
        <f t="shared" si="59"/>
        <v>0</v>
      </c>
      <c r="AA108" s="89">
        <f t="shared" si="59"/>
        <v>0</v>
      </c>
      <c r="AB108" s="89">
        <f t="shared" si="59"/>
        <v>0</v>
      </c>
      <c r="AC108" s="89">
        <f t="shared" si="59"/>
        <v>0</v>
      </c>
      <c r="AD108" s="89">
        <f t="shared" si="59"/>
        <v>0</v>
      </c>
      <c r="AE108" s="89">
        <f t="shared" si="59"/>
        <v>0</v>
      </c>
      <c r="AF108" s="89">
        <f t="shared" si="59"/>
        <v>0</v>
      </c>
      <c r="AG108" s="111"/>
      <c r="AH108" s="48">
        <f t="shared" si="33"/>
        <v>0</v>
      </c>
      <c r="AI108" s="49">
        <f t="shared" si="34"/>
        <v>0</v>
      </c>
    </row>
    <row r="109" spans="1:64" ht="15.75" thickBot="1" x14ac:dyDescent="0.3">
      <c r="A109" s="97" t="s">
        <v>117</v>
      </c>
      <c r="B109" s="89">
        <f t="shared" si="63"/>
        <v>0</v>
      </c>
      <c r="C109" s="89">
        <f t="shared" si="59"/>
        <v>0</v>
      </c>
      <c r="D109" s="89">
        <f t="shared" si="59"/>
        <v>0</v>
      </c>
      <c r="E109" s="89">
        <f t="shared" si="59"/>
        <v>0</v>
      </c>
      <c r="F109" s="89">
        <f t="shared" si="59"/>
        <v>0</v>
      </c>
      <c r="G109" s="89">
        <f t="shared" si="59"/>
        <v>0</v>
      </c>
      <c r="H109" s="89">
        <f t="shared" si="59"/>
        <v>0</v>
      </c>
      <c r="I109" s="89">
        <f t="shared" si="59"/>
        <v>0</v>
      </c>
      <c r="J109" s="89">
        <f t="shared" si="59"/>
        <v>0</v>
      </c>
      <c r="K109" s="89">
        <f t="shared" si="59"/>
        <v>0</v>
      </c>
      <c r="L109" s="89">
        <f t="shared" si="59"/>
        <v>0</v>
      </c>
      <c r="M109" s="89">
        <f t="shared" si="59"/>
        <v>0</v>
      </c>
      <c r="N109" s="89">
        <f t="shared" si="59"/>
        <v>0</v>
      </c>
      <c r="O109" s="89">
        <f t="shared" si="59"/>
        <v>0</v>
      </c>
      <c r="P109" s="89">
        <f t="shared" si="59"/>
        <v>0</v>
      </c>
      <c r="Q109" s="89">
        <f t="shared" si="59"/>
        <v>0</v>
      </c>
      <c r="R109" s="89">
        <f t="shared" si="59"/>
        <v>0</v>
      </c>
      <c r="S109" s="89">
        <f t="shared" ref="S109:T109" si="76">IF(S89&lt;0,S89*-1,0)</f>
        <v>0</v>
      </c>
      <c r="T109" s="89">
        <f t="shared" si="76"/>
        <v>0</v>
      </c>
      <c r="U109" s="89">
        <f t="shared" ref="U109" si="77">IF(U89&lt;0,U89*-1,0)</f>
        <v>0</v>
      </c>
      <c r="V109" s="89">
        <f t="shared" si="59"/>
        <v>0</v>
      </c>
      <c r="W109" s="89">
        <f t="shared" ref="W109" si="78">IF(W89&lt;0,W89*-1,0)</f>
        <v>0</v>
      </c>
      <c r="X109" s="89">
        <f t="shared" si="59"/>
        <v>0</v>
      </c>
      <c r="Y109" s="89">
        <f t="shared" si="59"/>
        <v>0</v>
      </c>
      <c r="Z109" s="89">
        <f t="shared" si="59"/>
        <v>0</v>
      </c>
      <c r="AA109" s="89">
        <f t="shared" si="59"/>
        <v>0</v>
      </c>
      <c r="AB109" s="89">
        <f t="shared" si="59"/>
        <v>0</v>
      </c>
      <c r="AC109" s="89">
        <f t="shared" si="59"/>
        <v>0</v>
      </c>
      <c r="AD109" s="89">
        <f t="shared" si="59"/>
        <v>0</v>
      </c>
      <c r="AE109" s="89">
        <f t="shared" si="59"/>
        <v>0</v>
      </c>
      <c r="AF109" s="89">
        <f t="shared" si="59"/>
        <v>0</v>
      </c>
      <c r="AG109" s="98"/>
      <c r="AH109" s="48">
        <f t="shared" si="33"/>
        <v>0</v>
      </c>
      <c r="AI109" s="49">
        <f t="shared" si="34"/>
        <v>0</v>
      </c>
    </row>
    <row r="110" spans="1:64" ht="15.75" thickBot="1" x14ac:dyDescent="0.3">
      <c r="A110" s="112" t="s">
        <v>130</v>
      </c>
      <c r="B110" s="71">
        <f>SUM(B104:B109)</f>
        <v>430</v>
      </c>
      <c r="C110" s="71">
        <f t="shared" ref="C110:AF110" si="79">SUM(C104:C109)</f>
        <v>406.8</v>
      </c>
      <c r="D110" s="71">
        <f t="shared" si="79"/>
        <v>402</v>
      </c>
      <c r="E110" s="71">
        <f t="shared" si="79"/>
        <v>415</v>
      </c>
      <c r="F110" s="71">
        <f t="shared" si="79"/>
        <v>399</v>
      </c>
      <c r="G110" s="71">
        <f t="shared" si="79"/>
        <v>398</v>
      </c>
      <c r="H110" s="71">
        <f t="shared" si="79"/>
        <v>402</v>
      </c>
      <c r="I110" s="71">
        <f t="shared" si="79"/>
        <v>415</v>
      </c>
      <c r="J110" s="71">
        <f t="shared" si="79"/>
        <v>0</v>
      </c>
      <c r="K110" s="71">
        <f t="shared" si="79"/>
        <v>0</v>
      </c>
      <c r="L110" s="71">
        <f t="shared" si="79"/>
        <v>0</v>
      </c>
      <c r="M110" s="71">
        <f t="shared" si="79"/>
        <v>0</v>
      </c>
      <c r="N110" s="71">
        <f t="shared" si="79"/>
        <v>0</v>
      </c>
      <c r="O110" s="71">
        <f t="shared" si="79"/>
        <v>0</v>
      </c>
      <c r="P110" s="71">
        <f t="shared" si="79"/>
        <v>0</v>
      </c>
      <c r="Q110" s="71">
        <f t="shared" si="79"/>
        <v>0</v>
      </c>
      <c r="R110" s="71">
        <f t="shared" si="79"/>
        <v>0</v>
      </c>
      <c r="S110" s="71">
        <f t="shared" ref="S110:T110" si="80">SUM(S104:S109)</f>
        <v>0</v>
      </c>
      <c r="T110" s="71">
        <f t="shared" si="80"/>
        <v>0</v>
      </c>
      <c r="U110" s="71">
        <f t="shared" ref="U110" si="81">SUM(U104:U109)</f>
        <v>0</v>
      </c>
      <c r="V110" s="71">
        <f t="shared" si="79"/>
        <v>0</v>
      </c>
      <c r="W110" s="71">
        <f t="shared" ref="W110" si="82">SUM(W104:W109)</f>
        <v>0</v>
      </c>
      <c r="X110" s="71">
        <f t="shared" si="79"/>
        <v>0</v>
      </c>
      <c r="Y110" s="71">
        <f t="shared" si="79"/>
        <v>0</v>
      </c>
      <c r="Z110" s="71">
        <f t="shared" si="79"/>
        <v>0</v>
      </c>
      <c r="AA110" s="71">
        <f t="shared" si="79"/>
        <v>164.3</v>
      </c>
      <c r="AB110" s="71">
        <f t="shared" si="79"/>
        <v>110</v>
      </c>
      <c r="AC110" s="71">
        <f t="shared" si="79"/>
        <v>110</v>
      </c>
      <c r="AD110" s="71">
        <f t="shared" si="79"/>
        <v>162</v>
      </c>
      <c r="AE110" s="71">
        <f t="shared" si="79"/>
        <v>157</v>
      </c>
      <c r="AF110" s="71">
        <f t="shared" si="79"/>
        <v>0</v>
      </c>
      <c r="AG110" s="101"/>
      <c r="AH110" s="48">
        <f t="shared" si="33"/>
        <v>430</v>
      </c>
      <c r="AI110" s="49">
        <f t="shared" si="34"/>
        <v>0</v>
      </c>
    </row>
    <row r="111" spans="1:64" ht="15.75" thickBot="1" x14ac:dyDescent="0.3">
      <c r="A111" s="87" t="s">
        <v>131</v>
      </c>
      <c r="B111" s="71">
        <f t="shared" ref="B111:AF111" si="83">B95-B110</f>
        <v>-415</v>
      </c>
      <c r="C111" s="71">
        <f t="shared" si="83"/>
        <v>-389.8</v>
      </c>
      <c r="D111" s="71">
        <f t="shared" si="83"/>
        <v>-386</v>
      </c>
      <c r="E111" s="71">
        <f t="shared" si="83"/>
        <v>-393.1</v>
      </c>
      <c r="F111" s="71">
        <f t="shared" si="83"/>
        <v>-379.3</v>
      </c>
      <c r="G111" s="71">
        <f t="shared" si="83"/>
        <v>-384.5</v>
      </c>
      <c r="H111" s="71">
        <f t="shared" si="83"/>
        <v>-394.1</v>
      </c>
      <c r="I111" s="71">
        <f t="shared" si="83"/>
        <v>-404.3</v>
      </c>
      <c r="J111" s="71">
        <f t="shared" si="83"/>
        <v>18</v>
      </c>
      <c r="K111" s="71">
        <f t="shared" si="83"/>
        <v>13</v>
      </c>
      <c r="L111" s="71">
        <f t="shared" si="83"/>
        <v>13</v>
      </c>
      <c r="M111" s="71">
        <f t="shared" si="83"/>
        <v>118.4</v>
      </c>
      <c r="N111" s="71">
        <f t="shared" si="83"/>
        <v>172.4</v>
      </c>
      <c r="O111" s="71">
        <f t="shared" si="83"/>
        <v>365</v>
      </c>
      <c r="P111" s="71">
        <f t="shared" si="83"/>
        <v>405</v>
      </c>
      <c r="Q111" s="71">
        <f t="shared" si="83"/>
        <v>507</v>
      </c>
      <c r="R111" s="71">
        <f t="shared" si="83"/>
        <v>599.6</v>
      </c>
      <c r="S111" s="71">
        <f t="shared" ref="S111:T111" si="84">S95-S110</f>
        <v>625.20000000000005</v>
      </c>
      <c r="T111" s="71">
        <f t="shared" si="84"/>
        <v>587.5</v>
      </c>
      <c r="U111" s="71">
        <f t="shared" ref="U111" si="85">U95-U110</f>
        <v>530.08000000000004</v>
      </c>
      <c r="V111" s="71">
        <f t="shared" si="83"/>
        <v>209.70000000000002</v>
      </c>
      <c r="W111" s="71">
        <f t="shared" ref="W111" si="86">W95-W110</f>
        <v>266.5</v>
      </c>
      <c r="X111" s="71">
        <f t="shared" si="83"/>
        <v>0</v>
      </c>
      <c r="Y111" s="71">
        <f t="shared" si="83"/>
        <v>0</v>
      </c>
      <c r="Z111" s="71">
        <f t="shared" si="83"/>
        <v>272.89999999999998</v>
      </c>
      <c r="AA111" s="71">
        <f t="shared" si="83"/>
        <v>-105.9</v>
      </c>
      <c r="AB111" s="71">
        <f t="shared" si="83"/>
        <v>-20</v>
      </c>
      <c r="AC111" s="71">
        <f t="shared" si="83"/>
        <v>12</v>
      </c>
      <c r="AD111" s="71">
        <f t="shared" si="83"/>
        <v>-58</v>
      </c>
      <c r="AE111" s="71">
        <f t="shared" si="83"/>
        <v>-53</v>
      </c>
      <c r="AF111" s="71">
        <f t="shared" si="83"/>
        <v>107</v>
      </c>
      <c r="AG111" s="101"/>
      <c r="AH111" s="48">
        <f t="shared" si="33"/>
        <v>625.20000000000005</v>
      </c>
      <c r="AI111" s="49">
        <f t="shared" si="34"/>
        <v>-415</v>
      </c>
    </row>
    <row r="112" spans="1:64" x14ac:dyDescent="0.25">
      <c r="A112" s="113" t="s">
        <v>132</v>
      </c>
      <c r="B112" s="114">
        <v>50.03</v>
      </c>
      <c r="C112" s="114">
        <v>50.008000000000003</v>
      </c>
      <c r="D112" s="114">
        <v>50.03</v>
      </c>
      <c r="E112" s="114">
        <v>49.966999999999999</v>
      </c>
      <c r="F112" s="114">
        <v>50</v>
      </c>
      <c r="G112" s="114">
        <v>49.984000000000002</v>
      </c>
      <c r="H112" s="114">
        <v>49.987000000000002</v>
      </c>
      <c r="I112" s="114">
        <v>50.003999999999998</v>
      </c>
      <c r="J112" s="114">
        <v>50</v>
      </c>
      <c r="K112" s="114">
        <v>50.052999999999997</v>
      </c>
      <c r="L112" s="114">
        <v>50.052999999999997</v>
      </c>
      <c r="M112" s="114">
        <v>50.238999999999997</v>
      </c>
      <c r="N112" s="114">
        <v>49.962000000000003</v>
      </c>
      <c r="O112" s="114">
        <v>49.936</v>
      </c>
      <c r="P112" s="114">
        <v>49.936</v>
      </c>
      <c r="Q112" s="114">
        <v>49.936</v>
      </c>
      <c r="R112" s="114">
        <v>50.015000000000001</v>
      </c>
      <c r="S112" s="114">
        <v>50.02</v>
      </c>
      <c r="T112" s="114">
        <v>50.02</v>
      </c>
      <c r="U112" s="114">
        <v>50</v>
      </c>
      <c r="V112" s="114">
        <v>50.02</v>
      </c>
      <c r="W112" s="114">
        <v>49.95</v>
      </c>
      <c r="X112" s="114"/>
      <c r="Y112" s="114"/>
      <c r="Z112" s="114">
        <v>50.05</v>
      </c>
      <c r="AA112" s="114">
        <v>49.99</v>
      </c>
      <c r="AB112" s="114">
        <v>50.030999999999999</v>
      </c>
      <c r="AC112" s="114">
        <v>50.030999999999999</v>
      </c>
      <c r="AD112" s="114">
        <v>49.963999999999999</v>
      </c>
      <c r="AE112" s="114">
        <v>50.058999999999997</v>
      </c>
      <c r="AF112" s="114">
        <v>50.048999999999999</v>
      </c>
      <c r="AG112" s="115"/>
      <c r="AH112" s="48">
        <f t="shared" si="33"/>
        <v>50.238999999999997</v>
      </c>
      <c r="AI112" s="49">
        <f t="shared" si="34"/>
        <v>49.936</v>
      </c>
    </row>
    <row r="113" spans="1:35" x14ac:dyDescent="0.25">
      <c r="A113" s="116" t="s">
        <v>133</v>
      </c>
      <c r="B113" s="76">
        <v>124.1</v>
      </c>
      <c r="C113" s="76">
        <v>125.5</v>
      </c>
      <c r="D113" s="76">
        <v>125.4</v>
      </c>
      <c r="E113" s="76">
        <v>123.2</v>
      </c>
      <c r="F113" s="76">
        <v>121.7</v>
      </c>
      <c r="G113" s="76">
        <v>126</v>
      </c>
      <c r="H113" s="76">
        <v>124.8</v>
      </c>
      <c r="I113" s="76">
        <v>128.9</v>
      </c>
      <c r="J113" s="76">
        <v>129</v>
      </c>
      <c r="K113" s="76">
        <v>125.3</v>
      </c>
      <c r="L113" s="76">
        <v>125.3</v>
      </c>
      <c r="M113" s="76">
        <v>126.2</v>
      </c>
      <c r="N113" s="76">
        <v>126.2</v>
      </c>
      <c r="O113" s="76">
        <v>124.7</v>
      </c>
      <c r="P113" s="76">
        <v>124.7</v>
      </c>
      <c r="Q113" s="76">
        <v>124.7</v>
      </c>
      <c r="R113" s="76">
        <v>123.6</v>
      </c>
      <c r="S113" s="76">
        <v>123.3</v>
      </c>
      <c r="T113" s="76">
        <v>123.8</v>
      </c>
      <c r="U113" s="76">
        <v>121.4</v>
      </c>
      <c r="V113" s="76">
        <v>125.4</v>
      </c>
      <c r="W113" s="76">
        <v>125.4</v>
      </c>
      <c r="X113" s="76"/>
      <c r="Y113" s="76"/>
      <c r="Z113" s="76">
        <v>128.9</v>
      </c>
      <c r="AA113" s="76">
        <v>126.6</v>
      </c>
      <c r="AB113" s="76">
        <v>125</v>
      </c>
      <c r="AC113" s="76">
        <v>125</v>
      </c>
      <c r="AD113" s="76">
        <v>125.2</v>
      </c>
      <c r="AE113" s="76">
        <v>125.3</v>
      </c>
      <c r="AF113" s="76">
        <v>125.5</v>
      </c>
      <c r="AG113" s="117"/>
      <c r="AH113" s="48">
        <f t="shared" si="33"/>
        <v>129</v>
      </c>
      <c r="AI113" s="49">
        <f t="shared" si="34"/>
        <v>121.4</v>
      </c>
    </row>
    <row r="114" spans="1:35" x14ac:dyDescent="0.25">
      <c r="A114" s="116" t="s">
        <v>134</v>
      </c>
      <c r="B114" s="76">
        <v>129.4</v>
      </c>
      <c r="C114" s="76">
        <v>130.5</v>
      </c>
      <c r="D114" s="76">
        <v>130.19999999999999</v>
      </c>
      <c r="E114" s="76">
        <v>128.9</v>
      </c>
      <c r="F114" s="76">
        <v>128</v>
      </c>
      <c r="G114" s="76">
        <v>130</v>
      </c>
      <c r="H114" s="76">
        <v>129</v>
      </c>
      <c r="I114" s="76">
        <v>131.1</v>
      </c>
      <c r="J114" s="76">
        <v>130.1</v>
      </c>
      <c r="K114" s="76">
        <v>127.4</v>
      </c>
      <c r="L114" s="76">
        <v>127.4</v>
      </c>
      <c r="M114" s="76">
        <v>128.1</v>
      </c>
      <c r="N114" s="76">
        <v>127.5</v>
      </c>
      <c r="O114" s="76">
        <v>126</v>
      </c>
      <c r="P114" s="76">
        <v>126</v>
      </c>
      <c r="Q114" s="76">
        <v>126</v>
      </c>
      <c r="R114" s="76">
        <v>125.6</v>
      </c>
      <c r="S114" s="76">
        <v>126</v>
      </c>
      <c r="T114" s="76">
        <v>126.2</v>
      </c>
      <c r="U114" s="76">
        <v>124.7</v>
      </c>
      <c r="V114" s="76">
        <v>127.7</v>
      </c>
      <c r="W114" s="76">
        <v>127.7</v>
      </c>
      <c r="X114" s="76"/>
      <c r="Y114" s="76"/>
      <c r="Z114" s="76">
        <v>130.4</v>
      </c>
      <c r="AA114" s="76">
        <v>128.5</v>
      </c>
      <c r="AB114" s="76">
        <v>128.1</v>
      </c>
      <c r="AC114" s="76">
        <v>128.1</v>
      </c>
      <c r="AD114" s="76">
        <v>129.19999999999999</v>
      </c>
      <c r="AE114" s="76">
        <v>129.6</v>
      </c>
      <c r="AF114" s="76">
        <v>130.19999999999999</v>
      </c>
      <c r="AG114" s="117"/>
      <c r="AH114" s="48">
        <f t="shared" si="33"/>
        <v>131.1</v>
      </c>
      <c r="AI114" s="49">
        <f t="shared" si="34"/>
        <v>124.7</v>
      </c>
    </row>
    <row r="115" spans="1:35" x14ac:dyDescent="0.25">
      <c r="A115" s="116" t="s">
        <v>135</v>
      </c>
      <c r="B115" s="76">
        <v>130.9</v>
      </c>
      <c r="C115" s="76">
        <v>133.5</v>
      </c>
      <c r="D115" s="76">
        <v>132.6</v>
      </c>
      <c r="E115" s="76">
        <v>133.69999999999999</v>
      </c>
      <c r="F115" s="76">
        <v>134.19999999999999</v>
      </c>
      <c r="G115" s="76">
        <v>132</v>
      </c>
      <c r="H115" s="76">
        <v>130.4</v>
      </c>
      <c r="I115" s="76">
        <v>130.19999999999999</v>
      </c>
      <c r="J115" s="76">
        <v>128.9</v>
      </c>
      <c r="K115" s="76">
        <v>128.80000000000001</v>
      </c>
      <c r="L115" s="76">
        <v>128.80000000000001</v>
      </c>
      <c r="M115" s="76">
        <v>125.6</v>
      </c>
      <c r="N115" s="76">
        <v>128.4</v>
      </c>
      <c r="O115" s="76">
        <v>127.1</v>
      </c>
      <c r="P115" s="76">
        <v>127.1</v>
      </c>
      <c r="Q115" s="76">
        <v>127.1</v>
      </c>
      <c r="R115" s="76">
        <v>128.9</v>
      </c>
      <c r="S115" s="76">
        <v>127.3</v>
      </c>
      <c r="T115" s="76">
        <v>127</v>
      </c>
      <c r="U115" s="76">
        <v>128.30000000000001</v>
      </c>
      <c r="V115" s="76">
        <v>129.9</v>
      </c>
      <c r="W115" s="76">
        <v>129.9</v>
      </c>
      <c r="X115" s="76"/>
      <c r="Y115" s="76"/>
      <c r="Z115" s="76">
        <v>129.9</v>
      </c>
      <c r="AA115" s="76">
        <v>126.3</v>
      </c>
      <c r="AB115" s="76">
        <v>127.7</v>
      </c>
      <c r="AC115" s="76">
        <v>127.7</v>
      </c>
      <c r="AD115" s="76">
        <v>128</v>
      </c>
      <c r="AE115" s="76">
        <v>128.30000000000001</v>
      </c>
      <c r="AF115" s="76">
        <v>130.9</v>
      </c>
      <c r="AG115" s="117"/>
      <c r="AH115" s="48">
        <f t="shared" si="33"/>
        <v>134.19999999999999</v>
      </c>
      <c r="AI115" s="49">
        <f t="shared" si="34"/>
        <v>125.6</v>
      </c>
    </row>
    <row r="116" spans="1:35" x14ac:dyDescent="0.25">
      <c r="A116" s="118" t="s">
        <v>136</v>
      </c>
      <c r="B116" s="76">
        <v>131.80000000000001</v>
      </c>
      <c r="C116" s="76">
        <v>134.30000000000001</v>
      </c>
      <c r="D116" s="76">
        <v>133.80000000000001</v>
      </c>
      <c r="E116" s="76">
        <v>135.1</v>
      </c>
      <c r="F116" s="76">
        <v>134.80000000000001</v>
      </c>
      <c r="G116" s="76">
        <v>131.4</v>
      </c>
      <c r="H116" s="76">
        <v>129.69999999999999</v>
      </c>
      <c r="I116" s="76">
        <v>131.6</v>
      </c>
      <c r="J116" s="76">
        <v>129.4</v>
      </c>
      <c r="K116" s="76">
        <v>130.6</v>
      </c>
      <c r="L116" s="76">
        <v>130.6</v>
      </c>
      <c r="M116" s="76">
        <v>128.19999999999999</v>
      </c>
      <c r="N116" s="76">
        <v>130.19999999999999</v>
      </c>
      <c r="O116" s="76">
        <v>126.7</v>
      </c>
      <c r="P116" s="76">
        <v>126.7</v>
      </c>
      <c r="Q116" s="76">
        <v>126.7</v>
      </c>
      <c r="R116" s="76">
        <v>129.69999999999999</v>
      </c>
      <c r="S116" s="76">
        <v>128</v>
      </c>
      <c r="T116" s="76">
        <v>127.2</v>
      </c>
      <c r="U116" s="76">
        <v>128.4</v>
      </c>
      <c r="V116" s="76">
        <v>130.30000000000001</v>
      </c>
      <c r="W116" s="76">
        <v>130.30000000000001</v>
      </c>
      <c r="X116" s="76"/>
      <c r="Y116" s="76"/>
      <c r="Z116" s="76">
        <v>130.30000000000001</v>
      </c>
      <c r="AA116" s="76">
        <v>126.2</v>
      </c>
      <c r="AB116" s="76">
        <v>127</v>
      </c>
      <c r="AC116" s="76">
        <v>127</v>
      </c>
      <c r="AD116" s="76">
        <v>129.19999999999999</v>
      </c>
      <c r="AE116" s="76">
        <v>129</v>
      </c>
      <c r="AF116" s="76">
        <v>131.69999999999999</v>
      </c>
      <c r="AG116" s="117"/>
      <c r="AH116" s="48">
        <f t="shared" si="33"/>
        <v>135.1</v>
      </c>
      <c r="AI116" s="49">
        <f t="shared" si="34"/>
        <v>126.2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33"/>
        <v>0</v>
      </c>
      <c r="AI117" s="49">
        <f t="shared" si="34"/>
        <v>0</v>
      </c>
    </row>
    <row r="118" spans="1:35" x14ac:dyDescent="0.25">
      <c r="A118" s="116" t="s">
        <v>138</v>
      </c>
      <c r="B118" s="76">
        <v>126.4</v>
      </c>
      <c r="C118" s="76">
        <v>119.9</v>
      </c>
      <c r="D118" s="76">
        <v>118.3</v>
      </c>
      <c r="E118" s="76">
        <v>117</v>
      </c>
      <c r="F118" s="76">
        <v>115</v>
      </c>
      <c r="G118" s="76">
        <v>117</v>
      </c>
      <c r="H118" s="76">
        <v>120</v>
      </c>
      <c r="I118" s="76">
        <v>120.1</v>
      </c>
      <c r="J118" s="76">
        <v>125.6</v>
      </c>
      <c r="K118" s="76">
        <v>120</v>
      </c>
      <c r="L118" s="76">
        <v>120</v>
      </c>
      <c r="M118" s="76">
        <v>126.7</v>
      </c>
      <c r="N118" s="76">
        <v>124.8</v>
      </c>
      <c r="O118" s="76">
        <v>125.6</v>
      </c>
      <c r="P118" s="76">
        <v>125.6</v>
      </c>
      <c r="Q118" s="76">
        <v>125.6</v>
      </c>
      <c r="R118" s="76">
        <v>122</v>
      </c>
      <c r="S118" s="76">
        <v>129.5</v>
      </c>
      <c r="T118" s="76">
        <v>128.4</v>
      </c>
      <c r="U118" s="76">
        <v>124.4</v>
      </c>
      <c r="V118" s="76">
        <v>125.9</v>
      </c>
      <c r="W118" s="76">
        <v>125.9</v>
      </c>
      <c r="X118" s="76"/>
      <c r="Y118" s="76"/>
      <c r="Z118" s="76">
        <v>125.9</v>
      </c>
      <c r="AA118" s="76">
        <v>126.8</v>
      </c>
      <c r="AB118" s="76">
        <v>115</v>
      </c>
      <c r="AC118" s="76">
        <v>115</v>
      </c>
      <c r="AD118" s="76">
        <v>128</v>
      </c>
      <c r="AE118" s="76">
        <v>128</v>
      </c>
      <c r="AF118" s="76">
        <v>127.1</v>
      </c>
      <c r="AG118" s="117"/>
      <c r="AH118" s="48">
        <f t="shared" si="33"/>
        <v>129.5</v>
      </c>
      <c r="AI118" s="49">
        <f t="shared" si="34"/>
        <v>115</v>
      </c>
    </row>
    <row r="119" spans="1:35" ht="15.75" thickBot="1" x14ac:dyDescent="0.3">
      <c r="A119" s="116" t="s">
        <v>139</v>
      </c>
      <c r="B119" s="105">
        <v>64.8</v>
      </c>
      <c r="C119" s="105">
        <v>65.400000000000006</v>
      </c>
      <c r="D119" s="105">
        <v>65.3</v>
      </c>
      <c r="E119" s="105">
        <v>64.400000000000006</v>
      </c>
      <c r="F119" s="105">
        <v>64</v>
      </c>
      <c r="G119" s="105">
        <v>64.8</v>
      </c>
      <c r="H119" s="105">
        <v>65</v>
      </c>
      <c r="I119" s="105">
        <v>65.7</v>
      </c>
      <c r="J119" s="105">
        <v>65.099999999999994</v>
      </c>
      <c r="K119" s="105">
        <v>64.3</v>
      </c>
      <c r="L119" s="105">
        <v>64.3</v>
      </c>
      <c r="M119" s="105">
        <v>64.3</v>
      </c>
      <c r="N119" s="105">
        <v>63.6</v>
      </c>
      <c r="O119" s="105">
        <v>63.1</v>
      </c>
      <c r="P119" s="105">
        <v>63.1</v>
      </c>
      <c r="Q119" s="105">
        <v>63.1</v>
      </c>
      <c r="R119" s="105">
        <v>62.9</v>
      </c>
      <c r="S119" s="105">
        <v>63.5</v>
      </c>
      <c r="T119" s="105">
        <v>63.2</v>
      </c>
      <c r="U119" s="105">
        <v>62.4</v>
      </c>
      <c r="V119" s="105">
        <v>64.5</v>
      </c>
      <c r="W119" s="105">
        <v>64.5</v>
      </c>
      <c r="X119" s="105"/>
      <c r="Y119" s="105"/>
      <c r="Z119" s="105">
        <v>64.5</v>
      </c>
      <c r="AA119" s="105">
        <v>64.3</v>
      </c>
      <c r="AB119" s="105">
        <v>64.400000000000006</v>
      </c>
      <c r="AC119" s="105">
        <v>64.400000000000006</v>
      </c>
      <c r="AD119" s="105">
        <v>65.3</v>
      </c>
      <c r="AE119" s="105">
        <v>65.400000000000006</v>
      </c>
      <c r="AF119" s="105">
        <v>65.8</v>
      </c>
      <c r="AG119" s="121"/>
      <c r="AH119" s="48">
        <f t="shared" si="33"/>
        <v>65.8</v>
      </c>
      <c r="AI119" s="49">
        <f t="shared" si="34"/>
        <v>62.4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3"/>
        <v>0</v>
      </c>
      <c r="AI120" s="49">
        <f t="shared" si="34"/>
        <v>0</v>
      </c>
    </row>
    <row r="121" spans="1:35" ht="15.75" thickBot="1" x14ac:dyDescent="0.3">
      <c r="A121" s="123" t="s">
        <v>141</v>
      </c>
      <c r="B121" s="124">
        <f t="shared" ref="B121:O121" si="87">SUM(B25,B31,B34:B35,B69,B71:B72,B74,B76,B122:B126,B158,B164,B170,B179,B181,B193,B200,B203:B204,B211,B213,B215,B219:B221,B223:B225,B230,B236:B237,B239:B241,B249,B254)</f>
        <v>90.740000000000009</v>
      </c>
      <c r="C121" s="124">
        <f t="shared" si="87"/>
        <v>82.240000000000009</v>
      </c>
      <c r="D121" s="124">
        <f t="shared" si="87"/>
        <v>85.54000000000002</v>
      </c>
      <c r="E121" s="124">
        <f t="shared" si="87"/>
        <v>85.939999999999955</v>
      </c>
      <c r="F121" s="124">
        <f t="shared" si="87"/>
        <v>83.840000000000018</v>
      </c>
      <c r="G121" s="124">
        <f t="shared" si="87"/>
        <v>118.13999999999997</v>
      </c>
      <c r="H121" s="124">
        <f t="shared" si="87"/>
        <v>133.04000000000002</v>
      </c>
      <c r="I121" s="124">
        <f t="shared" si="87"/>
        <v>172.44</v>
      </c>
      <c r="J121" s="124">
        <f t="shared" si="87"/>
        <v>201.14000000000004</v>
      </c>
      <c r="K121" s="124">
        <f t="shared" si="87"/>
        <v>235.94</v>
      </c>
      <c r="L121" s="124">
        <f t="shared" si="87"/>
        <v>235.94</v>
      </c>
      <c r="M121" s="124">
        <f t="shared" si="87"/>
        <v>207.14000000000004</v>
      </c>
      <c r="N121" s="124">
        <f t="shared" si="87"/>
        <v>260.74</v>
      </c>
      <c r="O121" s="124">
        <f t="shared" si="87"/>
        <v>284.44</v>
      </c>
      <c r="P121" s="124">
        <v>42</v>
      </c>
      <c r="Q121" s="124">
        <f t="shared" ref="Q121:AA121" si="88">SUM(Q25,Q31,Q34:Q35,Q69,Q71:Q72,Q74,Q76,Q122:Q126,Q158,Q164,Q170,Q179,Q181,Q193,Q200,Q203:Q204,Q211,Q213,Q215,Q219:Q221,Q223:Q225,Q230,Q236:Q237,Q239:Q241,Q249,Q254)</f>
        <v>289.04000000000002</v>
      </c>
      <c r="R121" s="124">
        <f t="shared" si="88"/>
        <v>290.64000000000004</v>
      </c>
      <c r="S121" s="124">
        <f t="shared" si="88"/>
        <v>290.94</v>
      </c>
      <c r="T121" s="124">
        <f t="shared" si="88"/>
        <v>276.94</v>
      </c>
      <c r="U121" s="124">
        <f t="shared" si="88"/>
        <v>295.94</v>
      </c>
      <c r="V121" s="124">
        <f t="shared" si="88"/>
        <v>260.44</v>
      </c>
      <c r="W121" s="124">
        <f t="shared" si="88"/>
        <v>281.44</v>
      </c>
      <c r="X121" s="124">
        <f t="shared" si="88"/>
        <v>0.94</v>
      </c>
      <c r="Y121" s="124">
        <f>SUM(Y23,Y29,Y40:Y41,Y69,Y71:Y72,Y74,Y76,Y122:Y126,Y151,Y157,Y163,Y172,Y174,Y186,Y193,Y196:Y197,Y204,Y206,Y208,Y212:Y214,Y216:Y218,Y223,Y229:Y230,Y232:Y234,Y242,Y247)</f>
        <v>0</v>
      </c>
      <c r="Z121" s="124">
        <f t="shared" si="88"/>
        <v>264.94000000000005</v>
      </c>
      <c r="AA121" s="124">
        <f t="shared" si="88"/>
        <v>273.64000000000004</v>
      </c>
      <c r="AB121" s="124">
        <f t="shared" ref="AB121:AF121" si="89">SUM(AB25,AB31,AB34:AB35,AB69,AB71:AB72,AB74,AB76,AB122:AB126,AB158,AB164,AB170,AB179,AB181,AB193,AB200,AB203:AB204,AB211,AB213,AB215,AB219:AB221,AB223:AB225,AB230,AB236:AB237,AB239:AB241,AB249,AB254)</f>
        <v>242.04000000000002</v>
      </c>
      <c r="AC121" s="124">
        <f t="shared" si="89"/>
        <v>242.04000000000002</v>
      </c>
      <c r="AD121" s="124">
        <f t="shared" si="89"/>
        <v>196.54000000000002</v>
      </c>
      <c r="AE121" s="124">
        <f t="shared" si="89"/>
        <v>196.54000000000002</v>
      </c>
      <c r="AF121" s="124">
        <f t="shared" si="89"/>
        <v>83.740000000000023</v>
      </c>
      <c r="AG121" s="125"/>
      <c r="AH121" s="48">
        <f t="shared" si="33"/>
        <v>295.94</v>
      </c>
      <c r="AI121" s="49">
        <f t="shared" si="34"/>
        <v>0</v>
      </c>
    </row>
    <row r="122" spans="1:35" x14ac:dyDescent="0.25">
      <c r="A122" s="126" t="s">
        <v>142</v>
      </c>
      <c r="B122" s="127">
        <v>48.8</v>
      </c>
      <c r="C122" s="127">
        <v>35.4</v>
      </c>
      <c r="D122" s="127">
        <v>40.4</v>
      </c>
      <c r="E122" s="127">
        <v>58.2</v>
      </c>
      <c r="F122" s="127">
        <v>61.6</v>
      </c>
      <c r="G122" s="127">
        <v>59</v>
      </c>
      <c r="H122" s="127">
        <v>65</v>
      </c>
      <c r="I122" s="127">
        <v>47.1</v>
      </c>
      <c r="J122" s="127">
        <v>25.6</v>
      </c>
      <c r="K122" s="127">
        <v>10</v>
      </c>
      <c r="L122" s="127">
        <v>10</v>
      </c>
      <c r="M122" s="127">
        <v>5.8</v>
      </c>
      <c r="N122" s="127">
        <v>6.2</v>
      </c>
      <c r="O122" s="127">
        <v>6.2</v>
      </c>
      <c r="P122" s="127">
        <v>6.2</v>
      </c>
      <c r="Q122" s="127">
        <v>6.2</v>
      </c>
      <c r="R122" s="127">
        <v>5.8</v>
      </c>
      <c r="S122" s="127">
        <v>6.4</v>
      </c>
      <c r="T122" s="127">
        <v>6.1</v>
      </c>
      <c r="U122" s="127">
        <v>6.4</v>
      </c>
      <c r="V122" s="127">
        <v>0.3</v>
      </c>
      <c r="W122" s="127">
        <v>-0.7</v>
      </c>
      <c r="X122" s="127"/>
      <c r="Y122" s="127"/>
      <c r="Z122" s="127">
        <v>49.6</v>
      </c>
      <c r="AA122" s="127">
        <v>52.1</v>
      </c>
      <c r="AB122" s="127">
        <v>59</v>
      </c>
      <c r="AC122" s="127">
        <v>59</v>
      </c>
      <c r="AD122" s="127">
        <v>73.5</v>
      </c>
      <c r="AE122" s="127">
        <v>73.5</v>
      </c>
      <c r="AF122" s="127">
        <v>2</v>
      </c>
      <c r="AG122" s="128">
        <v>75</v>
      </c>
      <c r="AH122" s="48">
        <f t="shared" si="33"/>
        <v>73.5</v>
      </c>
      <c r="AI122" s="49">
        <f t="shared" si="34"/>
        <v>-0.7</v>
      </c>
    </row>
    <row r="123" spans="1:35" x14ac:dyDescent="0.25">
      <c r="A123" s="129" t="s">
        <v>143</v>
      </c>
      <c r="B123" s="130">
        <v>76</v>
      </c>
      <c r="C123" s="130">
        <v>60.1</v>
      </c>
      <c r="D123" s="130">
        <v>60.7</v>
      </c>
      <c r="E123" s="130">
        <v>82.6</v>
      </c>
      <c r="F123" s="130">
        <v>87</v>
      </c>
      <c r="G123" s="130">
        <v>84</v>
      </c>
      <c r="H123" s="130">
        <v>91</v>
      </c>
      <c r="I123" s="130">
        <v>65.099999999999994</v>
      </c>
      <c r="J123" s="130">
        <v>32.299999999999997</v>
      </c>
      <c r="K123" s="130">
        <v>11</v>
      </c>
      <c r="L123" s="130">
        <v>11</v>
      </c>
      <c r="M123" s="130">
        <v>5.3</v>
      </c>
      <c r="N123" s="130">
        <v>17.399999999999999</v>
      </c>
      <c r="O123" s="130">
        <v>14.5</v>
      </c>
      <c r="P123" s="130">
        <v>14.5</v>
      </c>
      <c r="Q123" s="130">
        <v>47</v>
      </c>
      <c r="R123" s="130">
        <v>18</v>
      </c>
      <c r="S123" s="130">
        <v>43.1</v>
      </c>
      <c r="T123" s="130">
        <v>36.6</v>
      </c>
      <c r="U123" s="130">
        <v>55.1</v>
      </c>
      <c r="V123" s="130">
        <v>32.700000000000003</v>
      </c>
      <c r="W123" s="130">
        <v>36.4</v>
      </c>
      <c r="X123" s="130"/>
      <c r="Y123" s="130"/>
      <c r="Z123" s="130">
        <v>67.2</v>
      </c>
      <c r="AA123" s="130">
        <v>72.7</v>
      </c>
      <c r="AB123" s="130">
        <v>86</v>
      </c>
      <c r="AC123" s="130">
        <v>86</v>
      </c>
      <c r="AD123" s="130">
        <v>103</v>
      </c>
      <c r="AE123" s="130">
        <v>103</v>
      </c>
      <c r="AF123" s="130">
        <v>99</v>
      </c>
      <c r="AG123" s="128">
        <v>240</v>
      </c>
      <c r="AH123" s="48">
        <f t="shared" si="33"/>
        <v>103</v>
      </c>
      <c r="AI123" s="49">
        <f t="shared" si="34"/>
        <v>5.3</v>
      </c>
    </row>
    <row r="124" spans="1:35" x14ac:dyDescent="0.25">
      <c r="A124" s="129" t="s">
        <v>144</v>
      </c>
      <c r="B124" s="130">
        <v>-118</v>
      </c>
      <c r="C124" s="130">
        <v>-109</v>
      </c>
      <c r="D124" s="130">
        <v>-114</v>
      </c>
      <c r="E124" s="130">
        <v>-152</v>
      </c>
      <c r="F124" s="130">
        <v>-154</v>
      </c>
      <c r="G124" s="130">
        <v>-128</v>
      </c>
      <c r="H124" s="130">
        <v>-136</v>
      </c>
      <c r="I124" s="130">
        <v>-86</v>
      </c>
      <c r="J124" s="130">
        <v>-28</v>
      </c>
      <c r="K124" s="130">
        <v>-12</v>
      </c>
      <c r="L124" s="130">
        <v>-12</v>
      </c>
      <c r="M124" s="130">
        <v>-37.799999999999997</v>
      </c>
      <c r="N124" s="130">
        <v>-1</v>
      </c>
      <c r="O124" s="130">
        <v>9</v>
      </c>
      <c r="P124" s="130">
        <v>9</v>
      </c>
      <c r="Q124" s="130">
        <v>2</v>
      </c>
      <c r="R124" s="130">
        <v>13</v>
      </c>
      <c r="S124" s="130">
        <v>-5</v>
      </c>
      <c r="T124" s="130">
        <v>-17.100000000000001</v>
      </c>
      <c r="U124" s="130">
        <v>-11</v>
      </c>
      <c r="V124" s="130">
        <v>-20.2</v>
      </c>
      <c r="W124" s="130">
        <v>-2.8</v>
      </c>
      <c r="X124" s="130"/>
      <c r="Y124" s="130"/>
      <c r="Z124" s="130">
        <v>-7.1</v>
      </c>
      <c r="AA124" s="130">
        <v>-15</v>
      </c>
      <c r="AB124" s="130">
        <v>-57</v>
      </c>
      <c r="AC124" s="130">
        <v>-57</v>
      </c>
      <c r="AD124" s="130">
        <v>-120</v>
      </c>
      <c r="AE124" s="130">
        <v>-120</v>
      </c>
      <c r="AF124" s="130">
        <v>-140</v>
      </c>
      <c r="AG124" s="128">
        <v>240</v>
      </c>
      <c r="AH124" s="48">
        <f t="shared" si="33"/>
        <v>13</v>
      </c>
      <c r="AI124" s="49">
        <f t="shared" si="34"/>
        <v>-154</v>
      </c>
    </row>
    <row r="125" spans="1:35" ht="15.75" thickBot="1" x14ac:dyDescent="0.3">
      <c r="A125" s="129" t="s">
        <v>145</v>
      </c>
      <c r="B125" s="130">
        <v>-15.3</v>
      </c>
      <c r="C125" s="130">
        <v>-8.6</v>
      </c>
      <c r="D125" s="130">
        <v>-20.399999999999999</v>
      </c>
      <c r="E125" s="130">
        <v>-25.1</v>
      </c>
      <c r="F125" s="130">
        <v>-25</v>
      </c>
      <c r="G125" s="130">
        <v>-12</v>
      </c>
      <c r="H125" s="130">
        <v>-15</v>
      </c>
      <c r="I125" s="130">
        <v>10</v>
      </c>
      <c r="J125" s="130">
        <v>3.3</v>
      </c>
      <c r="K125" s="130">
        <v>20</v>
      </c>
      <c r="L125" s="130">
        <v>20</v>
      </c>
      <c r="M125" s="130">
        <v>17.100000000000001</v>
      </c>
      <c r="N125" s="130">
        <v>26.3</v>
      </c>
      <c r="O125" s="130">
        <v>20.9</v>
      </c>
      <c r="P125" s="130">
        <v>20.9</v>
      </c>
      <c r="Q125" s="130">
        <v>25</v>
      </c>
      <c r="R125" s="130">
        <v>28</v>
      </c>
      <c r="S125" s="130">
        <v>24.4</v>
      </c>
      <c r="T125" s="130">
        <v>29.5</v>
      </c>
      <c r="U125" s="130">
        <v>10.5</v>
      </c>
      <c r="V125" s="130">
        <v>16.3</v>
      </c>
      <c r="W125" s="130">
        <v>8</v>
      </c>
      <c r="X125" s="130"/>
      <c r="Y125" s="130"/>
      <c r="Z125" s="130">
        <v>33.700000000000003</v>
      </c>
      <c r="AA125" s="130">
        <v>42.8</v>
      </c>
      <c r="AB125" s="130">
        <v>33</v>
      </c>
      <c r="AC125" s="130">
        <v>33</v>
      </c>
      <c r="AD125" s="130">
        <v>19</v>
      </c>
      <c r="AE125" s="130">
        <v>19</v>
      </c>
      <c r="AF125" s="130">
        <v>1.7</v>
      </c>
      <c r="AG125" s="128">
        <v>60</v>
      </c>
      <c r="AH125" s="48">
        <f t="shared" si="33"/>
        <v>42.8</v>
      </c>
      <c r="AI125" s="49">
        <f t="shared" si="34"/>
        <v>-25.1</v>
      </c>
    </row>
    <row r="126" spans="1:35" x14ac:dyDescent="0.25">
      <c r="A126" s="126" t="s">
        <v>146</v>
      </c>
      <c r="B126" s="131">
        <v>-19.2</v>
      </c>
      <c r="C126" s="131">
        <v>-15.1</v>
      </c>
      <c r="D126" s="131">
        <v>-0.6</v>
      </c>
      <c r="E126" s="131">
        <v>2.8</v>
      </c>
      <c r="F126" s="131">
        <v>-5.2</v>
      </c>
      <c r="G126" s="131">
        <v>-5.2</v>
      </c>
      <c r="H126" s="131">
        <v>7.5</v>
      </c>
      <c r="I126" s="131">
        <v>14.3</v>
      </c>
      <c r="J126" s="131">
        <v>44</v>
      </c>
      <c r="K126" s="131">
        <v>80.099999999999994</v>
      </c>
      <c r="L126" s="131">
        <v>80.099999999999994</v>
      </c>
      <c r="M126" s="131">
        <v>89.9</v>
      </c>
      <c r="N126" s="131">
        <v>85</v>
      </c>
      <c r="O126" s="131">
        <v>107</v>
      </c>
      <c r="P126" s="131">
        <v>107</v>
      </c>
      <c r="Q126" s="131">
        <v>82</v>
      </c>
      <c r="R126" s="131">
        <v>99</v>
      </c>
      <c r="S126" s="131">
        <v>85.8</v>
      </c>
      <c r="T126" s="131">
        <v>87.9</v>
      </c>
      <c r="U126" s="131">
        <v>106.6</v>
      </c>
      <c r="V126" s="131">
        <v>105.7</v>
      </c>
      <c r="W126" s="131">
        <v>117.9</v>
      </c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3"/>
        <v>117.9</v>
      </c>
      <c r="AI126" s="49">
        <f t="shared" si="34"/>
        <v>-19.2</v>
      </c>
    </row>
    <row r="127" spans="1:35" x14ac:dyDescent="0.25">
      <c r="A127" s="129" t="s">
        <v>147</v>
      </c>
      <c r="B127" s="131">
        <v>37.5</v>
      </c>
      <c r="C127" s="131">
        <v>39.9</v>
      </c>
      <c r="D127" s="131">
        <v>46.7</v>
      </c>
      <c r="E127" s="131">
        <v>48</v>
      </c>
      <c r="F127" s="131">
        <v>45</v>
      </c>
      <c r="G127" s="131">
        <v>45</v>
      </c>
      <c r="H127" s="131">
        <v>51</v>
      </c>
      <c r="I127" s="131">
        <v>51</v>
      </c>
      <c r="J127" s="131">
        <v>70</v>
      </c>
      <c r="K127" s="131">
        <v>87</v>
      </c>
      <c r="L127" s="131">
        <v>87</v>
      </c>
      <c r="M127" s="131">
        <v>91.9</v>
      </c>
      <c r="N127" s="131">
        <v>88</v>
      </c>
      <c r="O127" s="131">
        <v>98</v>
      </c>
      <c r="P127" s="131">
        <v>98</v>
      </c>
      <c r="Q127" s="131">
        <v>85</v>
      </c>
      <c r="R127" s="131">
        <v>91</v>
      </c>
      <c r="S127" s="131">
        <v>78</v>
      </c>
      <c r="T127" s="131">
        <v>78.5</v>
      </c>
      <c r="U127" s="131">
        <v>84.2</v>
      </c>
      <c r="V127" s="131">
        <v>91.8</v>
      </c>
      <c r="W127" s="131">
        <v>90.5</v>
      </c>
      <c r="X127" s="131"/>
      <c r="Y127" s="131"/>
      <c r="Z127" s="131">
        <v>63</v>
      </c>
      <c r="AA127" s="131">
        <v>70.400000000000006</v>
      </c>
      <c r="AB127" s="131">
        <v>70</v>
      </c>
      <c r="AC127" s="131">
        <v>70</v>
      </c>
      <c r="AD127" s="131">
        <v>46</v>
      </c>
      <c r="AE127" s="131">
        <v>46</v>
      </c>
      <c r="AF127" s="131">
        <v>38</v>
      </c>
      <c r="AG127" s="132"/>
      <c r="AH127" s="48">
        <f t="shared" si="33"/>
        <v>98</v>
      </c>
      <c r="AI127" s="49">
        <f t="shared" si="34"/>
        <v>37.5</v>
      </c>
    </row>
    <row r="128" spans="1:35" x14ac:dyDescent="0.25">
      <c r="A128" s="129" t="s">
        <v>148</v>
      </c>
      <c r="B128" s="131">
        <v>-17.7</v>
      </c>
      <c r="C128" s="131">
        <v>-5.6</v>
      </c>
      <c r="D128" s="131">
        <v>8.6999999999999993</v>
      </c>
      <c r="E128" s="131">
        <v>13</v>
      </c>
      <c r="F128" s="131">
        <v>6</v>
      </c>
      <c r="G128" s="131">
        <v>-16.3</v>
      </c>
      <c r="H128" s="131">
        <v>-12</v>
      </c>
      <c r="I128" s="131"/>
      <c r="J128" s="131">
        <v>-15</v>
      </c>
      <c r="K128" s="131">
        <v>6</v>
      </c>
      <c r="L128" s="131">
        <v>6</v>
      </c>
      <c r="M128" s="131">
        <v>12.6</v>
      </c>
      <c r="N128" s="131">
        <v>4</v>
      </c>
      <c r="O128" s="131">
        <v>17</v>
      </c>
      <c r="P128" s="131">
        <v>17</v>
      </c>
      <c r="Q128" s="131">
        <v>-8</v>
      </c>
      <c r="R128" s="131">
        <v>-3.3</v>
      </c>
      <c r="S128" s="131">
        <v>-8.8000000000000007</v>
      </c>
      <c r="T128" s="131">
        <v>-12.2</v>
      </c>
      <c r="U128" s="131">
        <v>1</v>
      </c>
      <c r="V128" s="131">
        <v>0.3</v>
      </c>
      <c r="W128" s="131">
        <v>5.3</v>
      </c>
      <c r="X128" s="131"/>
      <c r="Y128" s="131"/>
      <c r="Z128" s="131">
        <v>-78.900000000000006</v>
      </c>
      <c r="AA128" s="131">
        <v>-74.599999999999994</v>
      </c>
      <c r="AB128" s="131">
        <v>-66</v>
      </c>
      <c r="AC128" s="131">
        <v>-66</v>
      </c>
      <c r="AD128" s="131">
        <v>-51</v>
      </c>
      <c r="AE128" s="131">
        <v>-51</v>
      </c>
      <c r="AF128" s="131">
        <v>-30</v>
      </c>
      <c r="AG128" s="132"/>
      <c r="AH128" s="48">
        <f t="shared" si="33"/>
        <v>17</v>
      </c>
      <c r="AI128" s="49">
        <f t="shared" si="34"/>
        <v>-78.900000000000006</v>
      </c>
    </row>
    <row r="129" spans="1:37" ht="15.75" thickBot="1" x14ac:dyDescent="0.3">
      <c r="A129" s="129" t="s">
        <v>149</v>
      </c>
      <c r="B129" s="131">
        <v>-10.9</v>
      </c>
      <c r="C129" s="131">
        <v>-3.3</v>
      </c>
      <c r="D129" s="131">
        <v>4.3</v>
      </c>
      <c r="E129" s="131">
        <v>12</v>
      </c>
      <c r="F129" s="131">
        <v>14</v>
      </c>
      <c r="G129" s="131">
        <v>5</v>
      </c>
      <c r="H129" s="131">
        <v>12</v>
      </c>
      <c r="I129" s="131"/>
      <c r="J129" s="131">
        <v>25</v>
      </c>
      <c r="K129" s="131">
        <v>40</v>
      </c>
      <c r="L129" s="131">
        <v>40</v>
      </c>
      <c r="M129" s="131">
        <v>46.3</v>
      </c>
      <c r="N129" s="131">
        <v>53</v>
      </c>
      <c r="O129" s="131">
        <v>65</v>
      </c>
      <c r="P129" s="131">
        <v>65</v>
      </c>
      <c r="Q129" s="131">
        <v>-47</v>
      </c>
      <c r="R129" s="131">
        <v>69</v>
      </c>
      <c r="S129" s="131">
        <v>61.5</v>
      </c>
      <c r="T129" s="131">
        <v>65.7</v>
      </c>
      <c r="U129" s="131">
        <v>69</v>
      </c>
      <c r="V129" s="131">
        <v>58.4</v>
      </c>
      <c r="W129" s="131">
        <v>70.3</v>
      </c>
      <c r="X129" s="131"/>
      <c r="Y129" s="131"/>
      <c r="Z129" s="131">
        <v>14.9</v>
      </c>
      <c r="AA129" s="131">
        <v>28.9</v>
      </c>
      <c r="AB129" s="131">
        <v>31</v>
      </c>
      <c r="AC129" s="131">
        <v>31</v>
      </c>
      <c r="AD129" s="131">
        <v>97</v>
      </c>
      <c r="AE129" s="131">
        <v>97</v>
      </c>
      <c r="AF129" s="131">
        <v>22</v>
      </c>
      <c r="AG129" s="128"/>
      <c r="AH129" s="48">
        <f>MAX(B129:AF129)</f>
        <v>97</v>
      </c>
      <c r="AI129" s="49">
        <f>MIN(B129:AF129)</f>
        <v>-47</v>
      </c>
    </row>
    <row r="130" spans="1:37" x14ac:dyDescent="0.25">
      <c r="A130" s="126" t="s">
        <v>150</v>
      </c>
      <c r="B130" s="131">
        <v>-299.7</v>
      </c>
      <c r="C130" s="131">
        <v>-274.5</v>
      </c>
      <c r="D130" s="131">
        <v>-266.7</v>
      </c>
      <c r="E130" s="131">
        <v>-280</v>
      </c>
      <c r="F130" s="131">
        <v>-258</v>
      </c>
      <c r="G130" s="131">
        <v>-251</v>
      </c>
      <c r="H130" s="131">
        <v>-263</v>
      </c>
      <c r="I130" s="131"/>
      <c r="J130" s="131">
        <v>-98</v>
      </c>
      <c r="K130" s="131">
        <v>-126</v>
      </c>
      <c r="L130" s="131">
        <v>-126</v>
      </c>
      <c r="M130" s="131">
        <v>-133.30000000000001</v>
      </c>
      <c r="N130" s="131">
        <v>-130</v>
      </c>
      <c r="O130" s="131">
        <v>75</v>
      </c>
      <c r="P130" s="131">
        <v>75</v>
      </c>
      <c r="Q130" s="131">
        <v>-45</v>
      </c>
      <c r="R130" s="131">
        <v>-10</v>
      </c>
      <c r="S130" s="131">
        <v>-16.899999999999999</v>
      </c>
      <c r="T130" s="131">
        <v>-14.6</v>
      </c>
      <c r="U130" s="131">
        <v>-34.799999999999997</v>
      </c>
      <c r="V130" s="131">
        <v>-161</v>
      </c>
      <c r="W130" s="131">
        <v>-139.6</v>
      </c>
      <c r="X130" s="131"/>
      <c r="Y130" s="131"/>
      <c r="Z130" s="131">
        <v>-203.5</v>
      </c>
      <c r="AA130" s="131">
        <v>-251.3</v>
      </c>
      <c r="AB130" s="131">
        <v>-239</v>
      </c>
      <c r="AC130" s="131">
        <v>-239</v>
      </c>
      <c r="AD130" s="131">
        <v>-239</v>
      </c>
      <c r="AE130" s="131">
        <v>-239</v>
      </c>
      <c r="AF130" s="131">
        <v>-156</v>
      </c>
      <c r="AG130" s="128"/>
      <c r="AH130" s="48">
        <f>MAX(B130:AF130)</f>
        <v>75</v>
      </c>
      <c r="AI130" s="49">
        <f>MIN(B130:AF130)</f>
        <v>-299.7</v>
      </c>
    </row>
    <row r="131" spans="1:37" x14ac:dyDescent="0.25">
      <c r="A131" s="129" t="s">
        <v>151</v>
      </c>
      <c r="B131" s="119">
        <v>-27.3</v>
      </c>
      <c r="C131" s="119">
        <v>-14.4</v>
      </c>
      <c r="D131" s="119">
        <v>-15.7</v>
      </c>
      <c r="E131" s="119">
        <v>-7.2</v>
      </c>
      <c r="F131" s="119">
        <v>5.2</v>
      </c>
      <c r="G131" s="119">
        <v>11</v>
      </c>
      <c r="H131" s="119">
        <v>2</v>
      </c>
      <c r="I131" s="119"/>
      <c r="J131" s="119">
        <v>-6.2</v>
      </c>
      <c r="K131" s="119">
        <v>-9</v>
      </c>
      <c r="L131" s="119">
        <v>-9</v>
      </c>
      <c r="M131" s="119">
        <v>-19.399999999999999</v>
      </c>
      <c r="N131" s="119">
        <v>-13</v>
      </c>
      <c r="O131" s="119">
        <v>-7.8</v>
      </c>
      <c r="P131" s="119">
        <v>-7.8</v>
      </c>
      <c r="Q131" s="119">
        <v>-13</v>
      </c>
      <c r="R131" s="119">
        <v>-9</v>
      </c>
      <c r="S131" s="119">
        <v>-11.9</v>
      </c>
      <c r="T131" s="119">
        <v>-23</v>
      </c>
      <c r="U131" s="119">
        <v>-27</v>
      </c>
      <c r="V131" s="119">
        <v>-23.7</v>
      </c>
      <c r="W131" s="119">
        <v>-28.3</v>
      </c>
      <c r="X131" s="119"/>
      <c r="Y131" s="119"/>
      <c r="Z131" s="119">
        <v>-39.6</v>
      </c>
      <c r="AA131" s="119">
        <v>-50.8</v>
      </c>
      <c r="AB131" s="119">
        <v>-47</v>
      </c>
      <c r="AC131" s="119">
        <v>-47</v>
      </c>
      <c r="AD131" s="119">
        <v>-36</v>
      </c>
      <c r="AE131" s="119">
        <v>-36</v>
      </c>
      <c r="AF131" s="119">
        <v>-35</v>
      </c>
      <c r="AG131" s="128"/>
      <c r="AH131" s="48">
        <f>MAX(B131:AF131)</f>
        <v>11</v>
      </c>
      <c r="AI131" s="49">
        <f>MIN(B131:AF131)</f>
        <v>-50.8</v>
      </c>
    </row>
    <row r="132" spans="1:37" x14ac:dyDescent="0.25">
      <c r="A132" s="129" t="s">
        <v>152</v>
      </c>
      <c r="B132" s="119">
        <v>60</v>
      </c>
      <c r="C132" s="119">
        <v>44.7</v>
      </c>
      <c r="D132" s="119">
        <v>30.3</v>
      </c>
      <c r="E132" s="119">
        <v>24</v>
      </c>
      <c r="F132" s="119">
        <v>16</v>
      </c>
      <c r="G132" s="119">
        <v>19</v>
      </c>
      <c r="H132" s="119">
        <v>21</v>
      </c>
      <c r="I132" s="119"/>
      <c r="J132" s="119">
        <v>51</v>
      </c>
      <c r="K132" s="119">
        <v>58.1</v>
      </c>
      <c r="L132" s="119">
        <v>58.1</v>
      </c>
      <c r="M132" s="119">
        <v>65.599999999999994</v>
      </c>
      <c r="N132" s="119">
        <v>67</v>
      </c>
      <c r="O132" s="119">
        <v>73</v>
      </c>
      <c r="P132" s="119">
        <v>73</v>
      </c>
      <c r="Q132" s="119">
        <v>83</v>
      </c>
      <c r="R132" s="119">
        <v>81</v>
      </c>
      <c r="S132" s="119">
        <v>88.73</v>
      </c>
      <c r="T132" s="119">
        <v>90</v>
      </c>
      <c r="U132" s="119">
        <v>83.8</v>
      </c>
      <c r="V132" s="119">
        <v>83.6</v>
      </c>
      <c r="W132" s="119">
        <v>77.099999999999994</v>
      </c>
      <c r="X132" s="119"/>
      <c r="Y132" s="119"/>
      <c r="Z132" s="119">
        <v>84.9</v>
      </c>
      <c r="AA132" s="119">
        <v>97.5</v>
      </c>
      <c r="AB132" s="119">
        <v>100.6</v>
      </c>
      <c r="AC132" s="119">
        <v>100.6</v>
      </c>
      <c r="AD132" s="119">
        <v>97</v>
      </c>
      <c r="AE132" s="119">
        <v>97</v>
      </c>
      <c r="AF132" s="119">
        <v>94</v>
      </c>
      <c r="AG132" s="128"/>
      <c r="AH132" s="48">
        <f>MAX(B132:AF132)</f>
        <v>100.6</v>
      </c>
      <c r="AI132" s="49">
        <f>MIN(B132:AF132)</f>
        <v>16</v>
      </c>
    </row>
    <row r="133" spans="1:37" ht="15.75" thickBot="1" x14ac:dyDescent="0.3">
      <c r="A133" s="129" t="s">
        <v>153</v>
      </c>
      <c r="B133" s="119">
        <v>66.7</v>
      </c>
      <c r="C133" s="119">
        <v>55.1</v>
      </c>
      <c r="D133" s="119">
        <v>34.4</v>
      </c>
      <c r="E133" s="119">
        <v>29</v>
      </c>
      <c r="F133" s="119">
        <v>24</v>
      </c>
      <c r="G133" s="119">
        <v>29</v>
      </c>
      <c r="H133" s="119">
        <v>35</v>
      </c>
      <c r="I133" s="119"/>
      <c r="J133" s="119">
        <v>62</v>
      </c>
      <c r="K133" s="119">
        <v>70.400000000000006</v>
      </c>
      <c r="L133" s="119">
        <v>70.400000000000006</v>
      </c>
      <c r="M133" s="119">
        <v>77</v>
      </c>
      <c r="N133" s="119">
        <v>77</v>
      </c>
      <c r="O133" s="119">
        <v>87</v>
      </c>
      <c r="P133" s="119">
        <v>87</v>
      </c>
      <c r="Q133" s="119">
        <v>90</v>
      </c>
      <c r="R133" s="119">
        <v>93.7</v>
      </c>
      <c r="S133" s="119">
        <v>92.9</v>
      </c>
      <c r="T133" s="119">
        <v>103.8</v>
      </c>
      <c r="U133" s="119">
        <v>91.5</v>
      </c>
      <c r="V133" s="119">
        <v>93.9</v>
      </c>
      <c r="W133" s="119">
        <v>88.2</v>
      </c>
      <c r="X133" s="119"/>
      <c r="Y133" s="119"/>
      <c r="Z133" s="119">
        <v>91.4</v>
      </c>
      <c r="AA133" s="119">
        <v>106.5</v>
      </c>
      <c r="AB133" s="119">
        <v>109</v>
      </c>
      <c r="AC133" s="119">
        <v>109</v>
      </c>
      <c r="AD133" s="119">
        <v>100</v>
      </c>
      <c r="AE133" s="119">
        <v>100</v>
      </c>
      <c r="AF133" s="119">
        <v>99</v>
      </c>
      <c r="AG133" s="128"/>
      <c r="AH133" s="48">
        <f>MAX(B133:AF133)</f>
        <v>109</v>
      </c>
      <c r="AI133" s="49">
        <f>MIN(B133:AF133)</f>
        <v>24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1985.63</v>
      </c>
      <c r="C135" s="137">
        <v>1985.25</v>
      </c>
      <c r="D135" s="137">
        <v>1984.95</v>
      </c>
      <c r="E135" s="137">
        <v>1984.52</v>
      </c>
      <c r="F135" s="137">
        <v>1984.2</v>
      </c>
      <c r="G135" s="137">
        <v>1983.82</v>
      </c>
      <c r="H135" s="137">
        <v>1983.62</v>
      </c>
      <c r="I135" s="137">
        <v>1983.32</v>
      </c>
      <c r="J135" s="137">
        <v>1983.22</v>
      </c>
      <c r="K135" s="137">
        <v>1983.55</v>
      </c>
      <c r="L135" s="137"/>
      <c r="M135" s="137">
        <v>1983.82</v>
      </c>
      <c r="N135" s="137"/>
      <c r="O135" s="137"/>
      <c r="P135" s="137"/>
      <c r="Q135" s="137"/>
      <c r="R135" s="137">
        <v>1983.55</v>
      </c>
      <c r="S135" s="137">
        <v>1985.5</v>
      </c>
      <c r="T135" s="137">
        <v>1986</v>
      </c>
      <c r="U135" s="137">
        <v>1986.5</v>
      </c>
      <c r="V135" s="137">
        <v>1986.7</v>
      </c>
      <c r="W135" s="137"/>
      <c r="X135" s="137"/>
      <c r="Y135" s="137"/>
      <c r="Z135" s="137">
        <v>1986.42</v>
      </c>
      <c r="AA135" s="137"/>
      <c r="AB135" s="137">
        <v>1986</v>
      </c>
      <c r="AC135" s="137"/>
      <c r="AD135" s="137">
        <v>1985.65</v>
      </c>
      <c r="AE135" s="137">
        <v>1985.4</v>
      </c>
      <c r="AF135" s="138">
        <v>1985.3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>
        <v>623.25</v>
      </c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883.7</v>
      </c>
      <c r="C139" s="140">
        <v>883.7</v>
      </c>
      <c r="D139" s="140">
        <v>883.8</v>
      </c>
      <c r="E139" s="140">
        <v>884</v>
      </c>
      <c r="F139" s="140">
        <v>884.4</v>
      </c>
      <c r="G139" s="140">
        <v>884.8</v>
      </c>
      <c r="H139" s="140">
        <v>885</v>
      </c>
      <c r="I139" s="140"/>
      <c r="J139" s="140"/>
      <c r="K139" s="140">
        <v>885.4</v>
      </c>
      <c r="L139" s="140"/>
      <c r="M139" s="140">
        <v>885.6</v>
      </c>
      <c r="N139" s="140">
        <v>885.7</v>
      </c>
      <c r="O139" s="140"/>
      <c r="P139" s="140"/>
      <c r="Q139" s="140"/>
      <c r="R139" s="140"/>
      <c r="S139" s="140">
        <v>887.1</v>
      </c>
      <c r="T139" s="140"/>
      <c r="U139" s="140"/>
      <c r="V139" s="140"/>
      <c r="W139" s="140"/>
      <c r="X139" s="140"/>
      <c r="Y139" s="140"/>
      <c r="Z139" s="140">
        <v>883.8</v>
      </c>
      <c r="AA139" s="140"/>
      <c r="AB139" s="140"/>
      <c r="AC139" s="140"/>
      <c r="AD139" s="140">
        <v>883.6</v>
      </c>
      <c r="AE139" s="140">
        <v>883.5</v>
      </c>
      <c r="AF139" s="141">
        <v>883.5</v>
      </c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1490.54</v>
      </c>
      <c r="C140" s="142"/>
      <c r="D140" s="142"/>
      <c r="E140" s="142"/>
      <c r="F140" s="142"/>
      <c r="G140" s="142"/>
      <c r="H140" s="142"/>
      <c r="I140" s="142">
        <v>1490.59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0">SUM(B142:B246)</f>
        <v>0</v>
      </c>
      <c r="C247" s="161">
        <f t="shared" si="90"/>
        <v>0</v>
      </c>
      <c r="D247" s="161">
        <f t="shared" si="90"/>
        <v>0</v>
      </c>
      <c r="E247" s="161">
        <f t="shared" si="90"/>
        <v>0</v>
      </c>
      <c r="F247" s="161">
        <f t="shared" si="90"/>
        <v>0</v>
      </c>
      <c r="G247" s="161">
        <f t="shared" si="90"/>
        <v>0</v>
      </c>
      <c r="H247" s="161">
        <f t="shared" si="90"/>
        <v>0</v>
      </c>
      <c r="I247" s="161">
        <f t="shared" si="90"/>
        <v>0</v>
      </c>
      <c r="J247" s="161">
        <f t="shared" si="90"/>
        <v>0</v>
      </c>
      <c r="K247" s="161">
        <f t="shared" si="90"/>
        <v>0</v>
      </c>
      <c r="L247" s="161">
        <f t="shared" si="90"/>
        <v>0</v>
      </c>
      <c r="M247" s="161">
        <f t="shared" si="90"/>
        <v>0</v>
      </c>
      <c r="N247" s="161">
        <f t="shared" si="90"/>
        <v>0</v>
      </c>
      <c r="O247" s="161">
        <f t="shared" si="90"/>
        <v>0</v>
      </c>
      <c r="P247" s="161">
        <f t="shared" si="90"/>
        <v>0</v>
      </c>
      <c r="Q247" s="161">
        <f t="shared" si="90"/>
        <v>0</v>
      </c>
      <c r="R247" s="161">
        <f t="shared" si="90"/>
        <v>0</v>
      </c>
      <c r="S247" s="161">
        <f t="shared" si="90"/>
        <v>0</v>
      </c>
      <c r="T247" s="161">
        <f t="shared" si="90"/>
        <v>0</v>
      </c>
      <c r="U247" s="161">
        <f t="shared" si="90"/>
        <v>0</v>
      </c>
      <c r="V247" s="161">
        <f t="shared" si="90"/>
        <v>0</v>
      </c>
      <c r="W247" s="161">
        <f t="shared" si="90"/>
        <v>0</v>
      </c>
      <c r="X247" s="161">
        <f t="shared" si="90"/>
        <v>0</v>
      </c>
      <c r="Y247" s="161">
        <f t="shared" si="90"/>
        <v>0</v>
      </c>
      <c r="Z247" s="161">
        <f t="shared" si="90"/>
        <v>0</v>
      </c>
      <c r="AA247" s="161">
        <f t="shared" si="90"/>
        <v>0</v>
      </c>
      <c r="AB247" s="161">
        <f t="shared" si="90"/>
        <v>0</v>
      </c>
      <c r="AC247" s="161">
        <f t="shared" si="90"/>
        <v>0</v>
      </c>
      <c r="AD247" s="161">
        <f t="shared" si="90"/>
        <v>0</v>
      </c>
      <c r="AE247" s="161">
        <f t="shared" si="90"/>
        <v>0</v>
      </c>
      <c r="AF247" s="162">
        <f t="shared" si="90"/>
        <v>0</v>
      </c>
      <c r="AG247" s="163">
        <f t="shared" si="90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1">AF249</f>
        <v>0.3</v>
      </c>
      <c r="C249" s="166">
        <v>0.3</v>
      </c>
      <c r="D249" s="166">
        <f t="shared" ref="D249:S254" si="92">C249</f>
        <v>0.3</v>
      </c>
      <c r="E249" s="166">
        <f t="shared" si="92"/>
        <v>0.3</v>
      </c>
      <c r="F249" s="166">
        <f t="shared" si="92"/>
        <v>0.3</v>
      </c>
      <c r="G249" s="166">
        <f t="shared" si="92"/>
        <v>0.3</v>
      </c>
      <c r="H249" s="166">
        <f t="shared" si="92"/>
        <v>0.3</v>
      </c>
      <c r="I249" s="166">
        <f t="shared" si="92"/>
        <v>0.3</v>
      </c>
      <c r="J249" s="166">
        <f t="shared" si="92"/>
        <v>0.3</v>
      </c>
      <c r="K249" s="166">
        <f t="shared" si="92"/>
        <v>0.3</v>
      </c>
      <c r="L249" s="166">
        <f t="shared" si="92"/>
        <v>0.3</v>
      </c>
      <c r="M249" s="166">
        <f t="shared" si="92"/>
        <v>0.3</v>
      </c>
      <c r="N249" s="166">
        <f t="shared" si="92"/>
        <v>0.3</v>
      </c>
      <c r="O249" s="166">
        <f t="shared" si="92"/>
        <v>0.3</v>
      </c>
      <c r="P249" s="166">
        <f t="shared" si="92"/>
        <v>0.3</v>
      </c>
      <c r="Q249" s="166">
        <f t="shared" si="92"/>
        <v>0.3</v>
      </c>
      <c r="R249" s="166">
        <f t="shared" si="92"/>
        <v>0.3</v>
      </c>
      <c r="S249" s="166">
        <f t="shared" si="92"/>
        <v>0.3</v>
      </c>
      <c r="T249" s="166">
        <f t="shared" ref="T249:AF254" si="93">S249</f>
        <v>0.3</v>
      </c>
      <c r="U249" s="166">
        <f t="shared" si="93"/>
        <v>0.3</v>
      </c>
      <c r="V249" s="166">
        <f t="shared" si="93"/>
        <v>0.3</v>
      </c>
      <c r="W249" s="166">
        <f t="shared" si="93"/>
        <v>0.3</v>
      </c>
      <c r="X249" s="166">
        <f t="shared" si="93"/>
        <v>0.3</v>
      </c>
      <c r="Y249" s="166">
        <f t="shared" si="93"/>
        <v>0.3</v>
      </c>
      <c r="Z249" s="166">
        <f t="shared" si="93"/>
        <v>0.3</v>
      </c>
      <c r="AA249" s="166">
        <f t="shared" si="93"/>
        <v>0.3</v>
      </c>
      <c r="AB249" s="166">
        <f t="shared" si="93"/>
        <v>0.3</v>
      </c>
      <c r="AC249" s="166">
        <f t="shared" si="93"/>
        <v>0.3</v>
      </c>
      <c r="AD249" s="166">
        <f t="shared" si="93"/>
        <v>0.3</v>
      </c>
      <c r="AE249" s="166">
        <f t="shared" si="93"/>
        <v>0.3</v>
      </c>
      <c r="AF249" s="166">
        <f t="shared" si="93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1"/>
        <v>0.4</v>
      </c>
      <c r="C250" s="152">
        <v>0.4</v>
      </c>
      <c r="D250" s="152">
        <f t="shared" si="92"/>
        <v>0.4</v>
      </c>
      <c r="E250" s="152">
        <f t="shared" si="92"/>
        <v>0.4</v>
      </c>
      <c r="F250" s="152">
        <f t="shared" si="92"/>
        <v>0.4</v>
      </c>
      <c r="G250" s="152">
        <f t="shared" si="92"/>
        <v>0.4</v>
      </c>
      <c r="H250" s="152">
        <f t="shared" si="92"/>
        <v>0.4</v>
      </c>
      <c r="I250" s="152">
        <f t="shared" si="92"/>
        <v>0.4</v>
      </c>
      <c r="J250" s="152">
        <f t="shared" si="92"/>
        <v>0.4</v>
      </c>
      <c r="K250" s="152">
        <f t="shared" si="92"/>
        <v>0.4</v>
      </c>
      <c r="L250" s="152">
        <f t="shared" si="92"/>
        <v>0.4</v>
      </c>
      <c r="M250" s="152">
        <f t="shared" si="92"/>
        <v>0.4</v>
      </c>
      <c r="N250" s="152">
        <f t="shared" si="92"/>
        <v>0.4</v>
      </c>
      <c r="O250" s="152">
        <f t="shared" si="92"/>
        <v>0.4</v>
      </c>
      <c r="P250" s="152">
        <f t="shared" si="92"/>
        <v>0.4</v>
      </c>
      <c r="Q250" s="152">
        <f t="shared" si="92"/>
        <v>0.4</v>
      </c>
      <c r="R250" s="152">
        <f t="shared" si="92"/>
        <v>0.4</v>
      </c>
      <c r="S250" s="152">
        <f t="shared" si="92"/>
        <v>0.4</v>
      </c>
      <c r="T250" s="152">
        <f t="shared" si="93"/>
        <v>0.4</v>
      </c>
      <c r="U250" s="152">
        <f t="shared" si="93"/>
        <v>0.4</v>
      </c>
      <c r="V250" s="152">
        <f t="shared" si="93"/>
        <v>0.4</v>
      </c>
      <c r="W250" s="152">
        <f t="shared" si="93"/>
        <v>0.4</v>
      </c>
      <c r="X250" s="152">
        <f t="shared" si="93"/>
        <v>0.4</v>
      </c>
      <c r="Y250" s="152">
        <f t="shared" si="93"/>
        <v>0.4</v>
      </c>
      <c r="Z250" s="152">
        <f t="shared" si="93"/>
        <v>0.4</v>
      </c>
      <c r="AA250" s="152">
        <f t="shared" si="93"/>
        <v>0.4</v>
      </c>
      <c r="AB250" s="152">
        <f t="shared" si="93"/>
        <v>0.4</v>
      </c>
      <c r="AC250" s="152">
        <f t="shared" si="93"/>
        <v>0.4</v>
      </c>
      <c r="AD250" s="152">
        <f t="shared" si="93"/>
        <v>0.4</v>
      </c>
      <c r="AE250" s="152">
        <f t="shared" si="93"/>
        <v>0.4</v>
      </c>
      <c r="AF250" s="152">
        <f t="shared" si="93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1"/>
        <v>1.5</v>
      </c>
      <c r="C251" s="152">
        <v>1.5</v>
      </c>
      <c r="D251" s="152">
        <f t="shared" si="92"/>
        <v>1.5</v>
      </c>
      <c r="E251" s="152">
        <f t="shared" si="92"/>
        <v>1.5</v>
      </c>
      <c r="F251" s="152">
        <f t="shared" si="92"/>
        <v>1.5</v>
      </c>
      <c r="G251" s="152">
        <f t="shared" si="92"/>
        <v>1.5</v>
      </c>
      <c r="H251" s="152">
        <f t="shared" si="92"/>
        <v>1.5</v>
      </c>
      <c r="I251" s="152">
        <f t="shared" si="92"/>
        <v>1.5</v>
      </c>
      <c r="J251" s="152">
        <f t="shared" si="92"/>
        <v>1.5</v>
      </c>
      <c r="K251" s="152">
        <f t="shared" si="92"/>
        <v>1.5</v>
      </c>
      <c r="L251" s="152">
        <f t="shared" si="92"/>
        <v>1.5</v>
      </c>
      <c r="M251" s="152">
        <f t="shared" si="92"/>
        <v>1.5</v>
      </c>
      <c r="N251" s="152">
        <f t="shared" si="92"/>
        <v>1.5</v>
      </c>
      <c r="O251" s="152">
        <f t="shared" si="92"/>
        <v>1.5</v>
      </c>
      <c r="P251" s="152">
        <f t="shared" si="92"/>
        <v>1.5</v>
      </c>
      <c r="Q251" s="152">
        <f t="shared" si="92"/>
        <v>1.5</v>
      </c>
      <c r="R251" s="152">
        <f t="shared" si="92"/>
        <v>1.5</v>
      </c>
      <c r="S251" s="152">
        <f t="shared" si="92"/>
        <v>1.5</v>
      </c>
      <c r="T251" s="152">
        <f t="shared" si="93"/>
        <v>1.5</v>
      </c>
      <c r="U251" s="152">
        <f t="shared" si="93"/>
        <v>1.5</v>
      </c>
      <c r="V251" s="152">
        <f t="shared" si="93"/>
        <v>1.5</v>
      </c>
      <c r="W251" s="152">
        <f t="shared" si="93"/>
        <v>1.5</v>
      </c>
      <c r="X251" s="152">
        <f t="shared" si="93"/>
        <v>1.5</v>
      </c>
      <c r="Y251" s="152">
        <f t="shared" si="93"/>
        <v>1.5</v>
      </c>
      <c r="Z251" s="152">
        <f t="shared" si="93"/>
        <v>1.5</v>
      </c>
      <c r="AA251" s="152">
        <f t="shared" si="93"/>
        <v>1.5</v>
      </c>
      <c r="AB251" s="152">
        <f t="shared" si="93"/>
        <v>1.5</v>
      </c>
      <c r="AC251" s="152">
        <f t="shared" si="93"/>
        <v>1.5</v>
      </c>
      <c r="AD251" s="152">
        <f t="shared" si="93"/>
        <v>1.5</v>
      </c>
      <c r="AE251" s="152">
        <f t="shared" si="93"/>
        <v>1.5</v>
      </c>
      <c r="AF251" s="152">
        <f t="shared" si="93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1"/>
        <v>0.3</v>
      </c>
      <c r="C252" s="152">
        <v>0.3</v>
      </c>
      <c r="D252" s="152">
        <f t="shared" si="92"/>
        <v>0.3</v>
      </c>
      <c r="E252" s="152">
        <f t="shared" si="92"/>
        <v>0.3</v>
      </c>
      <c r="F252" s="152">
        <f t="shared" si="92"/>
        <v>0.3</v>
      </c>
      <c r="G252" s="152">
        <f t="shared" si="92"/>
        <v>0.3</v>
      </c>
      <c r="H252" s="152">
        <f t="shared" si="92"/>
        <v>0.3</v>
      </c>
      <c r="I252" s="152">
        <f t="shared" si="92"/>
        <v>0.3</v>
      </c>
      <c r="J252" s="152">
        <f t="shared" si="92"/>
        <v>0.3</v>
      </c>
      <c r="K252" s="152">
        <f t="shared" si="92"/>
        <v>0.3</v>
      </c>
      <c r="L252" s="152">
        <f t="shared" si="92"/>
        <v>0.3</v>
      </c>
      <c r="M252" s="152">
        <f t="shared" si="92"/>
        <v>0.3</v>
      </c>
      <c r="N252" s="152">
        <f t="shared" si="92"/>
        <v>0.3</v>
      </c>
      <c r="O252" s="152">
        <f t="shared" si="92"/>
        <v>0.3</v>
      </c>
      <c r="P252" s="152">
        <f t="shared" si="92"/>
        <v>0.3</v>
      </c>
      <c r="Q252" s="152">
        <f t="shared" si="92"/>
        <v>0.3</v>
      </c>
      <c r="R252" s="152">
        <f t="shared" si="92"/>
        <v>0.3</v>
      </c>
      <c r="S252" s="152">
        <f t="shared" si="92"/>
        <v>0.3</v>
      </c>
      <c r="T252" s="152">
        <f t="shared" si="93"/>
        <v>0.3</v>
      </c>
      <c r="U252" s="152">
        <f t="shared" si="93"/>
        <v>0.3</v>
      </c>
      <c r="V252" s="152">
        <f t="shared" si="93"/>
        <v>0.3</v>
      </c>
      <c r="W252" s="152">
        <f t="shared" si="93"/>
        <v>0.3</v>
      </c>
      <c r="X252" s="152">
        <f t="shared" si="93"/>
        <v>0.3</v>
      </c>
      <c r="Y252" s="152">
        <f t="shared" si="93"/>
        <v>0.3</v>
      </c>
      <c r="Z252" s="152">
        <f t="shared" si="93"/>
        <v>0.3</v>
      </c>
      <c r="AA252" s="152">
        <f t="shared" si="93"/>
        <v>0.3</v>
      </c>
      <c r="AB252" s="152">
        <f t="shared" si="93"/>
        <v>0.3</v>
      </c>
      <c r="AC252" s="152">
        <f t="shared" si="93"/>
        <v>0.3</v>
      </c>
      <c r="AD252" s="152">
        <f t="shared" si="93"/>
        <v>0.3</v>
      </c>
      <c r="AE252" s="152">
        <f t="shared" si="93"/>
        <v>0.3</v>
      </c>
      <c r="AF252" s="152">
        <f t="shared" si="93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1"/>
        <v>0.4</v>
      </c>
      <c r="C253" s="152">
        <v>0.4</v>
      </c>
      <c r="D253" s="152">
        <f t="shared" si="92"/>
        <v>0.4</v>
      </c>
      <c r="E253" s="152">
        <f t="shared" si="92"/>
        <v>0.4</v>
      </c>
      <c r="F253" s="152">
        <f t="shared" si="92"/>
        <v>0.4</v>
      </c>
      <c r="G253" s="152">
        <f t="shared" si="92"/>
        <v>0.4</v>
      </c>
      <c r="H253" s="152">
        <f t="shared" si="92"/>
        <v>0.4</v>
      </c>
      <c r="I253" s="152">
        <f t="shared" si="92"/>
        <v>0.4</v>
      </c>
      <c r="J253" s="152">
        <f t="shared" si="92"/>
        <v>0.4</v>
      </c>
      <c r="K253" s="152">
        <f t="shared" si="92"/>
        <v>0.4</v>
      </c>
      <c r="L253" s="152">
        <f t="shared" si="92"/>
        <v>0.4</v>
      </c>
      <c r="M253" s="152">
        <f t="shared" si="92"/>
        <v>0.4</v>
      </c>
      <c r="N253" s="152">
        <f t="shared" si="92"/>
        <v>0.4</v>
      </c>
      <c r="O253" s="152">
        <f t="shared" si="92"/>
        <v>0.4</v>
      </c>
      <c r="P253" s="152">
        <f t="shared" si="92"/>
        <v>0.4</v>
      </c>
      <c r="Q253" s="152">
        <f t="shared" si="92"/>
        <v>0.4</v>
      </c>
      <c r="R253" s="152">
        <f t="shared" si="92"/>
        <v>0.4</v>
      </c>
      <c r="S253" s="152">
        <f t="shared" si="92"/>
        <v>0.4</v>
      </c>
      <c r="T253" s="152">
        <f t="shared" si="93"/>
        <v>0.4</v>
      </c>
      <c r="U253" s="152">
        <f t="shared" si="93"/>
        <v>0.4</v>
      </c>
      <c r="V253" s="152">
        <f t="shared" si="93"/>
        <v>0.4</v>
      </c>
      <c r="W253" s="152">
        <f t="shared" si="93"/>
        <v>0.4</v>
      </c>
      <c r="X253" s="152">
        <f t="shared" si="93"/>
        <v>0.4</v>
      </c>
      <c r="Y253" s="152">
        <f t="shared" si="93"/>
        <v>0.4</v>
      </c>
      <c r="Z253" s="152">
        <f t="shared" si="93"/>
        <v>0.4</v>
      </c>
      <c r="AA253" s="152">
        <f t="shared" si="93"/>
        <v>0.4</v>
      </c>
      <c r="AB253" s="152">
        <f t="shared" si="93"/>
        <v>0.4</v>
      </c>
      <c r="AC253" s="152">
        <f t="shared" si="93"/>
        <v>0.4</v>
      </c>
      <c r="AD253" s="152">
        <f t="shared" si="93"/>
        <v>0.4</v>
      </c>
      <c r="AE253" s="152">
        <f t="shared" si="93"/>
        <v>0.4</v>
      </c>
      <c r="AF253" s="152">
        <f t="shared" si="93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1"/>
        <v>0.64</v>
      </c>
      <c r="C254" s="157">
        <v>0.64</v>
      </c>
      <c r="D254" s="157">
        <f t="shared" si="92"/>
        <v>0.64</v>
      </c>
      <c r="E254" s="157">
        <f t="shared" si="92"/>
        <v>0.64</v>
      </c>
      <c r="F254" s="157">
        <f t="shared" si="92"/>
        <v>0.64</v>
      </c>
      <c r="G254" s="157">
        <f t="shared" si="92"/>
        <v>0.64</v>
      </c>
      <c r="H254" s="157">
        <f t="shared" si="92"/>
        <v>0.64</v>
      </c>
      <c r="I254" s="157">
        <f t="shared" si="92"/>
        <v>0.64</v>
      </c>
      <c r="J254" s="157">
        <f t="shared" si="92"/>
        <v>0.64</v>
      </c>
      <c r="K254" s="157">
        <f t="shared" si="92"/>
        <v>0.64</v>
      </c>
      <c r="L254" s="157">
        <f t="shared" si="92"/>
        <v>0.64</v>
      </c>
      <c r="M254" s="157">
        <f t="shared" si="92"/>
        <v>0.64</v>
      </c>
      <c r="N254" s="157">
        <f t="shared" si="92"/>
        <v>0.64</v>
      </c>
      <c r="O254" s="157">
        <f t="shared" si="92"/>
        <v>0.64</v>
      </c>
      <c r="P254" s="157">
        <f t="shared" si="92"/>
        <v>0.64</v>
      </c>
      <c r="Q254" s="157">
        <f t="shared" si="92"/>
        <v>0.64</v>
      </c>
      <c r="R254" s="157">
        <f t="shared" si="92"/>
        <v>0.64</v>
      </c>
      <c r="S254" s="157">
        <f t="shared" si="92"/>
        <v>0.64</v>
      </c>
      <c r="T254" s="157">
        <f t="shared" si="93"/>
        <v>0.64</v>
      </c>
      <c r="U254" s="157">
        <f t="shared" si="93"/>
        <v>0.64</v>
      </c>
      <c r="V254" s="157">
        <f t="shared" si="93"/>
        <v>0.64</v>
      </c>
      <c r="W254" s="157">
        <f t="shared" si="93"/>
        <v>0.64</v>
      </c>
      <c r="X254" s="157">
        <f t="shared" si="93"/>
        <v>0.64</v>
      </c>
      <c r="Y254" s="157">
        <f t="shared" si="93"/>
        <v>0.64</v>
      </c>
      <c r="Z254" s="157">
        <f t="shared" si="93"/>
        <v>0.64</v>
      </c>
      <c r="AA254" s="157">
        <f t="shared" si="93"/>
        <v>0.64</v>
      </c>
      <c r="AB254" s="157">
        <f t="shared" si="93"/>
        <v>0.64</v>
      </c>
      <c r="AC254" s="157">
        <f t="shared" si="93"/>
        <v>0.64</v>
      </c>
      <c r="AD254" s="157">
        <f t="shared" si="93"/>
        <v>0.64</v>
      </c>
      <c r="AE254" s="157">
        <f t="shared" si="93"/>
        <v>0.64</v>
      </c>
      <c r="AF254" s="157">
        <f t="shared" si="93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4">SUM(B249:B254)</f>
        <v>3.54</v>
      </c>
      <c r="C255" s="161">
        <f t="shared" si="94"/>
        <v>3.54</v>
      </c>
      <c r="D255" s="161">
        <f t="shared" si="94"/>
        <v>3.54</v>
      </c>
      <c r="E255" s="161">
        <f t="shared" si="94"/>
        <v>3.54</v>
      </c>
      <c r="F255" s="161">
        <f t="shared" si="94"/>
        <v>3.54</v>
      </c>
      <c r="G255" s="161">
        <f t="shared" si="94"/>
        <v>3.54</v>
      </c>
      <c r="H255" s="161">
        <f t="shared" si="94"/>
        <v>3.54</v>
      </c>
      <c r="I255" s="161">
        <f t="shared" si="94"/>
        <v>3.54</v>
      </c>
      <c r="J255" s="161">
        <f t="shared" si="94"/>
        <v>3.54</v>
      </c>
      <c r="K255" s="161">
        <f t="shared" si="94"/>
        <v>3.54</v>
      </c>
      <c r="L255" s="161">
        <f t="shared" si="94"/>
        <v>3.54</v>
      </c>
      <c r="M255" s="161">
        <f t="shared" si="94"/>
        <v>3.54</v>
      </c>
      <c r="N255" s="161">
        <f t="shared" si="94"/>
        <v>3.54</v>
      </c>
      <c r="O255" s="161">
        <f t="shared" si="94"/>
        <v>3.54</v>
      </c>
      <c r="P255" s="161">
        <f t="shared" si="94"/>
        <v>3.54</v>
      </c>
      <c r="Q255" s="161">
        <f t="shared" si="94"/>
        <v>3.54</v>
      </c>
      <c r="R255" s="161">
        <f t="shared" si="94"/>
        <v>3.54</v>
      </c>
      <c r="S255" s="161">
        <f t="shared" si="94"/>
        <v>3.54</v>
      </c>
      <c r="T255" s="161">
        <f t="shared" si="94"/>
        <v>3.54</v>
      </c>
      <c r="U255" s="161">
        <f t="shared" si="94"/>
        <v>3.54</v>
      </c>
      <c r="V255" s="161">
        <f t="shared" si="94"/>
        <v>3.54</v>
      </c>
      <c r="W255" s="161">
        <f t="shared" si="94"/>
        <v>3.54</v>
      </c>
      <c r="X255" s="161">
        <f t="shared" si="94"/>
        <v>3.54</v>
      </c>
      <c r="Y255" s="161">
        <f t="shared" si="94"/>
        <v>3.54</v>
      </c>
      <c r="Z255" s="161">
        <f t="shared" si="94"/>
        <v>3.54</v>
      </c>
      <c r="AA255" s="161">
        <f t="shared" si="94"/>
        <v>3.54</v>
      </c>
      <c r="AB255" s="161">
        <f t="shared" si="94"/>
        <v>3.54</v>
      </c>
      <c r="AC255" s="161">
        <f t="shared" si="94"/>
        <v>3.54</v>
      </c>
      <c r="AD255" s="161">
        <f t="shared" si="94"/>
        <v>3.54</v>
      </c>
      <c r="AE255" s="161">
        <f t="shared" si="94"/>
        <v>3.54</v>
      </c>
      <c r="AF255" s="161">
        <f t="shared" si="94"/>
        <v>3.54</v>
      </c>
      <c r="AG255" s="171">
        <f t="shared" si="94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1867.14</v>
      </c>
      <c r="C259" s="174">
        <f>INDEX(G9:N9,1,MATCH(MAX(G102:N102),G102:N102,0))</f>
        <v>0.25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2080/10/18)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2213" priority="80">
      <formula>$AH11=0</formula>
    </cfRule>
  </conditionalFormatting>
  <conditionalFormatting sqref="A89">
    <cfRule type="expression" dxfId="2212" priority="138">
      <formula>$AH94=0</formula>
    </cfRule>
  </conditionalFormatting>
  <conditionalFormatting sqref="A90:A94">
    <cfRule type="expression" dxfId="2211" priority="81">
      <formula>$AH89=0</formula>
    </cfRule>
  </conditionalFormatting>
  <conditionalFormatting sqref="B8">
    <cfRule type="expression" dxfId="2210" priority="134">
      <formula>AND(C$9&gt;=14/24,C$9&lt;20/24)</formula>
    </cfRule>
    <cfRule type="expression" dxfId="2209" priority="135">
      <formula>AND(C$9&gt;=8/24,C$9&lt;14/24)</formula>
    </cfRule>
    <cfRule type="expression" dxfId="2208" priority="136">
      <formula>C$9&lt;8/24</formula>
    </cfRule>
    <cfRule type="expression" dxfId="2207" priority="137">
      <formula>C$9&gt;=20/24</formula>
    </cfRule>
  </conditionalFormatting>
  <conditionalFormatting sqref="B11:K57 L15:AA57 E62:E64 B62:D71 F63:W64 D66:W77 B72:R77 X72:AF77 B80:AF102 B9:AF10 B104:AF120 B122:AF140 B247:AF247 B249:B255">
    <cfRule type="expression" dxfId="2206" priority="41">
      <formula>B$9&gt;=20/24</formula>
    </cfRule>
  </conditionalFormatting>
  <conditionalFormatting sqref="B11:K60 Y15:AA58 L15:R60 X15:X60 AB15:AF60 S15:W83 AA59:AA60 X61:AG61 B61:R83 X62:AF64 X65:AG65 X66:AF82 X83:AG83">
    <cfRule type="expression" dxfId="2205" priority="40">
      <formula>B11&gt;$AG11</formula>
    </cfRule>
  </conditionalFormatting>
  <conditionalFormatting sqref="B9:AF10 B11:K57 L15:AA57 E62:E64 B62:D71 F63:W64 D66:W77 B72:R77 X72:AF77 B80:AF102 B104:AF120 B122:AF140 B247:AF247 B249:B255">
    <cfRule type="expression" dxfId="2204" priority="42">
      <formula>AND(B$9&gt;=14/24,B$9&lt;20/24)</formula>
    </cfRule>
    <cfRule type="expression" dxfId="2203" priority="43">
      <formula>AND(B$9&gt;=8/24,B$9&lt;14/24)</formula>
    </cfRule>
    <cfRule type="expression" dxfId="2202" priority="44">
      <formula>B$9&lt;8/24</formula>
    </cfRule>
  </conditionalFormatting>
  <conditionalFormatting sqref="B58:AF60">
    <cfRule type="expression" dxfId="2201" priority="37">
      <formula>B$9&gt;=20/24</formula>
    </cfRule>
    <cfRule type="expression" dxfId="2200" priority="38">
      <formula>AND(B$9&gt;=14/24,B$9&lt;20/24)</formula>
    </cfRule>
    <cfRule type="expression" dxfId="2199" priority="39">
      <formula>AND(B$9&gt;=8/24,B$9&lt;14/24)</formula>
    </cfRule>
    <cfRule type="expression" dxfId="2198" priority="49">
      <formula>B$9&lt;8/24</formula>
    </cfRule>
  </conditionalFormatting>
  <conditionalFormatting sqref="D249:AF255">
    <cfRule type="expression" dxfId="2197" priority="119">
      <formula>D$9&gt;=20/24</formula>
    </cfRule>
    <cfRule type="expression" dxfId="2196" priority="120">
      <formula>AND(D$9&gt;=14/24,D$9&lt;20/24)</formula>
    </cfRule>
    <cfRule type="expression" dxfId="2195" priority="121">
      <formula>AND(D$9&gt;=8/24,D$9&lt;14/24)</formula>
    </cfRule>
    <cfRule type="expression" dxfId="2194" priority="122">
      <formula>D$9&lt;8/24</formula>
    </cfRule>
  </conditionalFormatting>
  <conditionalFormatting sqref="E62:AF71">
    <cfRule type="expression" dxfId="2193" priority="45">
      <formula>E$9&gt;=20/24</formula>
    </cfRule>
    <cfRule type="expression" dxfId="2192" priority="46">
      <formula>AND(E$9&gt;=14/24,E$9&lt;20/24)</formula>
    </cfRule>
    <cfRule type="expression" dxfId="2191" priority="47">
      <formula>AND(E$9&gt;=8/24,E$9&lt;14/24)</formula>
    </cfRule>
    <cfRule type="expression" dxfId="2190" priority="48">
      <formula>E$9&lt;8/24</formula>
    </cfRule>
  </conditionalFormatting>
  <conditionalFormatting sqref="F66:W68">
    <cfRule type="expression" dxfId="2189" priority="72">
      <formula>F$9&gt;=20/24</formula>
    </cfRule>
    <cfRule type="expression" dxfId="2188" priority="73">
      <formula>AND(F$9&gt;=14/24,F$9&lt;20/24)</formula>
    </cfRule>
    <cfRule type="expression" dxfId="2187" priority="74">
      <formula>AND(F$9&gt;=8/24,F$9&lt;14/24)</formula>
    </cfRule>
    <cfRule type="expression" dxfId="2186" priority="75">
      <formula>F$9&lt;8/24</formula>
    </cfRule>
  </conditionalFormatting>
  <conditionalFormatting sqref="L71:W71">
    <cfRule type="expression" dxfId="2185" priority="68">
      <formula>L$9&gt;=20/24</formula>
    </cfRule>
    <cfRule type="expression" dxfId="2184" priority="69">
      <formula>AND(L$9&gt;=14/24,L$9&lt;20/24)</formula>
    </cfRule>
    <cfRule type="expression" dxfId="2183" priority="70">
      <formula>AND(L$9&gt;=8/24,L$9&lt;14/24)</formula>
    </cfRule>
    <cfRule type="expression" dxfId="2182" priority="71">
      <formula>L$9&lt;8/24</formula>
    </cfRule>
  </conditionalFormatting>
  <conditionalFormatting sqref="L11:AA14 AB11:AF57">
    <cfRule type="expression" dxfId="2181" priority="55">
      <formula>L$9&gt;=20/24</formula>
    </cfRule>
    <cfRule type="expression" dxfId="2180" priority="56">
      <formula>AND(L$9&gt;=14/24,L$9&lt;20/24)</formula>
    </cfRule>
    <cfRule type="expression" dxfId="2179" priority="57">
      <formula>AND(L$9&gt;=8/24,L$9&lt;14/24)</formula>
    </cfRule>
    <cfRule type="expression" dxfId="2178" priority="58">
      <formula>L$9&lt;8/24</formula>
    </cfRule>
  </conditionalFormatting>
  <conditionalFormatting sqref="L11:AF14">
    <cfRule type="expression" dxfId="2177" priority="54">
      <formula>L11&gt;$AG11</formula>
    </cfRule>
  </conditionalFormatting>
  <conditionalFormatting sqref="M8 S8 AB8">
    <cfRule type="expression" dxfId="2176" priority="126">
      <formula>AND(N$9&gt;=14/24,N$9&lt;20/24)</formula>
    </cfRule>
    <cfRule type="expression" dxfId="2175" priority="127">
      <formula>AND(N$9&gt;=8/24,N$9&lt;14/24)</formula>
    </cfRule>
    <cfRule type="expression" dxfId="2174" priority="128">
      <formula>N$9&lt;8/24</formula>
    </cfRule>
  </conditionalFormatting>
  <conditionalFormatting sqref="M66:W70">
    <cfRule type="expression" dxfId="2173" priority="76">
      <formula>M$9&gt;=20/24</formula>
    </cfRule>
    <cfRule type="expression" dxfId="2172" priority="77">
      <formula>AND(M$9&gt;=14/24,M$9&lt;20/24)</formula>
    </cfRule>
    <cfRule type="expression" dxfId="2171" priority="78">
      <formula>AND(M$9&gt;=8/24,M$9&lt;14/24)</formula>
    </cfRule>
    <cfRule type="expression" dxfId="2170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69" priority="125">
      <formula>N$9&gt;=20/24</formula>
    </cfRule>
  </conditionalFormatting>
  <conditionalFormatting sqref="S8">
    <cfRule type="expression" dxfId="2168" priority="112">
      <formula>U$9&gt;=20/24</formula>
    </cfRule>
    <cfRule type="expression" dxfId="2167" priority="113">
      <formula>AND(U$9&gt;=14/24,U$9&lt;20/24)</formula>
    </cfRule>
    <cfRule type="expression" dxfId="2166" priority="114">
      <formula>AND(U$9&gt;=8/24,U$9&lt;14/24)</formula>
    </cfRule>
    <cfRule type="expression" dxfId="2165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2164" priority="59">
      <formula>Y59&gt;$AG59</formula>
    </cfRule>
  </conditionalFormatting>
  <conditionalFormatting sqref="AB8">
    <cfRule type="expression" dxfId="2163" priority="108">
      <formula>AD$9&gt;=20/24</formula>
    </cfRule>
    <cfRule type="expression" dxfId="2162" priority="109">
      <formula>AND(AD$9&gt;=14/24,AD$9&lt;20/24)</formula>
    </cfRule>
    <cfRule type="expression" dxfId="2161" priority="110">
      <formula>AND(AD$9&gt;=8/24,AD$9&lt;14/24)</formula>
    </cfRule>
    <cfRule type="expression" dxfId="2160" priority="111">
      <formula>AD$9&lt;8/24</formula>
    </cfRule>
  </conditionalFormatting>
  <conditionalFormatting sqref="AG65">
    <cfRule type="expression" dxfId="2159" priority="87">
      <formula>AG$9&gt;=20/24</formula>
    </cfRule>
    <cfRule type="expression" dxfId="2158" priority="88">
      <formula>AND(AG$9&gt;=14/24,AG$9&lt;20/24)</formula>
    </cfRule>
    <cfRule type="expression" dxfId="2157" priority="89">
      <formula>AND(AG$9&gt;=8/24,AG$9&lt;14/24)</formula>
    </cfRule>
    <cfRule type="expression" dxfId="2156" priority="90">
      <formula>AG$9&lt;8/24</formula>
    </cfRule>
  </conditionalFormatting>
  <conditionalFormatting sqref="AG78:AG79">
    <cfRule type="expression" dxfId="2155" priority="82">
      <formula>AG78&gt;$AG78</formula>
    </cfRule>
  </conditionalFormatting>
  <conditionalFormatting sqref="AG83">
    <cfRule type="expression" dxfId="2154" priority="83">
      <formula>AG$9&gt;=20/24</formula>
    </cfRule>
    <cfRule type="expression" dxfId="2153" priority="84">
      <formula>AND(AG$9&gt;=14/24,AG$9&lt;20/24)</formula>
    </cfRule>
    <cfRule type="expression" dxfId="2152" priority="85">
      <formula>AND(AG$9&gt;=8/24,AG$9&lt;14/24)</formula>
    </cfRule>
    <cfRule type="expression" dxfId="2151" priority="86">
      <formula>AG$9&lt;8/24</formula>
    </cfRule>
  </conditionalFormatting>
  <conditionalFormatting sqref="AG100">
    <cfRule type="expression" dxfId="2150" priority="104">
      <formula>AG$9&gt;=20/24</formula>
    </cfRule>
    <cfRule type="expression" dxfId="2149" priority="105">
      <formula>AND(AG$9&gt;=14/24,AG$9&lt;20/24)</formula>
    </cfRule>
    <cfRule type="expression" dxfId="2148" priority="106">
      <formula>AND(AG$9&gt;=8/24,AG$9&lt;14/24)</formula>
    </cfRule>
    <cfRule type="expression" dxfId="214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146" priority="129">
      <formula>AJ$9&gt;=20/24</formula>
    </cfRule>
    <cfRule type="expression" dxfId="2145" priority="130">
      <formula>AND(AJ$9&gt;=14/24,AJ$9&lt;20/24)</formula>
    </cfRule>
    <cfRule type="expression" dxfId="2144" priority="131">
      <formula>AND(AJ$9&gt;=8/24,AJ$9&lt;14/24)</formula>
    </cfRule>
    <cfRule type="expression" dxfId="2143" priority="132">
      <formula>AJ$9&lt;8/24</formula>
    </cfRule>
  </conditionalFormatting>
  <conditionalFormatting sqref="AL86:AN86 AL92:AN92">
    <cfRule type="expression" dxfId="2142" priority="97">
      <formula>AL$9&gt;=20/24</formula>
    </cfRule>
    <cfRule type="expression" dxfId="2141" priority="98">
      <formula>AND(AL$9&gt;=14/24,AL$9&lt;20/24)</formula>
    </cfRule>
    <cfRule type="expression" dxfId="2140" priority="99">
      <formula>AND(AL$9&gt;=8/24,AL$9&lt;14/24)</formula>
    </cfRule>
    <cfRule type="expression" dxfId="2139" priority="100">
      <formula>AL$9&lt;8/24</formula>
    </cfRule>
  </conditionalFormatting>
  <conditionalFormatting sqref="AM15:AM21 AN16:AR21">
    <cfRule type="expression" dxfId="2138" priority="13">
      <formula>AX$9&gt;=20/24</formula>
    </cfRule>
    <cfRule type="expression" dxfId="2137" priority="14">
      <formula>AND(AX$9&gt;=14/24,AX$9&lt;20/24)</formula>
    </cfRule>
    <cfRule type="expression" dxfId="2136" priority="15">
      <formula>AND(AX$9&gt;=8/24,AX$9&lt;14/24)</formula>
    </cfRule>
    <cfRule type="expression" dxfId="2135" priority="16">
      <formula>AX$9&lt;8/24</formula>
    </cfRule>
  </conditionalFormatting>
  <conditionalFormatting sqref="AN87:AN90">
    <cfRule type="expression" dxfId="2134" priority="93">
      <formula>AN$9&gt;=20/24</formula>
    </cfRule>
    <cfRule type="expression" dxfId="2133" priority="94">
      <formula>AND(AN$9&gt;=14/24,AN$9&lt;20/24)</formula>
    </cfRule>
    <cfRule type="expression" dxfId="2132" priority="95">
      <formula>AND(AN$9&gt;=8/24,AN$9&lt;14/24)</formula>
    </cfRule>
    <cfRule type="expression" dxfId="2131" priority="96">
      <formula>AN$9&lt;8/24</formula>
    </cfRule>
  </conditionalFormatting>
  <conditionalFormatting sqref="AN15:AR15">
    <cfRule type="expression" dxfId="2130" priority="1">
      <formula>U$9&gt;=20/24</formula>
    </cfRule>
    <cfRule type="expression" dxfId="2129" priority="2">
      <formula>AND(U$9&gt;=14/24,U$9&lt;20/24)</formula>
    </cfRule>
    <cfRule type="expression" dxfId="2128" priority="3">
      <formula>AND(U$9&gt;=8/24,U$9&lt;14/24)</formula>
    </cfRule>
    <cfRule type="expression" dxfId="2127" priority="4">
      <formula>U$9&lt;8/24</formula>
    </cfRule>
  </conditionalFormatting>
  <conditionalFormatting sqref="AS15">
    <cfRule type="expression" dxfId="2126" priority="9">
      <formula>AA$9&gt;=20/24</formula>
    </cfRule>
    <cfRule type="expression" dxfId="2125" priority="10">
      <formula>AND(AA$9&gt;=14/24,AA$9&lt;20/24)</formula>
    </cfRule>
    <cfRule type="expression" dxfId="2124" priority="11">
      <formula>AND(AA$9&gt;=8/24,AA$9&lt;14/24)</formula>
    </cfRule>
    <cfRule type="expression" dxfId="2123" priority="12">
      <formula>AA$9&lt;8/24</formula>
    </cfRule>
  </conditionalFormatting>
  <conditionalFormatting sqref="AS16:AS21">
    <cfRule type="expression" dxfId="2122" priority="17">
      <formula>BE$9&gt;=20/24</formula>
    </cfRule>
    <cfRule type="expression" dxfId="2121" priority="18">
      <formula>AND(BE$9&gt;=14/24,BE$9&lt;20/24)</formula>
    </cfRule>
    <cfRule type="expression" dxfId="2120" priority="19">
      <formula>AND(BE$9&gt;=8/24,BE$9&lt;14/24)</formula>
    </cfRule>
    <cfRule type="expression" dxfId="2119" priority="20">
      <formula>BE$9&lt;8/24</formula>
    </cfRule>
  </conditionalFormatting>
  <conditionalFormatting sqref="AT15 AX15:BJ15">
    <cfRule type="expression" dxfId="2118" priority="21">
      <formula>AC$9&gt;=20/24</formula>
    </cfRule>
    <cfRule type="expression" dxfId="2117" priority="22">
      <formula>AND(AC$9&gt;=14/24,AC$9&lt;20/24)</formula>
    </cfRule>
    <cfRule type="expression" dxfId="2116" priority="23">
      <formula>AND(AC$9&gt;=8/24,AC$9&lt;14/24)</formula>
    </cfRule>
    <cfRule type="expression" dxfId="2115" priority="24">
      <formula>AC$9&lt;8/24</formula>
    </cfRule>
  </conditionalFormatting>
  <conditionalFormatting sqref="AT16:AT21">
    <cfRule type="expression" dxfId="2114" priority="25">
      <formula>BG$9&gt;=20/24</formula>
    </cfRule>
    <cfRule type="expression" dxfId="2113" priority="26">
      <formula>AND(BG$9&gt;=14/24,BG$9&lt;20/24)</formula>
    </cfRule>
    <cfRule type="expression" dxfId="2112" priority="27">
      <formula>AND(BG$9&gt;=8/24,BG$9&lt;14/24)</formula>
    </cfRule>
    <cfRule type="expression" dxfId="2111" priority="28">
      <formula>BG$9&lt;8/24</formula>
    </cfRule>
  </conditionalFormatting>
  <conditionalFormatting sqref="AU15:AV15">
    <cfRule type="expression" dxfId="2110" priority="29">
      <formula>AE$9&gt;=20/24</formula>
    </cfRule>
    <cfRule type="expression" dxfId="2109" priority="30">
      <formula>AND(AE$9&gt;=14/24,AE$9&lt;20/24)</formula>
    </cfRule>
    <cfRule type="expression" dxfId="2108" priority="31">
      <formula>AND(AE$9&gt;=8/24,AE$9&lt;14/24)</formula>
    </cfRule>
    <cfRule type="expression" dxfId="2107" priority="32">
      <formula>AE$9&lt;8/24</formula>
    </cfRule>
  </conditionalFormatting>
  <conditionalFormatting sqref="AU16:BJ21">
    <cfRule type="expression" dxfId="2106" priority="33">
      <formula>BI$9&gt;=20/24</formula>
    </cfRule>
    <cfRule type="expression" dxfId="2105" priority="34">
      <formula>AND(BI$9&gt;=14/24,BI$9&lt;20/24)</formula>
    </cfRule>
    <cfRule type="expression" dxfId="2104" priority="35">
      <formula>AND(BI$9&gt;=8/24,BI$9&lt;14/24)</formula>
    </cfRule>
    <cfRule type="expression" dxfId="2103" priority="36">
      <formula>BI$9&lt;8/24</formula>
    </cfRule>
  </conditionalFormatting>
  <conditionalFormatting sqref="AW15">
    <cfRule type="expression" dxfId="2102" priority="5">
      <formula>B$9&gt;=20/24</formula>
    </cfRule>
    <cfRule type="expression" dxfId="2101" priority="6">
      <formula>AND(B$9&gt;=14/24,B$9&lt;20/24)</formula>
    </cfRule>
    <cfRule type="expression" dxfId="2100" priority="7">
      <formula>AND(B$9&gt;=8/24,B$9&lt;14/24)</formula>
    </cfRule>
    <cfRule type="expression" dxfId="209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9763-F95D-4E91-B5C2-55EDF193D7AB}">
  <sheetPr codeName="Sheet20"/>
  <dimension ref="A1:CJ297"/>
  <sheetViews>
    <sheetView zoomScale="106" workbookViewId="0">
      <pane xSplit="1" ySplit="10" topLeftCell="B11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I135" sqref="I1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2080/10/19</v>
      </c>
      <c r="C4" s="187"/>
      <c r="D4" s="187"/>
      <c r="E4" s="188" t="str">
        <f ca="1">"2080/"&amp;"10/"&amp;INT(MID(CELL("filename",G6),FIND("]",CELL("filename",G6))+1,200))</f>
        <v>2080/10/19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69</v>
      </c>
      <c r="C5" s="30">
        <f t="shared" si="0"/>
        <v>69</v>
      </c>
      <c r="D5" s="30">
        <f t="shared" si="0"/>
        <v>68.900000000000006</v>
      </c>
      <c r="E5" s="30">
        <f t="shared" si="0"/>
        <v>52</v>
      </c>
      <c r="F5" s="30">
        <f t="shared" si="0"/>
        <v>55</v>
      </c>
      <c r="G5" s="30">
        <f t="shared" si="0"/>
        <v>47</v>
      </c>
      <c r="H5" s="30">
        <f t="shared" si="0"/>
        <v>48</v>
      </c>
      <c r="I5" s="30">
        <f t="shared" si="0"/>
        <v>142</v>
      </c>
      <c r="J5" s="30">
        <f t="shared" si="0"/>
        <v>273.5</v>
      </c>
      <c r="K5" s="30">
        <f t="shared" si="0"/>
        <v>325.5</v>
      </c>
      <c r="L5" s="30">
        <f t="shared" si="0"/>
        <v>320.39999999999998</v>
      </c>
      <c r="M5" s="30">
        <f t="shared" si="0"/>
        <v>347.20000000000005</v>
      </c>
      <c r="N5" s="30">
        <f t="shared" si="0"/>
        <v>343.9</v>
      </c>
      <c r="O5" s="30">
        <f t="shared" si="0"/>
        <v>173.9</v>
      </c>
      <c r="P5" s="30">
        <f t="shared" si="0"/>
        <v>184.3</v>
      </c>
      <c r="Q5" s="30">
        <f t="shared" si="0"/>
        <v>181.3</v>
      </c>
      <c r="R5" s="30">
        <f t="shared" si="0"/>
        <v>177</v>
      </c>
      <c r="S5" s="30">
        <f t="shared" si="0"/>
        <v>172.6</v>
      </c>
      <c r="T5" s="30">
        <f t="shared" si="0"/>
        <v>192.4</v>
      </c>
      <c r="U5" s="30">
        <f t="shared" si="0"/>
        <v>203.2</v>
      </c>
      <c r="V5" s="30">
        <f t="shared" si="0"/>
        <v>0</v>
      </c>
      <c r="W5" s="30">
        <f t="shared" si="0"/>
        <v>174</v>
      </c>
      <c r="X5" s="30">
        <f t="shared" si="0"/>
        <v>37</v>
      </c>
      <c r="Y5" s="30">
        <f t="shared" si="0"/>
        <v>7</v>
      </c>
      <c r="Z5" s="30">
        <f t="shared" si="0"/>
        <v>15</v>
      </c>
      <c r="AA5" s="30">
        <f t="shared" si="0"/>
        <v>62</v>
      </c>
      <c r="AB5" s="30">
        <f t="shared" si="0"/>
        <v>62</v>
      </c>
      <c r="AC5" s="30">
        <f t="shared" si="0"/>
        <v>62</v>
      </c>
      <c r="AD5" s="30">
        <f t="shared" si="0"/>
        <v>30</v>
      </c>
      <c r="AE5" s="30">
        <f t="shared" si="0"/>
        <v>0</v>
      </c>
      <c r="AF5" s="30">
        <f>B95</f>
        <v>66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2012MW at 6:00hr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1838.24</v>
      </c>
      <c r="C7" s="35">
        <f t="shared" si="1"/>
        <v>1814.2400000000002</v>
      </c>
      <c r="D7" s="35">
        <f t="shared" si="1"/>
        <v>1808.7399999999998</v>
      </c>
      <c r="E7" s="35">
        <f t="shared" si="1"/>
        <v>1731.7400000000002</v>
      </c>
      <c r="F7" s="35">
        <f t="shared" si="1"/>
        <v>1690.8400000000001</v>
      </c>
      <c r="G7" s="35">
        <f t="shared" si="1"/>
        <v>1582.8400000000001</v>
      </c>
      <c r="H7" s="35">
        <f t="shared" si="1"/>
        <v>1681.24</v>
      </c>
      <c r="I7" s="35">
        <f t="shared" si="1"/>
        <v>1720.24</v>
      </c>
      <c r="J7" s="35">
        <f t="shared" si="1"/>
        <v>1788.9399999999998</v>
      </c>
      <c r="K7" s="35">
        <f t="shared" si="1"/>
        <v>1638.5400000000002</v>
      </c>
      <c r="L7" s="35">
        <f t="shared" si="1"/>
        <v>1650.54</v>
      </c>
      <c r="M7" s="35">
        <f t="shared" si="1"/>
        <v>1648.54</v>
      </c>
      <c r="N7" s="35">
        <f t="shared" si="1"/>
        <v>1727.8400000000001</v>
      </c>
      <c r="O7" s="35">
        <f t="shared" si="1"/>
        <v>1651.94</v>
      </c>
      <c r="P7" s="35">
        <f t="shared" si="1"/>
        <v>1640.14</v>
      </c>
      <c r="Q7" s="35">
        <f t="shared" si="1"/>
        <v>1725.54</v>
      </c>
      <c r="R7" s="35">
        <f t="shared" si="1"/>
        <v>1727.54</v>
      </c>
      <c r="S7" s="35">
        <f t="shared" si="1"/>
        <v>1753.5400000000002</v>
      </c>
      <c r="T7" s="35">
        <f t="shared" si="1"/>
        <v>1748.54</v>
      </c>
      <c r="U7" s="35">
        <f t="shared" si="1"/>
        <v>1708.6400000000003</v>
      </c>
      <c r="V7" s="35">
        <f t="shared" si="1"/>
        <v>1554.8400000000001</v>
      </c>
      <c r="W7" s="35">
        <f t="shared" si="1"/>
        <v>153.54</v>
      </c>
      <c r="X7" s="35">
        <f t="shared" si="1"/>
        <v>1603.64</v>
      </c>
      <c r="Y7" s="35">
        <f t="shared" si="1"/>
        <v>1314.2</v>
      </c>
      <c r="Z7" s="35">
        <f t="shared" si="1"/>
        <v>1339.5</v>
      </c>
      <c r="AA7" s="35">
        <f t="shared" si="1"/>
        <v>1474.4</v>
      </c>
      <c r="AB7" s="35">
        <f t="shared" si="1"/>
        <v>1480.7589999999998</v>
      </c>
      <c r="AC7" s="35">
        <f t="shared" si="1"/>
        <v>1360.4589999999998</v>
      </c>
      <c r="AD7" s="35">
        <f t="shared" si="1"/>
        <v>1412.3589999999999</v>
      </c>
      <c r="AE7" s="35">
        <f t="shared" si="1"/>
        <v>1265.3589999999999</v>
      </c>
      <c r="AF7" s="35">
        <f t="shared" si="1"/>
        <v>1202.4590000000001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2096.24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1838.24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29.9</v>
      </c>
      <c r="C11" s="46">
        <v>29.9</v>
      </c>
      <c r="D11" s="46">
        <v>29.9</v>
      </c>
      <c r="E11" s="46">
        <v>25.9</v>
      </c>
      <c r="F11" s="46">
        <v>26.6</v>
      </c>
      <c r="G11" s="46">
        <v>26.6</v>
      </c>
      <c r="H11" s="46">
        <v>26.6</v>
      </c>
      <c r="I11" s="46">
        <v>26.6</v>
      </c>
      <c r="J11" s="46">
        <v>26.6</v>
      </c>
      <c r="K11" s="46">
        <v>26.6</v>
      </c>
      <c r="L11" s="46">
        <v>26.6</v>
      </c>
      <c r="M11" s="46">
        <v>23.9</v>
      </c>
      <c r="N11" s="46">
        <v>25.9</v>
      </c>
      <c r="O11" s="46">
        <v>26.3</v>
      </c>
      <c r="P11" s="46">
        <v>26.3</v>
      </c>
      <c r="Q11" s="46">
        <v>24.9</v>
      </c>
      <c r="R11" s="46">
        <v>27.4</v>
      </c>
      <c r="S11" s="46">
        <v>27.4</v>
      </c>
      <c r="T11" s="46">
        <v>27.4</v>
      </c>
      <c r="U11" s="46">
        <v>27.4</v>
      </c>
      <c r="V11" s="46">
        <v>27.4</v>
      </c>
      <c r="W11" s="46"/>
      <c r="X11" s="46">
        <v>27.4</v>
      </c>
      <c r="Y11" s="46">
        <v>27.4</v>
      </c>
      <c r="Z11" s="46">
        <v>27.4</v>
      </c>
      <c r="AA11" s="46">
        <v>27.4</v>
      </c>
      <c r="AB11" s="46">
        <v>27.1</v>
      </c>
      <c r="AC11" s="46">
        <v>27.1</v>
      </c>
      <c r="AD11" s="46">
        <v>27.1</v>
      </c>
      <c r="AE11" s="46">
        <v>27.1</v>
      </c>
      <c r="AF11" s="46">
        <v>27.1</v>
      </c>
      <c r="AG11" s="47">
        <v>86</v>
      </c>
      <c r="AH11" s="48">
        <f t="shared" ref="AH11:AH74" si="2">MAX(B11:AF11)</f>
        <v>29.9</v>
      </c>
      <c r="AI11" s="49">
        <f t="shared" ref="AI11:AI74" si="3">MIN(B11:AF11)</f>
        <v>23.9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25.2</v>
      </c>
      <c r="C12" s="46">
        <v>25.2</v>
      </c>
      <c r="D12" s="46">
        <v>25.2</v>
      </c>
      <c r="E12" s="46">
        <v>24</v>
      </c>
      <c r="F12" s="46">
        <v>24</v>
      </c>
      <c r="G12" s="46">
        <v>24</v>
      </c>
      <c r="H12" s="46">
        <v>24</v>
      </c>
      <c r="I12" s="46">
        <v>24</v>
      </c>
      <c r="J12" s="46">
        <v>24</v>
      </c>
      <c r="K12" s="46">
        <v>24</v>
      </c>
      <c r="L12" s="46">
        <v>24</v>
      </c>
      <c r="M12" s="46">
        <v>24</v>
      </c>
      <c r="N12" s="46">
        <v>24</v>
      </c>
      <c r="O12" s="46">
        <v>24</v>
      </c>
      <c r="P12" s="46">
        <v>24</v>
      </c>
      <c r="Q12" s="46">
        <v>24</v>
      </c>
      <c r="R12" s="46">
        <v>24</v>
      </c>
      <c r="S12" s="46">
        <v>24</v>
      </c>
      <c r="T12" s="46">
        <v>24</v>
      </c>
      <c r="U12" s="46">
        <v>24</v>
      </c>
      <c r="V12" s="46">
        <v>24</v>
      </c>
      <c r="W12" s="46"/>
      <c r="X12" s="46">
        <v>24</v>
      </c>
      <c r="Y12" s="46">
        <v>24</v>
      </c>
      <c r="Z12" s="46">
        <v>24</v>
      </c>
      <c r="AA12" s="46">
        <v>24</v>
      </c>
      <c r="AB12" s="46">
        <v>24</v>
      </c>
      <c r="AC12" s="46">
        <v>24</v>
      </c>
      <c r="AD12" s="46">
        <v>24</v>
      </c>
      <c r="AE12" s="46">
        <v>24</v>
      </c>
      <c r="AF12" s="46">
        <v>24</v>
      </c>
      <c r="AG12" s="50">
        <v>77</v>
      </c>
      <c r="AH12" s="48">
        <f t="shared" si="2"/>
        <v>25.2</v>
      </c>
      <c r="AI12" s="49">
        <f t="shared" si="3"/>
        <v>24</v>
      </c>
      <c r="AK12" s="51"/>
      <c r="AL12" s="52" t="str">
        <f ca="1">MID(CELL("filename",C7),FIND("]",CELL("filename",C7))+1,600)</f>
        <v>19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69.5</v>
      </c>
      <c r="C13" s="46">
        <v>69.5</v>
      </c>
      <c r="D13" s="46">
        <v>69.5</v>
      </c>
      <c r="E13" s="46">
        <v>69.5</v>
      </c>
      <c r="F13" s="46">
        <v>70.599999999999994</v>
      </c>
      <c r="G13" s="46">
        <v>70.599999999999994</v>
      </c>
      <c r="H13" s="46">
        <v>70.599999999999994</v>
      </c>
      <c r="I13" s="46">
        <v>70.599999999999994</v>
      </c>
      <c r="J13" s="46">
        <v>70.599999999999994</v>
      </c>
      <c r="K13" s="46">
        <v>70.599999999999994</v>
      </c>
      <c r="L13" s="46">
        <v>70.599999999999994</v>
      </c>
      <c r="M13" s="46">
        <v>70.599999999999994</v>
      </c>
      <c r="N13" s="46">
        <v>70.599999999999994</v>
      </c>
      <c r="O13" s="46">
        <v>70.599999999999994</v>
      </c>
      <c r="P13" s="46">
        <v>70.599999999999994</v>
      </c>
      <c r="Q13" s="46">
        <v>70.599999999999994</v>
      </c>
      <c r="R13" s="46">
        <v>69.099999999999994</v>
      </c>
      <c r="S13" s="46">
        <v>69.099999999999994</v>
      </c>
      <c r="T13" s="46">
        <v>69.099999999999994</v>
      </c>
      <c r="U13" s="46">
        <v>69.099999999999994</v>
      </c>
      <c r="V13" s="46">
        <v>69.099999999999994</v>
      </c>
      <c r="W13" s="46"/>
      <c r="X13" s="46">
        <v>69.099999999999994</v>
      </c>
      <c r="Y13" s="46">
        <v>69.099999999999994</v>
      </c>
      <c r="Z13" s="46">
        <v>69.099999999999994</v>
      </c>
      <c r="AA13" s="46">
        <v>69.099999999999994</v>
      </c>
      <c r="AB13" s="46">
        <v>70</v>
      </c>
      <c r="AC13" s="46">
        <v>70</v>
      </c>
      <c r="AD13" s="46">
        <v>70</v>
      </c>
      <c r="AE13" s="46">
        <v>70</v>
      </c>
      <c r="AF13" s="46">
        <v>70</v>
      </c>
      <c r="AG13" s="50">
        <v>73</v>
      </c>
      <c r="AH13" s="48">
        <f t="shared" si="2"/>
        <v>70.599999999999994</v>
      </c>
      <c r="AI13" s="49">
        <f t="shared" si="3"/>
        <v>69.099999999999994</v>
      </c>
      <c r="AK13" s="51"/>
      <c r="AL13" s="52" t="str">
        <f ca="1">"Daily Load Curve(Excluding of Export) of Nepal ("&amp;A4&amp;" "&amp;B4&amp;")"</f>
        <v>Daily Load Curve(Excluding of Export) of Nepal (Nepali Date: 2080/10/19)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10</v>
      </c>
      <c r="C14" s="46">
        <v>25</v>
      </c>
      <c r="D14" s="46">
        <v>25</v>
      </c>
      <c r="E14" s="46">
        <v>18.2</v>
      </c>
      <c r="F14" s="46">
        <v>20</v>
      </c>
      <c r="G14" s="46">
        <v>20</v>
      </c>
      <c r="H14" s="46">
        <v>20</v>
      </c>
      <c r="I14" s="46">
        <v>30</v>
      </c>
      <c r="J14" s="46">
        <v>30</v>
      </c>
      <c r="K14" s="46">
        <v>40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38.4</v>
      </c>
      <c r="S14" s="46">
        <v>38.4</v>
      </c>
      <c r="T14" s="46">
        <v>38.4</v>
      </c>
      <c r="U14" s="46">
        <v>38.4</v>
      </c>
      <c r="V14" s="46">
        <v>38.4</v>
      </c>
      <c r="W14" s="46" t="s">
        <v>312</v>
      </c>
      <c r="X14" s="46">
        <v>38.4</v>
      </c>
      <c r="Y14" s="46">
        <v>38.4</v>
      </c>
      <c r="Z14" s="46">
        <v>38.4</v>
      </c>
      <c r="AA14" s="46">
        <v>38.4</v>
      </c>
      <c r="AB14" s="46">
        <v>10.9</v>
      </c>
      <c r="AC14" s="46">
        <v>10.9</v>
      </c>
      <c r="AD14" s="46">
        <v>10.9</v>
      </c>
      <c r="AE14" s="46">
        <v>10.9</v>
      </c>
      <c r="AF14" s="46">
        <v>10.9</v>
      </c>
      <c r="AG14" s="50">
        <v>71</v>
      </c>
      <c r="AH14" s="48">
        <f t="shared" si="2"/>
        <v>40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17.399999999999999</v>
      </c>
      <c r="C15" s="46">
        <v>17.399999999999999</v>
      </c>
      <c r="D15" s="46">
        <v>17.399999999999999</v>
      </c>
      <c r="E15" s="46">
        <v>17.399999999999999</v>
      </c>
      <c r="F15" s="46">
        <v>17.399999999999999</v>
      </c>
      <c r="G15" s="46">
        <v>17.399999999999999</v>
      </c>
      <c r="H15" s="46">
        <v>17.399999999999999</v>
      </c>
      <c r="I15" s="46">
        <v>17.399999999999999</v>
      </c>
      <c r="J15" s="46">
        <v>17.399999999999999</v>
      </c>
      <c r="K15" s="46">
        <v>17.399999999999999</v>
      </c>
      <c r="L15" s="46">
        <v>17.399999999999999</v>
      </c>
      <c r="M15" s="46">
        <v>17.399999999999999</v>
      </c>
      <c r="N15" s="46">
        <v>17.399999999999999</v>
      </c>
      <c r="O15" s="46">
        <v>17.399999999999999</v>
      </c>
      <c r="P15" s="46">
        <v>17.399999999999999</v>
      </c>
      <c r="Q15" s="46">
        <v>17.399999999999999</v>
      </c>
      <c r="R15" s="46">
        <v>17.399999999999999</v>
      </c>
      <c r="S15" s="46">
        <v>17.399999999999999</v>
      </c>
      <c r="T15" s="46">
        <v>17.399999999999999</v>
      </c>
      <c r="U15" s="46">
        <v>17.399999999999999</v>
      </c>
      <c r="V15" s="46">
        <v>17.399999999999999</v>
      </c>
      <c r="W15" s="46" t="s">
        <v>313</v>
      </c>
      <c r="X15" s="46">
        <v>17.399999999999999</v>
      </c>
      <c r="Y15" s="46">
        <v>17.399999999999999</v>
      </c>
      <c r="Z15" s="46">
        <v>17.399999999999999</v>
      </c>
      <c r="AA15" s="46">
        <v>17.399999999999999</v>
      </c>
      <c r="AB15" s="46">
        <v>17.399999999999999</v>
      </c>
      <c r="AC15" s="46">
        <v>17.399999999999999</v>
      </c>
      <c r="AD15" s="46">
        <v>17.399999999999999</v>
      </c>
      <c r="AE15" s="46">
        <v>17.399999999999999</v>
      </c>
      <c r="AF15" s="46">
        <v>17.399999999999999</v>
      </c>
      <c r="AG15" s="50">
        <v>54</v>
      </c>
      <c r="AH15" s="48">
        <f t="shared" si="2"/>
        <v>17.399999999999999</v>
      </c>
      <c r="AI15" s="49">
        <f t="shared" si="3"/>
        <v>17.399999999999999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</v>
      </c>
      <c r="E16" s="46">
        <v>20</v>
      </c>
      <c r="F16" s="46">
        <v>20</v>
      </c>
      <c r="G16" s="46">
        <v>20</v>
      </c>
      <c r="H16" s="46">
        <v>20</v>
      </c>
      <c r="I16" s="46">
        <v>20</v>
      </c>
      <c r="J16" s="46">
        <v>26.9</v>
      </c>
      <c r="K16" s="46">
        <v>26.9</v>
      </c>
      <c r="L16" s="46">
        <v>26.9</v>
      </c>
      <c r="M16" s="46">
        <v>26.9</v>
      </c>
      <c r="N16" s="46">
        <v>26.9</v>
      </c>
      <c r="O16" s="46">
        <v>26.9</v>
      </c>
      <c r="P16" s="46">
        <v>26.9</v>
      </c>
      <c r="Q16" s="46">
        <v>26.9</v>
      </c>
      <c r="R16" s="46">
        <v>23.9</v>
      </c>
      <c r="S16" s="46">
        <v>23.9</v>
      </c>
      <c r="T16" s="46">
        <v>23.9</v>
      </c>
      <c r="U16" s="46">
        <v>23.9</v>
      </c>
      <c r="V16" s="46">
        <v>23.9</v>
      </c>
      <c r="W16" s="46" t="s">
        <v>314</v>
      </c>
      <c r="X16" s="46">
        <v>23.9</v>
      </c>
      <c r="Y16" s="46">
        <v>23.9</v>
      </c>
      <c r="Z16" s="46">
        <v>23.9</v>
      </c>
      <c r="AA16" s="46">
        <v>23.9</v>
      </c>
      <c r="AB16" s="46">
        <v>23.998999999999999</v>
      </c>
      <c r="AC16" s="46">
        <v>23.998999999999999</v>
      </c>
      <c r="AD16" s="46">
        <v>23.998999999999999</v>
      </c>
      <c r="AE16" s="46">
        <v>23.998999999999999</v>
      </c>
      <c r="AF16" s="46">
        <v>23.998999999999999</v>
      </c>
      <c r="AG16" s="50">
        <v>54</v>
      </c>
      <c r="AH16" s="48">
        <f t="shared" si="2"/>
        <v>26.9</v>
      </c>
      <c r="AI16" s="49">
        <f t="shared" si="3"/>
        <v>20</v>
      </c>
      <c r="AK16" s="51"/>
      <c r="AL16" s="54" t="s">
        <v>7</v>
      </c>
      <c r="AM16" s="59">
        <f t="shared" ref="AM16:AR16" si="4">B61</f>
        <v>783.39999999999986</v>
      </c>
      <c r="AN16" s="59">
        <f t="shared" si="4"/>
        <v>798.4</v>
      </c>
      <c r="AO16" s="59">
        <f t="shared" si="4"/>
        <v>797.5</v>
      </c>
      <c r="AP16" s="59">
        <f t="shared" si="4"/>
        <v>769.4</v>
      </c>
      <c r="AQ16" s="59">
        <f t="shared" si="4"/>
        <v>774.3</v>
      </c>
      <c r="AR16" s="59">
        <f t="shared" si="4"/>
        <v>774.3</v>
      </c>
      <c r="AS16" s="59">
        <f>I61</f>
        <v>784.3</v>
      </c>
      <c r="AT16" s="59">
        <f>K61</f>
        <v>809.30000000000007</v>
      </c>
      <c r="AU16" s="59">
        <f t="shared" ref="AU16:BD16" si="5">M61</f>
        <v>766.6</v>
      </c>
      <c r="AV16" s="59">
        <f t="shared" si="5"/>
        <v>768.6</v>
      </c>
      <c r="AW16" s="59">
        <f t="shared" si="5"/>
        <v>769</v>
      </c>
      <c r="AX16" s="59">
        <f t="shared" si="5"/>
        <v>769</v>
      </c>
      <c r="AY16" s="59">
        <f t="shared" si="5"/>
        <v>767.6</v>
      </c>
      <c r="AZ16" s="59">
        <f t="shared" si="5"/>
        <v>772.3</v>
      </c>
      <c r="BA16" s="59">
        <f t="shared" si="5"/>
        <v>772.3</v>
      </c>
      <c r="BB16" s="59">
        <f t="shared" si="5"/>
        <v>772.3</v>
      </c>
      <c r="BC16" s="59">
        <f t="shared" si="5"/>
        <v>772.3</v>
      </c>
      <c r="BD16" s="59">
        <f t="shared" si="5"/>
        <v>772.3</v>
      </c>
      <c r="BE16" s="60">
        <f>X61</f>
        <v>772.3</v>
      </c>
      <c r="BF16" s="60">
        <f>Z61</f>
        <v>772.3</v>
      </c>
      <c r="BG16" s="60">
        <f>AB61</f>
        <v>751.09899999999993</v>
      </c>
      <c r="BH16" s="60">
        <f>AD61</f>
        <v>751.09899999999993</v>
      </c>
      <c r="BI16" s="60">
        <f>AE61</f>
        <v>751.09899999999993</v>
      </c>
      <c r="BJ16" s="60">
        <f>AF61</f>
        <v>751.09899999999993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26</v>
      </c>
      <c r="C17" s="46">
        <v>26</v>
      </c>
      <c r="D17" s="46">
        <v>26</v>
      </c>
      <c r="E17" s="46">
        <v>24</v>
      </c>
      <c r="F17" s="46">
        <v>25.5</v>
      </c>
      <c r="G17" s="46">
        <v>25.5</v>
      </c>
      <c r="H17" s="46">
        <v>25.5</v>
      </c>
      <c r="I17" s="46">
        <v>25.5</v>
      </c>
      <c r="J17" s="46">
        <v>25.5</v>
      </c>
      <c r="K17" s="46">
        <v>23</v>
      </c>
      <c r="L17" s="46">
        <v>23</v>
      </c>
      <c r="M17" s="46">
        <v>23</v>
      </c>
      <c r="N17" s="46">
        <v>23</v>
      </c>
      <c r="O17" s="46">
        <v>23</v>
      </c>
      <c r="P17" s="46">
        <v>23</v>
      </c>
      <c r="Q17" s="46">
        <v>23</v>
      </c>
      <c r="R17" s="46">
        <v>22.1</v>
      </c>
      <c r="S17" s="46">
        <v>22.1</v>
      </c>
      <c r="T17" s="46">
        <v>22.1</v>
      </c>
      <c r="U17" s="46">
        <v>22.1</v>
      </c>
      <c r="V17" s="46">
        <v>22.1</v>
      </c>
      <c r="W17" s="46" t="s">
        <v>315</v>
      </c>
      <c r="X17" s="46">
        <v>22.1</v>
      </c>
      <c r="Y17" s="46">
        <v>22.1</v>
      </c>
      <c r="Z17" s="46">
        <v>22.1</v>
      </c>
      <c r="AA17" s="46">
        <v>22.1</v>
      </c>
      <c r="AB17" s="46">
        <v>27.7</v>
      </c>
      <c r="AC17" s="46">
        <v>27.7</v>
      </c>
      <c r="AD17" s="46">
        <v>27.7</v>
      </c>
      <c r="AE17" s="46">
        <v>27.7</v>
      </c>
      <c r="AF17" s="46">
        <v>27.7</v>
      </c>
      <c r="AG17" s="47">
        <v>52.4</v>
      </c>
      <c r="AH17" s="48">
        <f t="shared" si="2"/>
        <v>27.7</v>
      </c>
      <c r="AI17" s="49">
        <f t="shared" si="3"/>
        <v>22.1</v>
      </c>
      <c r="AK17" s="51"/>
      <c r="AL17" s="54" t="s">
        <v>27</v>
      </c>
      <c r="AM17" s="59">
        <f t="shared" ref="AM17:AR17" si="6">B65</f>
        <v>226</v>
      </c>
      <c r="AN17" s="59">
        <f t="shared" si="6"/>
        <v>466</v>
      </c>
      <c r="AO17" s="59">
        <f t="shared" si="6"/>
        <v>474.5</v>
      </c>
      <c r="AP17" s="59">
        <f t="shared" si="6"/>
        <v>434.5</v>
      </c>
      <c r="AQ17" s="59">
        <f t="shared" si="6"/>
        <v>432.5</v>
      </c>
      <c r="AR17" s="59">
        <f t="shared" si="6"/>
        <v>326.5</v>
      </c>
      <c r="AS17" s="59">
        <f>I65</f>
        <v>456.5</v>
      </c>
      <c r="AT17" s="59">
        <f>K65</f>
        <v>52.5</v>
      </c>
      <c r="AU17" s="59">
        <f t="shared" ref="AU17:BD17" si="7">M65</f>
        <v>52.5</v>
      </c>
      <c r="AV17" s="59">
        <f t="shared" si="7"/>
        <v>97.7</v>
      </c>
      <c r="AW17" s="59">
        <f t="shared" si="7"/>
        <v>118.8</v>
      </c>
      <c r="AX17" s="59">
        <f t="shared" si="7"/>
        <v>388.7</v>
      </c>
      <c r="AY17" s="59">
        <f t="shared" si="7"/>
        <v>376</v>
      </c>
      <c r="AZ17" s="59">
        <f t="shared" si="7"/>
        <v>395.7</v>
      </c>
      <c r="BA17" s="59">
        <f t="shared" si="7"/>
        <v>397.1</v>
      </c>
      <c r="BB17" s="59">
        <f t="shared" si="7"/>
        <v>412.1</v>
      </c>
      <c r="BC17" s="59">
        <f t="shared" si="7"/>
        <v>342.1</v>
      </c>
      <c r="BD17" s="59">
        <f t="shared" si="7"/>
        <v>202.1</v>
      </c>
      <c r="BE17" s="60">
        <f>X65</f>
        <v>275.10000000000002</v>
      </c>
      <c r="BF17" s="60">
        <f>Z65</f>
        <v>312.10000000000002</v>
      </c>
      <c r="BG17" s="60">
        <f>AB65</f>
        <v>382.5</v>
      </c>
      <c r="BH17" s="60">
        <f>AD65</f>
        <v>293.89999999999998</v>
      </c>
      <c r="BI17" s="60">
        <f>AE65</f>
        <v>265.7</v>
      </c>
      <c r="BJ17" s="60">
        <f>AF65</f>
        <v>216.60000000000002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53" t="s">
        <v>317</v>
      </c>
      <c r="X18" s="53">
        <v>50.4</v>
      </c>
      <c r="Y18" s="53">
        <v>50.4</v>
      </c>
      <c r="Z18" s="53">
        <v>50.4</v>
      </c>
      <c r="AA18" s="53">
        <v>50.4</v>
      </c>
      <c r="AB18" s="53">
        <v>50.4</v>
      </c>
      <c r="AC18" s="53">
        <v>50.4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400.64000000000004</v>
      </c>
      <c r="AN18" s="59">
        <f t="shared" si="8"/>
        <v>400.64000000000004</v>
      </c>
      <c r="AO18" s="59">
        <f t="shared" si="8"/>
        <v>399.64000000000004</v>
      </c>
      <c r="AP18" s="59">
        <f t="shared" si="8"/>
        <v>401.84000000000003</v>
      </c>
      <c r="AQ18" s="59">
        <f t="shared" si="8"/>
        <v>401.84000000000003</v>
      </c>
      <c r="AR18" s="59">
        <f t="shared" si="8"/>
        <v>401.84000000000003</v>
      </c>
      <c r="AS18" s="59">
        <f>I79</f>
        <v>403.24000000000007</v>
      </c>
      <c r="AT18" s="59">
        <f>K79</f>
        <v>403.24000000000007</v>
      </c>
      <c r="AU18" s="59">
        <f t="shared" ref="AU18:BD18" si="9">M79</f>
        <v>409.04000000000008</v>
      </c>
      <c r="AV18" s="59">
        <f t="shared" si="9"/>
        <v>414.34000000000009</v>
      </c>
      <c r="AW18" s="59">
        <f t="shared" si="9"/>
        <v>420.24</v>
      </c>
      <c r="AX18" s="59">
        <f t="shared" si="9"/>
        <v>416.54</v>
      </c>
      <c r="AY18" s="59">
        <f t="shared" si="9"/>
        <v>416.64000000000004</v>
      </c>
      <c r="AZ18" s="59">
        <f t="shared" si="9"/>
        <v>393.24</v>
      </c>
      <c r="BA18" s="59">
        <f t="shared" si="9"/>
        <v>407.14000000000004</v>
      </c>
      <c r="BB18" s="59">
        <f t="shared" si="9"/>
        <v>406.54</v>
      </c>
      <c r="BC18" s="59">
        <f t="shared" si="9"/>
        <v>406.84000000000003</v>
      </c>
      <c r="BD18" s="59">
        <f t="shared" si="9"/>
        <v>403.24000000000007</v>
      </c>
      <c r="BE18" s="60">
        <f>X79</f>
        <v>403.24000000000007</v>
      </c>
      <c r="BF18" s="60">
        <f>Z79</f>
        <v>360</v>
      </c>
      <c r="BG18" s="60">
        <f>AB79</f>
        <v>401.15999999999991</v>
      </c>
      <c r="BH18" s="60">
        <f>AD79</f>
        <v>380.45999999999992</v>
      </c>
      <c r="BI18" s="60">
        <f>AE79</f>
        <v>263.56</v>
      </c>
      <c r="BJ18" s="60">
        <f>AF79</f>
        <v>342.85999999999996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38</v>
      </c>
      <c r="C19" s="46">
        <v>38</v>
      </c>
      <c r="D19" s="46">
        <v>38</v>
      </c>
      <c r="E19" s="46">
        <v>38</v>
      </c>
      <c r="F19" s="46">
        <v>38</v>
      </c>
      <c r="G19" s="46">
        <v>38</v>
      </c>
      <c r="H19" s="46">
        <v>38</v>
      </c>
      <c r="I19" s="46">
        <v>38</v>
      </c>
      <c r="J19" s="46">
        <v>38</v>
      </c>
      <c r="K19" s="46">
        <v>38</v>
      </c>
      <c r="L19" s="46">
        <v>38</v>
      </c>
      <c r="M19" s="46">
        <v>38</v>
      </c>
      <c r="N19" s="46">
        <v>38</v>
      </c>
      <c r="O19" s="46">
        <v>38</v>
      </c>
      <c r="P19" s="46">
        <v>38</v>
      </c>
      <c r="Q19" s="46">
        <v>38</v>
      </c>
      <c r="R19" s="46">
        <v>38</v>
      </c>
      <c r="S19" s="46">
        <v>38</v>
      </c>
      <c r="T19" s="46">
        <v>38</v>
      </c>
      <c r="U19" s="46">
        <v>38</v>
      </c>
      <c r="V19" s="46">
        <v>38</v>
      </c>
      <c r="W19" s="46" t="s">
        <v>313</v>
      </c>
      <c r="X19" s="46">
        <v>38</v>
      </c>
      <c r="Y19" s="46">
        <v>38</v>
      </c>
      <c r="Z19" s="46">
        <v>38</v>
      </c>
      <c r="AA19" s="46">
        <v>38</v>
      </c>
      <c r="AB19" s="46">
        <v>38</v>
      </c>
      <c r="AC19" s="46">
        <v>38</v>
      </c>
      <c r="AD19" s="46">
        <v>38</v>
      </c>
      <c r="AE19" s="46">
        <v>38</v>
      </c>
      <c r="AF19" s="46">
        <v>38</v>
      </c>
      <c r="AG19" s="50">
        <v>45</v>
      </c>
      <c r="AH19" s="48">
        <f t="shared" si="2"/>
        <v>38</v>
      </c>
      <c r="AI19" s="49">
        <f t="shared" si="3"/>
        <v>38</v>
      </c>
      <c r="AK19" s="51"/>
      <c r="AL19" s="54" t="s">
        <v>31</v>
      </c>
      <c r="AM19" s="59">
        <f t="shared" ref="AM19:AR19" si="10">B95</f>
        <v>66</v>
      </c>
      <c r="AN19" s="59">
        <f t="shared" si="10"/>
        <v>69</v>
      </c>
      <c r="AO19" s="59">
        <f t="shared" si="10"/>
        <v>69</v>
      </c>
      <c r="AP19" s="59">
        <f t="shared" si="10"/>
        <v>68.900000000000006</v>
      </c>
      <c r="AQ19" s="59">
        <f t="shared" si="10"/>
        <v>52</v>
      </c>
      <c r="AR19" s="59">
        <f t="shared" si="10"/>
        <v>55</v>
      </c>
      <c r="AS19" s="59">
        <f>I95</f>
        <v>48</v>
      </c>
      <c r="AT19" s="59">
        <f>K95</f>
        <v>273.5</v>
      </c>
      <c r="AU19" s="59">
        <f t="shared" ref="AU19:BD19" si="11">M95</f>
        <v>320.39999999999998</v>
      </c>
      <c r="AV19" s="59">
        <f t="shared" si="11"/>
        <v>347.20000000000005</v>
      </c>
      <c r="AW19" s="59">
        <f t="shared" si="11"/>
        <v>343.9</v>
      </c>
      <c r="AX19" s="59">
        <f t="shared" si="11"/>
        <v>173.9</v>
      </c>
      <c r="AY19" s="59">
        <f t="shared" si="11"/>
        <v>184.3</v>
      </c>
      <c r="AZ19" s="59">
        <f t="shared" si="11"/>
        <v>181.3</v>
      </c>
      <c r="BA19" s="59">
        <f t="shared" si="11"/>
        <v>177</v>
      </c>
      <c r="BB19" s="59">
        <f t="shared" si="11"/>
        <v>172.6</v>
      </c>
      <c r="BC19" s="59">
        <f t="shared" si="11"/>
        <v>192.4</v>
      </c>
      <c r="BD19" s="59">
        <f t="shared" si="11"/>
        <v>203.2</v>
      </c>
      <c r="BE19" s="60">
        <f>X95</f>
        <v>174</v>
      </c>
      <c r="BF19" s="60">
        <f>Z95</f>
        <v>7</v>
      </c>
      <c r="BG19" s="60">
        <f>AB95</f>
        <v>62</v>
      </c>
      <c r="BH19" s="60">
        <f>AD95</f>
        <v>62</v>
      </c>
      <c r="BI19" s="60">
        <f>AE95</f>
        <v>30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33.4</v>
      </c>
      <c r="C20" s="46">
        <v>33.4</v>
      </c>
      <c r="D20" s="46">
        <v>33.4</v>
      </c>
      <c r="E20" s="46">
        <v>27.2</v>
      </c>
      <c r="F20" s="46">
        <v>27.2</v>
      </c>
      <c r="G20" s="46">
        <v>27.2</v>
      </c>
      <c r="H20" s="46">
        <v>27.2</v>
      </c>
      <c r="I20" s="46">
        <v>27.2</v>
      </c>
      <c r="J20" s="46">
        <v>27.2</v>
      </c>
      <c r="K20" s="46">
        <v>33</v>
      </c>
      <c r="L20" s="46">
        <v>33</v>
      </c>
      <c r="M20" s="46">
        <v>33</v>
      </c>
      <c r="N20" s="46">
        <v>33</v>
      </c>
      <c r="O20" s="46">
        <v>33</v>
      </c>
      <c r="P20" s="46">
        <v>33</v>
      </c>
      <c r="Q20" s="46">
        <v>33</v>
      </c>
      <c r="R20" s="46">
        <v>30.6</v>
      </c>
      <c r="S20" s="46">
        <v>30.6</v>
      </c>
      <c r="T20" s="46">
        <v>30.6</v>
      </c>
      <c r="U20" s="46">
        <v>30.6</v>
      </c>
      <c r="V20" s="46">
        <v>30.6</v>
      </c>
      <c r="W20" s="46" t="s">
        <v>318</v>
      </c>
      <c r="X20" s="46">
        <v>30.6</v>
      </c>
      <c r="Y20" s="46">
        <v>30.6</v>
      </c>
      <c r="Z20" s="46">
        <v>30.6</v>
      </c>
      <c r="AA20" s="46">
        <v>30.6</v>
      </c>
      <c r="AB20" s="46">
        <v>30.6</v>
      </c>
      <c r="AC20" s="46">
        <v>30.6</v>
      </c>
      <c r="AD20" s="46">
        <v>30.6</v>
      </c>
      <c r="AE20" s="46">
        <v>30.6</v>
      </c>
      <c r="AF20" s="46">
        <v>30.6</v>
      </c>
      <c r="AG20" s="50">
        <v>44</v>
      </c>
      <c r="AH20" s="48">
        <f t="shared" si="2"/>
        <v>33.4</v>
      </c>
      <c r="AI20" s="49">
        <f t="shared" si="3"/>
        <v>27.2</v>
      </c>
      <c r="AK20" s="51"/>
      <c r="AL20" s="54" t="s">
        <v>33</v>
      </c>
      <c r="AM20" s="59">
        <f t="shared" ref="AM20:AR20" si="12">B83</f>
        <v>62.2</v>
      </c>
      <c r="AN20" s="59">
        <f t="shared" si="12"/>
        <v>62.2</v>
      </c>
      <c r="AO20" s="59">
        <f t="shared" si="12"/>
        <v>49.1</v>
      </c>
      <c r="AP20" s="59">
        <f t="shared" si="12"/>
        <v>49.1</v>
      </c>
      <c r="AQ20" s="59">
        <f t="shared" si="12"/>
        <v>20.2</v>
      </c>
      <c r="AR20" s="59">
        <f t="shared" si="12"/>
        <v>20.2</v>
      </c>
      <c r="AS20" s="59">
        <f>I83</f>
        <v>20.2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7.1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/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300</v>
      </c>
      <c r="AN21" s="59">
        <f t="shared" si="14"/>
        <v>300</v>
      </c>
      <c r="AO21" s="59">
        <f t="shared" si="14"/>
        <v>300</v>
      </c>
      <c r="AP21" s="59">
        <f t="shared" si="14"/>
        <v>300</v>
      </c>
      <c r="AQ21" s="59">
        <f t="shared" si="14"/>
        <v>300</v>
      </c>
      <c r="AR21" s="59">
        <f t="shared" si="14"/>
        <v>300</v>
      </c>
      <c r="AS21" s="59">
        <f>I101</f>
        <v>300</v>
      </c>
      <c r="AT21" s="59">
        <f>K101</f>
        <v>100</v>
      </c>
      <c r="AU21" s="59">
        <f t="shared" ref="AU21:BD21" si="15">M101</f>
        <v>100</v>
      </c>
      <c r="AV21" s="59">
        <f t="shared" si="15"/>
        <v>100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50</v>
      </c>
      <c r="BI21" s="60">
        <f>AE101</f>
        <v>100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27</v>
      </c>
      <c r="G22" s="46">
        <v>27</v>
      </c>
      <c r="H22" s="46">
        <v>27</v>
      </c>
      <c r="I22" s="46">
        <v>27</v>
      </c>
      <c r="J22" s="46">
        <v>27</v>
      </c>
      <c r="K22" s="46">
        <v>27</v>
      </c>
      <c r="L22" s="46">
        <v>27</v>
      </c>
      <c r="M22" s="46">
        <v>27</v>
      </c>
      <c r="N22" s="46">
        <v>27</v>
      </c>
      <c r="O22" s="46">
        <v>27</v>
      </c>
      <c r="P22" s="46">
        <v>27</v>
      </c>
      <c r="Q22" s="46">
        <v>27</v>
      </c>
      <c r="R22" s="46">
        <v>27</v>
      </c>
      <c r="S22" s="46">
        <v>27</v>
      </c>
      <c r="T22" s="46">
        <v>27</v>
      </c>
      <c r="U22" s="46">
        <v>27</v>
      </c>
      <c r="V22" s="46">
        <v>27</v>
      </c>
      <c r="W22" s="46"/>
      <c r="X22" s="46">
        <v>27</v>
      </c>
      <c r="Y22" s="46">
        <v>27</v>
      </c>
      <c r="Z22" s="46">
        <v>27</v>
      </c>
      <c r="AA22" s="46">
        <v>27</v>
      </c>
      <c r="AB22" s="46">
        <v>27</v>
      </c>
      <c r="AC22" s="46">
        <v>27</v>
      </c>
      <c r="AD22" s="46">
        <v>27</v>
      </c>
      <c r="AE22" s="46">
        <v>27</v>
      </c>
      <c r="AF22" s="46">
        <v>27</v>
      </c>
      <c r="AG22" s="50">
        <v>38.46</v>
      </c>
      <c r="AH22" s="48">
        <f t="shared" si="2"/>
        <v>27</v>
      </c>
      <c r="AI22" s="49">
        <f t="shared" si="3"/>
        <v>27</v>
      </c>
      <c r="AK22" s="51"/>
      <c r="AL22" s="62" t="s">
        <v>37</v>
      </c>
      <c r="AM22" s="63">
        <f t="shared" ref="AM22:BJ22" si="16">SUM(AM16:AM21)</f>
        <v>1838.24</v>
      </c>
      <c r="AN22" s="63">
        <f t="shared" si="16"/>
        <v>2096.2400000000002</v>
      </c>
      <c r="AO22" s="63">
        <f t="shared" si="16"/>
        <v>2089.7399999999998</v>
      </c>
      <c r="AP22" s="63">
        <f t="shared" si="16"/>
        <v>2023.7400000000002</v>
      </c>
      <c r="AQ22" s="63">
        <f t="shared" si="16"/>
        <v>1980.84</v>
      </c>
      <c r="AR22" s="63">
        <f t="shared" si="16"/>
        <v>1877.84</v>
      </c>
      <c r="AS22" s="63">
        <f t="shared" si="16"/>
        <v>2012.24</v>
      </c>
      <c r="AT22" s="63">
        <f t="shared" si="16"/>
        <v>1638.5400000000002</v>
      </c>
      <c r="AU22" s="63">
        <f t="shared" si="16"/>
        <v>1648.54</v>
      </c>
      <c r="AV22" s="63">
        <f t="shared" si="16"/>
        <v>1727.8400000000001</v>
      </c>
      <c r="AW22" s="63">
        <f t="shared" si="16"/>
        <v>1651.94</v>
      </c>
      <c r="AX22" s="63">
        <f t="shared" si="16"/>
        <v>1748.14</v>
      </c>
      <c r="AY22" s="63">
        <f t="shared" si="16"/>
        <v>1744.54</v>
      </c>
      <c r="AZ22" s="63">
        <f t="shared" si="16"/>
        <v>1742.54</v>
      </c>
      <c r="BA22" s="63">
        <f t="shared" si="16"/>
        <v>1753.5400000000002</v>
      </c>
      <c r="BB22" s="63">
        <f t="shared" si="16"/>
        <v>1763.54</v>
      </c>
      <c r="BC22" s="63">
        <f t="shared" si="16"/>
        <v>1713.6400000000003</v>
      </c>
      <c r="BD22" s="63">
        <f t="shared" si="16"/>
        <v>1580.8400000000001</v>
      </c>
      <c r="BE22" s="63">
        <f t="shared" si="16"/>
        <v>1624.64</v>
      </c>
      <c r="BF22" s="63">
        <f t="shared" si="16"/>
        <v>1458.5</v>
      </c>
      <c r="BG22" s="63">
        <f t="shared" si="16"/>
        <v>1596.7589999999998</v>
      </c>
      <c r="BH22" s="63">
        <f t="shared" si="16"/>
        <v>1537.4589999999998</v>
      </c>
      <c r="BI22" s="63">
        <f t="shared" si="16"/>
        <v>1410.3589999999999</v>
      </c>
      <c r="BJ22" s="63">
        <f t="shared" si="16"/>
        <v>1310.559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 t="s">
        <v>319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0</v>
      </c>
      <c r="AN23" s="63">
        <f t="shared" si="17"/>
        <v>-282</v>
      </c>
      <c r="AO23" s="63">
        <f t="shared" si="17"/>
        <v>-281</v>
      </c>
      <c r="AP23" s="63">
        <f t="shared" si="17"/>
        <v>-292</v>
      </c>
      <c r="AQ23" s="63">
        <f t="shared" si="17"/>
        <v>-290</v>
      </c>
      <c r="AR23" s="63">
        <f t="shared" si="17"/>
        <v>-295</v>
      </c>
      <c r="AS23" s="63">
        <f>I110*-1</f>
        <v>-292</v>
      </c>
      <c r="AT23" s="63">
        <f>K110*-1</f>
        <v>0</v>
      </c>
      <c r="AU23" s="63">
        <f t="shared" ref="AU23:BD23" si="18">M110*-1</f>
        <v>0</v>
      </c>
      <c r="AV23" s="63">
        <f t="shared" si="18"/>
        <v>0</v>
      </c>
      <c r="AW23" s="63">
        <f t="shared" si="18"/>
        <v>0</v>
      </c>
      <c r="AX23" s="63">
        <f t="shared" si="18"/>
        <v>-108</v>
      </c>
      <c r="AY23" s="63">
        <f t="shared" si="18"/>
        <v>-19</v>
      </c>
      <c r="AZ23" s="63">
        <f t="shared" si="18"/>
        <v>-15</v>
      </c>
      <c r="BA23" s="63">
        <f t="shared" si="18"/>
        <v>0</v>
      </c>
      <c r="BB23" s="63">
        <f t="shared" si="18"/>
        <v>-15</v>
      </c>
      <c r="BC23" s="63">
        <f t="shared" si="18"/>
        <v>-5</v>
      </c>
      <c r="BD23" s="63">
        <f t="shared" si="18"/>
        <v>-26</v>
      </c>
      <c r="BE23" s="63">
        <f>X110*-1</f>
        <v>-21</v>
      </c>
      <c r="BF23" s="63">
        <f>Z110*-1</f>
        <v>-119</v>
      </c>
      <c r="BG23" s="63">
        <f>AB110*-1</f>
        <v>-116</v>
      </c>
      <c r="BH23" s="63">
        <f>AD110*-1</f>
        <v>-125.1</v>
      </c>
      <c r="BI23" s="63">
        <f>AE110*-1</f>
        <v>-145</v>
      </c>
      <c r="BJ23" s="63">
        <f>AF110*-1</f>
        <v>-108.1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 t="s">
        <v>316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1838.24</v>
      </c>
      <c r="AN24" s="63">
        <f t="shared" si="19"/>
        <v>1814.2400000000002</v>
      </c>
      <c r="AO24" s="63">
        <f t="shared" si="19"/>
        <v>1808.7399999999998</v>
      </c>
      <c r="AP24" s="63">
        <f t="shared" si="19"/>
        <v>1731.7400000000002</v>
      </c>
      <c r="AQ24" s="63">
        <f t="shared" si="19"/>
        <v>1690.84</v>
      </c>
      <c r="AR24" s="63">
        <f t="shared" si="19"/>
        <v>1582.84</v>
      </c>
      <c r="AS24" s="63">
        <f t="shared" si="19"/>
        <v>1720.24</v>
      </c>
      <c r="AT24" s="63">
        <f t="shared" si="19"/>
        <v>1638.5400000000002</v>
      </c>
      <c r="AU24" s="63">
        <f t="shared" si="19"/>
        <v>1648.54</v>
      </c>
      <c r="AV24" s="63">
        <f t="shared" si="19"/>
        <v>1727.8400000000001</v>
      </c>
      <c r="AW24" s="63">
        <f t="shared" si="19"/>
        <v>1651.94</v>
      </c>
      <c r="AX24" s="63">
        <f t="shared" si="19"/>
        <v>1640.14</v>
      </c>
      <c r="AY24" s="63">
        <f t="shared" si="19"/>
        <v>1725.54</v>
      </c>
      <c r="AZ24" s="63">
        <f t="shared" si="19"/>
        <v>1727.54</v>
      </c>
      <c r="BA24" s="63">
        <f t="shared" si="19"/>
        <v>1753.5400000000002</v>
      </c>
      <c r="BB24" s="63">
        <f t="shared" si="19"/>
        <v>1748.54</v>
      </c>
      <c r="BC24" s="63">
        <f t="shared" si="19"/>
        <v>1708.6400000000003</v>
      </c>
      <c r="BD24" s="63">
        <f t="shared" si="19"/>
        <v>1554.8400000000001</v>
      </c>
      <c r="BE24" s="63">
        <f t="shared" si="19"/>
        <v>1603.64</v>
      </c>
      <c r="BF24" s="63">
        <f t="shared" si="19"/>
        <v>1339.5</v>
      </c>
      <c r="BG24" s="63">
        <f t="shared" si="19"/>
        <v>1480.7589999999998</v>
      </c>
      <c r="BH24" s="63">
        <f t="shared" si="19"/>
        <v>1412.3589999999999</v>
      </c>
      <c r="BI24" s="63">
        <f t="shared" si="19"/>
        <v>1265.3589999999999</v>
      </c>
      <c r="BJ24" s="63">
        <f t="shared" si="19"/>
        <v>1202.4590000000001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</v>
      </c>
      <c r="C25" s="46">
        <v>15</v>
      </c>
      <c r="D25" s="46">
        <v>15</v>
      </c>
      <c r="E25" s="46">
        <v>15</v>
      </c>
      <c r="F25" s="46">
        <v>15</v>
      </c>
      <c r="G25" s="46">
        <v>15</v>
      </c>
      <c r="H25" s="46">
        <v>15</v>
      </c>
      <c r="I25" s="46">
        <v>15</v>
      </c>
      <c r="J25" s="46">
        <v>15</v>
      </c>
      <c r="K25" s="46">
        <v>15</v>
      </c>
      <c r="L25" s="46">
        <v>15</v>
      </c>
      <c r="M25" s="46">
        <v>15</v>
      </c>
      <c r="N25" s="46">
        <v>15</v>
      </c>
      <c r="O25" s="46">
        <v>15</v>
      </c>
      <c r="P25" s="46">
        <v>15</v>
      </c>
      <c r="Q25" s="46">
        <v>15</v>
      </c>
      <c r="R25" s="46">
        <v>13.4</v>
      </c>
      <c r="S25" s="46">
        <v>13.4</v>
      </c>
      <c r="T25" s="46">
        <v>13.4</v>
      </c>
      <c r="U25" s="46">
        <v>13.4</v>
      </c>
      <c r="V25" s="46">
        <v>13.4</v>
      </c>
      <c r="W25" s="46" t="s">
        <v>318</v>
      </c>
      <c r="X25" s="46">
        <v>13.4</v>
      </c>
      <c r="Y25" s="46">
        <v>13.4</v>
      </c>
      <c r="Z25" s="46">
        <v>13.4</v>
      </c>
      <c r="AA25" s="46">
        <v>13.4</v>
      </c>
      <c r="AB25" s="46">
        <v>13.4</v>
      </c>
      <c r="AC25" s="46">
        <v>13.4</v>
      </c>
      <c r="AD25" s="46">
        <v>13.4</v>
      </c>
      <c r="AE25" s="46">
        <v>13.4</v>
      </c>
      <c r="AF25" s="46">
        <v>13.4</v>
      </c>
      <c r="AG25" s="61">
        <v>30</v>
      </c>
      <c r="AH25" s="48">
        <f t="shared" si="2"/>
        <v>15</v>
      </c>
      <c r="AI25" s="49">
        <f t="shared" si="3"/>
        <v>13.4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 t="s">
        <v>318</v>
      </c>
      <c r="X26" s="46">
        <v>11.5</v>
      </c>
      <c r="Y26" s="46">
        <v>11.5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13.5</v>
      </c>
      <c r="C27" s="46">
        <v>13.5</v>
      </c>
      <c r="D27" s="46">
        <v>13.5</v>
      </c>
      <c r="E27" s="46">
        <v>13.5</v>
      </c>
      <c r="F27" s="46">
        <v>13.5</v>
      </c>
      <c r="G27" s="46">
        <v>13.5</v>
      </c>
      <c r="H27" s="46">
        <v>13.5</v>
      </c>
      <c r="I27" s="46">
        <v>13.5</v>
      </c>
      <c r="J27" s="46">
        <v>13.5</v>
      </c>
      <c r="K27" s="46">
        <v>13.5</v>
      </c>
      <c r="L27" s="46">
        <v>13.5</v>
      </c>
      <c r="M27" s="46">
        <v>13.5</v>
      </c>
      <c r="N27" s="46">
        <v>13.5</v>
      </c>
      <c r="O27" s="46">
        <v>13.5</v>
      </c>
      <c r="P27" s="46">
        <v>13.5</v>
      </c>
      <c r="Q27" s="46">
        <v>13.5</v>
      </c>
      <c r="R27" s="46">
        <v>10.7</v>
      </c>
      <c r="S27" s="46">
        <v>10.7</v>
      </c>
      <c r="T27" s="46">
        <v>10.7</v>
      </c>
      <c r="U27" s="46">
        <v>10.7</v>
      </c>
      <c r="V27" s="46">
        <v>10.7</v>
      </c>
      <c r="W27" s="46" t="s">
        <v>313</v>
      </c>
      <c r="X27" s="46">
        <v>10.7</v>
      </c>
      <c r="Y27" s="46">
        <v>10.7</v>
      </c>
      <c r="Z27" s="46">
        <v>10.7</v>
      </c>
      <c r="AA27" s="46">
        <v>10.7</v>
      </c>
      <c r="AB27" s="46">
        <v>10.7</v>
      </c>
      <c r="AC27" s="46">
        <v>10.7</v>
      </c>
      <c r="AD27" s="46">
        <v>10.7</v>
      </c>
      <c r="AE27" s="46">
        <v>10.7</v>
      </c>
      <c r="AF27" s="46">
        <v>10.7</v>
      </c>
      <c r="AG27" s="50">
        <v>28</v>
      </c>
      <c r="AH27" s="48">
        <f t="shared" si="2"/>
        <v>13.5</v>
      </c>
      <c r="AI27" s="49">
        <f t="shared" si="3"/>
        <v>10.7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12</v>
      </c>
      <c r="C28" s="46">
        <v>12</v>
      </c>
      <c r="D28" s="46">
        <v>12</v>
      </c>
      <c r="E28" s="46">
        <v>12</v>
      </c>
      <c r="F28" s="46">
        <v>13.8</v>
      </c>
      <c r="G28" s="46">
        <v>13.8</v>
      </c>
      <c r="H28" s="46">
        <v>13.8</v>
      </c>
      <c r="I28" s="46">
        <v>13.8</v>
      </c>
      <c r="J28" s="46">
        <v>13.8</v>
      </c>
      <c r="K28" s="46">
        <v>16.399999999999999</v>
      </c>
      <c r="L28" s="46">
        <v>16.399999999999999</v>
      </c>
      <c r="M28" s="46">
        <v>16.399999999999999</v>
      </c>
      <c r="N28" s="46">
        <v>16.399999999999999</v>
      </c>
      <c r="O28" s="46">
        <v>16.399999999999999</v>
      </c>
      <c r="P28" s="46">
        <v>16.399999999999999</v>
      </c>
      <c r="Q28" s="46">
        <v>16.399999999999999</v>
      </c>
      <c r="R28" s="46">
        <v>10.9</v>
      </c>
      <c r="S28" s="46">
        <v>10.9</v>
      </c>
      <c r="T28" s="46">
        <v>10.9</v>
      </c>
      <c r="U28" s="46">
        <v>10.9</v>
      </c>
      <c r="V28" s="46">
        <v>10.9</v>
      </c>
      <c r="W28" s="46" t="s">
        <v>312</v>
      </c>
      <c r="X28" s="46">
        <v>10.9</v>
      </c>
      <c r="Y28" s="46">
        <v>10.9</v>
      </c>
      <c r="Z28" s="46">
        <v>10.9</v>
      </c>
      <c r="AA28" s="46">
        <v>10.9</v>
      </c>
      <c r="AB28" s="46">
        <v>10.9</v>
      </c>
      <c r="AC28" s="46">
        <v>10.9</v>
      </c>
      <c r="AD28" s="46">
        <v>10.9</v>
      </c>
      <c r="AE28" s="46">
        <v>10.9</v>
      </c>
      <c r="AF28" s="46">
        <v>10.9</v>
      </c>
      <c r="AG28" s="61">
        <v>30</v>
      </c>
      <c r="AH28" s="48">
        <f t="shared" si="2"/>
        <v>16.399999999999999</v>
      </c>
      <c r="AI28" s="49">
        <f t="shared" si="3"/>
        <v>10.9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14.7</v>
      </c>
      <c r="C29" s="46">
        <v>14.7</v>
      </c>
      <c r="D29" s="46">
        <v>14.7</v>
      </c>
      <c r="E29" s="46">
        <v>16.8</v>
      </c>
      <c r="F29" s="46">
        <v>13</v>
      </c>
      <c r="G29" s="46">
        <v>13</v>
      </c>
      <c r="H29" s="46">
        <v>13</v>
      </c>
      <c r="I29" s="46">
        <v>13</v>
      </c>
      <c r="J29" s="46">
        <v>13</v>
      </c>
      <c r="K29" s="46">
        <v>15.6</v>
      </c>
      <c r="L29" s="46">
        <v>15.6</v>
      </c>
      <c r="M29" s="46">
        <v>15.6</v>
      </c>
      <c r="N29" s="46">
        <v>15.6</v>
      </c>
      <c r="O29" s="46">
        <v>15.6</v>
      </c>
      <c r="P29" s="46">
        <v>15.6</v>
      </c>
      <c r="Q29" s="46">
        <v>15.6</v>
      </c>
      <c r="R29" s="46">
        <v>16.600000000000001</v>
      </c>
      <c r="S29" s="46">
        <v>16.600000000000001</v>
      </c>
      <c r="T29" s="46">
        <v>16.600000000000001</v>
      </c>
      <c r="U29" s="46">
        <v>16.600000000000001</v>
      </c>
      <c r="V29" s="46">
        <v>16.600000000000001</v>
      </c>
      <c r="W29" s="46" t="s">
        <v>320</v>
      </c>
      <c r="X29" s="46">
        <v>16.600000000000001</v>
      </c>
      <c r="Y29" s="46">
        <v>16.600000000000001</v>
      </c>
      <c r="Z29" s="46">
        <v>16.600000000000001</v>
      </c>
      <c r="AA29" s="46">
        <v>16.600000000000001</v>
      </c>
      <c r="AB29" s="46">
        <v>16.600000000000001</v>
      </c>
      <c r="AC29" s="46">
        <v>16.600000000000001</v>
      </c>
      <c r="AD29" s="46">
        <v>16.600000000000001</v>
      </c>
      <c r="AE29" s="46">
        <v>16.600000000000001</v>
      </c>
      <c r="AF29" s="46">
        <v>16.600000000000001</v>
      </c>
      <c r="AG29" s="50">
        <v>25</v>
      </c>
      <c r="AH29" s="48">
        <f t="shared" si="2"/>
        <v>16.8</v>
      </c>
      <c r="AI29" s="49">
        <f t="shared" si="3"/>
        <v>13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7.8</v>
      </c>
      <c r="C30" s="46">
        <v>7.8</v>
      </c>
      <c r="D30" s="46">
        <v>7.8</v>
      </c>
      <c r="E30" s="46">
        <v>7.8</v>
      </c>
      <c r="F30" s="46">
        <v>7.8</v>
      </c>
      <c r="G30" s="46">
        <v>7.8</v>
      </c>
      <c r="H30" s="46">
        <v>7.8</v>
      </c>
      <c r="I30" s="46">
        <v>7.8</v>
      </c>
      <c r="J30" s="46">
        <v>7.8</v>
      </c>
      <c r="K30" s="46">
        <v>7.8</v>
      </c>
      <c r="L30" s="46">
        <v>7.8</v>
      </c>
      <c r="M30" s="46">
        <v>7.8</v>
      </c>
      <c r="N30" s="46">
        <v>7.8</v>
      </c>
      <c r="O30" s="46">
        <v>7.8</v>
      </c>
      <c r="P30" s="46">
        <v>7.8</v>
      </c>
      <c r="Q30" s="46">
        <v>7.8</v>
      </c>
      <c r="R30" s="46">
        <v>7.8</v>
      </c>
      <c r="S30" s="46">
        <v>7.8</v>
      </c>
      <c r="T30" s="46">
        <v>7.8</v>
      </c>
      <c r="U30" s="46">
        <v>7.8</v>
      </c>
      <c r="V30" s="46">
        <v>7.8</v>
      </c>
      <c r="W30" s="46" t="s">
        <v>321</v>
      </c>
      <c r="X30" s="46">
        <v>7.8</v>
      </c>
      <c r="Y30" s="46">
        <v>7.8</v>
      </c>
      <c r="Z30" s="46">
        <v>7.8</v>
      </c>
      <c r="AA30" s="46">
        <v>7.8</v>
      </c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7.8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/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20.9</v>
      </c>
      <c r="C32" s="46">
        <v>20.9</v>
      </c>
      <c r="D32" s="46">
        <v>20.9</v>
      </c>
      <c r="E32" s="46">
        <v>16.899999999999999</v>
      </c>
      <c r="F32" s="46">
        <v>18.7</v>
      </c>
      <c r="G32" s="46">
        <v>18.7</v>
      </c>
      <c r="H32" s="46">
        <v>18.7</v>
      </c>
      <c r="I32" s="46">
        <v>18.7</v>
      </c>
      <c r="J32" s="46">
        <v>18.7</v>
      </c>
      <c r="K32" s="46">
        <v>18.7</v>
      </c>
      <c r="L32" s="46">
        <v>18.7</v>
      </c>
      <c r="M32" s="46">
        <v>18.7</v>
      </c>
      <c r="N32" s="46">
        <v>18.7</v>
      </c>
      <c r="O32" s="46">
        <v>18.7</v>
      </c>
      <c r="P32" s="46">
        <v>18.7</v>
      </c>
      <c r="Q32" s="46">
        <v>18.7</v>
      </c>
      <c r="R32" s="46">
        <v>14.1</v>
      </c>
      <c r="S32" s="46">
        <v>14.1</v>
      </c>
      <c r="T32" s="46">
        <v>14.1</v>
      </c>
      <c r="U32" s="46">
        <v>14.1</v>
      </c>
      <c r="V32" s="46">
        <v>14.1</v>
      </c>
      <c r="W32" s="46"/>
      <c r="X32" s="46">
        <v>14.1</v>
      </c>
      <c r="Y32" s="46">
        <v>14.1</v>
      </c>
      <c r="Z32" s="46">
        <v>14.1</v>
      </c>
      <c r="AA32" s="46">
        <v>14.1</v>
      </c>
      <c r="AB32" s="46">
        <v>14.1</v>
      </c>
      <c r="AC32" s="46">
        <v>14.1</v>
      </c>
      <c r="AD32" s="46">
        <v>14.1</v>
      </c>
      <c r="AE32" s="46">
        <v>14.1</v>
      </c>
      <c r="AF32" s="46">
        <v>14.1</v>
      </c>
      <c r="AG32" s="50">
        <v>25</v>
      </c>
      <c r="AH32" s="48">
        <f t="shared" si="2"/>
        <v>20.9</v>
      </c>
      <c r="AI32" s="49">
        <f t="shared" si="3"/>
        <v>14.1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6.6</v>
      </c>
      <c r="C33" s="46">
        <v>6.6</v>
      </c>
      <c r="D33" s="46">
        <v>6.6</v>
      </c>
      <c r="E33" s="46">
        <v>6.6</v>
      </c>
      <c r="F33" s="46">
        <v>6.6</v>
      </c>
      <c r="G33" s="46">
        <v>6.6</v>
      </c>
      <c r="H33" s="46">
        <v>6.6</v>
      </c>
      <c r="I33" s="46">
        <v>6.6</v>
      </c>
      <c r="J33" s="46">
        <v>6.6</v>
      </c>
      <c r="K33" s="46">
        <v>6.6</v>
      </c>
      <c r="L33" s="46">
        <v>6.6</v>
      </c>
      <c r="M33" s="46">
        <v>6.6</v>
      </c>
      <c r="N33" s="46">
        <v>6.6</v>
      </c>
      <c r="O33" s="46">
        <v>6.6</v>
      </c>
      <c r="P33" s="46">
        <v>6.6</v>
      </c>
      <c r="Q33" s="46">
        <v>6.6</v>
      </c>
      <c r="R33" s="46">
        <v>6.9</v>
      </c>
      <c r="S33" s="46">
        <v>6.9</v>
      </c>
      <c r="T33" s="46">
        <v>6.9</v>
      </c>
      <c r="U33" s="46">
        <v>6.9</v>
      </c>
      <c r="V33" s="46">
        <v>6.9</v>
      </c>
      <c r="W33" s="46"/>
      <c r="X33" s="46">
        <v>6.9</v>
      </c>
      <c r="Y33" s="46">
        <v>6.9</v>
      </c>
      <c r="Z33" s="46">
        <v>6.9</v>
      </c>
      <c r="AA33" s="46">
        <v>6.9</v>
      </c>
      <c r="AB33" s="46">
        <v>6.9</v>
      </c>
      <c r="AC33" s="46">
        <v>6.9</v>
      </c>
      <c r="AD33" s="46">
        <v>6.9</v>
      </c>
      <c r="AE33" s="46">
        <v>6.9</v>
      </c>
      <c r="AF33" s="46">
        <v>6.9</v>
      </c>
      <c r="AG33" s="50">
        <v>23.5</v>
      </c>
      <c r="AH33" s="48">
        <f t="shared" si="2"/>
        <v>6.9</v>
      </c>
      <c r="AI33" s="49">
        <f t="shared" si="3"/>
        <v>6.6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/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/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/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10</v>
      </c>
      <c r="C37" s="46">
        <v>10</v>
      </c>
      <c r="D37" s="46">
        <v>10</v>
      </c>
      <c r="E37" s="46">
        <v>10</v>
      </c>
      <c r="F37" s="46">
        <v>10</v>
      </c>
      <c r="G37" s="46">
        <v>10</v>
      </c>
      <c r="H37" s="46">
        <v>10</v>
      </c>
      <c r="I37" s="46">
        <v>10</v>
      </c>
      <c r="J37" s="46">
        <v>10</v>
      </c>
      <c r="K37" s="46">
        <v>9.6</v>
      </c>
      <c r="L37" s="46">
        <v>9.6</v>
      </c>
      <c r="M37" s="46">
        <v>9.6</v>
      </c>
      <c r="N37" s="46">
        <v>9.6</v>
      </c>
      <c r="O37" s="46">
        <v>9.6</v>
      </c>
      <c r="P37" s="46">
        <v>9.6</v>
      </c>
      <c r="Q37" s="46">
        <v>9.6</v>
      </c>
      <c r="R37" s="46">
        <v>6.1</v>
      </c>
      <c r="S37" s="46">
        <v>6.1</v>
      </c>
      <c r="T37" s="46">
        <v>6.1</v>
      </c>
      <c r="U37" s="46">
        <v>6.1</v>
      </c>
      <c r="V37" s="46">
        <v>6.1</v>
      </c>
      <c r="W37" s="46"/>
      <c r="X37" s="46">
        <v>6.1</v>
      </c>
      <c r="Y37" s="46">
        <v>6.1</v>
      </c>
      <c r="Z37" s="46">
        <v>6.1</v>
      </c>
      <c r="AA37" s="46">
        <v>6.1</v>
      </c>
      <c r="AB37" s="46">
        <v>6.1</v>
      </c>
      <c r="AC37" s="46">
        <v>6.1</v>
      </c>
      <c r="AD37" s="46">
        <v>6.1</v>
      </c>
      <c r="AE37" s="46">
        <v>6.1</v>
      </c>
      <c r="AF37" s="46">
        <v>6.1</v>
      </c>
      <c r="AG37" s="50">
        <v>22</v>
      </c>
      <c r="AH37" s="48">
        <f t="shared" si="2"/>
        <v>10</v>
      </c>
      <c r="AI37" s="49">
        <f t="shared" si="3"/>
        <v>6.1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10.8</v>
      </c>
      <c r="S38" s="46">
        <v>10.8</v>
      </c>
      <c r="T38" s="46">
        <v>10.8</v>
      </c>
      <c r="U38" s="46">
        <v>10.8</v>
      </c>
      <c r="V38" s="46">
        <v>10.8</v>
      </c>
      <c r="W38" s="46"/>
      <c r="X38" s="46">
        <v>10.8</v>
      </c>
      <c r="Y38" s="46">
        <v>10.8</v>
      </c>
      <c r="Z38" s="46">
        <v>10.8</v>
      </c>
      <c r="AA38" s="46">
        <v>10.8</v>
      </c>
      <c r="AB38" s="46">
        <v>10.8</v>
      </c>
      <c r="AC38" s="46">
        <v>10.8</v>
      </c>
      <c r="AD38" s="46">
        <v>10.8</v>
      </c>
      <c r="AE38" s="46">
        <v>10.8</v>
      </c>
      <c r="AF38" s="46">
        <v>10.8</v>
      </c>
      <c r="AG38" s="50">
        <v>20</v>
      </c>
      <c r="AH38" s="48">
        <f t="shared" si="2"/>
        <v>20</v>
      </c>
      <c r="AI38" s="49">
        <f t="shared" si="3"/>
        <v>10.8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/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14.7</v>
      </c>
      <c r="C40" s="46">
        <v>14.7</v>
      </c>
      <c r="D40" s="46">
        <v>14.7</v>
      </c>
      <c r="E40" s="46">
        <v>14.7</v>
      </c>
      <c r="F40" s="46">
        <v>14.7</v>
      </c>
      <c r="G40" s="46">
        <v>14.7</v>
      </c>
      <c r="H40" s="46">
        <v>14.7</v>
      </c>
      <c r="I40" s="46">
        <v>14.7</v>
      </c>
      <c r="J40" s="46">
        <v>14.7</v>
      </c>
      <c r="K40" s="46">
        <v>14.7</v>
      </c>
      <c r="L40" s="46">
        <v>14.7</v>
      </c>
      <c r="M40" s="46">
        <v>14.7</v>
      </c>
      <c r="N40" s="46">
        <v>14.7</v>
      </c>
      <c r="O40" s="46">
        <v>14.7</v>
      </c>
      <c r="P40" s="46">
        <v>14.7</v>
      </c>
      <c r="Q40" s="46">
        <v>14.7</v>
      </c>
      <c r="R40" s="46">
        <v>12.1</v>
      </c>
      <c r="S40" s="46">
        <v>12.1</v>
      </c>
      <c r="T40" s="46">
        <v>12.1</v>
      </c>
      <c r="U40" s="46">
        <v>12.1</v>
      </c>
      <c r="V40" s="46">
        <v>12.1</v>
      </c>
      <c r="W40" s="46"/>
      <c r="X40" s="46">
        <v>12.1</v>
      </c>
      <c r="Y40" s="46">
        <v>12.1</v>
      </c>
      <c r="Z40" s="46">
        <v>12.1</v>
      </c>
      <c r="AA40" s="46">
        <v>12.1</v>
      </c>
      <c r="AB40" s="46">
        <v>12.1</v>
      </c>
      <c r="AC40" s="46">
        <v>12.1</v>
      </c>
      <c r="AD40" s="46">
        <v>12.1</v>
      </c>
      <c r="AE40" s="46">
        <v>12.1</v>
      </c>
      <c r="AF40" s="46">
        <v>12.1</v>
      </c>
      <c r="AG40" s="50">
        <v>18</v>
      </c>
      <c r="AH40" s="48">
        <f t="shared" si="2"/>
        <v>14.7</v>
      </c>
      <c r="AI40" s="49">
        <f t="shared" si="3"/>
        <v>12.1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6.8</v>
      </c>
      <c r="C41" s="46">
        <v>6.8</v>
      </c>
      <c r="D41" s="46">
        <v>6.8</v>
      </c>
      <c r="E41" s="46">
        <v>6.8</v>
      </c>
      <c r="F41" s="46">
        <v>6.8</v>
      </c>
      <c r="G41" s="46">
        <v>6.8</v>
      </c>
      <c r="H41" s="46">
        <v>6.8</v>
      </c>
      <c r="I41" s="46">
        <v>6.8</v>
      </c>
      <c r="J41" s="46">
        <v>6.8</v>
      </c>
      <c r="K41" s="46">
        <v>6.8</v>
      </c>
      <c r="L41" s="46">
        <v>6.8</v>
      </c>
      <c r="M41" s="46">
        <v>6.8</v>
      </c>
      <c r="N41" s="46">
        <v>6.8</v>
      </c>
      <c r="O41" s="46">
        <v>6.8</v>
      </c>
      <c r="P41" s="46">
        <v>6.8</v>
      </c>
      <c r="Q41" s="46">
        <v>6.8</v>
      </c>
      <c r="R41" s="46">
        <v>6.8</v>
      </c>
      <c r="S41" s="46">
        <v>6.8</v>
      </c>
      <c r="T41" s="46">
        <v>6.8</v>
      </c>
      <c r="U41" s="46">
        <v>6.8</v>
      </c>
      <c r="V41" s="46">
        <v>6.8</v>
      </c>
      <c r="W41" s="46"/>
      <c r="X41" s="46">
        <v>6.8</v>
      </c>
      <c r="Y41" s="46">
        <v>6.8</v>
      </c>
      <c r="Z41" s="46">
        <v>6.8</v>
      </c>
      <c r="AA41" s="46">
        <v>6.8</v>
      </c>
      <c r="AB41" s="46">
        <v>6.8</v>
      </c>
      <c r="AC41" s="46">
        <v>6.8</v>
      </c>
      <c r="AD41" s="46">
        <v>6.8</v>
      </c>
      <c r="AE41" s="46">
        <v>6.8</v>
      </c>
      <c r="AF41" s="46">
        <v>6.8</v>
      </c>
      <c r="AG41" s="50">
        <v>15.33</v>
      </c>
      <c r="AH41" s="48">
        <f t="shared" si="2"/>
        <v>6.8</v>
      </c>
      <c r="AI41" s="49">
        <f t="shared" si="3"/>
        <v>6.8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/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/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/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3.5</v>
      </c>
      <c r="C46" s="46">
        <v>3.5</v>
      </c>
      <c r="D46" s="46">
        <v>3.5</v>
      </c>
      <c r="E46" s="46">
        <v>3.5</v>
      </c>
      <c r="F46" s="46">
        <v>3.5</v>
      </c>
      <c r="G46" s="46">
        <v>3.5</v>
      </c>
      <c r="H46" s="46">
        <v>3.5</v>
      </c>
      <c r="I46" s="46">
        <v>3.5</v>
      </c>
      <c r="J46" s="46">
        <v>3.5</v>
      </c>
      <c r="K46" s="46">
        <v>3.5</v>
      </c>
      <c r="L46" s="46">
        <v>3.5</v>
      </c>
      <c r="M46" s="46">
        <v>3.5</v>
      </c>
      <c r="N46" s="46">
        <v>3.5</v>
      </c>
      <c r="O46" s="46">
        <v>3.5</v>
      </c>
      <c r="P46" s="46">
        <v>3.5</v>
      </c>
      <c r="Q46" s="46">
        <v>3.5</v>
      </c>
      <c r="R46" s="46">
        <v>3.5</v>
      </c>
      <c r="S46" s="46">
        <v>3.5</v>
      </c>
      <c r="T46" s="46">
        <v>3.5</v>
      </c>
      <c r="U46" s="46">
        <v>3.5</v>
      </c>
      <c r="V46" s="46">
        <v>3.5</v>
      </c>
      <c r="W46" s="46"/>
      <c r="X46" s="46">
        <v>3.5</v>
      </c>
      <c r="Y46" s="46">
        <v>3.5</v>
      </c>
      <c r="Z46" s="46">
        <v>3.5</v>
      </c>
      <c r="AA46" s="46">
        <v>3.5</v>
      </c>
      <c r="AB46" s="46">
        <v>3.5</v>
      </c>
      <c r="AC46" s="46">
        <v>3.5</v>
      </c>
      <c r="AD46" s="46">
        <v>3.5</v>
      </c>
      <c r="AE46" s="46">
        <v>3.5</v>
      </c>
      <c r="AF46" s="46">
        <v>3.5</v>
      </c>
      <c r="AG46" s="50">
        <v>14</v>
      </c>
      <c r="AH46" s="48">
        <f t="shared" si="2"/>
        <v>3.5</v>
      </c>
      <c r="AI46" s="49">
        <f t="shared" si="3"/>
        <v>3.5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/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2</v>
      </c>
      <c r="C48" s="46">
        <v>2</v>
      </c>
      <c r="D48" s="46">
        <v>2</v>
      </c>
      <c r="E48" s="46">
        <v>2</v>
      </c>
      <c r="F48" s="46">
        <v>2</v>
      </c>
      <c r="G48" s="46">
        <v>2</v>
      </c>
      <c r="H48" s="46">
        <v>2</v>
      </c>
      <c r="I48" s="46">
        <v>2</v>
      </c>
      <c r="J48" s="46">
        <v>2</v>
      </c>
      <c r="K48" s="46">
        <v>2</v>
      </c>
      <c r="L48" s="46">
        <v>2</v>
      </c>
      <c r="M48" s="46">
        <v>2</v>
      </c>
      <c r="N48" s="46">
        <v>2</v>
      </c>
      <c r="O48" s="46">
        <v>2</v>
      </c>
      <c r="P48" s="46">
        <v>2</v>
      </c>
      <c r="Q48" s="46">
        <v>2</v>
      </c>
      <c r="R48" s="46">
        <v>2</v>
      </c>
      <c r="S48" s="46">
        <v>2</v>
      </c>
      <c r="T48" s="46">
        <v>2</v>
      </c>
      <c r="U48" s="46">
        <v>2</v>
      </c>
      <c r="V48" s="46">
        <v>2</v>
      </c>
      <c r="W48" s="46"/>
      <c r="X48" s="46">
        <v>2</v>
      </c>
      <c r="Y48" s="46">
        <v>2</v>
      </c>
      <c r="Z48" s="46">
        <v>2</v>
      </c>
      <c r="AA48" s="46">
        <v>2</v>
      </c>
      <c r="AB48" s="46">
        <v>2</v>
      </c>
      <c r="AC48" s="46">
        <v>2</v>
      </c>
      <c r="AD48" s="46">
        <v>2</v>
      </c>
      <c r="AE48" s="46">
        <v>2</v>
      </c>
      <c r="AF48" s="46">
        <v>2</v>
      </c>
      <c r="AG48" s="50">
        <v>13</v>
      </c>
      <c r="AH48" s="48">
        <f t="shared" si="2"/>
        <v>2</v>
      </c>
      <c r="AI48" s="49">
        <f t="shared" si="3"/>
        <v>2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6.5</v>
      </c>
      <c r="C49" s="46">
        <v>6.5</v>
      </c>
      <c r="D49" s="46">
        <v>6.5</v>
      </c>
      <c r="E49" s="46">
        <v>6.5</v>
      </c>
      <c r="F49" s="46">
        <v>6.5</v>
      </c>
      <c r="G49" s="46">
        <v>6.5</v>
      </c>
      <c r="H49" s="46">
        <v>6.5</v>
      </c>
      <c r="I49" s="46">
        <v>6.5</v>
      </c>
      <c r="J49" s="46">
        <v>6.5</v>
      </c>
      <c r="K49" s="46">
        <v>6.5</v>
      </c>
      <c r="L49" s="46">
        <v>6.5</v>
      </c>
      <c r="M49" s="46">
        <v>6.5</v>
      </c>
      <c r="N49" s="46">
        <v>6.5</v>
      </c>
      <c r="O49" s="46">
        <v>6.5</v>
      </c>
      <c r="P49" s="46">
        <v>6.5</v>
      </c>
      <c r="Q49" s="46">
        <v>6.5</v>
      </c>
      <c r="R49" s="46">
        <v>6.5</v>
      </c>
      <c r="S49" s="46">
        <v>6.5</v>
      </c>
      <c r="T49" s="46">
        <v>6.5</v>
      </c>
      <c r="U49" s="46">
        <v>6.5</v>
      </c>
      <c r="V49" s="46">
        <v>6.5</v>
      </c>
      <c r="W49" s="46"/>
      <c r="X49" s="46">
        <v>6.5</v>
      </c>
      <c r="Y49" s="46">
        <v>6.5</v>
      </c>
      <c r="Z49" s="46">
        <v>6.5</v>
      </c>
      <c r="AA49" s="46">
        <v>6.5</v>
      </c>
      <c r="AB49" s="46">
        <v>6.5</v>
      </c>
      <c r="AC49" s="46">
        <v>6.5</v>
      </c>
      <c r="AD49" s="46">
        <v>6.5</v>
      </c>
      <c r="AE49" s="46">
        <v>6.5</v>
      </c>
      <c r="AF49" s="46">
        <v>6.5</v>
      </c>
      <c r="AG49" s="50">
        <v>12</v>
      </c>
      <c r="AH49" s="48">
        <f t="shared" si="2"/>
        <v>6.5</v>
      </c>
      <c r="AI49" s="49">
        <f t="shared" si="3"/>
        <v>6.5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/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/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/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/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/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1.9</v>
      </c>
      <c r="C55" s="46">
        <v>1.9</v>
      </c>
      <c r="D55" s="46">
        <v>1.9</v>
      </c>
      <c r="E55" s="46">
        <v>1.9</v>
      </c>
      <c r="F55" s="46">
        <v>1.9</v>
      </c>
      <c r="G55" s="46">
        <v>1.9</v>
      </c>
      <c r="H55" s="46">
        <v>1.9</v>
      </c>
      <c r="I55" s="46">
        <v>1.9</v>
      </c>
      <c r="J55" s="46">
        <v>1.9</v>
      </c>
      <c r="K55" s="46">
        <v>1.9</v>
      </c>
      <c r="L55" s="46">
        <v>1.9</v>
      </c>
      <c r="M55" s="46">
        <v>1.9</v>
      </c>
      <c r="N55" s="46">
        <v>1.9</v>
      </c>
      <c r="O55" s="46">
        <v>1.9</v>
      </c>
      <c r="P55" s="46">
        <v>1.9</v>
      </c>
      <c r="Q55" s="46">
        <v>1.9</v>
      </c>
      <c r="R55" s="46">
        <v>1.9</v>
      </c>
      <c r="S55" s="46">
        <v>1.9</v>
      </c>
      <c r="T55" s="46">
        <v>1.9</v>
      </c>
      <c r="U55" s="46">
        <v>1.9</v>
      </c>
      <c r="V55" s="46">
        <v>1.9</v>
      </c>
      <c r="W55" s="46"/>
      <c r="X55" s="46">
        <v>1.9</v>
      </c>
      <c r="Y55" s="46">
        <v>1.9</v>
      </c>
      <c r="Z55" s="46">
        <v>1.9</v>
      </c>
      <c r="AA55" s="46">
        <v>1.9</v>
      </c>
      <c r="AB55" s="46">
        <v>1.9</v>
      </c>
      <c r="AC55" s="46">
        <v>1.9</v>
      </c>
      <c r="AD55" s="46">
        <v>1.9</v>
      </c>
      <c r="AE55" s="46">
        <v>1.9</v>
      </c>
      <c r="AF55" s="46">
        <v>1.9</v>
      </c>
      <c r="AG55" s="66">
        <v>11</v>
      </c>
      <c r="AH55" s="48">
        <f t="shared" si="2"/>
        <v>1.9</v>
      </c>
      <c r="AI55" s="49">
        <f t="shared" si="3"/>
        <v>1.9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/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/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/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37.799999999999997</v>
      </c>
      <c r="C60" s="68">
        <v>37.799999999999997</v>
      </c>
      <c r="D60" s="68">
        <v>37.799999999999997</v>
      </c>
      <c r="E60" s="68">
        <v>41</v>
      </c>
      <c r="F60" s="68">
        <v>41</v>
      </c>
      <c r="G60" s="68">
        <v>41</v>
      </c>
      <c r="H60" s="68">
        <v>42</v>
      </c>
      <c r="I60" s="68">
        <v>48</v>
      </c>
      <c r="J60" s="68">
        <v>48</v>
      </c>
      <c r="K60" s="68">
        <v>40</v>
      </c>
      <c r="L60" s="68">
        <v>52</v>
      </c>
      <c r="M60" s="53">
        <f>37.9+27.8</f>
        <v>65.7</v>
      </c>
      <c r="N60" s="53">
        <f>26.5+14.2</f>
        <v>40.700000000000003</v>
      </c>
      <c r="O60" s="53">
        <v>40</v>
      </c>
      <c r="P60" s="53">
        <f>26.5+14.3</f>
        <v>40.799999999999997</v>
      </c>
      <c r="Q60" s="53">
        <f>20.4+13</f>
        <v>33.4</v>
      </c>
      <c r="R60" s="53">
        <f>11+18.7</f>
        <v>29.7</v>
      </c>
      <c r="S60" s="53">
        <v>38</v>
      </c>
      <c r="T60" s="53">
        <v>38</v>
      </c>
      <c r="U60" s="53">
        <v>58.4</v>
      </c>
      <c r="V60" s="53">
        <v>58.4</v>
      </c>
      <c r="W60" s="53"/>
      <c r="X60" s="53">
        <v>58.4</v>
      </c>
      <c r="Y60" s="53">
        <v>75</v>
      </c>
      <c r="Z60" s="53">
        <v>78.400000000000006</v>
      </c>
      <c r="AA60" s="68">
        <v>78.400000000000006</v>
      </c>
      <c r="AB60" s="68">
        <v>78.400000000000006</v>
      </c>
      <c r="AC60" s="68">
        <v>78.400000000000006</v>
      </c>
      <c r="AD60" s="68">
        <v>78.400000000000006</v>
      </c>
      <c r="AE60" s="68">
        <v>78.400000000000006</v>
      </c>
      <c r="AF60" s="68">
        <v>78.400000000000006</v>
      </c>
      <c r="AG60" s="66">
        <v>240</v>
      </c>
      <c r="AH60" s="48">
        <f t="shared" si="2"/>
        <v>78.400000000000006</v>
      </c>
      <c r="AI60" s="49">
        <f t="shared" si="3"/>
        <v>29.7</v>
      </c>
      <c r="AK60" s="51"/>
    </row>
    <row r="61" spans="1:88" ht="15.75" thickBot="1" x14ac:dyDescent="0.3">
      <c r="A61" s="70" t="s">
        <v>75</v>
      </c>
      <c r="B61" s="71">
        <f>SUM(B11:B59)</f>
        <v>783.39999999999986</v>
      </c>
      <c r="C61" s="71">
        <f t="shared" ref="C61:AG61" si="20">SUM(C11:C59)</f>
        <v>798.4</v>
      </c>
      <c r="D61" s="71">
        <f t="shared" si="20"/>
        <v>797.5</v>
      </c>
      <c r="E61" s="71">
        <f t="shared" si="20"/>
        <v>769.4</v>
      </c>
      <c r="F61" s="71">
        <f t="shared" si="20"/>
        <v>774.3</v>
      </c>
      <c r="G61" s="71">
        <f t="shared" si="20"/>
        <v>774.3</v>
      </c>
      <c r="H61" s="71">
        <f t="shared" si="20"/>
        <v>774.3</v>
      </c>
      <c r="I61" s="71">
        <f t="shared" si="20"/>
        <v>784.3</v>
      </c>
      <c r="J61" s="71">
        <f t="shared" si="20"/>
        <v>791.19999999999993</v>
      </c>
      <c r="K61" s="71">
        <f t="shared" si="20"/>
        <v>809.30000000000007</v>
      </c>
      <c r="L61" s="71">
        <f t="shared" si="20"/>
        <v>769.3</v>
      </c>
      <c r="M61" s="71">
        <f t="shared" si="20"/>
        <v>766.6</v>
      </c>
      <c r="N61" s="71">
        <f t="shared" si="20"/>
        <v>768.6</v>
      </c>
      <c r="O61" s="71">
        <f t="shared" si="20"/>
        <v>769</v>
      </c>
      <c r="P61" s="71">
        <f t="shared" si="20"/>
        <v>769</v>
      </c>
      <c r="Q61" s="71">
        <f t="shared" si="20"/>
        <v>767.6</v>
      </c>
      <c r="R61" s="71">
        <f t="shared" ref="R61" si="21">SUM(R11:R59)</f>
        <v>772.3</v>
      </c>
      <c r="S61" s="71">
        <f t="shared" si="20"/>
        <v>772.3</v>
      </c>
      <c r="T61" s="71">
        <f t="shared" si="20"/>
        <v>772.3</v>
      </c>
      <c r="U61" s="71">
        <f t="shared" si="20"/>
        <v>772.3</v>
      </c>
      <c r="V61" s="71">
        <f t="shared" si="20"/>
        <v>772.3</v>
      </c>
      <c r="W61" s="71">
        <f t="shared" si="20"/>
        <v>150</v>
      </c>
      <c r="X61" s="71">
        <f t="shared" si="20"/>
        <v>772.3</v>
      </c>
      <c r="Y61" s="71">
        <f t="shared" si="20"/>
        <v>772.3</v>
      </c>
      <c r="Z61" s="71">
        <f t="shared" si="20"/>
        <v>772.3</v>
      </c>
      <c r="AA61" s="71">
        <v>772.3</v>
      </c>
      <c r="AB61" s="71">
        <f t="shared" si="20"/>
        <v>751.09899999999993</v>
      </c>
      <c r="AC61" s="71">
        <f t="shared" si="20"/>
        <v>751.09899999999993</v>
      </c>
      <c r="AD61" s="71">
        <f t="shared" si="20"/>
        <v>751.09899999999993</v>
      </c>
      <c r="AE61" s="71">
        <f t="shared" si="20"/>
        <v>751.09899999999993</v>
      </c>
      <c r="AF61" s="71">
        <f t="shared" si="20"/>
        <v>751.09899999999993</v>
      </c>
      <c r="AG61" s="71">
        <f t="shared" si="20"/>
        <v>1466.0300000000002</v>
      </c>
      <c r="AH61" s="48">
        <f t="shared" si="2"/>
        <v>809.30000000000007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171</v>
      </c>
      <c r="C62" s="46">
        <v>411</v>
      </c>
      <c r="D62" s="46">
        <v>422</v>
      </c>
      <c r="E62" s="46">
        <v>382</v>
      </c>
      <c r="F62" s="46">
        <v>380</v>
      </c>
      <c r="G62" s="46">
        <v>274</v>
      </c>
      <c r="H62" s="46">
        <v>380</v>
      </c>
      <c r="I62" s="46">
        <v>404</v>
      </c>
      <c r="J62" s="46">
        <v>250</v>
      </c>
      <c r="K62" s="46">
        <v>0</v>
      </c>
      <c r="L62" s="46">
        <v>0</v>
      </c>
      <c r="M62" s="46">
        <v>0</v>
      </c>
      <c r="N62" s="74">
        <v>45.2</v>
      </c>
      <c r="O62" s="74">
        <v>66.3</v>
      </c>
      <c r="P62" s="74">
        <v>346</v>
      </c>
      <c r="Q62" s="74">
        <v>326.5</v>
      </c>
      <c r="R62" s="74">
        <v>345</v>
      </c>
      <c r="S62" s="74">
        <v>345</v>
      </c>
      <c r="T62" s="74">
        <v>360</v>
      </c>
      <c r="U62" s="74">
        <v>290</v>
      </c>
      <c r="V62" s="74">
        <v>150</v>
      </c>
      <c r="W62" s="46"/>
      <c r="X62" s="46">
        <v>223</v>
      </c>
      <c r="Y62" s="46">
        <v>223</v>
      </c>
      <c r="Z62" s="46">
        <v>260</v>
      </c>
      <c r="AA62" s="46">
        <v>260</v>
      </c>
      <c r="AB62" s="46">
        <v>330</v>
      </c>
      <c r="AC62" s="46">
        <v>230</v>
      </c>
      <c r="AD62" s="46">
        <v>241.4</v>
      </c>
      <c r="AE62" s="46">
        <v>200</v>
      </c>
      <c r="AF62" s="46">
        <v>150.9</v>
      </c>
      <c r="AG62" s="61">
        <v>456</v>
      </c>
      <c r="AH62" s="48">
        <f t="shared" si="2"/>
        <v>422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32.5</v>
      </c>
      <c r="C63" s="76">
        <v>32.5</v>
      </c>
      <c r="D63" s="76">
        <v>30</v>
      </c>
      <c r="E63" s="76">
        <v>30</v>
      </c>
      <c r="F63" s="76">
        <v>30</v>
      </c>
      <c r="G63" s="76">
        <v>30</v>
      </c>
      <c r="H63" s="76">
        <v>30</v>
      </c>
      <c r="I63" s="76">
        <v>30</v>
      </c>
      <c r="J63" s="76">
        <v>30</v>
      </c>
      <c r="K63" s="76">
        <v>30</v>
      </c>
      <c r="L63" s="76">
        <v>30</v>
      </c>
      <c r="M63" s="76">
        <v>30</v>
      </c>
      <c r="N63" s="76">
        <v>30</v>
      </c>
      <c r="O63" s="76">
        <v>30</v>
      </c>
      <c r="P63" s="76">
        <v>30</v>
      </c>
      <c r="Q63" s="76">
        <v>30</v>
      </c>
      <c r="R63" s="76">
        <v>30</v>
      </c>
      <c r="S63" s="76">
        <v>30</v>
      </c>
      <c r="T63" s="76">
        <v>30</v>
      </c>
      <c r="U63" s="76">
        <v>30</v>
      </c>
      <c r="V63" s="76">
        <v>30</v>
      </c>
      <c r="W63" s="76"/>
      <c r="X63" s="76">
        <v>30</v>
      </c>
      <c r="Y63" s="76">
        <v>30</v>
      </c>
      <c r="Z63" s="76">
        <v>30</v>
      </c>
      <c r="AA63" s="76">
        <v>30</v>
      </c>
      <c r="AB63" s="76">
        <v>30</v>
      </c>
      <c r="AC63" s="76">
        <v>30</v>
      </c>
      <c r="AD63" s="76">
        <v>30</v>
      </c>
      <c r="AE63" s="76">
        <v>43.2</v>
      </c>
      <c r="AF63" s="76">
        <v>43.2</v>
      </c>
      <c r="AG63" s="66">
        <v>60</v>
      </c>
      <c r="AH63" s="48">
        <f t="shared" si="2"/>
        <v>43.2</v>
      </c>
      <c r="AI63" s="49">
        <f t="shared" si="3"/>
        <v>30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12.7</v>
      </c>
      <c r="Q64" s="78">
        <v>19.5</v>
      </c>
      <c r="R64" s="78">
        <v>20.7</v>
      </c>
      <c r="S64" s="78">
        <v>22.1</v>
      </c>
      <c r="T64" s="78">
        <v>22.1</v>
      </c>
      <c r="U64" s="78">
        <v>22.1</v>
      </c>
      <c r="V64" s="78">
        <v>22.1</v>
      </c>
      <c r="W64" s="78"/>
      <c r="X64" s="78">
        <v>22.1</v>
      </c>
      <c r="Y64" s="78">
        <v>22.1</v>
      </c>
      <c r="Z64" s="78">
        <v>22.1</v>
      </c>
      <c r="AA64" s="78">
        <v>22.1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12.7</v>
      </c>
      <c r="AK64" s="51"/>
    </row>
    <row r="65" spans="1:75" ht="15.75" thickBot="1" x14ac:dyDescent="0.3">
      <c r="A65" s="80" t="s">
        <v>79</v>
      </c>
      <c r="B65" s="71">
        <f t="shared" ref="B65:AG65" si="22">SUM(B62:B64)</f>
        <v>226</v>
      </c>
      <c r="C65" s="71">
        <f t="shared" si="22"/>
        <v>466</v>
      </c>
      <c r="D65" s="71">
        <f t="shared" si="22"/>
        <v>474.5</v>
      </c>
      <c r="E65" s="71">
        <f t="shared" si="22"/>
        <v>434.5</v>
      </c>
      <c r="F65" s="71">
        <f t="shared" si="22"/>
        <v>432.5</v>
      </c>
      <c r="G65" s="71">
        <f t="shared" si="22"/>
        <v>326.5</v>
      </c>
      <c r="H65" s="71">
        <f t="shared" si="22"/>
        <v>432.5</v>
      </c>
      <c r="I65" s="71">
        <f t="shared" si="22"/>
        <v>456.5</v>
      </c>
      <c r="J65" s="71">
        <f t="shared" si="22"/>
        <v>302.5</v>
      </c>
      <c r="K65" s="71">
        <f t="shared" si="22"/>
        <v>52.5</v>
      </c>
      <c r="L65" s="71">
        <f t="shared" si="22"/>
        <v>52.5</v>
      </c>
      <c r="M65" s="71">
        <f t="shared" si="22"/>
        <v>52.5</v>
      </c>
      <c r="N65" s="71">
        <f t="shared" si="22"/>
        <v>97.7</v>
      </c>
      <c r="O65" s="71">
        <f t="shared" si="22"/>
        <v>118.8</v>
      </c>
      <c r="P65" s="71">
        <f t="shared" si="22"/>
        <v>388.7</v>
      </c>
      <c r="Q65" s="71">
        <f t="shared" si="22"/>
        <v>376</v>
      </c>
      <c r="R65" s="71">
        <f t="shared" ref="R65" si="23">SUM(R62:R64)</f>
        <v>395.7</v>
      </c>
      <c r="S65" s="71">
        <f t="shared" si="22"/>
        <v>397.1</v>
      </c>
      <c r="T65" s="71">
        <f t="shared" si="22"/>
        <v>412.1</v>
      </c>
      <c r="U65" s="71">
        <f>SUM(U62:U64)</f>
        <v>342.1</v>
      </c>
      <c r="V65" s="71">
        <f t="shared" si="22"/>
        <v>202.1</v>
      </c>
      <c r="W65" s="71">
        <f t="shared" si="22"/>
        <v>0</v>
      </c>
      <c r="X65" s="71">
        <f t="shared" si="22"/>
        <v>275.10000000000002</v>
      </c>
      <c r="Y65" s="71">
        <f t="shared" si="22"/>
        <v>275.10000000000002</v>
      </c>
      <c r="Z65" s="71">
        <f t="shared" si="22"/>
        <v>312.10000000000002</v>
      </c>
      <c r="AA65" s="71">
        <v>312.10000000000002</v>
      </c>
      <c r="AB65" s="71">
        <f t="shared" si="22"/>
        <v>382.5</v>
      </c>
      <c r="AC65" s="71">
        <f t="shared" si="22"/>
        <v>282.5</v>
      </c>
      <c r="AD65" s="71">
        <f t="shared" si="22"/>
        <v>293.89999999999998</v>
      </c>
      <c r="AE65" s="71">
        <f t="shared" si="22"/>
        <v>265.7</v>
      </c>
      <c r="AF65" s="71">
        <f t="shared" si="22"/>
        <v>216.60000000000002</v>
      </c>
      <c r="AG65" s="72">
        <f t="shared" si="22"/>
        <v>538.1</v>
      </c>
      <c r="AH65" s="48">
        <f t="shared" si="2"/>
        <v>474.5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146</v>
      </c>
      <c r="C66" s="46">
        <v>146</v>
      </c>
      <c r="D66" s="46">
        <v>145</v>
      </c>
      <c r="E66" s="46">
        <v>145.6</v>
      </c>
      <c r="F66" s="46">
        <v>145.6</v>
      </c>
      <c r="G66" s="46">
        <v>145.6</v>
      </c>
      <c r="H66" s="46">
        <v>145.6</v>
      </c>
      <c r="I66" s="46">
        <v>145.6</v>
      </c>
      <c r="J66" s="46">
        <v>145.6</v>
      </c>
      <c r="K66" s="46">
        <v>145.6</v>
      </c>
      <c r="L66" s="46">
        <v>145.6</v>
      </c>
      <c r="M66" s="46">
        <v>143.30000000000001</v>
      </c>
      <c r="N66" s="46">
        <v>143.30000000000001</v>
      </c>
      <c r="O66" s="46">
        <v>146.1</v>
      </c>
      <c r="P66" s="46">
        <v>146</v>
      </c>
      <c r="Q66" s="46">
        <v>145.9</v>
      </c>
      <c r="R66" s="46">
        <v>145.9</v>
      </c>
      <c r="S66" s="46">
        <v>145.9</v>
      </c>
      <c r="T66" s="46">
        <v>145.9</v>
      </c>
      <c r="U66" s="46">
        <v>145.9</v>
      </c>
      <c r="V66" s="46">
        <v>145.9</v>
      </c>
      <c r="W66" s="46"/>
      <c r="X66" s="46">
        <v>145.9</v>
      </c>
      <c r="Y66" s="46">
        <v>0</v>
      </c>
      <c r="Z66" s="46">
        <v>110.6</v>
      </c>
      <c r="AA66" s="46">
        <v>120</v>
      </c>
      <c r="AB66" s="46">
        <v>145.5</v>
      </c>
      <c r="AC66" s="46">
        <v>145</v>
      </c>
      <c r="AD66" s="46">
        <v>145</v>
      </c>
      <c r="AE66" s="46">
        <v>48</v>
      </c>
      <c r="AF66" s="46">
        <v>131.4</v>
      </c>
      <c r="AG66" s="61">
        <v>144</v>
      </c>
      <c r="AH66" s="48">
        <f t="shared" si="2"/>
        <v>146.1</v>
      </c>
      <c r="AI66" s="49">
        <f t="shared" si="3"/>
        <v>0</v>
      </c>
      <c r="AK66" s="51"/>
      <c r="AY66" s="1" t="s">
        <v>86</v>
      </c>
      <c r="AZ66" s="82">
        <f>ROUND(C84,0)</f>
        <v>55</v>
      </c>
      <c r="BA66" s="81">
        <f t="shared" ref="BA66:BD70" si="24">D84</f>
        <v>55</v>
      </c>
      <c r="BB66" s="81">
        <f t="shared" si="24"/>
        <v>55</v>
      </c>
      <c r="BC66" s="81">
        <f t="shared" si="24"/>
        <v>52</v>
      </c>
      <c r="BD66" s="81">
        <f t="shared" si="24"/>
        <v>55</v>
      </c>
      <c r="BE66" s="82">
        <f>I84</f>
        <v>48</v>
      </c>
      <c r="BF66" s="82">
        <f>K84</f>
        <v>38</v>
      </c>
      <c r="BG66" s="82">
        <f t="shared" ref="BG66:BP70" si="25">M84</f>
        <v>29</v>
      </c>
      <c r="BH66" s="82">
        <f t="shared" si="25"/>
        <v>29</v>
      </c>
      <c r="BI66" s="82">
        <f t="shared" si="25"/>
        <v>38</v>
      </c>
      <c r="BJ66" s="82">
        <f t="shared" si="25"/>
        <v>40</v>
      </c>
      <c r="BK66" s="82">
        <f t="shared" si="25"/>
        <v>48</v>
      </c>
      <c r="BL66" s="82">
        <f t="shared" si="25"/>
        <v>46</v>
      </c>
      <c r="BM66" s="82">
        <f t="shared" si="25"/>
        <v>50</v>
      </c>
      <c r="BN66" s="82">
        <f t="shared" si="25"/>
        <v>47</v>
      </c>
      <c r="BO66" s="82">
        <f t="shared" si="25"/>
        <v>56</v>
      </c>
      <c r="BP66" s="82">
        <f t="shared" si="25"/>
        <v>50</v>
      </c>
      <c r="BQ66" s="82">
        <f>X84</f>
        <v>50</v>
      </c>
      <c r="BR66" s="82">
        <f>Z84</f>
        <v>7</v>
      </c>
      <c r="BS66" s="81">
        <f>AB84</f>
        <v>62</v>
      </c>
      <c r="BT66" s="81">
        <f t="shared" ref="BT66:BV70" si="26">AD84</f>
        <v>62</v>
      </c>
      <c r="BU66" s="81">
        <f t="shared" si="26"/>
        <v>30</v>
      </c>
      <c r="BV66" s="81">
        <f t="shared" si="26"/>
        <v>0</v>
      </c>
      <c r="BW66" s="81">
        <f>B84</f>
        <v>52</v>
      </c>
    </row>
    <row r="67" spans="1:75" x14ac:dyDescent="0.25">
      <c r="A67" s="65" t="s">
        <v>81</v>
      </c>
      <c r="B67" s="76">
        <v>65</v>
      </c>
      <c r="C67" s="76">
        <v>65</v>
      </c>
      <c r="D67" s="76">
        <v>65</v>
      </c>
      <c r="E67" s="76">
        <v>66.599999999999994</v>
      </c>
      <c r="F67" s="76">
        <v>66.599999999999994</v>
      </c>
      <c r="G67" s="76">
        <v>66.599999999999994</v>
      </c>
      <c r="H67" s="76">
        <v>70</v>
      </c>
      <c r="I67" s="76">
        <v>68</v>
      </c>
      <c r="J67" s="76">
        <v>68</v>
      </c>
      <c r="K67" s="76">
        <v>68</v>
      </c>
      <c r="L67" s="76">
        <v>68</v>
      </c>
      <c r="M67" s="76">
        <v>69.3</v>
      </c>
      <c r="N67" s="76">
        <v>69.3</v>
      </c>
      <c r="O67" s="76">
        <v>69.099999999999994</v>
      </c>
      <c r="P67" s="76">
        <v>70</v>
      </c>
      <c r="Q67" s="76">
        <v>69.900000000000006</v>
      </c>
      <c r="R67" s="76">
        <v>69.900000000000006</v>
      </c>
      <c r="S67" s="76">
        <v>69.900000000000006</v>
      </c>
      <c r="T67" s="76">
        <v>69.900000000000006</v>
      </c>
      <c r="U67" s="76">
        <v>69.900000000000006</v>
      </c>
      <c r="V67" s="76">
        <v>69.900000000000006</v>
      </c>
      <c r="W67" s="46"/>
      <c r="X67" s="46">
        <v>69.900000000000006</v>
      </c>
      <c r="Y67" s="46">
        <v>69.900000000000006</v>
      </c>
      <c r="Z67" s="46">
        <v>69.900000000000006</v>
      </c>
      <c r="AA67" s="46">
        <v>60</v>
      </c>
      <c r="AB67" s="46">
        <v>70.599999999999994</v>
      </c>
      <c r="AC67" s="46">
        <v>50.5</v>
      </c>
      <c r="AD67" s="46">
        <v>50.5</v>
      </c>
      <c r="AE67" s="46">
        <v>50.5</v>
      </c>
      <c r="AF67" s="46">
        <v>46.5</v>
      </c>
      <c r="AG67" s="66">
        <v>70</v>
      </c>
      <c r="AH67" s="48">
        <f t="shared" si="2"/>
        <v>70.599999999999994</v>
      </c>
      <c r="AI67" s="49">
        <f t="shared" si="3"/>
        <v>46.5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76">
        <v>68</v>
      </c>
      <c r="C68" s="76">
        <v>68</v>
      </c>
      <c r="D68" s="76">
        <v>68</v>
      </c>
      <c r="E68" s="76">
        <v>68</v>
      </c>
      <c r="F68" s="76">
        <v>68</v>
      </c>
      <c r="G68" s="76">
        <v>68</v>
      </c>
      <c r="H68" s="76">
        <v>68</v>
      </c>
      <c r="I68" s="76">
        <v>68</v>
      </c>
      <c r="J68" s="76">
        <v>68</v>
      </c>
      <c r="K68" s="76">
        <v>68</v>
      </c>
      <c r="L68" s="76">
        <v>68</v>
      </c>
      <c r="M68" s="76">
        <v>68.599999999999994</v>
      </c>
      <c r="N68" s="76">
        <v>68.599999999999994</v>
      </c>
      <c r="O68" s="76">
        <v>69.099999999999994</v>
      </c>
      <c r="P68" s="76">
        <v>69.099999999999994</v>
      </c>
      <c r="Q68" s="76">
        <v>69.400000000000006</v>
      </c>
      <c r="R68" s="76">
        <v>46</v>
      </c>
      <c r="S68" s="76">
        <v>70</v>
      </c>
      <c r="T68" s="76">
        <v>70</v>
      </c>
      <c r="U68" s="76">
        <v>70</v>
      </c>
      <c r="V68" s="76">
        <v>70</v>
      </c>
      <c r="W68" s="46"/>
      <c r="X68" s="46">
        <v>70</v>
      </c>
      <c r="Y68" s="46">
        <v>70</v>
      </c>
      <c r="Z68" s="46">
        <v>58</v>
      </c>
      <c r="AA68" s="46">
        <v>54</v>
      </c>
      <c r="AB68" s="46">
        <v>62.3</v>
      </c>
      <c r="AC68" s="46">
        <v>60.7</v>
      </c>
      <c r="AD68" s="46">
        <v>60.7</v>
      </c>
      <c r="AE68" s="46">
        <v>60.7</v>
      </c>
      <c r="AF68" s="46">
        <v>51</v>
      </c>
      <c r="AG68" s="66">
        <v>69</v>
      </c>
      <c r="AH68" s="48">
        <f t="shared" si="2"/>
        <v>70</v>
      </c>
      <c r="AI68" s="49">
        <f t="shared" si="3"/>
        <v>46</v>
      </c>
      <c r="AK68" s="51"/>
      <c r="AL68" s="83"/>
      <c r="AO68" s="83"/>
      <c r="AY68" s="1" t="s">
        <v>90</v>
      </c>
      <c r="AZ68" s="82">
        <f>ROUND(C86,0)</f>
        <v>-282</v>
      </c>
      <c r="BA68" s="81">
        <f t="shared" si="24"/>
        <v>-281</v>
      </c>
      <c r="BB68" s="81">
        <f t="shared" si="24"/>
        <v>-292</v>
      </c>
      <c r="BC68" s="81">
        <f t="shared" si="24"/>
        <v>-290</v>
      </c>
      <c r="BD68" s="81">
        <f t="shared" si="24"/>
        <v>-295</v>
      </c>
      <c r="BE68" s="82">
        <f>I86</f>
        <v>-292</v>
      </c>
      <c r="BF68" s="82">
        <f>K86</f>
        <v>134</v>
      </c>
      <c r="BG68" s="82">
        <f t="shared" si="25"/>
        <v>140</v>
      </c>
      <c r="BH68" s="82">
        <f t="shared" si="25"/>
        <v>148</v>
      </c>
      <c r="BI68" s="82">
        <f t="shared" si="25"/>
        <v>130.69999999999999</v>
      </c>
      <c r="BJ68" s="82">
        <f t="shared" si="25"/>
        <v>-108</v>
      </c>
      <c r="BK68" s="82">
        <f t="shared" si="25"/>
        <v>-19</v>
      </c>
      <c r="BL68" s="82">
        <f t="shared" si="25"/>
        <v>-15</v>
      </c>
      <c r="BM68" s="82">
        <f t="shared" si="25"/>
        <v>6</v>
      </c>
      <c r="BN68" s="82">
        <f t="shared" si="25"/>
        <v>-15</v>
      </c>
      <c r="BO68" s="82">
        <f t="shared" si="25"/>
        <v>-5</v>
      </c>
      <c r="BP68" s="82">
        <f t="shared" si="25"/>
        <v>-26</v>
      </c>
      <c r="BQ68" s="82">
        <f>X86</f>
        <v>-21</v>
      </c>
      <c r="BR68" s="82">
        <f>Z86</f>
        <v>-119</v>
      </c>
      <c r="BS68" s="81">
        <f>AB86</f>
        <v>-116</v>
      </c>
      <c r="BT68" s="81">
        <f t="shared" si="26"/>
        <v>-125.1</v>
      </c>
      <c r="BU68" s="81">
        <f t="shared" si="26"/>
        <v>-145</v>
      </c>
      <c r="BV68" s="81">
        <f t="shared" si="26"/>
        <v>-108.1</v>
      </c>
      <c r="BW68" s="81">
        <f>B86</f>
        <v>0</v>
      </c>
    </row>
    <row r="69" spans="1:75" s="83" customFormat="1" x14ac:dyDescent="0.25">
      <c r="A69" s="65" t="s">
        <v>83</v>
      </c>
      <c r="B69" s="76">
        <v>61</v>
      </c>
      <c r="C69" s="76">
        <v>61</v>
      </c>
      <c r="D69" s="76">
        <v>61</v>
      </c>
      <c r="E69" s="76">
        <v>61</v>
      </c>
      <c r="F69" s="76">
        <v>61</v>
      </c>
      <c r="G69" s="76">
        <v>61</v>
      </c>
      <c r="H69" s="76">
        <v>61</v>
      </c>
      <c r="I69" s="76">
        <v>61</v>
      </c>
      <c r="J69" s="76">
        <v>61</v>
      </c>
      <c r="K69" s="76">
        <v>61</v>
      </c>
      <c r="L69" s="76">
        <v>61</v>
      </c>
      <c r="M69" s="76">
        <v>61.2</v>
      </c>
      <c r="N69" s="76">
        <v>61.2</v>
      </c>
      <c r="O69" s="76">
        <v>61.2</v>
      </c>
      <c r="P69" s="76">
        <v>61.2</v>
      </c>
      <c r="Q69" s="76">
        <v>61.2</v>
      </c>
      <c r="R69" s="76">
        <v>61.2</v>
      </c>
      <c r="S69" s="76">
        <v>61.2</v>
      </c>
      <c r="T69" s="76">
        <v>61.2</v>
      </c>
      <c r="U69" s="76">
        <v>61.2</v>
      </c>
      <c r="V69" s="76">
        <v>61.2</v>
      </c>
      <c r="W69" s="46"/>
      <c r="X69" s="46">
        <v>61.2</v>
      </c>
      <c r="Y69" s="46">
        <v>61.2</v>
      </c>
      <c r="Z69" s="46">
        <v>60</v>
      </c>
      <c r="AA69" s="46">
        <v>60</v>
      </c>
      <c r="AB69" s="46">
        <v>60.4</v>
      </c>
      <c r="AC69" s="46">
        <v>61.4</v>
      </c>
      <c r="AD69" s="46">
        <v>61.4</v>
      </c>
      <c r="AE69" s="46">
        <v>40</v>
      </c>
      <c r="AF69" s="46">
        <v>50</v>
      </c>
      <c r="AG69" s="66">
        <v>60</v>
      </c>
      <c r="AH69" s="48">
        <f t="shared" si="2"/>
        <v>61.4</v>
      </c>
      <c r="AI69" s="49">
        <f t="shared" si="3"/>
        <v>40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14</v>
      </c>
      <c r="BA69" s="81">
        <f t="shared" si="24"/>
        <v>14</v>
      </c>
      <c r="BB69" s="81">
        <f t="shared" si="24"/>
        <v>13.9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11.5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29.2</v>
      </c>
      <c r="BQ69" s="82">
        <f>X87</f>
        <v>23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14</v>
      </c>
    </row>
    <row r="70" spans="1:75" x14ac:dyDescent="0.25">
      <c r="A70" s="65" t="s">
        <v>84</v>
      </c>
      <c r="B70" s="46">
        <v>14.5</v>
      </c>
      <c r="C70" s="46">
        <v>14.5</v>
      </c>
      <c r="D70" s="46">
        <v>14.5</v>
      </c>
      <c r="E70" s="46">
        <v>14.5</v>
      </c>
      <c r="F70" s="46">
        <v>14.5</v>
      </c>
      <c r="G70" s="46">
        <v>14.5</v>
      </c>
      <c r="H70" s="46">
        <v>14.5</v>
      </c>
      <c r="I70" s="46">
        <v>14.5</v>
      </c>
      <c r="J70" s="46">
        <v>14.5</v>
      </c>
      <c r="K70" s="46">
        <v>14.5</v>
      </c>
      <c r="L70" s="46">
        <v>14.5</v>
      </c>
      <c r="M70" s="76">
        <v>14.5</v>
      </c>
      <c r="N70" s="76">
        <v>14.5</v>
      </c>
      <c r="O70" s="76">
        <v>14.5</v>
      </c>
      <c r="P70" s="76">
        <v>14.5</v>
      </c>
      <c r="Q70" s="76">
        <v>14.5</v>
      </c>
      <c r="R70" s="76">
        <v>14.5</v>
      </c>
      <c r="S70" s="76">
        <v>14.5</v>
      </c>
      <c r="T70" s="76">
        <v>14.5</v>
      </c>
      <c r="U70" s="76">
        <v>14.5</v>
      </c>
      <c r="V70" s="76">
        <v>14.5</v>
      </c>
      <c r="W70" s="46"/>
      <c r="X70" s="46">
        <v>14.5</v>
      </c>
      <c r="Y70" s="46">
        <v>14.5</v>
      </c>
      <c r="Z70" s="46">
        <v>14.5</v>
      </c>
      <c r="AA70" s="46">
        <v>0</v>
      </c>
      <c r="AB70" s="46">
        <v>14</v>
      </c>
      <c r="AC70" s="46">
        <v>14.5</v>
      </c>
      <c r="AD70" s="46">
        <v>14.5</v>
      </c>
      <c r="AE70" s="46">
        <v>14.5</v>
      </c>
      <c r="AF70" s="46">
        <v>14</v>
      </c>
      <c r="AG70" s="66">
        <v>30</v>
      </c>
      <c r="AH70" s="48">
        <f t="shared" si="2"/>
        <v>14.5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90</v>
      </c>
      <c r="BG70" s="82">
        <f t="shared" si="25"/>
        <v>99.7</v>
      </c>
      <c r="BH70" s="82">
        <f t="shared" si="25"/>
        <v>121.6</v>
      </c>
      <c r="BI70" s="82">
        <f t="shared" si="25"/>
        <v>126</v>
      </c>
      <c r="BJ70" s="82">
        <f t="shared" si="25"/>
        <v>133.9</v>
      </c>
      <c r="BK70" s="82">
        <f t="shared" si="25"/>
        <v>136.30000000000001</v>
      </c>
      <c r="BL70" s="82">
        <f t="shared" si="25"/>
        <v>135.30000000000001</v>
      </c>
      <c r="BM70" s="82">
        <f t="shared" si="25"/>
        <v>121</v>
      </c>
      <c r="BN70" s="82">
        <f t="shared" si="25"/>
        <v>125.6</v>
      </c>
      <c r="BO70" s="82">
        <f t="shared" si="25"/>
        <v>136.4</v>
      </c>
      <c r="BP70" s="82">
        <f t="shared" si="25"/>
        <v>124</v>
      </c>
      <c r="BQ70" s="82">
        <f>X88</f>
        <v>101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76">
        <v>6</v>
      </c>
      <c r="N71" s="76">
        <v>11.3</v>
      </c>
      <c r="O71" s="76">
        <v>14.1</v>
      </c>
      <c r="P71" s="76">
        <v>15.7</v>
      </c>
      <c r="Q71" s="76">
        <v>15.7</v>
      </c>
      <c r="R71" s="76">
        <v>15.7</v>
      </c>
      <c r="S71" s="76">
        <v>3.3</v>
      </c>
      <c r="T71" s="76">
        <v>0.7</v>
      </c>
      <c r="U71" s="76">
        <v>1</v>
      </c>
      <c r="V71" s="76">
        <v>0.9</v>
      </c>
      <c r="W71" s="46"/>
      <c r="X71" s="46">
        <v>0.9</v>
      </c>
      <c r="Y71" s="46">
        <v>0.9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15.7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11.3</v>
      </c>
      <c r="C72" s="76">
        <v>11.3</v>
      </c>
      <c r="D72" s="76">
        <v>11.3</v>
      </c>
      <c r="E72" s="76">
        <v>11.3</v>
      </c>
      <c r="F72" s="76">
        <v>11.3</v>
      </c>
      <c r="G72" s="76">
        <v>11.3</v>
      </c>
      <c r="H72" s="76">
        <v>11.3</v>
      </c>
      <c r="I72" s="76">
        <v>11.3</v>
      </c>
      <c r="J72" s="76">
        <v>11.3</v>
      </c>
      <c r="K72" s="76">
        <v>11.3</v>
      </c>
      <c r="L72" s="76">
        <v>11.3</v>
      </c>
      <c r="M72" s="76">
        <v>11.3</v>
      </c>
      <c r="N72" s="76">
        <v>11.3</v>
      </c>
      <c r="O72" s="76">
        <v>11.3</v>
      </c>
      <c r="P72" s="76">
        <v>5.2</v>
      </c>
      <c r="Q72" s="76">
        <v>5.2</v>
      </c>
      <c r="R72" s="76">
        <v>5.2</v>
      </c>
      <c r="S72" s="76">
        <v>6.5</v>
      </c>
      <c r="T72" s="76">
        <v>8.5</v>
      </c>
      <c r="U72" s="76">
        <v>8.5</v>
      </c>
      <c r="V72" s="76">
        <v>11.1</v>
      </c>
      <c r="W72" s="76"/>
      <c r="X72" s="76">
        <v>11.1</v>
      </c>
      <c r="Y72" s="76">
        <v>11.1</v>
      </c>
      <c r="Z72" s="76">
        <v>11.1</v>
      </c>
      <c r="AA72" s="76">
        <v>11.1</v>
      </c>
      <c r="AB72" s="76">
        <v>11.4</v>
      </c>
      <c r="AC72" s="76">
        <v>11.4</v>
      </c>
      <c r="AD72" s="76">
        <v>11.4</v>
      </c>
      <c r="AE72" s="76">
        <v>11.4</v>
      </c>
      <c r="AF72" s="76">
        <v>11.5</v>
      </c>
      <c r="AG72" s="66">
        <v>24</v>
      </c>
      <c r="AH72" s="48">
        <f t="shared" si="2"/>
        <v>11.5</v>
      </c>
      <c r="AI72" s="49">
        <f t="shared" si="3"/>
        <v>5.2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1.5</v>
      </c>
      <c r="C73" s="76">
        <v>1.5</v>
      </c>
      <c r="D73" s="76">
        <v>1.5</v>
      </c>
      <c r="E73" s="76">
        <v>1.5</v>
      </c>
      <c r="F73" s="76">
        <v>1.5</v>
      </c>
      <c r="G73" s="76">
        <v>1.5</v>
      </c>
      <c r="H73" s="76">
        <v>1.5</v>
      </c>
      <c r="I73" s="76">
        <v>1.5</v>
      </c>
      <c r="J73" s="76">
        <v>1.5</v>
      </c>
      <c r="K73" s="76">
        <v>1.5</v>
      </c>
      <c r="L73" s="76">
        <v>1.5</v>
      </c>
      <c r="M73" s="76">
        <v>1.5</v>
      </c>
      <c r="N73" s="76">
        <v>1.5</v>
      </c>
      <c r="O73" s="76">
        <v>1.5</v>
      </c>
      <c r="P73" s="76">
        <v>1.5</v>
      </c>
      <c r="Q73" s="76">
        <v>1.5</v>
      </c>
      <c r="R73" s="76">
        <v>1.5</v>
      </c>
      <c r="S73" s="76">
        <v>1.5</v>
      </c>
      <c r="T73" s="76">
        <v>1.5</v>
      </c>
      <c r="U73" s="76">
        <v>1.5</v>
      </c>
      <c r="V73" s="76">
        <v>1.5</v>
      </c>
      <c r="W73" s="76"/>
      <c r="X73" s="76">
        <v>1.5</v>
      </c>
      <c r="Y73" s="76">
        <v>1.5</v>
      </c>
      <c r="Z73" s="76">
        <v>1.5</v>
      </c>
      <c r="AA73" s="76">
        <v>1.5</v>
      </c>
      <c r="AB73" s="76">
        <v>0</v>
      </c>
      <c r="AC73" s="76">
        <v>0</v>
      </c>
      <c r="AD73" s="76">
        <v>0</v>
      </c>
      <c r="AE73" s="76">
        <v>1.5</v>
      </c>
      <c r="AF73" s="76">
        <v>1.5</v>
      </c>
      <c r="AG73" s="66">
        <v>15</v>
      </c>
      <c r="AH73" s="48">
        <f t="shared" si="2"/>
        <v>1.5</v>
      </c>
      <c r="AI73" s="49">
        <f t="shared" si="3"/>
        <v>0</v>
      </c>
      <c r="AK73" s="51"/>
      <c r="AZ73" s="82">
        <f t="shared" ref="AZ73:BW78" si="28">VALUE(AZ66)</f>
        <v>55</v>
      </c>
      <c r="BA73" s="82">
        <f t="shared" si="28"/>
        <v>55</v>
      </c>
      <c r="BB73" s="82">
        <f t="shared" si="28"/>
        <v>55</v>
      </c>
      <c r="BC73" s="82">
        <f t="shared" si="28"/>
        <v>52</v>
      </c>
      <c r="BD73" s="82">
        <f t="shared" si="28"/>
        <v>55</v>
      </c>
      <c r="BE73" s="82">
        <f t="shared" si="28"/>
        <v>48</v>
      </c>
      <c r="BF73" s="82">
        <f t="shared" si="28"/>
        <v>38</v>
      </c>
      <c r="BG73" s="82">
        <f t="shared" si="28"/>
        <v>29</v>
      </c>
      <c r="BH73" s="82">
        <f t="shared" si="28"/>
        <v>29</v>
      </c>
      <c r="BI73" s="82">
        <f t="shared" si="28"/>
        <v>38</v>
      </c>
      <c r="BJ73" s="82">
        <f t="shared" si="28"/>
        <v>40</v>
      </c>
      <c r="BK73" s="82">
        <f t="shared" si="28"/>
        <v>48</v>
      </c>
      <c r="BL73" s="82">
        <f t="shared" si="28"/>
        <v>46</v>
      </c>
      <c r="BM73" s="82">
        <f t="shared" si="28"/>
        <v>50</v>
      </c>
      <c r="BN73" s="82">
        <f t="shared" si="28"/>
        <v>47</v>
      </c>
      <c r="BO73" s="82">
        <f t="shared" si="28"/>
        <v>56</v>
      </c>
      <c r="BP73" s="82">
        <f t="shared" si="28"/>
        <v>50</v>
      </c>
      <c r="BQ73" s="82">
        <f t="shared" si="28"/>
        <v>50</v>
      </c>
      <c r="BR73" s="82">
        <f t="shared" si="28"/>
        <v>7</v>
      </c>
      <c r="BS73" s="82">
        <f t="shared" si="28"/>
        <v>62</v>
      </c>
      <c r="BT73" s="82">
        <f t="shared" si="28"/>
        <v>62</v>
      </c>
      <c r="BU73" s="82">
        <f t="shared" si="28"/>
        <v>30</v>
      </c>
      <c r="BV73" s="82">
        <f t="shared" si="28"/>
        <v>0</v>
      </c>
      <c r="BW73" s="82">
        <f t="shared" si="28"/>
        <v>52</v>
      </c>
    </row>
    <row r="74" spans="1:75" x14ac:dyDescent="0.25">
      <c r="A74" s="65" t="s">
        <v>91</v>
      </c>
      <c r="B74" s="76">
        <v>9.1</v>
      </c>
      <c r="C74" s="76">
        <v>9.1</v>
      </c>
      <c r="D74" s="76">
        <v>9.1</v>
      </c>
      <c r="E74" s="76">
        <v>9.1</v>
      </c>
      <c r="F74" s="76">
        <v>9.1</v>
      </c>
      <c r="G74" s="76">
        <v>9.1</v>
      </c>
      <c r="H74" s="76">
        <v>9.1</v>
      </c>
      <c r="I74" s="76">
        <v>9.1</v>
      </c>
      <c r="J74" s="76">
        <v>9.1</v>
      </c>
      <c r="K74" s="76">
        <v>9.1</v>
      </c>
      <c r="L74" s="76">
        <v>9.1</v>
      </c>
      <c r="M74" s="76">
        <v>9.1</v>
      </c>
      <c r="N74" s="76">
        <v>9.1</v>
      </c>
      <c r="O74" s="76">
        <v>9.1</v>
      </c>
      <c r="P74" s="76">
        <v>9.1</v>
      </c>
      <c r="Q74" s="76">
        <v>9.1</v>
      </c>
      <c r="R74" s="76">
        <v>9.1</v>
      </c>
      <c r="S74" s="76">
        <v>10.1</v>
      </c>
      <c r="T74" s="76">
        <v>10.1</v>
      </c>
      <c r="U74" s="76">
        <v>10.1</v>
      </c>
      <c r="V74" s="76">
        <v>10.1</v>
      </c>
      <c r="W74" s="76"/>
      <c r="X74" s="76">
        <v>10.1</v>
      </c>
      <c r="Y74" s="76">
        <v>10.1</v>
      </c>
      <c r="Z74" s="76">
        <v>7.7</v>
      </c>
      <c r="AA74" s="76">
        <v>7.7</v>
      </c>
      <c r="AB74" s="76">
        <v>9.3000000000000007</v>
      </c>
      <c r="AC74" s="76">
        <v>9.3000000000000007</v>
      </c>
      <c r="AD74" s="76">
        <v>9.3000000000000007</v>
      </c>
      <c r="AE74" s="76">
        <v>9.3000000000000007</v>
      </c>
      <c r="AF74" s="76">
        <v>9.3000000000000007</v>
      </c>
      <c r="AG74" s="66">
        <v>14.1</v>
      </c>
      <c r="AH74" s="48">
        <f t="shared" si="2"/>
        <v>10.1</v>
      </c>
      <c r="AI74" s="49">
        <f t="shared" si="3"/>
        <v>7.7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13.2</v>
      </c>
      <c r="C75" s="76">
        <v>13.2</v>
      </c>
      <c r="D75" s="76">
        <v>13.2</v>
      </c>
      <c r="E75" s="76">
        <v>13.2</v>
      </c>
      <c r="F75" s="76">
        <v>13.2</v>
      </c>
      <c r="G75" s="76">
        <v>13.2</v>
      </c>
      <c r="H75" s="76">
        <v>13.2</v>
      </c>
      <c r="I75" s="76">
        <v>13.2</v>
      </c>
      <c r="J75" s="76">
        <v>13.2</v>
      </c>
      <c r="K75" s="76">
        <v>13.2</v>
      </c>
      <c r="L75" s="76">
        <v>13.2</v>
      </c>
      <c r="M75" s="76">
        <v>13.2</v>
      </c>
      <c r="N75" s="76">
        <v>13.2</v>
      </c>
      <c r="O75" s="76">
        <v>13.2</v>
      </c>
      <c r="P75" s="76">
        <v>13.2</v>
      </c>
      <c r="Q75" s="76">
        <v>13.2</v>
      </c>
      <c r="R75" s="76">
        <v>13.2</v>
      </c>
      <c r="S75" s="76">
        <v>13.2</v>
      </c>
      <c r="T75" s="76">
        <v>13.2</v>
      </c>
      <c r="U75" s="76">
        <v>13.2</v>
      </c>
      <c r="V75" s="76">
        <v>7.1</v>
      </c>
      <c r="W75" s="76"/>
      <c r="X75" s="76">
        <v>7.1</v>
      </c>
      <c r="Y75" s="76">
        <v>7.1</v>
      </c>
      <c r="Z75" s="76">
        <v>13.7</v>
      </c>
      <c r="AA75" s="76">
        <v>13.7</v>
      </c>
      <c r="AB75" s="76">
        <v>13.7</v>
      </c>
      <c r="AC75" s="76">
        <v>13.7</v>
      </c>
      <c r="AD75" s="76">
        <v>13.7</v>
      </c>
      <c r="AE75" s="76">
        <v>13.7</v>
      </c>
      <c r="AF75" s="76">
        <v>13.7</v>
      </c>
      <c r="AG75" s="66">
        <v>14</v>
      </c>
      <c r="AH75" s="48">
        <f t="shared" ref="AH75:AH126" si="29">MAX(B75:AF75)</f>
        <v>13.7</v>
      </c>
      <c r="AI75" s="49">
        <f t="shared" ref="AI75:AI126" si="30">MIN(B75:AF75)</f>
        <v>7.1</v>
      </c>
      <c r="AK75" s="51"/>
      <c r="AZ75" s="82">
        <f t="shared" si="28"/>
        <v>-282</v>
      </c>
      <c r="BA75" s="82">
        <f t="shared" si="28"/>
        <v>-281</v>
      </c>
      <c r="BB75" s="82">
        <f t="shared" si="28"/>
        <v>-292</v>
      </c>
      <c r="BC75" s="82">
        <f t="shared" si="28"/>
        <v>-290</v>
      </c>
      <c r="BD75" s="82">
        <f t="shared" si="28"/>
        <v>-295</v>
      </c>
      <c r="BE75" s="82">
        <f t="shared" si="28"/>
        <v>-292</v>
      </c>
      <c r="BF75" s="82">
        <f t="shared" si="28"/>
        <v>134</v>
      </c>
      <c r="BG75" s="82">
        <f t="shared" si="28"/>
        <v>140</v>
      </c>
      <c r="BH75" s="82">
        <f t="shared" si="28"/>
        <v>148</v>
      </c>
      <c r="BI75" s="82">
        <f t="shared" si="28"/>
        <v>130.69999999999999</v>
      </c>
      <c r="BJ75" s="82">
        <f t="shared" si="28"/>
        <v>-108</v>
      </c>
      <c r="BK75" s="82">
        <f t="shared" si="28"/>
        <v>-19</v>
      </c>
      <c r="BL75" s="82">
        <f t="shared" si="28"/>
        <v>-15</v>
      </c>
      <c r="BM75" s="82">
        <f t="shared" si="28"/>
        <v>6</v>
      </c>
      <c r="BN75" s="82">
        <f t="shared" si="28"/>
        <v>-15</v>
      </c>
      <c r="BO75" s="82">
        <f t="shared" si="28"/>
        <v>-5</v>
      </c>
      <c r="BP75" s="82">
        <f t="shared" si="28"/>
        <v>-26</v>
      </c>
      <c r="BQ75" s="82">
        <f t="shared" si="28"/>
        <v>-21</v>
      </c>
      <c r="BR75" s="82">
        <f t="shared" si="28"/>
        <v>-119</v>
      </c>
      <c r="BS75" s="82">
        <f t="shared" si="28"/>
        <v>-116</v>
      </c>
      <c r="BT75" s="82">
        <f t="shared" si="28"/>
        <v>-125.1</v>
      </c>
      <c r="BU75" s="82">
        <f t="shared" si="28"/>
        <v>-145</v>
      </c>
      <c r="BV75" s="82">
        <f t="shared" si="28"/>
        <v>-108.1</v>
      </c>
      <c r="BW75" s="82">
        <f t="shared" si="28"/>
        <v>0</v>
      </c>
    </row>
    <row r="76" spans="1:75" x14ac:dyDescent="0.25">
      <c r="A76" s="65" t="s">
        <v>95</v>
      </c>
      <c r="B76" s="76">
        <v>4.5</v>
      </c>
      <c r="C76" s="76">
        <v>4.5</v>
      </c>
      <c r="D76" s="76">
        <v>4.5</v>
      </c>
      <c r="E76" s="76">
        <v>4.5</v>
      </c>
      <c r="F76" s="76">
        <v>4.5</v>
      </c>
      <c r="G76" s="76">
        <v>4.5</v>
      </c>
      <c r="H76" s="76">
        <v>4.5</v>
      </c>
      <c r="I76" s="76">
        <v>4.5</v>
      </c>
      <c r="J76" s="76">
        <v>4.5</v>
      </c>
      <c r="K76" s="76">
        <v>4.5</v>
      </c>
      <c r="L76" s="76">
        <v>4.5</v>
      </c>
      <c r="M76" s="76">
        <v>4.5</v>
      </c>
      <c r="N76" s="76">
        <v>4.5</v>
      </c>
      <c r="O76" s="76">
        <v>4.5</v>
      </c>
      <c r="P76" s="76">
        <v>4.5</v>
      </c>
      <c r="Q76" s="76">
        <v>4.5</v>
      </c>
      <c r="R76" s="76">
        <v>4.5</v>
      </c>
      <c r="S76" s="76">
        <v>4.5</v>
      </c>
      <c r="T76" s="76">
        <v>4.5</v>
      </c>
      <c r="U76" s="76">
        <v>4.5</v>
      </c>
      <c r="V76" s="76">
        <v>4.5</v>
      </c>
      <c r="W76" s="76"/>
      <c r="X76" s="76">
        <v>4.5</v>
      </c>
      <c r="Y76" s="76">
        <v>4.5</v>
      </c>
      <c r="Z76" s="76">
        <v>4.5</v>
      </c>
      <c r="AA76" s="76">
        <v>4.5</v>
      </c>
      <c r="AB76" s="76">
        <v>4.5</v>
      </c>
      <c r="AC76" s="76">
        <v>4.5</v>
      </c>
      <c r="AD76" s="76">
        <v>4.5</v>
      </c>
      <c r="AE76" s="76">
        <v>4.5</v>
      </c>
      <c r="AF76" s="76">
        <v>4.5</v>
      </c>
      <c r="AG76" s="66">
        <v>10.050000000000001</v>
      </c>
      <c r="AH76" s="48">
        <f t="shared" si="29"/>
        <v>4.5</v>
      </c>
      <c r="AI76" s="49">
        <f t="shared" si="30"/>
        <v>4.5</v>
      </c>
      <c r="AK76" s="51"/>
      <c r="AZ76" s="82">
        <f t="shared" si="28"/>
        <v>14</v>
      </c>
      <c r="BA76" s="82">
        <f t="shared" si="28"/>
        <v>14</v>
      </c>
      <c r="BB76" s="82">
        <f t="shared" si="28"/>
        <v>13.9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11.5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29.2</v>
      </c>
      <c r="BQ76" s="82">
        <f t="shared" si="28"/>
        <v>23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14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/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29"/>
        <v>3</v>
      </c>
      <c r="AI77" s="49">
        <f t="shared" si="30"/>
        <v>3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90</v>
      </c>
      <c r="BG77" s="82">
        <f t="shared" si="28"/>
        <v>99.7</v>
      </c>
      <c r="BH77" s="82">
        <f t="shared" si="28"/>
        <v>121.6</v>
      </c>
      <c r="BI77" s="82">
        <f t="shared" si="28"/>
        <v>126</v>
      </c>
      <c r="BJ77" s="82">
        <f t="shared" si="28"/>
        <v>133.9</v>
      </c>
      <c r="BK77" s="82">
        <f t="shared" si="28"/>
        <v>136.30000000000001</v>
      </c>
      <c r="BL77" s="82">
        <f t="shared" si="28"/>
        <v>135.30000000000001</v>
      </c>
      <c r="BM77" s="82">
        <f t="shared" si="28"/>
        <v>121</v>
      </c>
      <c r="BN77" s="82">
        <f t="shared" si="28"/>
        <v>125.6</v>
      </c>
      <c r="BO77" s="82">
        <f t="shared" si="28"/>
        <v>136.4</v>
      </c>
      <c r="BP77" s="82">
        <f t="shared" si="28"/>
        <v>124</v>
      </c>
      <c r="BQ77" s="82">
        <f t="shared" si="28"/>
        <v>101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76">
        <v>6.46</v>
      </c>
      <c r="AC78" s="76">
        <v>6.46</v>
      </c>
      <c r="AD78" s="76">
        <v>6.46</v>
      </c>
      <c r="AE78" s="76">
        <v>6.46</v>
      </c>
      <c r="AF78" s="76">
        <v>6.46</v>
      </c>
      <c r="AG78" s="86">
        <f>AG255</f>
        <v>8.56</v>
      </c>
      <c r="AH78" s="48">
        <f t="shared" si="29"/>
        <v>6.46</v>
      </c>
      <c r="AI78" s="49">
        <f t="shared" si="30"/>
        <v>3.5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f t="shared" ref="B79:AG79" si="31">SUM(B66:B78)</f>
        <v>400.64000000000004</v>
      </c>
      <c r="C79" s="71">
        <f t="shared" si="31"/>
        <v>400.64000000000004</v>
      </c>
      <c r="D79" s="71">
        <f t="shared" si="31"/>
        <v>399.64000000000004</v>
      </c>
      <c r="E79" s="71">
        <f t="shared" si="31"/>
        <v>401.84000000000003</v>
      </c>
      <c r="F79" s="71">
        <f t="shared" si="31"/>
        <v>401.84000000000003</v>
      </c>
      <c r="G79" s="71">
        <f t="shared" si="31"/>
        <v>401.84000000000003</v>
      </c>
      <c r="H79" s="71">
        <f t="shared" si="31"/>
        <v>405.24000000000007</v>
      </c>
      <c r="I79" s="71">
        <f t="shared" si="31"/>
        <v>403.24000000000007</v>
      </c>
      <c r="J79" s="71">
        <f t="shared" si="31"/>
        <v>403.24000000000007</v>
      </c>
      <c r="K79" s="71">
        <f t="shared" si="31"/>
        <v>403.24000000000007</v>
      </c>
      <c r="L79" s="71">
        <f t="shared" si="31"/>
        <v>403.24000000000007</v>
      </c>
      <c r="M79" s="71">
        <f t="shared" si="31"/>
        <v>409.04000000000008</v>
      </c>
      <c r="N79" s="71">
        <f t="shared" si="31"/>
        <v>414.34000000000009</v>
      </c>
      <c r="O79" s="71">
        <f t="shared" si="31"/>
        <v>420.24</v>
      </c>
      <c r="P79" s="71">
        <f t="shared" si="31"/>
        <v>416.54</v>
      </c>
      <c r="Q79" s="71">
        <f t="shared" si="31"/>
        <v>416.64000000000004</v>
      </c>
      <c r="R79" s="71">
        <f t="shared" ref="R79" si="32">SUM(R66:R78)</f>
        <v>393.24</v>
      </c>
      <c r="S79" s="71">
        <f t="shared" si="31"/>
        <v>407.14000000000004</v>
      </c>
      <c r="T79" s="71">
        <f t="shared" si="31"/>
        <v>406.54</v>
      </c>
      <c r="U79" s="71">
        <f t="shared" si="31"/>
        <v>406.84000000000003</v>
      </c>
      <c r="V79" s="71">
        <f t="shared" si="31"/>
        <v>403.24000000000007</v>
      </c>
      <c r="W79" s="71">
        <f t="shared" si="31"/>
        <v>3.54</v>
      </c>
      <c r="X79" s="71">
        <f t="shared" si="31"/>
        <v>403.24000000000007</v>
      </c>
      <c r="Y79" s="71">
        <f t="shared" si="31"/>
        <v>257.3</v>
      </c>
      <c r="Z79" s="71">
        <f t="shared" si="31"/>
        <v>360</v>
      </c>
      <c r="AA79" s="71">
        <v>341</v>
      </c>
      <c r="AB79" s="71">
        <f t="shared" si="31"/>
        <v>401.15999999999991</v>
      </c>
      <c r="AC79" s="71">
        <f t="shared" si="31"/>
        <v>380.45999999999992</v>
      </c>
      <c r="AD79" s="71">
        <f t="shared" si="31"/>
        <v>380.45999999999992</v>
      </c>
      <c r="AE79" s="71">
        <f t="shared" si="31"/>
        <v>263.56</v>
      </c>
      <c r="AF79" s="71">
        <f t="shared" si="31"/>
        <v>342.85999999999996</v>
      </c>
      <c r="AG79" s="72">
        <f t="shared" si="31"/>
        <v>489.91</v>
      </c>
      <c r="AH79" s="48">
        <f t="shared" si="29"/>
        <v>420.24</v>
      </c>
      <c r="AI79" s="49">
        <f t="shared" si="30"/>
        <v>3.54</v>
      </c>
      <c r="AK79" s="51"/>
      <c r="AY79" s="82"/>
    </row>
    <row r="80" spans="1:75" x14ac:dyDescent="0.25">
      <c r="A80" s="45" t="s">
        <v>100</v>
      </c>
      <c r="B80" s="46">
        <v>39</v>
      </c>
      <c r="C80" s="46">
        <v>39</v>
      </c>
      <c r="D80" s="46">
        <v>30</v>
      </c>
      <c r="E80" s="46">
        <v>30</v>
      </c>
      <c r="F80" s="46">
        <v>13.8</v>
      </c>
      <c r="G80" s="46">
        <v>13.8</v>
      </c>
      <c r="H80" s="46">
        <v>13.8</v>
      </c>
      <c r="I80" s="46">
        <v>13.8</v>
      </c>
      <c r="J80" s="46">
        <v>0</v>
      </c>
      <c r="K80" s="46">
        <v>0</v>
      </c>
      <c r="L80" s="46">
        <v>0</v>
      </c>
      <c r="M80" s="46"/>
      <c r="N80" s="46"/>
      <c r="O80" s="46"/>
      <c r="P80" s="46"/>
      <c r="Q80" s="46"/>
      <c r="R80" s="46"/>
      <c r="S80" s="46">
        <v>0</v>
      </c>
      <c r="T80" s="46">
        <v>0</v>
      </c>
      <c r="U80" s="46">
        <v>0</v>
      </c>
      <c r="V80" s="46">
        <v>0</v>
      </c>
      <c r="W80" s="46"/>
      <c r="X80" s="46"/>
      <c r="Y80" s="46">
        <v>39.200000000000003</v>
      </c>
      <c r="Z80" s="46">
        <v>0</v>
      </c>
      <c r="AA80" s="46"/>
      <c r="AB80" s="46">
        <v>0</v>
      </c>
      <c r="AC80" s="46">
        <v>0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29"/>
        <v>39.200000000000003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17</v>
      </c>
      <c r="C81" s="76">
        <v>17</v>
      </c>
      <c r="D81" s="76">
        <v>14</v>
      </c>
      <c r="E81" s="76">
        <v>14</v>
      </c>
      <c r="F81" s="76">
        <v>4.7</v>
      </c>
      <c r="G81" s="76">
        <v>4.7</v>
      </c>
      <c r="H81" s="76">
        <v>4.7</v>
      </c>
      <c r="I81" s="76">
        <v>4.7</v>
      </c>
      <c r="J81" s="76">
        <v>0</v>
      </c>
      <c r="K81" s="76">
        <v>0</v>
      </c>
      <c r="L81" s="76">
        <v>0</v>
      </c>
      <c r="M81" s="76"/>
      <c r="N81" s="76"/>
      <c r="O81" s="76"/>
      <c r="P81" s="76"/>
      <c r="Q81" s="76"/>
      <c r="R81" s="76"/>
      <c r="S81" s="76">
        <v>0</v>
      </c>
      <c r="T81" s="76">
        <v>0</v>
      </c>
      <c r="U81" s="76">
        <v>0</v>
      </c>
      <c r="V81" s="76">
        <v>0</v>
      </c>
      <c r="W81" s="76"/>
      <c r="X81" s="76"/>
      <c r="Y81" s="76">
        <v>31</v>
      </c>
      <c r="Z81" s="76">
        <v>5.2</v>
      </c>
      <c r="AA81" s="76"/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66">
        <v>32</v>
      </c>
      <c r="AH81" s="48">
        <f t="shared" si="29"/>
        <v>31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6.2</v>
      </c>
      <c r="C82" s="78">
        <v>6.2</v>
      </c>
      <c r="D82" s="78">
        <v>5.0999999999999996</v>
      </c>
      <c r="E82" s="78">
        <v>5.0999999999999996</v>
      </c>
      <c r="F82" s="78">
        <v>1.7</v>
      </c>
      <c r="G82" s="78">
        <v>1.7</v>
      </c>
      <c r="H82" s="78">
        <v>1.7</v>
      </c>
      <c r="I82" s="78">
        <v>1.7</v>
      </c>
      <c r="J82" s="78">
        <v>0</v>
      </c>
      <c r="K82" s="78">
        <v>0</v>
      </c>
      <c r="L82" s="78">
        <v>0</v>
      </c>
      <c r="M82" s="78"/>
      <c r="N82" s="78"/>
      <c r="O82" s="78"/>
      <c r="P82" s="78"/>
      <c r="Q82" s="78"/>
      <c r="R82" s="78"/>
      <c r="S82" s="78">
        <v>0</v>
      </c>
      <c r="T82" s="78">
        <v>0</v>
      </c>
      <c r="U82" s="78">
        <v>0</v>
      </c>
      <c r="V82" s="78">
        <v>0</v>
      </c>
      <c r="W82" s="78"/>
      <c r="X82" s="78"/>
      <c r="Y82" s="78">
        <v>11.3</v>
      </c>
      <c r="Z82" s="78">
        <v>1.9</v>
      </c>
      <c r="AA82" s="78"/>
      <c r="AB82" s="78">
        <v>0</v>
      </c>
      <c r="AC82" s="78">
        <v>0</v>
      </c>
      <c r="AD82" s="78">
        <v>0</v>
      </c>
      <c r="AE82" s="78">
        <v>0</v>
      </c>
      <c r="AF82" s="78">
        <v>0</v>
      </c>
      <c r="AG82" s="79">
        <v>14</v>
      </c>
      <c r="AH82" s="48">
        <f t="shared" si="29"/>
        <v>11.3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55</v>
      </c>
      <c r="BH82" s="82">
        <v>0</v>
      </c>
      <c r="BI82" s="82">
        <v>-282</v>
      </c>
      <c r="BJ82" s="82">
        <v>14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3">B80+B81+B82</f>
        <v>62.2</v>
      </c>
      <c r="C83" s="71">
        <f t="shared" si="33"/>
        <v>62.2</v>
      </c>
      <c r="D83" s="71">
        <f t="shared" si="33"/>
        <v>49.1</v>
      </c>
      <c r="E83" s="71">
        <f t="shared" si="33"/>
        <v>49.1</v>
      </c>
      <c r="F83" s="71">
        <f t="shared" si="33"/>
        <v>20.2</v>
      </c>
      <c r="G83" s="71">
        <f t="shared" si="33"/>
        <v>20.2</v>
      </c>
      <c r="H83" s="71">
        <f t="shared" si="33"/>
        <v>20.2</v>
      </c>
      <c r="I83" s="71">
        <f t="shared" si="33"/>
        <v>20.2</v>
      </c>
      <c r="J83" s="71">
        <f t="shared" si="33"/>
        <v>0</v>
      </c>
      <c r="K83" s="71">
        <f t="shared" si="33"/>
        <v>0</v>
      </c>
      <c r="L83" s="71">
        <f t="shared" si="33"/>
        <v>0</v>
      </c>
      <c r="M83" s="71">
        <f t="shared" si="33"/>
        <v>0</v>
      </c>
      <c r="N83" s="71">
        <f t="shared" si="33"/>
        <v>0</v>
      </c>
      <c r="O83" s="71">
        <f t="shared" si="33"/>
        <v>0</v>
      </c>
      <c r="P83" s="71">
        <f t="shared" si="33"/>
        <v>0</v>
      </c>
      <c r="Q83" s="71">
        <f t="shared" si="33"/>
        <v>0</v>
      </c>
      <c r="R83" s="71">
        <f t="shared" ref="R83" si="34">R80+R81+R82</f>
        <v>0</v>
      </c>
      <c r="S83" s="71">
        <f t="shared" si="33"/>
        <v>0</v>
      </c>
      <c r="T83" s="71">
        <f t="shared" si="33"/>
        <v>0</v>
      </c>
      <c r="U83" s="71">
        <f t="shared" si="33"/>
        <v>0</v>
      </c>
      <c r="V83" s="71">
        <f t="shared" si="33"/>
        <v>0</v>
      </c>
      <c r="W83" s="71">
        <f t="shared" si="33"/>
        <v>0</v>
      </c>
      <c r="X83" s="71">
        <f t="shared" si="33"/>
        <v>0</v>
      </c>
      <c r="Y83" s="71">
        <f t="shared" si="33"/>
        <v>81.5</v>
      </c>
      <c r="Z83" s="71">
        <f t="shared" si="33"/>
        <v>7.1</v>
      </c>
      <c r="AA83" s="71">
        <v>0</v>
      </c>
      <c r="AB83" s="71">
        <f t="shared" si="33"/>
        <v>0</v>
      </c>
      <c r="AC83" s="71">
        <f t="shared" si="33"/>
        <v>0</v>
      </c>
      <c r="AD83" s="71">
        <f t="shared" si="33"/>
        <v>0</v>
      </c>
      <c r="AE83" s="71">
        <f t="shared" si="33"/>
        <v>0</v>
      </c>
      <c r="AF83" s="71">
        <f t="shared" si="33"/>
        <v>0</v>
      </c>
      <c r="AG83" s="72">
        <f>SUM(AG80:AG82)</f>
        <v>106</v>
      </c>
      <c r="AH83" s="48">
        <f t="shared" si="29"/>
        <v>81.5</v>
      </c>
      <c r="AI83" s="49">
        <f t="shared" si="30"/>
        <v>0</v>
      </c>
      <c r="AK83" s="51"/>
      <c r="AY83" s="82"/>
      <c r="BF83" s="81"/>
      <c r="BG83" s="82">
        <v>55</v>
      </c>
      <c r="BH83" s="82">
        <v>0</v>
      </c>
      <c r="BI83" s="82">
        <v>-281</v>
      </c>
      <c r="BJ83" s="82">
        <v>14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52</v>
      </c>
      <c r="C84" s="46">
        <v>55</v>
      </c>
      <c r="D84" s="46">
        <v>55</v>
      </c>
      <c r="E84" s="46">
        <v>55</v>
      </c>
      <c r="F84" s="46">
        <v>52</v>
      </c>
      <c r="G84" s="46">
        <v>55</v>
      </c>
      <c r="H84" s="46">
        <v>47</v>
      </c>
      <c r="I84" s="46">
        <v>48</v>
      </c>
      <c r="J84" s="46">
        <v>52</v>
      </c>
      <c r="K84" s="46">
        <v>38</v>
      </c>
      <c r="L84" s="46">
        <v>35</v>
      </c>
      <c r="M84" s="46">
        <v>29</v>
      </c>
      <c r="N84" s="46">
        <v>29</v>
      </c>
      <c r="O84" s="46">
        <v>38</v>
      </c>
      <c r="P84" s="46">
        <v>40</v>
      </c>
      <c r="Q84" s="46">
        <v>48</v>
      </c>
      <c r="R84" s="46">
        <v>46</v>
      </c>
      <c r="S84" s="46">
        <v>50</v>
      </c>
      <c r="T84" s="46">
        <v>47</v>
      </c>
      <c r="U84" s="46">
        <v>56</v>
      </c>
      <c r="V84" s="46">
        <v>50</v>
      </c>
      <c r="W84" s="46"/>
      <c r="X84" s="46">
        <v>50</v>
      </c>
      <c r="Y84" s="46">
        <v>15</v>
      </c>
      <c r="Z84" s="46">
        <v>7</v>
      </c>
      <c r="AA84" s="46">
        <v>15</v>
      </c>
      <c r="AB84" s="46">
        <v>62</v>
      </c>
      <c r="AC84" s="46">
        <v>62</v>
      </c>
      <c r="AD84" s="46">
        <v>62</v>
      </c>
      <c r="AE84" s="46">
        <v>30</v>
      </c>
      <c r="AF84" s="46">
        <v>0</v>
      </c>
      <c r="AG84" s="61"/>
      <c r="AH84" s="48">
        <f t="shared" si="29"/>
        <v>62</v>
      </c>
      <c r="AI84" s="49">
        <f t="shared" si="30"/>
        <v>0</v>
      </c>
      <c r="AK84" s="51"/>
      <c r="AY84" s="82"/>
      <c r="BF84" s="81"/>
      <c r="BG84" s="82">
        <v>55</v>
      </c>
      <c r="BH84" s="82">
        <v>0</v>
      </c>
      <c r="BI84" s="82">
        <v>-292</v>
      </c>
      <c r="BJ84" s="82">
        <v>13.9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52</v>
      </c>
      <c r="BH85" s="82">
        <v>0</v>
      </c>
      <c r="BI85" s="82">
        <v>-290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0</v>
      </c>
      <c r="C86" s="76">
        <v>-282</v>
      </c>
      <c r="D86" s="76">
        <v>-281</v>
      </c>
      <c r="E86" s="76">
        <v>-292</v>
      </c>
      <c r="F86" s="76">
        <v>-290</v>
      </c>
      <c r="G86" s="76">
        <v>-295</v>
      </c>
      <c r="H86" s="76">
        <v>-298</v>
      </c>
      <c r="I86" s="76">
        <v>-292</v>
      </c>
      <c r="J86" s="76">
        <v>90</v>
      </c>
      <c r="K86" s="76">
        <v>134</v>
      </c>
      <c r="L86" s="76">
        <v>135</v>
      </c>
      <c r="M86" s="76">
        <v>140</v>
      </c>
      <c r="N86" s="76">
        <v>148</v>
      </c>
      <c r="O86" s="76">
        <v>130.69999999999999</v>
      </c>
      <c r="P86" s="76">
        <v>-108</v>
      </c>
      <c r="Q86" s="76">
        <v>-19</v>
      </c>
      <c r="R86" s="76">
        <v>-15</v>
      </c>
      <c r="S86" s="76">
        <v>6</v>
      </c>
      <c r="T86" s="76">
        <v>-15</v>
      </c>
      <c r="U86" s="76">
        <v>-5</v>
      </c>
      <c r="V86" s="76">
        <v>-26</v>
      </c>
      <c r="W86" s="76"/>
      <c r="X86" s="76">
        <v>-21</v>
      </c>
      <c r="Y86" s="76">
        <v>-109</v>
      </c>
      <c r="Z86" s="76">
        <v>-119</v>
      </c>
      <c r="AA86" s="76">
        <v>-116</v>
      </c>
      <c r="AB86" s="76">
        <v>-116</v>
      </c>
      <c r="AC86" s="76">
        <v>-115.6</v>
      </c>
      <c r="AD86" s="76">
        <v>-125.1</v>
      </c>
      <c r="AE86" s="76">
        <v>-145</v>
      </c>
      <c r="AF86" s="76">
        <v>-108.1</v>
      </c>
      <c r="AG86" s="88"/>
      <c r="AH86" s="48">
        <f t="shared" si="29"/>
        <v>148</v>
      </c>
      <c r="AI86" s="49">
        <f t="shared" si="30"/>
        <v>-298</v>
      </c>
      <c r="AK86" s="92"/>
      <c r="AL86" s="93"/>
      <c r="AM86" s="93"/>
      <c r="AN86" s="94"/>
      <c r="AY86" s="82"/>
      <c r="BF86" s="82"/>
      <c r="BG86" s="82">
        <v>55</v>
      </c>
      <c r="BH86" s="82">
        <v>0</v>
      </c>
      <c r="BI86" s="82">
        <v>-295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14</v>
      </c>
      <c r="C87" s="76">
        <v>14</v>
      </c>
      <c r="D87" s="76">
        <v>14</v>
      </c>
      <c r="E87" s="89">
        <v>13.9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11.5</v>
      </c>
      <c r="L87" s="89">
        <v>11.5</v>
      </c>
      <c r="M87" s="89">
        <v>0</v>
      </c>
      <c r="N87" s="89"/>
      <c r="O87" s="89"/>
      <c r="P87" s="89"/>
      <c r="Q87" s="89"/>
      <c r="R87" s="89"/>
      <c r="S87" s="89"/>
      <c r="T87" s="89"/>
      <c r="U87" s="89"/>
      <c r="V87" s="89">
        <v>29.2</v>
      </c>
      <c r="W87" s="89"/>
      <c r="X87" s="89">
        <v>23</v>
      </c>
      <c r="Y87" s="89">
        <v>22</v>
      </c>
      <c r="Z87" s="89">
        <v>0</v>
      </c>
      <c r="AA87" s="89"/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29"/>
        <v>29.2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48</v>
      </c>
      <c r="BH87" s="82">
        <v>0</v>
      </c>
      <c r="BI87" s="82">
        <v>-292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>
        <v>0</v>
      </c>
      <c r="D88" s="46"/>
      <c r="E88" s="46"/>
      <c r="F88" s="46"/>
      <c r="G88" s="46"/>
      <c r="H88" s="46"/>
      <c r="I88" s="46"/>
      <c r="J88" s="46"/>
      <c r="K88" s="46">
        <v>90</v>
      </c>
      <c r="L88" s="46">
        <v>105</v>
      </c>
      <c r="M88" s="46">
        <v>99.7</v>
      </c>
      <c r="N88" s="46">
        <v>121.6</v>
      </c>
      <c r="O88" s="46">
        <v>126</v>
      </c>
      <c r="P88" s="46">
        <v>133.9</v>
      </c>
      <c r="Q88" s="46">
        <v>136.30000000000001</v>
      </c>
      <c r="R88" s="46">
        <v>135.30000000000001</v>
      </c>
      <c r="S88" s="46">
        <v>121</v>
      </c>
      <c r="T88" s="46">
        <v>125.6</v>
      </c>
      <c r="U88" s="46">
        <v>136.4</v>
      </c>
      <c r="V88" s="46">
        <v>124</v>
      </c>
      <c r="W88" s="46"/>
      <c r="X88" s="46">
        <v>101</v>
      </c>
      <c r="Y88" s="46">
        <v>0</v>
      </c>
      <c r="Z88" s="46">
        <v>0</v>
      </c>
      <c r="AA88" s="46"/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29"/>
        <v>136.4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38</v>
      </c>
      <c r="BH88" s="82">
        <v>0</v>
      </c>
      <c r="BI88" s="82">
        <v>134</v>
      </c>
      <c r="BJ88" s="82">
        <v>11.5</v>
      </c>
      <c r="BK88" s="82">
        <v>90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/>
      <c r="E89" s="90"/>
      <c r="F89" s="90"/>
      <c r="G89" s="90"/>
      <c r="H89" s="90"/>
      <c r="I89" s="90"/>
      <c r="J89" s="90"/>
      <c r="K89" s="90"/>
      <c r="L89" s="90">
        <v>39</v>
      </c>
      <c r="M89" s="90">
        <v>51.7</v>
      </c>
      <c r="N89" s="90">
        <v>48.6</v>
      </c>
      <c r="O89" s="90">
        <v>49.2</v>
      </c>
      <c r="P89" s="90">
        <v>0</v>
      </c>
      <c r="Q89" s="90"/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/>
      <c r="X89" s="90"/>
      <c r="Y89" s="90"/>
      <c r="Z89" s="90"/>
      <c r="AA89" s="90"/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88"/>
      <c r="AH89" s="48">
        <f>MAX(B89:AF89)</f>
        <v>51.7</v>
      </c>
      <c r="AI89" s="49">
        <f t="shared" si="30"/>
        <v>0</v>
      </c>
      <c r="AK89" s="99"/>
      <c r="AL89" s="46"/>
      <c r="AM89" s="46"/>
      <c r="AN89" s="100"/>
      <c r="AY89" s="82"/>
      <c r="BF89" s="82"/>
      <c r="BG89" s="82">
        <v>29</v>
      </c>
      <c r="BH89" s="82">
        <v>0</v>
      </c>
      <c r="BI89" s="82">
        <v>140</v>
      </c>
      <c r="BJ89" s="82">
        <v>0</v>
      </c>
      <c r="BK89" s="82">
        <v>99.7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2"/>
      <c r="AY90" s="82"/>
      <c r="BF90" s="82"/>
      <c r="BG90" s="82">
        <v>29</v>
      </c>
      <c r="BH90" s="82">
        <v>0</v>
      </c>
      <c r="BI90" s="82">
        <v>148</v>
      </c>
      <c r="BJ90" s="82">
        <v>0</v>
      </c>
      <c r="BK90" s="82">
        <v>121.6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3"/>
      <c r="BF91" s="82"/>
      <c r="BG91" s="82">
        <v>38</v>
      </c>
      <c r="BH91" s="82">
        <v>0</v>
      </c>
      <c r="BI91" s="82">
        <v>130.69999999999999</v>
      </c>
      <c r="BJ91" s="82">
        <v>0</v>
      </c>
      <c r="BK91" s="82">
        <v>126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40</v>
      </c>
      <c r="BH92" s="82">
        <v>0</v>
      </c>
      <c r="BI92" s="82">
        <v>-108</v>
      </c>
      <c r="BJ92" s="82">
        <v>0</v>
      </c>
      <c r="BK92" s="82">
        <v>133.9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48</v>
      </c>
      <c r="BH93" s="82">
        <v>0</v>
      </c>
      <c r="BI93" s="82">
        <v>-19</v>
      </c>
      <c r="BJ93" s="82">
        <v>0</v>
      </c>
      <c r="BK93" s="82">
        <v>136.30000000000001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46</v>
      </c>
      <c r="BH94" s="82">
        <v>0</v>
      </c>
      <c r="BI94" s="82">
        <v>-15</v>
      </c>
      <c r="BJ94" s="82">
        <v>0</v>
      </c>
      <c r="BK94" s="82">
        <v>135.30000000000001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66</v>
      </c>
      <c r="C95" s="71">
        <f>SUMIF(C84:C94,"&gt;0")</f>
        <v>69</v>
      </c>
      <c r="D95" s="71">
        <f t="shared" ref="D95:AF95" si="35">SUMIF(D84:D94,"&gt;0")</f>
        <v>69</v>
      </c>
      <c r="E95" s="71">
        <f t="shared" si="35"/>
        <v>68.900000000000006</v>
      </c>
      <c r="F95" s="71">
        <f t="shared" si="35"/>
        <v>52</v>
      </c>
      <c r="G95" s="71">
        <f t="shared" si="35"/>
        <v>55</v>
      </c>
      <c r="H95" s="71">
        <f t="shared" si="35"/>
        <v>47</v>
      </c>
      <c r="I95" s="71">
        <f t="shared" si="35"/>
        <v>48</v>
      </c>
      <c r="J95" s="71">
        <f t="shared" si="35"/>
        <v>142</v>
      </c>
      <c r="K95" s="71">
        <f t="shared" si="35"/>
        <v>273.5</v>
      </c>
      <c r="L95" s="71">
        <f t="shared" si="35"/>
        <v>325.5</v>
      </c>
      <c r="M95" s="71">
        <f t="shared" si="35"/>
        <v>320.39999999999998</v>
      </c>
      <c r="N95" s="71">
        <f t="shared" si="35"/>
        <v>347.20000000000005</v>
      </c>
      <c r="O95" s="71">
        <f t="shared" si="35"/>
        <v>343.9</v>
      </c>
      <c r="P95" s="71">
        <f t="shared" si="35"/>
        <v>173.9</v>
      </c>
      <c r="Q95" s="71">
        <f t="shared" si="35"/>
        <v>184.3</v>
      </c>
      <c r="R95" s="71">
        <f t="shared" ref="R95" si="36">SUMIF(R84:R94,"&gt;0")</f>
        <v>181.3</v>
      </c>
      <c r="S95" s="71">
        <f t="shared" si="35"/>
        <v>177</v>
      </c>
      <c r="T95" s="71">
        <f t="shared" si="35"/>
        <v>172.6</v>
      </c>
      <c r="U95" s="71">
        <f>SUMIF(U84:U94,"&gt;0")</f>
        <v>192.4</v>
      </c>
      <c r="V95" s="71">
        <f t="shared" si="35"/>
        <v>203.2</v>
      </c>
      <c r="W95" s="71">
        <f t="shared" si="35"/>
        <v>0</v>
      </c>
      <c r="X95" s="71">
        <f t="shared" si="35"/>
        <v>174</v>
      </c>
      <c r="Y95" s="71">
        <f t="shared" si="35"/>
        <v>37</v>
      </c>
      <c r="Z95" s="71">
        <f t="shared" si="35"/>
        <v>7</v>
      </c>
      <c r="AA95" s="71">
        <f t="shared" si="35"/>
        <v>15</v>
      </c>
      <c r="AB95" s="71">
        <f t="shared" si="35"/>
        <v>62</v>
      </c>
      <c r="AC95" s="71">
        <f t="shared" si="35"/>
        <v>62</v>
      </c>
      <c r="AD95" s="71">
        <f t="shared" si="35"/>
        <v>62</v>
      </c>
      <c r="AE95" s="71">
        <f t="shared" si="35"/>
        <v>30</v>
      </c>
      <c r="AF95" s="71">
        <f t="shared" si="35"/>
        <v>0</v>
      </c>
      <c r="AG95" s="101">
        <f>SUM(AG84:AG94)</f>
        <v>0</v>
      </c>
      <c r="AH95" s="48">
        <f t="shared" si="29"/>
        <v>347.20000000000005</v>
      </c>
      <c r="AI95" s="49">
        <f t="shared" si="30"/>
        <v>0</v>
      </c>
      <c r="BF95" s="82"/>
      <c r="BG95" s="82">
        <v>50</v>
      </c>
      <c r="BH95" s="82">
        <v>0</v>
      </c>
      <c r="BI95" s="82">
        <v>6</v>
      </c>
      <c r="BJ95" s="82">
        <v>0</v>
      </c>
      <c r="BK95" s="82">
        <v>121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47</v>
      </c>
      <c r="BH96" s="82">
        <v>0</v>
      </c>
      <c r="BI96" s="82">
        <v>-15</v>
      </c>
      <c r="BJ96" s="82">
        <v>0</v>
      </c>
      <c r="BK96" s="82">
        <v>125.6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56</v>
      </c>
      <c r="BH97" s="82">
        <v>0</v>
      </c>
      <c r="BI97" s="82">
        <v>-5</v>
      </c>
      <c r="BJ97" s="82">
        <v>0</v>
      </c>
      <c r="BK97" s="82">
        <v>136.4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50</v>
      </c>
      <c r="BH98" s="82">
        <v>0</v>
      </c>
      <c r="BI98" s="82">
        <v>-26</v>
      </c>
      <c r="BJ98" s="82">
        <v>29.2</v>
      </c>
      <c r="BK98" s="82">
        <v>124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50</v>
      </c>
      <c r="BH99" s="82">
        <v>0</v>
      </c>
      <c r="BI99" s="82">
        <v>-21</v>
      </c>
      <c r="BJ99" s="82">
        <v>23</v>
      </c>
      <c r="BK99" s="82">
        <v>101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7">B61+B65+B83+B79+B95+B99</f>
        <v>1538.24</v>
      </c>
      <c r="C100" s="108">
        <f t="shared" si="37"/>
        <v>1796.2400000000002</v>
      </c>
      <c r="D100" s="108">
        <f t="shared" si="37"/>
        <v>1789.74</v>
      </c>
      <c r="E100" s="108">
        <f t="shared" si="37"/>
        <v>1723.7400000000002</v>
      </c>
      <c r="F100" s="108">
        <f t="shared" si="37"/>
        <v>1680.8400000000001</v>
      </c>
      <c r="G100" s="108">
        <f t="shared" si="37"/>
        <v>1577.8400000000001</v>
      </c>
      <c r="H100" s="108">
        <f t="shared" si="37"/>
        <v>1679.24</v>
      </c>
      <c r="I100" s="108">
        <f t="shared" si="37"/>
        <v>1712.24</v>
      </c>
      <c r="J100" s="108">
        <f t="shared" si="37"/>
        <v>1638.9399999999998</v>
      </c>
      <c r="K100" s="108">
        <f t="shared" si="37"/>
        <v>1538.5400000000002</v>
      </c>
      <c r="L100" s="108">
        <f t="shared" si="37"/>
        <v>1550.54</v>
      </c>
      <c r="M100" s="108">
        <f t="shared" si="37"/>
        <v>1548.54</v>
      </c>
      <c r="N100" s="108">
        <f t="shared" si="37"/>
        <v>1627.8400000000001</v>
      </c>
      <c r="O100" s="108">
        <f t="shared" si="37"/>
        <v>1651.94</v>
      </c>
      <c r="P100" s="108">
        <f t="shared" si="37"/>
        <v>1748.14</v>
      </c>
      <c r="Q100" s="108">
        <f t="shared" si="37"/>
        <v>1744.54</v>
      </c>
      <c r="R100" s="108">
        <f t="shared" ref="R100" si="38">R61+R65+R83+R79+R95+R99</f>
        <v>1742.54</v>
      </c>
      <c r="S100" s="108">
        <f t="shared" si="37"/>
        <v>1753.5400000000002</v>
      </c>
      <c r="T100" s="108">
        <f t="shared" si="37"/>
        <v>1763.54</v>
      </c>
      <c r="U100" s="108">
        <f t="shared" si="37"/>
        <v>1713.6400000000003</v>
      </c>
      <c r="V100" s="108">
        <f t="shared" si="37"/>
        <v>1580.8400000000001</v>
      </c>
      <c r="W100" s="108">
        <f t="shared" si="37"/>
        <v>153.54</v>
      </c>
      <c r="X100" s="108">
        <f t="shared" si="37"/>
        <v>1624.64</v>
      </c>
      <c r="Y100" s="108">
        <f t="shared" si="37"/>
        <v>1423.2</v>
      </c>
      <c r="Z100" s="108">
        <f t="shared" si="37"/>
        <v>1458.5</v>
      </c>
      <c r="AA100" s="108">
        <f t="shared" si="37"/>
        <v>1440.4</v>
      </c>
      <c r="AB100" s="108">
        <f t="shared" si="37"/>
        <v>1596.7589999999998</v>
      </c>
      <c r="AC100" s="108">
        <f t="shared" si="37"/>
        <v>1476.0589999999997</v>
      </c>
      <c r="AD100" s="108">
        <f t="shared" si="37"/>
        <v>1487.4589999999998</v>
      </c>
      <c r="AE100" s="108">
        <f t="shared" si="37"/>
        <v>1310.3589999999999</v>
      </c>
      <c r="AF100" s="108">
        <f t="shared" si="37"/>
        <v>1310.559</v>
      </c>
      <c r="AG100" s="72">
        <f t="shared" si="37"/>
        <v>2655.44</v>
      </c>
      <c r="AH100" s="48">
        <f t="shared" si="29"/>
        <v>1796.2400000000002</v>
      </c>
      <c r="AI100" s="49">
        <f t="shared" si="30"/>
        <v>153.54</v>
      </c>
      <c r="BF100" s="81"/>
      <c r="BG100" s="82">
        <v>7</v>
      </c>
      <c r="BH100" s="82">
        <v>0</v>
      </c>
      <c r="BI100" s="82">
        <v>-119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300</v>
      </c>
      <c r="C101" s="110">
        <v>300</v>
      </c>
      <c r="D101" s="110">
        <v>300</v>
      </c>
      <c r="E101" s="110">
        <v>300</v>
      </c>
      <c r="F101" s="110">
        <v>300</v>
      </c>
      <c r="G101" s="110">
        <v>300</v>
      </c>
      <c r="H101" s="110">
        <v>300</v>
      </c>
      <c r="I101" s="110">
        <v>300</v>
      </c>
      <c r="J101" s="110">
        <v>150</v>
      </c>
      <c r="K101" s="110">
        <v>100</v>
      </c>
      <c r="L101" s="110">
        <v>100</v>
      </c>
      <c r="M101" s="110">
        <v>100</v>
      </c>
      <c r="N101" s="110">
        <v>100</v>
      </c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>
        <v>150</v>
      </c>
      <c r="AB101" s="110"/>
      <c r="AC101" s="110"/>
      <c r="AD101" s="110">
        <v>50</v>
      </c>
      <c r="AE101" s="110">
        <v>100</v>
      </c>
      <c r="AF101" s="110"/>
      <c r="AG101" s="101"/>
      <c r="AH101" s="48">
        <f t="shared" si="29"/>
        <v>300</v>
      </c>
      <c r="AI101" s="49">
        <f t="shared" si="30"/>
        <v>50</v>
      </c>
      <c r="BF101" s="81"/>
      <c r="BG101" s="82">
        <v>62</v>
      </c>
      <c r="BH101" s="82">
        <v>0</v>
      </c>
      <c r="BI101" s="82">
        <v>-116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1838.24</v>
      </c>
      <c r="C102" s="108">
        <f t="shared" ref="C102:AF102" si="39">C100+C101</f>
        <v>2096.2400000000002</v>
      </c>
      <c r="D102" s="108">
        <f t="shared" si="39"/>
        <v>2089.7399999999998</v>
      </c>
      <c r="E102" s="108">
        <f t="shared" si="39"/>
        <v>2023.7400000000002</v>
      </c>
      <c r="F102" s="108">
        <f t="shared" si="39"/>
        <v>1980.8400000000001</v>
      </c>
      <c r="G102" s="108">
        <f t="shared" si="39"/>
        <v>1877.8400000000001</v>
      </c>
      <c r="H102" s="108">
        <f t="shared" si="39"/>
        <v>1979.24</v>
      </c>
      <c r="I102" s="108">
        <f t="shared" si="39"/>
        <v>2012.24</v>
      </c>
      <c r="J102" s="108">
        <f t="shared" si="39"/>
        <v>1788.9399999999998</v>
      </c>
      <c r="K102" s="108">
        <f t="shared" si="39"/>
        <v>1638.5400000000002</v>
      </c>
      <c r="L102" s="108">
        <f t="shared" si="39"/>
        <v>1650.54</v>
      </c>
      <c r="M102" s="108">
        <f t="shared" si="39"/>
        <v>1648.54</v>
      </c>
      <c r="N102" s="108">
        <f t="shared" si="39"/>
        <v>1727.8400000000001</v>
      </c>
      <c r="O102" s="108">
        <f t="shared" si="39"/>
        <v>1651.94</v>
      </c>
      <c r="P102" s="108">
        <f t="shared" si="39"/>
        <v>1748.14</v>
      </c>
      <c r="Q102" s="108">
        <f t="shared" si="39"/>
        <v>1744.54</v>
      </c>
      <c r="R102" s="108">
        <f t="shared" si="39"/>
        <v>1742.54</v>
      </c>
      <c r="S102" s="108">
        <f t="shared" si="39"/>
        <v>1753.5400000000002</v>
      </c>
      <c r="T102" s="108">
        <f t="shared" si="39"/>
        <v>1763.54</v>
      </c>
      <c r="U102" s="108">
        <f t="shared" si="39"/>
        <v>1713.6400000000003</v>
      </c>
      <c r="V102" s="108">
        <f t="shared" si="39"/>
        <v>1580.8400000000001</v>
      </c>
      <c r="W102" s="108">
        <f t="shared" si="39"/>
        <v>153.54</v>
      </c>
      <c r="X102" s="108">
        <f t="shared" si="39"/>
        <v>1624.64</v>
      </c>
      <c r="Y102" s="108">
        <f t="shared" si="39"/>
        <v>1423.2</v>
      </c>
      <c r="Z102" s="108">
        <f t="shared" si="39"/>
        <v>1458.5</v>
      </c>
      <c r="AA102" s="108">
        <f t="shared" si="39"/>
        <v>1590.4</v>
      </c>
      <c r="AB102" s="108">
        <f t="shared" si="39"/>
        <v>1596.7589999999998</v>
      </c>
      <c r="AC102" s="108">
        <f t="shared" si="39"/>
        <v>1476.0589999999997</v>
      </c>
      <c r="AD102" s="108">
        <f t="shared" si="39"/>
        <v>1537.4589999999998</v>
      </c>
      <c r="AE102" s="108">
        <f t="shared" si="39"/>
        <v>1410.3589999999999</v>
      </c>
      <c r="AF102" s="108">
        <f t="shared" si="39"/>
        <v>1310.559</v>
      </c>
      <c r="AG102" s="101">
        <f>AG99+AG95+AG83+AG79+AG61+AG101</f>
        <v>2117.34</v>
      </c>
      <c r="AH102" s="48">
        <f t="shared" si="29"/>
        <v>2096.2400000000002</v>
      </c>
      <c r="AI102" s="49">
        <f t="shared" si="30"/>
        <v>153.54</v>
      </c>
      <c r="BF102" s="81"/>
      <c r="BG102" s="82">
        <v>62</v>
      </c>
      <c r="BH102" s="82">
        <v>0</v>
      </c>
      <c r="BI102" s="82">
        <v>-125.1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1838.24</v>
      </c>
      <c r="C103" s="108">
        <f t="shared" ref="C103:AF103" si="40">C102-(C110)</f>
        <v>1814.2400000000002</v>
      </c>
      <c r="D103" s="108">
        <f t="shared" si="40"/>
        <v>1808.7399999999998</v>
      </c>
      <c r="E103" s="108">
        <f t="shared" si="40"/>
        <v>1731.7400000000002</v>
      </c>
      <c r="F103" s="108">
        <f t="shared" si="40"/>
        <v>1690.8400000000001</v>
      </c>
      <c r="G103" s="108">
        <f t="shared" si="40"/>
        <v>1582.8400000000001</v>
      </c>
      <c r="H103" s="108">
        <f t="shared" si="40"/>
        <v>1681.24</v>
      </c>
      <c r="I103" s="108">
        <f t="shared" si="40"/>
        <v>1720.24</v>
      </c>
      <c r="J103" s="108">
        <f t="shared" si="40"/>
        <v>1788.9399999999998</v>
      </c>
      <c r="K103" s="108">
        <f t="shared" si="40"/>
        <v>1638.5400000000002</v>
      </c>
      <c r="L103" s="108">
        <f t="shared" si="40"/>
        <v>1650.54</v>
      </c>
      <c r="M103" s="108">
        <f t="shared" si="40"/>
        <v>1648.54</v>
      </c>
      <c r="N103" s="108">
        <f t="shared" si="40"/>
        <v>1727.8400000000001</v>
      </c>
      <c r="O103" s="108">
        <f t="shared" si="40"/>
        <v>1651.94</v>
      </c>
      <c r="P103" s="108">
        <f t="shared" si="40"/>
        <v>1640.14</v>
      </c>
      <c r="Q103" s="108">
        <f t="shared" si="40"/>
        <v>1725.54</v>
      </c>
      <c r="R103" s="108">
        <f t="shared" si="40"/>
        <v>1727.54</v>
      </c>
      <c r="S103" s="108">
        <f t="shared" si="40"/>
        <v>1753.5400000000002</v>
      </c>
      <c r="T103" s="108">
        <f t="shared" si="40"/>
        <v>1748.54</v>
      </c>
      <c r="U103" s="108">
        <f t="shared" si="40"/>
        <v>1708.6400000000003</v>
      </c>
      <c r="V103" s="108">
        <f t="shared" si="40"/>
        <v>1554.8400000000001</v>
      </c>
      <c r="W103" s="108">
        <f t="shared" si="40"/>
        <v>153.54</v>
      </c>
      <c r="X103" s="108">
        <f t="shared" si="40"/>
        <v>1603.64</v>
      </c>
      <c r="Y103" s="108">
        <f t="shared" si="40"/>
        <v>1314.2</v>
      </c>
      <c r="Z103" s="108">
        <f t="shared" si="40"/>
        <v>1339.5</v>
      </c>
      <c r="AA103" s="108">
        <f t="shared" si="40"/>
        <v>1474.4</v>
      </c>
      <c r="AB103" s="108">
        <f t="shared" si="40"/>
        <v>1480.7589999999998</v>
      </c>
      <c r="AC103" s="108">
        <f t="shared" si="40"/>
        <v>1360.4589999999998</v>
      </c>
      <c r="AD103" s="108">
        <f t="shared" si="40"/>
        <v>1412.3589999999999</v>
      </c>
      <c r="AE103" s="108">
        <f t="shared" si="40"/>
        <v>1265.3589999999999</v>
      </c>
      <c r="AF103" s="108">
        <f t="shared" si="40"/>
        <v>1202.4590000000001</v>
      </c>
      <c r="AG103" s="101"/>
      <c r="AH103" s="48">
        <f t="shared" si="29"/>
        <v>1838.24</v>
      </c>
      <c r="AI103" s="49">
        <f t="shared" si="30"/>
        <v>153.54</v>
      </c>
      <c r="BF103" s="81"/>
      <c r="BG103" s="82">
        <v>30</v>
      </c>
      <c r="BH103" s="82">
        <v>0</v>
      </c>
      <c r="BI103" s="82">
        <v>-145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41">IF(C84&lt;0,C84*-1,0)</f>
        <v>0</v>
      </c>
      <c r="D104" s="89">
        <f t="shared" si="41"/>
        <v>0</v>
      </c>
      <c r="E104" s="89">
        <f t="shared" si="41"/>
        <v>0</v>
      </c>
      <c r="F104" s="89">
        <f t="shared" si="41"/>
        <v>0</v>
      </c>
      <c r="G104" s="89">
        <f t="shared" si="41"/>
        <v>0</v>
      </c>
      <c r="H104" s="89">
        <f t="shared" si="41"/>
        <v>0</v>
      </c>
      <c r="I104" s="89">
        <f t="shared" si="41"/>
        <v>0</v>
      </c>
      <c r="J104" s="89">
        <f t="shared" si="41"/>
        <v>0</v>
      </c>
      <c r="K104" s="89">
        <f t="shared" si="41"/>
        <v>0</v>
      </c>
      <c r="L104" s="89">
        <f t="shared" si="41"/>
        <v>0</v>
      </c>
      <c r="M104" s="89">
        <f t="shared" si="41"/>
        <v>0</v>
      </c>
      <c r="N104" s="89">
        <f t="shared" si="41"/>
        <v>0</v>
      </c>
      <c r="O104" s="89">
        <f t="shared" si="41"/>
        <v>0</v>
      </c>
      <c r="P104" s="89">
        <f t="shared" si="41"/>
        <v>0</v>
      </c>
      <c r="Q104" s="89">
        <f t="shared" si="41"/>
        <v>0</v>
      </c>
      <c r="R104" s="89">
        <f t="shared" si="41"/>
        <v>0</v>
      </c>
      <c r="S104" s="89">
        <f t="shared" si="41"/>
        <v>0</v>
      </c>
      <c r="T104" s="89">
        <f t="shared" si="41"/>
        <v>0</v>
      </c>
      <c r="U104" s="89">
        <f t="shared" si="41"/>
        <v>0</v>
      </c>
      <c r="V104" s="89">
        <f t="shared" si="41"/>
        <v>0</v>
      </c>
      <c r="W104" s="89">
        <f t="shared" si="41"/>
        <v>0</v>
      </c>
      <c r="X104" s="89">
        <f t="shared" si="41"/>
        <v>0</v>
      </c>
      <c r="Y104" s="89">
        <f t="shared" si="41"/>
        <v>0</v>
      </c>
      <c r="Z104" s="89">
        <f t="shared" si="41"/>
        <v>0</v>
      </c>
      <c r="AA104" s="89">
        <f t="shared" si="41"/>
        <v>0</v>
      </c>
      <c r="AB104" s="89">
        <f t="shared" si="41"/>
        <v>0</v>
      </c>
      <c r="AC104" s="89">
        <f t="shared" si="41"/>
        <v>0</v>
      </c>
      <c r="AD104" s="89">
        <f t="shared" si="41"/>
        <v>0</v>
      </c>
      <c r="AE104" s="89">
        <f t="shared" si="41"/>
        <v>0</v>
      </c>
      <c r="AF104" s="89">
        <f t="shared" si="41"/>
        <v>0</v>
      </c>
      <c r="AG104" s="61"/>
      <c r="AH104" s="48">
        <f t="shared" si="29"/>
        <v>0</v>
      </c>
      <c r="AI104" s="49">
        <f t="shared" si="30"/>
        <v>0</v>
      </c>
      <c r="BG104" s="82">
        <v>0</v>
      </c>
      <c r="BH104" s="82">
        <v>0</v>
      </c>
      <c r="BI104" s="82">
        <v>-108.1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42">IF(B85&lt;0,B85*-1,0)</f>
        <v>0</v>
      </c>
      <c r="C105" s="89">
        <f t="shared" si="42"/>
        <v>0</v>
      </c>
      <c r="D105" s="89">
        <f t="shared" si="42"/>
        <v>0</v>
      </c>
      <c r="E105" s="89">
        <f t="shared" si="42"/>
        <v>0</v>
      </c>
      <c r="F105" s="89">
        <f t="shared" si="42"/>
        <v>0</v>
      </c>
      <c r="G105" s="89">
        <f t="shared" si="42"/>
        <v>0</v>
      </c>
      <c r="H105" s="89">
        <f t="shared" si="42"/>
        <v>0</v>
      </c>
      <c r="I105" s="89">
        <f t="shared" si="42"/>
        <v>0</v>
      </c>
      <c r="J105" s="89">
        <f t="shared" si="42"/>
        <v>0</v>
      </c>
      <c r="K105" s="89">
        <f t="shared" si="42"/>
        <v>0</v>
      </c>
      <c r="L105" s="89">
        <f t="shared" si="42"/>
        <v>0</v>
      </c>
      <c r="M105" s="89">
        <f t="shared" si="42"/>
        <v>0</v>
      </c>
      <c r="N105" s="89">
        <f t="shared" si="42"/>
        <v>0</v>
      </c>
      <c r="O105" s="89">
        <f t="shared" si="42"/>
        <v>0</v>
      </c>
      <c r="P105" s="89">
        <f t="shared" si="42"/>
        <v>0</v>
      </c>
      <c r="Q105" s="89">
        <f t="shared" si="42"/>
        <v>0</v>
      </c>
      <c r="R105" s="89">
        <f t="shared" si="41"/>
        <v>0</v>
      </c>
      <c r="S105" s="89">
        <f t="shared" si="41"/>
        <v>0</v>
      </c>
      <c r="T105" s="89">
        <f t="shared" si="41"/>
        <v>0</v>
      </c>
      <c r="U105" s="89">
        <f t="shared" si="41"/>
        <v>0</v>
      </c>
      <c r="V105" s="89">
        <f t="shared" si="41"/>
        <v>0</v>
      </c>
      <c r="W105" s="89">
        <f t="shared" si="41"/>
        <v>0</v>
      </c>
      <c r="X105" s="89">
        <f t="shared" si="41"/>
        <v>0</v>
      </c>
      <c r="Y105" s="89">
        <f t="shared" si="41"/>
        <v>0</v>
      </c>
      <c r="Z105" s="89">
        <f t="shared" si="41"/>
        <v>0</v>
      </c>
      <c r="AA105" s="89">
        <f t="shared" si="41"/>
        <v>0</v>
      </c>
      <c r="AB105" s="89">
        <f t="shared" si="41"/>
        <v>0</v>
      </c>
      <c r="AC105" s="89">
        <f t="shared" si="41"/>
        <v>0</v>
      </c>
      <c r="AD105" s="89">
        <f t="shared" si="41"/>
        <v>0</v>
      </c>
      <c r="AE105" s="89">
        <f t="shared" si="41"/>
        <v>0</v>
      </c>
      <c r="AF105" s="89">
        <f t="shared" si="41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52</v>
      </c>
      <c r="BH105" s="82">
        <v>0</v>
      </c>
      <c r="BI105" s="82">
        <v>0</v>
      </c>
      <c r="BJ105" s="82">
        <v>14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2"/>
        <v>0</v>
      </c>
      <c r="C106" s="89">
        <f t="shared" si="41"/>
        <v>282</v>
      </c>
      <c r="D106" s="89">
        <f t="shared" si="41"/>
        <v>281</v>
      </c>
      <c r="E106" s="89">
        <f t="shared" si="41"/>
        <v>292</v>
      </c>
      <c r="F106" s="89">
        <f t="shared" si="41"/>
        <v>290</v>
      </c>
      <c r="G106" s="89">
        <f t="shared" si="41"/>
        <v>295</v>
      </c>
      <c r="H106" s="89">
        <f t="shared" si="41"/>
        <v>298</v>
      </c>
      <c r="I106" s="89">
        <f t="shared" si="41"/>
        <v>292</v>
      </c>
      <c r="J106" s="89">
        <f t="shared" si="41"/>
        <v>0</v>
      </c>
      <c r="K106" s="89">
        <f t="shared" si="41"/>
        <v>0</v>
      </c>
      <c r="L106" s="89">
        <f t="shared" si="41"/>
        <v>0</v>
      </c>
      <c r="M106" s="89">
        <f t="shared" si="41"/>
        <v>0</v>
      </c>
      <c r="N106" s="89">
        <f t="shared" si="41"/>
        <v>0</v>
      </c>
      <c r="O106" s="89">
        <f t="shared" si="41"/>
        <v>0</v>
      </c>
      <c r="P106" s="89">
        <f t="shared" si="41"/>
        <v>108</v>
      </c>
      <c r="Q106" s="89">
        <f t="shared" si="41"/>
        <v>19</v>
      </c>
      <c r="R106" s="89">
        <f t="shared" si="41"/>
        <v>15</v>
      </c>
      <c r="S106" s="89">
        <f t="shared" si="41"/>
        <v>0</v>
      </c>
      <c r="T106" s="89">
        <f t="shared" si="41"/>
        <v>15</v>
      </c>
      <c r="U106" s="89">
        <f t="shared" si="41"/>
        <v>5</v>
      </c>
      <c r="V106" s="89">
        <f t="shared" si="41"/>
        <v>26</v>
      </c>
      <c r="W106" s="89">
        <f t="shared" si="41"/>
        <v>0</v>
      </c>
      <c r="X106" s="89">
        <f t="shared" si="41"/>
        <v>21</v>
      </c>
      <c r="Y106" s="89">
        <f t="shared" si="41"/>
        <v>109</v>
      </c>
      <c r="Z106" s="89">
        <f t="shared" si="41"/>
        <v>119</v>
      </c>
      <c r="AA106" s="89">
        <f t="shared" si="41"/>
        <v>116</v>
      </c>
      <c r="AB106" s="89">
        <f t="shared" si="41"/>
        <v>116</v>
      </c>
      <c r="AC106" s="89">
        <f t="shared" si="41"/>
        <v>115.6</v>
      </c>
      <c r="AD106" s="89">
        <f t="shared" si="41"/>
        <v>125.1</v>
      </c>
      <c r="AE106" s="89">
        <f t="shared" si="41"/>
        <v>145</v>
      </c>
      <c r="AF106" s="89">
        <f t="shared" si="41"/>
        <v>108.1</v>
      </c>
      <c r="AG106" s="111"/>
      <c r="AH106" s="48">
        <f t="shared" si="29"/>
        <v>298</v>
      </c>
      <c r="AI106" s="49">
        <f t="shared" si="30"/>
        <v>0</v>
      </c>
    </row>
    <row r="107" spans="1:64" x14ac:dyDescent="0.25">
      <c r="A107" s="97" t="s">
        <v>107</v>
      </c>
      <c r="B107" s="89">
        <f t="shared" si="42"/>
        <v>0</v>
      </c>
      <c r="C107" s="89">
        <f t="shared" si="41"/>
        <v>0</v>
      </c>
      <c r="D107" s="89">
        <f t="shared" si="41"/>
        <v>0</v>
      </c>
      <c r="E107" s="89">
        <f t="shared" si="41"/>
        <v>0</v>
      </c>
      <c r="F107" s="89">
        <f t="shared" si="41"/>
        <v>0</v>
      </c>
      <c r="G107" s="89">
        <f t="shared" si="41"/>
        <v>0</v>
      </c>
      <c r="H107" s="89">
        <f t="shared" si="41"/>
        <v>0</v>
      </c>
      <c r="I107" s="89">
        <f t="shared" si="41"/>
        <v>0</v>
      </c>
      <c r="J107" s="89">
        <f t="shared" si="41"/>
        <v>0</v>
      </c>
      <c r="K107" s="89">
        <f t="shared" si="41"/>
        <v>0</v>
      </c>
      <c r="L107" s="89">
        <f t="shared" si="41"/>
        <v>0</v>
      </c>
      <c r="M107" s="89">
        <f t="shared" si="41"/>
        <v>0</v>
      </c>
      <c r="N107" s="89">
        <f t="shared" si="41"/>
        <v>0</v>
      </c>
      <c r="O107" s="89">
        <f t="shared" si="41"/>
        <v>0</v>
      </c>
      <c r="P107" s="89">
        <f t="shared" si="41"/>
        <v>0</v>
      </c>
      <c r="Q107" s="89">
        <f t="shared" si="41"/>
        <v>0</v>
      </c>
      <c r="R107" s="89">
        <f t="shared" si="41"/>
        <v>0</v>
      </c>
      <c r="S107" s="89">
        <f t="shared" si="41"/>
        <v>0</v>
      </c>
      <c r="T107" s="89">
        <f t="shared" si="41"/>
        <v>0</v>
      </c>
      <c r="U107" s="89">
        <f t="shared" si="41"/>
        <v>0</v>
      </c>
      <c r="V107" s="89">
        <f t="shared" si="41"/>
        <v>0</v>
      </c>
      <c r="W107" s="89">
        <f t="shared" si="41"/>
        <v>0</v>
      </c>
      <c r="X107" s="89">
        <f t="shared" si="41"/>
        <v>0</v>
      </c>
      <c r="Y107" s="89">
        <f t="shared" si="41"/>
        <v>0</v>
      </c>
      <c r="Z107" s="89">
        <f t="shared" si="41"/>
        <v>0</v>
      </c>
      <c r="AA107" s="89">
        <f t="shared" si="41"/>
        <v>0</v>
      </c>
      <c r="AB107" s="89">
        <f t="shared" si="41"/>
        <v>0</v>
      </c>
      <c r="AC107" s="89">
        <f t="shared" si="41"/>
        <v>0</v>
      </c>
      <c r="AD107" s="89">
        <f t="shared" si="41"/>
        <v>0</v>
      </c>
      <c r="AE107" s="89">
        <f t="shared" si="41"/>
        <v>0</v>
      </c>
      <c r="AF107" s="89">
        <f t="shared" si="41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42"/>
        <v>0</v>
      </c>
      <c r="C108" s="89">
        <f t="shared" si="41"/>
        <v>0</v>
      </c>
      <c r="D108" s="89">
        <f t="shared" si="41"/>
        <v>0</v>
      </c>
      <c r="E108" s="89">
        <f t="shared" si="41"/>
        <v>0</v>
      </c>
      <c r="F108" s="89">
        <f t="shared" si="41"/>
        <v>0</v>
      </c>
      <c r="G108" s="89">
        <f t="shared" si="41"/>
        <v>0</v>
      </c>
      <c r="H108" s="89">
        <f t="shared" si="41"/>
        <v>0</v>
      </c>
      <c r="I108" s="89">
        <f t="shared" si="41"/>
        <v>0</v>
      </c>
      <c r="J108" s="89">
        <f t="shared" si="41"/>
        <v>0</v>
      </c>
      <c r="K108" s="89">
        <f t="shared" si="41"/>
        <v>0</v>
      </c>
      <c r="L108" s="89">
        <f t="shared" si="41"/>
        <v>0</v>
      </c>
      <c r="M108" s="89">
        <f t="shared" si="41"/>
        <v>0</v>
      </c>
      <c r="N108" s="89">
        <f t="shared" si="41"/>
        <v>0</v>
      </c>
      <c r="O108" s="89">
        <f t="shared" si="41"/>
        <v>0</v>
      </c>
      <c r="P108" s="89">
        <f t="shared" si="41"/>
        <v>0</v>
      </c>
      <c r="Q108" s="89">
        <f t="shared" si="41"/>
        <v>0</v>
      </c>
      <c r="R108" s="89">
        <f t="shared" si="41"/>
        <v>0</v>
      </c>
      <c r="S108" s="89">
        <f t="shared" si="41"/>
        <v>0</v>
      </c>
      <c r="T108" s="89">
        <f t="shared" si="41"/>
        <v>0</v>
      </c>
      <c r="U108" s="89">
        <f t="shared" si="41"/>
        <v>0</v>
      </c>
      <c r="V108" s="89">
        <f t="shared" si="41"/>
        <v>0</v>
      </c>
      <c r="W108" s="89">
        <f t="shared" si="41"/>
        <v>0</v>
      </c>
      <c r="X108" s="89">
        <f t="shared" si="41"/>
        <v>0</v>
      </c>
      <c r="Y108" s="89">
        <f t="shared" si="41"/>
        <v>0</v>
      </c>
      <c r="Z108" s="89">
        <f t="shared" si="41"/>
        <v>0</v>
      </c>
      <c r="AA108" s="89">
        <f t="shared" si="41"/>
        <v>0</v>
      </c>
      <c r="AB108" s="89">
        <f t="shared" si="41"/>
        <v>0</v>
      </c>
      <c r="AC108" s="89">
        <f t="shared" si="41"/>
        <v>0</v>
      </c>
      <c r="AD108" s="89">
        <f t="shared" si="41"/>
        <v>0</v>
      </c>
      <c r="AE108" s="89">
        <f t="shared" si="41"/>
        <v>0</v>
      </c>
      <c r="AF108" s="89">
        <f t="shared" si="41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42"/>
        <v>0</v>
      </c>
      <c r="C109" s="89">
        <f t="shared" si="41"/>
        <v>0</v>
      </c>
      <c r="D109" s="89">
        <f t="shared" si="41"/>
        <v>0</v>
      </c>
      <c r="E109" s="89">
        <f t="shared" si="41"/>
        <v>0</v>
      </c>
      <c r="F109" s="89">
        <f t="shared" si="41"/>
        <v>0</v>
      </c>
      <c r="G109" s="89">
        <f t="shared" si="41"/>
        <v>0</v>
      </c>
      <c r="H109" s="89">
        <f t="shared" si="41"/>
        <v>0</v>
      </c>
      <c r="I109" s="89">
        <f t="shared" si="41"/>
        <v>0</v>
      </c>
      <c r="J109" s="89">
        <f t="shared" si="41"/>
        <v>0</v>
      </c>
      <c r="K109" s="89">
        <f t="shared" si="41"/>
        <v>0</v>
      </c>
      <c r="L109" s="89">
        <f t="shared" si="41"/>
        <v>0</v>
      </c>
      <c r="M109" s="89">
        <f t="shared" si="41"/>
        <v>0</v>
      </c>
      <c r="N109" s="89">
        <f t="shared" si="41"/>
        <v>0</v>
      </c>
      <c r="O109" s="89">
        <f t="shared" si="41"/>
        <v>0</v>
      </c>
      <c r="P109" s="89">
        <f t="shared" si="41"/>
        <v>0</v>
      </c>
      <c r="Q109" s="89">
        <f t="shared" si="41"/>
        <v>0</v>
      </c>
      <c r="R109" s="89">
        <f t="shared" si="41"/>
        <v>0</v>
      </c>
      <c r="S109" s="89">
        <f t="shared" si="41"/>
        <v>0</v>
      </c>
      <c r="T109" s="89">
        <f t="shared" si="41"/>
        <v>0</v>
      </c>
      <c r="U109" s="89">
        <f t="shared" si="41"/>
        <v>0</v>
      </c>
      <c r="V109" s="89">
        <f t="shared" si="41"/>
        <v>0</v>
      </c>
      <c r="W109" s="89">
        <f t="shared" si="41"/>
        <v>0</v>
      </c>
      <c r="X109" s="89">
        <f t="shared" si="41"/>
        <v>0</v>
      </c>
      <c r="Y109" s="89">
        <f t="shared" si="41"/>
        <v>0</v>
      </c>
      <c r="Z109" s="89">
        <f t="shared" si="41"/>
        <v>0</v>
      </c>
      <c r="AA109" s="89">
        <f t="shared" si="41"/>
        <v>0</v>
      </c>
      <c r="AB109" s="89">
        <f t="shared" si="41"/>
        <v>0</v>
      </c>
      <c r="AC109" s="89">
        <f t="shared" si="41"/>
        <v>0</v>
      </c>
      <c r="AD109" s="89">
        <f t="shared" si="41"/>
        <v>0</v>
      </c>
      <c r="AE109" s="89">
        <f t="shared" si="41"/>
        <v>0</v>
      </c>
      <c r="AF109" s="89">
        <f t="shared" si="41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0</v>
      </c>
      <c r="C110" s="71">
        <f t="shared" ref="C110:AF110" si="43">SUM(C104:C109)</f>
        <v>282</v>
      </c>
      <c r="D110" s="71">
        <f t="shared" si="43"/>
        <v>281</v>
      </c>
      <c r="E110" s="71">
        <f t="shared" si="43"/>
        <v>292</v>
      </c>
      <c r="F110" s="71">
        <f t="shared" si="43"/>
        <v>290</v>
      </c>
      <c r="G110" s="71">
        <f t="shared" si="43"/>
        <v>295</v>
      </c>
      <c r="H110" s="71">
        <f t="shared" si="43"/>
        <v>298</v>
      </c>
      <c r="I110" s="71">
        <f t="shared" si="43"/>
        <v>292</v>
      </c>
      <c r="J110" s="71">
        <f t="shared" si="43"/>
        <v>0</v>
      </c>
      <c r="K110" s="71">
        <f t="shared" si="43"/>
        <v>0</v>
      </c>
      <c r="L110" s="71">
        <f t="shared" si="43"/>
        <v>0</v>
      </c>
      <c r="M110" s="71">
        <f t="shared" si="43"/>
        <v>0</v>
      </c>
      <c r="N110" s="71">
        <f t="shared" si="43"/>
        <v>0</v>
      </c>
      <c r="O110" s="71">
        <f t="shared" si="43"/>
        <v>0</v>
      </c>
      <c r="P110" s="71">
        <f t="shared" si="43"/>
        <v>108</v>
      </c>
      <c r="Q110" s="71">
        <f t="shared" si="43"/>
        <v>19</v>
      </c>
      <c r="R110" s="71">
        <f t="shared" si="43"/>
        <v>15</v>
      </c>
      <c r="S110" s="71">
        <f t="shared" si="43"/>
        <v>0</v>
      </c>
      <c r="T110" s="71">
        <f t="shared" si="43"/>
        <v>15</v>
      </c>
      <c r="U110" s="71">
        <f t="shared" si="43"/>
        <v>5</v>
      </c>
      <c r="V110" s="71">
        <f t="shared" si="43"/>
        <v>26</v>
      </c>
      <c r="W110" s="71">
        <f t="shared" si="43"/>
        <v>0</v>
      </c>
      <c r="X110" s="71">
        <f t="shared" si="43"/>
        <v>21</v>
      </c>
      <c r="Y110" s="71">
        <f t="shared" si="43"/>
        <v>109</v>
      </c>
      <c r="Z110" s="71">
        <f t="shared" si="43"/>
        <v>119</v>
      </c>
      <c r="AA110" s="71">
        <f t="shared" si="43"/>
        <v>116</v>
      </c>
      <c r="AB110" s="71">
        <f t="shared" si="43"/>
        <v>116</v>
      </c>
      <c r="AC110" s="71">
        <f t="shared" si="43"/>
        <v>115.6</v>
      </c>
      <c r="AD110" s="71">
        <f t="shared" si="43"/>
        <v>125.1</v>
      </c>
      <c r="AE110" s="71">
        <f t="shared" si="43"/>
        <v>145</v>
      </c>
      <c r="AF110" s="71">
        <f t="shared" si="43"/>
        <v>108.1</v>
      </c>
      <c r="AG110" s="101"/>
      <c r="AH110" s="48">
        <f t="shared" si="29"/>
        <v>298</v>
      </c>
      <c r="AI110" s="49">
        <f t="shared" si="30"/>
        <v>0</v>
      </c>
    </row>
    <row r="111" spans="1:64" ht="15.75" thickBot="1" x14ac:dyDescent="0.3">
      <c r="A111" s="87" t="s">
        <v>131</v>
      </c>
      <c r="B111" s="71">
        <f t="shared" ref="B111:AF111" si="44">B95-B110</f>
        <v>66</v>
      </c>
      <c r="C111" s="71">
        <f t="shared" si="44"/>
        <v>-213</v>
      </c>
      <c r="D111" s="71">
        <f t="shared" si="44"/>
        <v>-212</v>
      </c>
      <c r="E111" s="71">
        <f t="shared" si="44"/>
        <v>-223.1</v>
      </c>
      <c r="F111" s="71">
        <f t="shared" si="44"/>
        <v>-238</v>
      </c>
      <c r="G111" s="71">
        <f t="shared" si="44"/>
        <v>-240</v>
      </c>
      <c r="H111" s="71">
        <f t="shared" si="44"/>
        <v>-251</v>
      </c>
      <c r="I111" s="71">
        <f t="shared" si="44"/>
        <v>-244</v>
      </c>
      <c r="J111" s="71">
        <f t="shared" si="44"/>
        <v>142</v>
      </c>
      <c r="K111" s="71">
        <f t="shared" si="44"/>
        <v>273.5</v>
      </c>
      <c r="L111" s="71">
        <f t="shared" si="44"/>
        <v>325.5</v>
      </c>
      <c r="M111" s="71">
        <f t="shared" si="44"/>
        <v>320.39999999999998</v>
      </c>
      <c r="N111" s="71">
        <f t="shared" si="44"/>
        <v>347.20000000000005</v>
      </c>
      <c r="O111" s="71">
        <f t="shared" si="44"/>
        <v>343.9</v>
      </c>
      <c r="P111" s="71">
        <f t="shared" si="44"/>
        <v>65.900000000000006</v>
      </c>
      <c r="Q111" s="71">
        <f t="shared" si="44"/>
        <v>165.3</v>
      </c>
      <c r="R111" s="71">
        <f t="shared" si="44"/>
        <v>166.3</v>
      </c>
      <c r="S111" s="71">
        <f t="shared" si="44"/>
        <v>177</v>
      </c>
      <c r="T111" s="71">
        <f t="shared" si="44"/>
        <v>157.6</v>
      </c>
      <c r="U111" s="71">
        <f t="shared" si="44"/>
        <v>187.4</v>
      </c>
      <c r="V111" s="71">
        <f t="shared" si="44"/>
        <v>177.2</v>
      </c>
      <c r="W111" s="71">
        <f t="shared" si="44"/>
        <v>0</v>
      </c>
      <c r="X111" s="71">
        <f t="shared" si="44"/>
        <v>153</v>
      </c>
      <c r="Y111" s="71">
        <f t="shared" si="44"/>
        <v>-72</v>
      </c>
      <c r="Z111" s="71">
        <f t="shared" si="44"/>
        <v>-112</v>
      </c>
      <c r="AA111" s="71">
        <f t="shared" si="44"/>
        <v>-101</v>
      </c>
      <c r="AB111" s="71">
        <f t="shared" si="44"/>
        <v>-54</v>
      </c>
      <c r="AC111" s="71">
        <f t="shared" si="44"/>
        <v>-53.599999999999994</v>
      </c>
      <c r="AD111" s="71">
        <f t="shared" si="44"/>
        <v>-63.099999999999994</v>
      </c>
      <c r="AE111" s="71">
        <f t="shared" si="44"/>
        <v>-115</v>
      </c>
      <c r="AF111" s="71">
        <f t="shared" si="44"/>
        <v>-108.1</v>
      </c>
      <c r="AG111" s="101"/>
      <c r="AH111" s="48">
        <f t="shared" si="29"/>
        <v>347.20000000000005</v>
      </c>
      <c r="AI111" s="49">
        <f t="shared" si="30"/>
        <v>-251</v>
      </c>
    </row>
    <row r="112" spans="1:64" x14ac:dyDescent="0.25">
      <c r="A112" s="113" t="s">
        <v>132</v>
      </c>
      <c r="B112" s="114">
        <v>49.996000000000002</v>
      </c>
      <c r="C112" s="114">
        <v>50.012</v>
      </c>
      <c r="D112" s="114">
        <v>50.02</v>
      </c>
      <c r="E112" s="114">
        <v>49.951999999999998</v>
      </c>
      <c r="F112" s="114">
        <v>50.04</v>
      </c>
      <c r="G112" s="114">
        <v>49.941000000000003</v>
      </c>
      <c r="H112" s="114">
        <v>49.97</v>
      </c>
      <c r="I112" s="114">
        <v>49.920999999999999</v>
      </c>
      <c r="J112" s="114">
        <v>50</v>
      </c>
      <c r="K112" s="114">
        <v>49.981000000000002</v>
      </c>
      <c r="L112" s="114">
        <v>49.962000000000003</v>
      </c>
      <c r="M112" s="114">
        <v>50.024999999999999</v>
      </c>
      <c r="N112" s="114">
        <v>50.08</v>
      </c>
      <c r="O112" s="114">
        <v>50.026000000000003</v>
      </c>
      <c r="P112" s="114">
        <v>49.97</v>
      </c>
      <c r="Q112" s="114">
        <v>49.924999999999997</v>
      </c>
      <c r="R112" s="114">
        <v>49.95</v>
      </c>
      <c r="S112" s="114">
        <v>49.936999999999998</v>
      </c>
      <c r="T112" s="114">
        <v>50.064999999999998</v>
      </c>
      <c r="U112" s="114">
        <v>50.076000000000001</v>
      </c>
      <c r="V112" s="114"/>
      <c r="W112" s="114"/>
      <c r="X112" s="114"/>
      <c r="Y112" s="114"/>
      <c r="Z112" s="114">
        <v>50.012999999999998</v>
      </c>
      <c r="AA112" s="114">
        <v>49.984999999999999</v>
      </c>
      <c r="AB112" s="114">
        <v>49.91</v>
      </c>
      <c r="AC112" s="114">
        <v>49.908999999999999</v>
      </c>
      <c r="AD112" s="114">
        <v>49.939</v>
      </c>
      <c r="AE112" s="114">
        <v>50.015999999999998</v>
      </c>
      <c r="AF112" s="114">
        <v>49.954999999999998</v>
      </c>
      <c r="AG112" s="115"/>
      <c r="AH112" s="48">
        <f t="shared" si="29"/>
        <v>50.08</v>
      </c>
      <c r="AI112" s="49">
        <f t="shared" si="30"/>
        <v>49.908999999999999</v>
      </c>
    </row>
    <row r="113" spans="1:35" x14ac:dyDescent="0.25">
      <c r="A113" s="116" t="s">
        <v>133</v>
      </c>
      <c r="B113" s="76">
        <v>125.3</v>
      </c>
      <c r="C113" s="76">
        <v>124.7</v>
      </c>
      <c r="D113" s="76">
        <v>124</v>
      </c>
      <c r="E113" s="76">
        <v>125</v>
      </c>
      <c r="F113" s="76">
        <v>125</v>
      </c>
      <c r="G113" s="76">
        <v>125</v>
      </c>
      <c r="H113" s="76">
        <v>125</v>
      </c>
      <c r="I113" s="76">
        <v>125</v>
      </c>
      <c r="J113" s="76">
        <v>127</v>
      </c>
      <c r="K113" s="76">
        <v>126</v>
      </c>
      <c r="L113" s="76">
        <v>126</v>
      </c>
      <c r="M113" s="76">
        <v>125.7</v>
      </c>
      <c r="N113" s="76">
        <v>125.2</v>
      </c>
      <c r="O113" s="76">
        <v>124.8</v>
      </c>
      <c r="P113" s="76">
        <v>125.2</v>
      </c>
      <c r="Q113" s="76">
        <v>124.1</v>
      </c>
      <c r="R113" s="76">
        <v>124.2</v>
      </c>
      <c r="S113" s="76">
        <v>124.2</v>
      </c>
      <c r="T113" s="76">
        <v>124.9</v>
      </c>
      <c r="U113" s="76">
        <v>123.7</v>
      </c>
      <c r="V113" s="76"/>
      <c r="W113" s="76"/>
      <c r="X113" s="76"/>
      <c r="Y113" s="76"/>
      <c r="Z113" s="76">
        <v>124.9</v>
      </c>
      <c r="AA113" s="76">
        <v>125.6</v>
      </c>
      <c r="AB113" s="76">
        <v>123.6</v>
      </c>
      <c r="AC113" s="76">
        <v>124.2</v>
      </c>
      <c r="AD113" s="76">
        <v>122.7</v>
      </c>
      <c r="AE113" s="76">
        <v>124.2</v>
      </c>
      <c r="AF113" s="76">
        <v>123.9</v>
      </c>
      <c r="AG113" s="117"/>
      <c r="AH113" s="48">
        <f t="shared" si="29"/>
        <v>127</v>
      </c>
      <c r="AI113" s="49">
        <f t="shared" si="30"/>
        <v>122.7</v>
      </c>
    </row>
    <row r="114" spans="1:35" x14ac:dyDescent="0.25">
      <c r="A114" s="116" t="s">
        <v>134</v>
      </c>
      <c r="B114" s="76">
        <v>130</v>
      </c>
      <c r="C114" s="76">
        <v>129.6</v>
      </c>
      <c r="D114" s="76">
        <v>129</v>
      </c>
      <c r="E114" s="76">
        <v>130</v>
      </c>
      <c r="F114" s="76">
        <v>130</v>
      </c>
      <c r="G114" s="76">
        <v>130</v>
      </c>
      <c r="H114" s="76">
        <v>130</v>
      </c>
      <c r="I114" s="76">
        <v>130</v>
      </c>
      <c r="J114" s="76">
        <v>130</v>
      </c>
      <c r="K114" s="76">
        <v>129</v>
      </c>
      <c r="L114" s="76">
        <v>129</v>
      </c>
      <c r="M114" s="76">
        <v>128.30000000000001</v>
      </c>
      <c r="N114" s="76">
        <v>128.19999999999999</v>
      </c>
      <c r="O114" s="76">
        <v>127.9</v>
      </c>
      <c r="P114" s="76">
        <v>128.6</v>
      </c>
      <c r="Q114" s="76">
        <v>128.30000000000001</v>
      </c>
      <c r="R114" s="76">
        <v>128.19999999999999</v>
      </c>
      <c r="S114" s="76">
        <v>128.80000000000001</v>
      </c>
      <c r="T114" s="76">
        <v>129.19999999999999</v>
      </c>
      <c r="U114" s="76">
        <v>128.80000000000001</v>
      </c>
      <c r="V114" s="76"/>
      <c r="W114" s="76"/>
      <c r="X114" s="76"/>
      <c r="Y114" s="76"/>
      <c r="Z114" s="76">
        <v>127.5</v>
      </c>
      <c r="AA114" s="76">
        <v>127.7</v>
      </c>
      <c r="AB114" s="76">
        <v>125.4</v>
      </c>
      <c r="AC114" s="76">
        <v>126.9</v>
      </c>
      <c r="AD114" s="76">
        <v>125.6</v>
      </c>
      <c r="AE114" s="76">
        <v>128.30000000000001</v>
      </c>
      <c r="AF114" s="76">
        <v>127.4</v>
      </c>
      <c r="AG114" s="117"/>
      <c r="AH114" s="48">
        <f t="shared" si="29"/>
        <v>130</v>
      </c>
      <c r="AI114" s="49">
        <f t="shared" si="30"/>
        <v>125.4</v>
      </c>
    </row>
    <row r="115" spans="1:35" x14ac:dyDescent="0.25">
      <c r="A115" s="116" t="s">
        <v>135</v>
      </c>
      <c r="B115" s="76">
        <v>131.80000000000001</v>
      </c>
      <c r="C115" s="76">
        <v>131</v>
      </c>
      <c r="D115" s="76">
        <v>132</v>
      </c>
      <c r="E115" s="76">
        <v>132</v>
      </c>
      <c r="F115" s="76">
        <v>132</v>
      </c>
      <c r="G115" s="76">
        <v>132</v>
      </c>
      <c r="H115" s="76">
        <v>132</v>
      </c>
      <c r="I115" s="76">
        <v>132</v>
      </c>
      <c r="J115" s="76">
        <v>132</v>
      </c>
      <c r="K115" s="76">
        <v>131</v>
      </c>
      <c r="L115" s="76">
        <v>131</v>
      </c>
      <c r="M115" s="76">
        <v>130.6</v>
      </c>
      <c r="N115" s="76">
        <v>130.6</v>
      </c>
      <c r="O115" s="76">
        <v>127.1</v>
      </c>
      <c r="P115" s="76">
        <v>128.1</v>
      </c>
      <c r="Q115" s="76">
        <v>127.2</v>
      </c>
      <c r="R115" s="76">
        <v>127.7</v>
      </c>
      <c r="S115" s="76">
        <v>130</v>
      </c>
      <c r="T115" s="76">
        <v>128.6</v>
      </c>
      <c r="U115" s="76">
        <v>130.80000000000001</v>
      </c>
      <c r="V115" s="76"/>
      <c r="W115" s="76"/>
      <c r="X115" s="76"/>
      <c r="Y115" s="76"/>
      <c r="Z115" s="76">
        <v>128.80000000000001</v>
      </c>
      <c r="AA115" s="76">
        <v>129.6</v>
      </c>
      <c r="AB115" s="76">
        <v>129.80000000000001</v>
      </c>
      <c r="AC115" s="76">
        <v>127.4</v>
      </c>
      <c r="AD115" s="76">
        <v>128.80000000000001</v>
      </c>
      <c r="AE115" s="76">
        <v>132.1</v>
      </c>
      <c r="AF115" s="76">
        <v>132.19999999999999</v>
      </c>
      <c r="AG115" s="117"/>
      <c r="AH115" s="48">
        <f t="shared" si="29"/>
        <v>132.19999999999999</v>
      </c>
      <c r="AI115" s="49">
        <f t="shared" si="30"/>
        <v>127.1</v>
      </c>
    </row>
    <row r="116" spans="1:35" x14ac:dyDescent="0.25">
      <c r="A116" s="118" t="s">
        <v>136</v>
      </c>
      <c r="B116" s="76">
        <v>132.6</v>
      </c>
      <c r="C116" s="76">
        <v>133</v>
      </c>
      <c r="D116" s="76">
        <v>133.5</v>
      </c>
      <c r="E116" s="76">
        <v>133</v>
      </c>
      <c r="F116" s="76">
        <v>133</v>
      </c>
      <c r="G116" s="76">
        <v>133</v>
      </c>
      <c r="H116" s="76">
        <v>133</v>
      </c>
      <c r="I116" s="76">
        <v>133</v>
      </c>
      <c r="J116" s="76">
        <v>133</v>
      </c>
      <c r="K116" s="76">
        <v>133</v>
      </c>
      <c r="L116" s="76">
        <v>133</v>
      </c>
      <c r="M116" s="76">
        <v>131.69999999999999</v>
      </c>
      <c r="N116" s="76">
        <v>131.69999999999999</v>
      </c>
      <c r="O116" s="76">
        <v>127.5</v>
      </c>
      <c r="P116" s="76">
        <v>128.1</v>
      </c>
      <c r="Q116" s="76">
        <v>127.8</v>
      </c>
      <c r="R116" s="76">
        <v>127.7</v>
      </c>
      <c r="S116" s="76">
        <v>130.4</v>
      </c>
      <c r="T116" s="76">
        <v>129.69999999999999</v>
      </c>
      <c r="U116" s="76">
        <v>132.4</v>
      </c>
      <c r="V116" s="76"/>
      <c r="W116" s="76"/>
      <c r="X116" s="76"/>
      <c r="Y116" s="76"/>
      <c r="Z116" s="76">
        <v>130.19999999999999</v>
      </c>
      <c r="AA116" s="76">
        <v>132.30000000000001</v>
      </c>
      <c r="AB116" s="76">
        <v>132.30000000000001</v>
      </c>
      <c r="AC116" s="76">
        <v>130.6</v>
      </c>
      <c r="AD116" s="76">
        <v>130.9</v>
      </c>
      <c r="AE116" s="76">
        <v>133.9</v>
      </c>
      <c r="AF116" s="76">
        <v>133.80000000000001</v>
      </c>
      <c r="AG116" s="117"/>
      <c r="AH116" s="48">
        <f t="shared" si="29"/>
        <v>133.9</v>
      </c>
      <c r="AI116" s="49">
        <f t="shared" si="30"/>
        <v>127.5</v>
      </c>
    </row>
    <row r="117" spans="1:35" x14ac:dyDescent="0.25">
      <c r="A117" s="118" t="s">
        <v>137</v>
      </c>
      <c r="B117" s="119">
        <v>133.1</v>
      </c>
      <c r="C117" s="119">
        <v>133.30000000000001</v>
      </c>
      <c r="D117" s="119">
        <v>130.1</v>
      </c>
      <c r="E117" s="119">
        <v>133.69999999999999</v>
      </c>
      <c r="F117" s="119">
        <v>133.69999999999999</v>
      </c>
      <c r="G117" s="119">
        <v>133.69999999999999</v>
      </c>
      <c r="H117" s="119">
        <v>133.69999999999999</v>
      </c>
      <c r="I117" s="119">
        <v>133.69999999999999</v>
      </c>
      <c r="J117" s="119">
        <v>133.69999999999999</v>
      </c>
      <c r="K117" s="119">
        <v>133.9</v>
      </c>
      <c r="L117" s="119">
        <v>133.9</v>
      </c>
      <c r="M117" s="119">
        <v>129.4</v>
      </c>
      <c r="N117" s="119">
        <v>129.4</v>
      </c>
      <c r="O117" s="119">
        <v>131.19999999999999</v>
      </c>
      <c r="P117" s="119">
        <v>132.1</v>
      </c>
      <c r="Q117" s="119">
        <v>131</v>
      </c>
      <c r="R117" s="119">
        <v>131.69999999999999</v>
      </c>
      <c r="S117" s="119">
        <v>133.1</v>
      </c>
      <c r="T117" s="119">
        <v>131.19999999999999</v>
      </c>
      <c r="U117" s="119">
        <v>132.9</v>
      </c>
      <c r="V117" s="119"/>
      <c r="W117" s="119"/>
      <c r="X117" s="119"/>
      <c r="Y117" s="119"/>
      <c r="Z117" s="119">
        <v>132.4</v>
      </c>
      <c r="AA117" s="119">
        <v>134.30000000000001</v>
      </c>
      <c r="AB117" s="119">
        <v>131.30000000000001</v>
      </c>
      <c r="AC117" s="119">
        <v>133.80000000000001</v>
      </c>
      <c r="AD117" s="119">
        <v>134.1</v>
      </c>
      <c r="AE117" s="119">
        <v>132.19999999999999</v>
      </c>
      <c r="AF117" s="119">
        <v>130.80000000000001</v>
      </c>
      <c r="AG117" s="120"/>
      <c r="AH117" s="48">
        <f t="shared" si="29"/>
        <v>134.30000000000001</v>
      </c>
      <c r="AI117" s="49">
        <f t="shared" si="30"/>
        <v>129.4</v>
      </c>
    </row>
    <row r="118" spans="1:35" x14ac:dyDescent="0.25">
      <c r="A118" s="116" t="s">
        <v>138</v>
      </c>
      <c r="B118" s="76">
        <v>128.19999999999999</v>
      </c>
      <c r="C118" s="76">
        <v>128</v>
      </c>
      <c r="D118" s="76">
        <v>128</v>
      </c>
      <c r="E118" s="76">
        <v>130</v>
      </c>
      <c r="F118" s="76">
        <v>130</v>
      </c>
      <c r="G118" s="76">
        <v>130</v>
      </c>
      <c r="H118" s="76">
        <v>130</v>
      </c>
      <c r="I118" s="76">
        <v>130</v>
      </c>
      <c r="J118" s="76">
        <v>130</v>
      </c>
      <c r="K118" s="76">
        <v>132</v>
      </c>
      <c r="L118" s="76">
        <v>132</v>
      </c>
      <c r="M118" s="76">
        <v>127.2</v>
      </c>
      <c r="N118" s="76">
        <v>127.2</v>
      </c>
      <c r="O118" s="76">
        <v>129</v>
      </c>
      <c r="P118" s="76">
        <v>126</v>
      </c>
      <c r="Q118" s="76">
        <v>126.4</v>
      </c>
      <c r="R118" s="76">
        <v>128.30000000000001</v>
      </c>
      <c r="S118" s="76">
        <v>128.6</v>
      </c>
      <c r="T118" s="76">
        <v>133.5</v>
      </c>
      <c r="U118" s="76">
        <v>127</v>
      </c>
      <c r="V118" s="76"/>
      <c r="W118" s="76"/>
      <c r="X118" s="76"/>
      <c r="Y118" s="76"/>
      <c r="Z118" s="76">
        <v>131.1</v>
      </c>
      <c r="AA118" s="76">
        <v>130</v>
      </c>
      <c r="AB118" s="76">
        <v>130</v>
      </c>
      <c r="AC118" s="76">
        <v>129.1</v>
      </c>
      <c r="AD118" s="76">
        <v>122.4</v>
      </c>
      <c r="AE118" s="76">
        <v>130</v>
      </c>
      <c r="AF118" s="76">
        <v>121.1</v>
      </c>
      <c r="AG118" s="117"/>
      <c r="AH118" s="48">
        <f t="shared" si="29"/>
        <v>133.5</v>
      </c>
      <c r="AI118" s="49">
        <f t="shared" si="30"/>
        <v>121.1</v>
      </c>
    </row>
    <row r="119" spans="1:35" ht="15.75" thickBot="1" x14ac:dyDescent="0.3">
      <c r="A119" s="116" t="s">
        <v>139</v>
      </c>
      <c r="B119" s="105">
        <v>65.5</v>
      </c>
      <c r="C119" s="105">
        <v>65.400000000000006</v>
      </c>
      <c r="D119" s="105">
        <v>65.2</v>
      </c>
      <c r="E119" s="105">
        <v>65.400000000000006</v>
      </c>
      <c r="F119" s="105">
        <v>65.400000000000006</v>
      </c>
      <c r="G119" s="105">
        <v>65.400000000000006</v>
      </c>
      <c r="H119" s="105">
        <v>65.400000000000006</v>
      </c>
      <c r="I119" s="105">
        <v>65.400000000000006</v>
      </c>
      <c r="J119" s="105">
        <v>65.400000000000006</v>
      </c>
      <c r="K119" s="105">
        <v>64.900000000000006</v>
      </c>
      <c r="L119" s="105">
        <v>64.900000000000006</v>
      </c>
      <c r="M119" s="105">
        <v>64.5</v>
      </c>
      <c r="N119" s="105">
        <v>64.2</v>
      </c>
      <c r="O119" s="105">
        <v>64.3</v>
      </c>
      <c r="P119" s="105">
        <v>64.599999999999994</v>
      </c>
      <c r="Q119" s="105">
        <v>64.5</v>
      </c>
      <c r="R119" s="105">
        <v>63.8</v>
      </c>
      <c r="S119" s="105">
        <v>64.5</v>
      </c>
      <c r="T119" s="105">
        <v>64.900000000000006</v>
      </c>
      <c r="U119" s="105">
        <v>64.7</v>
      </c>
      <c r="V119" s="105"/>
      <c r="W119" s="105"/>
      <c r="X119" s="105"/>
      <c r="Y119" s="105"/>
      <c r="Z119" s="105">
        <v>63.3</v>
      </c>
      <c r="AA119" s="105">
        <v>63.9</v>
      </c>
      <c r="AB119" s="105">
        <v>63.5</v>
      </c>
      <c r="AC119" s="105">
        <v>64</v>
      </c>
      <c r="AD119" s="105">
        <v>63.7</v>
      </c>
      <c r="AE119" s="105">
        <v>64.7</v>
      </c>
      <c r="AF119" s="105">
        <v>64.400000000000006</v>
      </c>
      <c r="AG119" s="121"/>
      <c r="AH119" s="48">
        <f t="shared" si="29"/>
        <v>65.5</v>
      </c>
      <c r="AI119" s="49">
        <f t="shared" si="30"/>
        <v>63.3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 t="shared" ref="B121:O121" si="45">SUM(B25,B31,B34:B35,B69,B71:B72,B74,B76,B122:B126,B158,B164,B170,B179,B181,B193,B200,B203:B204,B211,B213,B215,B219:B221,B223:B225,B230,B236:B237,B239:B241,B249,B254)</f>
        <v>147.43999999999997</v>
      </c>
      <c r="C121" s="124">
        <f t="shared" si="45"/>
        <v>136.23999999999998</v>
      </c>
      <c r="D121" s="124">
        <f t="shared" si="45"/>
        <v>122.74000000000001</v>
      </c>
      <c r="E121" s="124">
        <f t="shared" si="45"/>
        <v>114.44</v>
      </c>
      <c r="F121" s="124">
        <f t="shared" si="45"/>
        <v>115.54</v>
      </c>
      <c r="G121" s="124">
        <f t="shared" si="45"/>
        <v>116.24000000000002</v>
      </c>
      <c r="H121" s="124">
        <f t="shared" si="45"/>
        <v>134.73999999999995</v>
      </c>
      <c r="I121" s="124">
        <f t="shared" si="45"/>
        <v>128.53999999999996</v>
      </c>
      <c r="J121" s="124">
        <f t="shared" si="45"/>
        <v>172.73999999999998</v>
      </c>
      <c r="K121" s="124">
        <f t="shared" si="45"/>
        <v>172.73999999999998</v>
      </c>
      <c r="L121" s="124">
        <f t="shared" si="45"/>
        <v>186.64</v>
      </c>
      <c r="M121" s="124">
        <f t="shared" si="45"/>
        <v>210.74</v>
      </c>
      <c r="N121" s="124">
        <f t="shared" si="45"/>
        <v>206.14</v>
      </c>
      <c r="O121" s="124">
        <f t="shared" si="45"/>
        <v>205.54</v>
      </c>
      <c r="P121" s="124">
        <v>42</v>
      </c>
      <c r="Q121" s="124">
        <f t="shared" ref="Q121:X121" si="46">SUM(Q25,Q31,Q34:Q35,Q69,Q71:Q72,Q74,Q76,Q122:Q126,Q158,Q164,Q170,Q179,Q181,Q193,Q200,Q203:Q204,Q211,Q213,Q215,Q219:Q221,Q223:Q225,Q230,Q236:Q237,Q239:Q241,Q249,Q254)</f>
        <v>127.13999999999999</v>
      </c>
      <c r="R121" s="124">
        <f t="shared" si="46"/>
        <v>114.74</v>
      </c>
      <c r="S121" s="124">
        <f t="shared" si="46"/>
        <v>121.24000000000001</v>
      </c>
      <c r="T121" s="124">
        <f t="shared" si="46"/>
        <v>117.74000000000001</v>
      </c>
      <c r="U121" s="124">
        <f t="shared" si="46"/>
        <v>124.24000000000001</v>
      </c>
      <c r="V121" s="124">
        <f t="shared" si="46"/>
        <v>118.13999999999999</v>
      </c>
      <c r="W121" s="124">
        <f t="shared" si="46"/>
        <v>0.94</v>
      </c>
      <c r="X121" s="124">
        <f t="shared" si="46"/>
        <v>118.13999999999999</v>
      </c>
      <c r="Y121" s="124">
        <f>SUM(Y23,Y29,Y40:Y41,Y69,Y71:Y72,Y74,Y76,Y122:Y126,Y151,Y157,Y163,Y172,Y174,Y186,Y193,Y196:Y197,Y204,Y206,Y208,Y212:Y214,Y216:Y218,Y223,Y229:Y230,Y232:Y234,Y242,Y247)</f>
        <v>153.30000000000001</v>
      </c>
      <c r="Z121" s="124">
        <f>SUM(Z23,Z29,Z40:Z41,Z69,Z71:Z72,Z74,Z76,Z122:Z126,Z151,Z157,Z163,Z172,Z174,Z186,Z193,Z196:Z197,Z204,Z206,Z208,Z212:Z214,Z216:Z218,Z223,Z229:Z230,Z232:Z234,Z242,Z247)</f>
        <v>231.39999999999998</v>
      </c>
      <c r="AA121" s="124">
        <f t="shared" ref="AA121:AF121" si="47">SUM(AA25,AA31,AA34:AA35,AA69,AA71:AA72,AA74,AA76,AA122:AA126,AA158,AA164,AA170,AA179,AA181,AA193,AA200,AA203:AA204,AA211,AA213,AA215,AA219:AA221,AA223:AA225,AA230,AA236:AA237,AA239:AA241,AA249,AA254)</f>
        <v>248.04000000000002</v>
      </c>
      <c r="AB121" s="124">
        <f t="shared" si="47"/>
        <v>191.64000000000001</v>
      </c>
      <c r="AC121" s="124">
        <f t="shared" si="47"/>
        <v>177.13999999999996</v>
      </c>
      <c r="AD121" s="124">
        <f t="shared" si="47"/>
        <v>165.14</v>
      </c>
      <c r="AE121" s="124">
        <f t="shared" si="47"/>
        <v>122.33999999999997</v>
      </c>
      <c r="AF121" s="124">
        <f t="shared" si="47"/>
        <v>135.44</v>
      </c>
      <c r="AG121" s="125"/>
      <c r="AH121" s="48">
        <f t="shared" si="29"/>
        <v>248.04000000000002</v>
      </c>
      <c r="AI121" s="49">
        <f t="shared" si="30"/>
        <v>0.94</v>
      </c>
    </row>
    <row r="122" spans="1:35" x14ac:dyDescent="0.25">
      <c r="A122" s="126" t="s">
        <v>142</v>
      </c>
      <c r="B122" s="127">
        <v>71</v>
      </c>
      <c r="C122" s="127">
        <v>76</v>
      </c>
      <c r="D122" s="127">
        <v>76.900000000000006</v>
      </c>
      <c r="E122" s="127">
        <v>77.2</v>
      </c>
      <c r="F122" s="127">
        <v>79.400000000000006</v>
      </c>
      <c r="G122" s="127">
        <v>77.599999999999994</v>
      </c>
      <c r="H122" s="127">
        <v>76.5</v>
      </c>
      <c r="I122" s="127">
        <v>47</v>
      </c>
      <c r="J122" s="127">
        <v>50</v>
      </c>
      <c r="K122" s="127">
        <v>50</v>
      </c>
      <c r="L122" s="127">
        <v>52.7</v>
      </c>
      <c r="M122" s="127">
        <v>54.2</v>
      </c>
      <c r="N122" s="127">
        <v>53.6</v>
      </c>
      <c r="O122" s="127">
        <v>52</v>
      </c>
      <c r="P122" s="127">
        <v>36.799999999999997</v>
      </c>
      <c r="Q122" s="127">
        <v>33.299999999999997</v>
      </c>
      <c r="R122" s="127">
        <v>25.3</v>
      </c>
      <c r="S122" s="127">
        <v>38</v>
      </c>
      <c r="T122" s="127">
        <v>38.6</v>
      </c>
      <c r="U122" s="127">
        <v>39.4</v>
      </c>
      <c r="V122" s="127"/>
      <c r="W122" s="127"/>
      <c r="X122" s="127"/>
      <c r="Y122" s="127"/>
      <c r="Z122" s="127">
        <v>93.6</v>
      </c>
      <c r="AA122" s="127">
        <v>80</v>
      </c>
      <c r="AB122" s="127">
        <v>97.3</v>
      </c>
      <c r="AC122" s="127">
        <v>87.2</v>
      </c>
      <c r="AD122" s="127">
        <v>97.2</v>
      </c>
      <c r="AE122" s="127">
        <v>91.6</v>
      </c>
      <c r="AF122" s="127">
        <v>101.1</v>
      </c>
      <c r="AG122" s="128">
        <v>75</v>
      </c>
      <c r="AH122" s="48">
        <f t="shared" si="29"/>
        <v>101.1</v>
      </c>
      <c r="AI122" s="49">
        <f t="shared" si="30"/>
        <v>25.3</v>
      </c>
    </row>
    <row r="123" spans="1:35" x14ac:dyDescent="0.25">
      <c r="A123" s="129" t="s">
        <v>143</v>
      </c>
      <c r="B123" s="130">
        <v>97</v>
      </c>
      <c r="C123" s="130">
        <v>104</v>
      </c>
      <c r="D123" s="130">
        <v>105</v>
      </c>
      <c r="E123" s="130">
        <v>106.4</v>
      </c>
      <c r="F123" s="130">
        <v>110</v>
      </c>
      <c r="G123" s="130">
        <v>110.6</v>
      </c>
      <c r="H123" s="130">
        <v>109.4</v>
      </c>
      <c r="I123" s="130">
        <v>71</v>
      </c>
      <c r="J123" s="130">
        <v>74.599999999999994</v>
      </c>
      <c r="K123" s="130">
        <v>74.599999999999994</v>
      </c>
      <c r="L123" s="130">
        <v>78</v>
      </c>
      <c r="M123" s="130">
        <v>77.900000000000006</v>
      </c>
      <c r="N123" s="130">
        <v>76.900000000000006</v>
      </c>
      <c r="O123" s="130">
        <v>76.3</v>
      </c>
      <c r="P123" s="130">
        <v>57.8</v>
      </c>
      <c r="Q123" s="130">
        <v>55.1</v>
      </c>
      <c r="R123" s="130">
        <v>40.5</v>
      </c>
      <c r="S123" s="130">
        <v>60.3</v>
      </c>
      <c r="T123" s="130">
        <v>61.8</v>
      </c>
      <c r="U123" s="130">
        <v>60.2</v>
      </c>
      <c r="V123" s="130"/>
      <c r="W123" s="130"/>
      <c r="X123" s="130"/>
      <c r="Y123" s="130"/>
      <c r="Z123" s="130">
        <v>133</v>
      </c>
      <c r="AA123" s="130">
        <v>111.4</v>
      </c>
      <c r="AB123" s="130">
        <v>135.30000000000001</v>
      </c>
      <c r="AC123" s="130">
        <v>123.1</v>
      </c>
      <c r="AD123" s="130">
        <v>132.5</v>
      </c>
      <c r="AE123" s="130">
        <v>124.2</v>
      </c>
      <c r="AF123" s="130">
        <v>137</v>
      </c>
      <c r="AG123" s="128">
        <v>240</v>
      </c>
      <c r="AH123" s="48">
        <f t="shared" si="29"/>
        <v>137</v>
      </c>
      <c r="AI123" s="49">
        <f t="shared" si="30"/>
        <v>40.5</v>
      </c>
    </row>
    <row r="124" spans="1:35" x14ac:dyDescent="0.25">
      <c r="A124" s="129" t="s">
        <v>144</v>
      </c>
      <c r="B124" s="130">
        <v>-140</v>
      </c>
      <c r="C124" s="130">
        <v>-160</v>
      </c>
      <c r="D124" s="130">
        <v>-170</v>
      </c>
      <c r="E124" s="130">
        <v>-182</v>
      </c>
      <c r="F124" s="130">
        <v>-181</v>
      </c>
      <c r="G124" s="130">
        <v>-178</v>
      </c>
      <c r="H124" s="130">
        <v>-160</v>
      </c>
      <c r="I124" s="130">
        <v>-110</v>
      </c>
      <c r="J124" s="130">
        <v>-62</v>
      </c>
      <c r="K124" s="130">
        <v>-62</v>
      </c>
      <c r="L124" s="130">
        <v>-55</v>
      </c>
      <c r="M124" s="130">
        <f>-21-22</f>
        <v>-43</v>
      </c>
      <c r="N124" s="130">
        <f>-22-24</f>
        <v>-46</v>
      </c>
      <c r="O124" s="130">
        <f>-23.6-25.3</f>
        <v>-48.900000000000006</v>
      </c>
      <c r="P124" s="130">
        <f>-22.6-27.6</f>
        <v>-50.2</v>
      </c>
      <c r="Q124" s="130">
        <f>-35-39</f>
        <v>-74</v>
      </c>
      <c r="R124" s="130">
        <f>-31.4-33.5</f>
        <v>-64.900000000000006</v>
      </c>
      <c r="S124" s="130">
        <v>-80</v>
      </c>
      <c r="T124" s="130">
        <v>-83</v>
      </c>
      <c r="U124" s="130">
        <v>-77</v>
      </c>
      <c r="V124" s="130"/>
      <c r="W124" s="130"/>
      <c r="X124" s="130"/>
      <c r="Y124" s="130"/>
      <c r="Z124" s="130">
        <v>-148</v>
      </c>
      <c r="AA124" s="130">
        <v>-69</v>
      </c>
      <c r="AB124" s="130">
        <v>-152.30000000000001</v>
      </c>
      <c r="AC124" s="130">
        <v>-145</v>
      </c>
      <c r="AD124" s="130">
        <v>-167</v>
      </c>
      <c r="AE124" s="130">
        <v>-164</v>
      </c>
      <c r="AF124" s="130">
        <v>-175</v>
      </c>
      <c r="AG124" s="128">
        <v>240</v>
      </c>
      <c r="AH124" s="48">
        <f t="shared" si="29"/>
        <v>-43</v>
      </c>
      <c r="AI124" s="49">
        <f t="shared" si="30"/>
        <v>-182</v>
      </c>
    </row>
    <row r="125" spans="1:35" ht="15.75" thickBot="1" x14ac:dyDescent="0.3">
      <c r="A125" s="129" t="s">
        <v>145</v>
      </c>
      <c r="B125" s="130">
        <v>1.6</v>
      </c>
      <c r="C125" s="130">
        <v>-1.6</v>
      </c>
      <c r="D125" s="130">
        <v>-7</v>
      </c>
      <c r="E125" s="130">
        <v>-5</v>
      </c>
      <c r="F125" s="130">
        <v>-10.7</v>
      </c>
      <c r="G125" s="130">
        <v>-11.8</v>
      </c>
      <c r="H125" s="130">
        <v>-9</v>
      </c>
      <c r="I125" s="130">
        <v>2.7</v>
      </c>
      <c r="J125" s="130">
        <v>-7.7</v>
      </c>
      <c r="K125" s="130">
        <v>-7.7</v>
      </c>
      <c r="L125" s="130">
        <v>-6.9</v>
      </c>
      <c r="M125" s="130">
        <v>-2.4</v>
      </c>
      <c r="N125" s="130">
        <v>-7.7</v>
      </c>
      <c r="O125" s="130">
        <v>-6</v>
      </c>
      <c r="P125" s="130">
        <v>1.2</v>
      </c>
      <c r="Q125" s="130">
        <v>-14.9</v>
      </c>
      <c r="R125" s="130">
        <v>-12.2</v>
      </c>
      <c r="S125" s="130">
        <v>-13</v>
      </c>
      <c r="T125" s="130">
        <v>-15</v>
      </c>
      <c r="U125" s="130">
        <v>-14</v>
      </c>
      <c r="V125" s="130"/>
      <c r="W125" s="130"/>
      <c r="X125" s="130"/>
      <c r="Y125" s="130"/>
      <c r="Z125" s="130">
        <v>4</v>
      </c>
      <c r="AA125" s="130">
        <v>12</v>
      </c>
      <c r="AB125" s="130">
        <v>-4.5999999999999996</v>
      </c>
      <c r="AC125" s="130">
        <v>-5.0999999999999996</v>
      </c>
      <c r="AD125" s="130">
        <v>-14.5</v>
      </c>
      <c r="AE125" s="130">
        <v>-15.9</v>
      </c>
      <c r="AF125" s="130">
        <v>-13.8</v>
      </c>
      <c r="AG125" s="128">
        <v>60</v>
      </c>
      <c r="AH125" s="48">
        <f t="shared" si="29"/>
        <v>12</v>
      </c>
      <c r="AI125" s="49">
        <f t="shared" si="30"/>
        <v>-15.9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>
        <v>-9.1</v>
      </c>
      <c r="AF126" s="131">
        <v>-19.5</v>
      </c>
      <c r="AG126" s="132">
        <v>120</v>
      </c>
      <c r="AH126" s="48">
        <f t="shared" si="29"/>
        <v>-9.1</v>
      </c>
      <c r="AI126" s="49">
        <f t="shared" si="30"/>
        <v>-19.5</v>
      </c>
    </row>
    <row r="127" spans="1:35" x14ac:dyDescent="0.25">
      <c r="A127" s="129" t="s">
        <v>147</v>
      </c>
      <c r="B127" s="131">
        <v>37</v>
      </c>
      <c r="C127" s="131">
        <v>35</v>
      </c>
      <c r="D127" s="131">
        <v>35</v>
      </c>
      <c r="E127" s="131">
        <v>29.4</v>
      </c>
      <c r="F127" s="131">
        <v>34</v>
      </c>
      <c r="G127" s="131">
        <v>33.299999999999997</v>
      </c>
      <c r="H127" s="131">
        <v>37.799999999999997</v>
      </c>
      <c r="I127" s="131">
        <v>52</v>
      </c>
      <c r="J127" s="131">
        <v>47.3</v>
      </c>
      <c r="K127" s="131">
        <v>47.3</v>
      </c>
      <c r="L127" s="131">
        <v>52.2</v>
      </c>
      <c r="M127" s="131">
        <v>57.8</v>
      </c>
      <c r="N127" s="131">
        <v>61</v>
      </c>
      <c r="O127" s="131">
        <v>59.8</v>
      </c>
      <c r="P127" s="131">
        <v>67</v>
      </c>
      <c r="Q127" s="131">
        <v>73.099999999999994</v>
      </c>
      <c r="R127" s="131">
        <v>79.5</v>
      </c>
      <c r="S127" s="131">
        <v>78</v>
      </c>
      <c r="T127" s="131">
        <v>75</v>
      </c>
      <c r="U127" s="131">
        <v>76.2</v>
      </c>
      <c r="V127" s="131"/>
      <c r="W127" s="131"/>
      <c r="X127" s="131"/>
      <c r="Y127" s="131"/>
      <c r="Z127" s="131">
        <v>92</v>
      </c>
      <c r="AA127" s="131">
        <v>59</v>
      </c>
      <c r="AB127" s="131">
        <v>112.3</v>
      </c>
      <c r="AC127" s="131">
        <v>65.599999999999994</v>
      </c>
      <c r="AD127" s="131">
        <v>60.8</v>
      </c>
      <c r="AE127" s="131">
        <v>32.200000000000003</v>
      </c>
      <c r="AF127" s="131">
        <v>26.2</v>
      </c>
      <c r="AG127" s="132"/>
      <c r="AH127" s="48"/>
      <c r="AI127" s="49"/>
    </row>
    <row r="128" spans="1:35" x14ac:dyDescent="0.25">
      <c r="A128" s="129" t="s">
        <v>148</v>
      </c>
      <c r="B128" s="131">
        <v>-28</v>
      </c>
      <c r="C128" s="131">
        <v>-24</v>
      </c>
      <c r="D128" s="131">
        <v>-21</v>
      </c>
      <c r="E128" s="131">
        <v>-26.1</v>
      </c>
      <c r="F128" s="131">
        <v>-18.899999999999999</v>
      </c>
      <c r="G128" s="131">
        <v>-25.3</v>
      </c>
      <c r="H128" s="131">
        <v>-32.700000000000003</v>
      </c>
      <c r="I128" s="131">
        <v>-24.8</v>
      </c>
      <c r="J128" s="131">
        <v>-48.5</v>
      </c>
      <c r="K128" s="131">
        <v>-48.5</v>
      </c>
      <c r="L128" s="131">
        <v>-57</v>
      </c>
      <c r="M128" s="131">
        <v>-58.7</v>
      </c>
      <c r="N128" s="131">
        <v>-49.2</v>
      </c>
      <c r="O128" s="131">
        <v>-49</v>
      </c>
      <c r="P128" s="131">
        <v>-13</v>
      </c>
      <c r="Q128" s="131">
        <v>4.5</v>
      </c>
      <c r="R128" s="131">
        <v>23.3</v>
      </c>
      <c r="S128" s="131">
        <v>16</v>
      </c>
      <c r="T128" s="131">
        <v>16</v>
      </c>
      <c r="U128" s="131">
        <v>7.2</v>
      </c>
      <c r="V128" s="131"/>
      <c r="W128" s="131"/>
      <c r="X128" s="131"/>
      <c r="Y128" s="131"/>
      <c r="Z128" s="131">
        <v>0</v>
      </c>
      <c r="AA128" s="131">
        <v>-28.2</v>
      </c>
      <c r="AB128" s="131">
        <v>-27.4</v>
      </c>
      <c r="AC128" s="131">
        <v>-26.3</v>
      </c>
      <c r="AD128" s="131">
        <v>-25.1</v>
      </c>
      <c r="AE128" s="131">
        <v>-28.2</v>
      </c>
      <c r="AF128" s="131">
        <v>-36.1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25</v>
      </c>
      <c r="C129" s="131">
        <v>6</v>
      </c>
      <c r="D129" s="131">
        <v>7</v>
      </c>
      <c r="E129" s="131">
        <v>4.5</v>
      </c>
      <c r="F129" s="131">
        <v>11.7</v>
      </c>
      <c r="G129" s="131">
        <v>12.4</v>
      </c>
      <c r="H129" s="131">
        <v>12.3</v>
      </c>
      <c r="I129" s="131">
        <v>17.399999999999999</v>
      </c>
      <c r="J129" s="131">
        <v>24.5</v>
      </c>
      <c r="K129" s="131">
        <v>24.5</v>
      </c>
      <c r="L129" s="131">
        <v>27.5</v>
      </c>
      <c r="M129" s="131">
        <v>36</v>
      </c>
      <c r="N129" s="131">
        <v>37.700000000000003</v>
      </c>
      <c r="O129" s="131">
        <v>35.299999999999997</v>
      </c>
      <c r="P129" s="131">
        <v>38.299999999999997</v>
      </c>
      <c r="Q129" s="131">
        <v>48.4</v>
      </c>
      <c r="R129" s="131">
        <v>57</v>
      </c>
      <c r="S129" s="131">
        <v>57</v>
      </c>
      <c r="T129" s="131">
        <v>49</v>
      </c>
      <c r="U129" s="131">
        <v>54.2</v>
      </c>
      <c r="V129" s="131"/>
      <c r="W129" s="131"/>
      <c r="X129" s="131"/>
      <c r="Y129" s="131"/>
      <c r="Z129" s="131">
        <v>-36</v>
      </c>
      <c r="AA129" s="131">
        <v>-10</v>
      </c>
      <c r="AB129" s="131">
        <v>-8.4</v>
      </c>
      <c r="AC129" s="131">
        <v>-3.1</v>
      </c>
      <c r="AD129" s="131">
        <v>3.2</v>
      </c>
      <c r="AE129" s="131">
        <v>24.9</v>
      </c>
      <c r="AF129" s="131">
        <v>19.5</v>
      </c>
      <c r="AG129" s="128"/>
      <c r="AH129" s="48">
        <f>MAX(B129:AF129)</f>
        <v>57</v>
      </c>
      <c r="AI129" s="49">
        <f>MIN(B129:AF129)</f>
        <v>-36</v>
      </c>
    </row>
    <row r="130" spans="1:37" x14ac:dyDescent="0.25">
      <c r="A130" s="126" t="s">
        <v>150</v>
      </c>
      <c r="B130" s="131">
        <v>-157</v>
      </c>
      <c r="C130" s="131">
        <v>-280</v>
      </c>
      <c r="D130" s="131">
        <v>-280</v>
      </c>
      <c r="E130" s="131">
        <v>-261.39999999999998</v>
      </c>
      <c r="F130" s="131">
        <v>-259.89999999999998</v>
      </c>
      <c r="G130" s="131">
        <v>-250</v>
      </c>
      <c r="H130" s="131">
        <v>-249</v>
      </c>
      <c r="I130" s="131">
        <v>-272</v>
      </c>
      <c r="J130" s="131">
        <v>-56.9</v>
      </c>
      <c r="K130" s="131">
        <v>-56.9</v>
      </c>
      <c r="L130" s="131">
        <v>-50.7</v>
      </c>
      <c r="M130" s="131">
        <v>-45</v>
      </c>
      <c r="N130" s="131">
        <v>-62.8</v>
      </c>
      <c r="O130" s="131">
        <v>-75.900000000000006</v>
      </c>
      <c r="P130" s="131">
        <v>-193.9</v>
      </c>
      <c r="Q130" s="131">
        <v>-182.7</v>
      </c>
      <c r="R130" s="131">
        <v>-183</v>
      </c>
      <c r="S130" s="131">
        <v>-195</v>
      </c>
      <c r="T130" s="131">
        <v>-195</v>
      </c>
      <c r="U130" s="131">
        <v>-165</v>
      </c>
      <c r="V130" s="131"/>
      <c r="W130" s="131"/>
      <c r="X130" s="131"/>
      <c r="Y130" s="131"/>
      <c r="Z130" s="131">
        <v>-174</v>
      </c>
      <c r="AA130" s="131">
        <v>-149</v>
      </c>
      <c r="AB130" s="131">
        <v>-136.6</v>
      </c>
      <c r="AC130" s="131">
        <v>-154.1</v>
      </c>
      <c r="AD130" s="131">
        <v>-165.2</v>
      </c>
      <c r="AE130" s="131">
        <v>-148.80000000000001</v>
      </c>
      <c r="AF130" s="131">
        <v>-153.1</v>
      </c>
      <c r="AG130" s="128"/>
      <c r="AH130" s="48">
        <f>MAX(B130:AF130)</f>
        <v>-45</v>
      </c>
      <c r="AI130" s="49">
        <f>MIN(B130:AF130)</f>
        <v>-280</v>
      </c>
    </row>
    <row r="131" spans="1:37" x14ac:dyDescent="0.25">
      <c r="A131" s="129" t="s">
        <v>151</v>
      </c>
      <c r="B131" s="119">
        <v>-34</v>
      </c>
      <c r="C131" s="119">
        <v>-28</v>
      </c>
      <c r="D131" s="119">
        <v>-28</v>
      </c>
      <c r="E131" s="119">
        <v>-7.3</v>
      </c>
      <c r="F131" s="119">
        <v>-4.4000000000000004</v>
      </c>
      <c r="G131" s="119">
        <v>-4.9000000000000004</v>
      </c>
      <c r="H131" s="119">
        <v>1.6</v>
      </c>
      <c r="I131" s="119">
        <v>-2.2000000000000002</v>
      </c>
      <c r="J131" s="119">
        <v>-5.6</v>
      </c>
      <c r="K131" s="119">
        <v>-5.6</v>
      </c>
      <c r="L131" s="119">
        <v>2.1</v>
      </c>
      <c r="M131" s="119">
        <v>3.9</v>
      </c>
      <c r="N131" s="119">
        <v>-17.7</v>
      </c>
      <c r="O131" s="119">
        <v>-15.3</v>
      </c>
      <c r="P131" s="119">
        <v>-18.899999999999999</v>
      </c>
      <c r="Q131" s="119">
        <v>-25.5</v>
      </c>
      <c r="R131" s="119">
        <v>-26.8</v>
      </c>
      <c r="S131" s="119">
        <v>-18.3</v>
      </c>
      <c r="T131" s="119">
        <v>-20</v>
      </c>
      <c r="U131" s="119">
        <v>-2.4</v>
      </c>
      <c r="V131" s="119"/>
      <c r="W131" s="119"/>
      <c r="X131" s="119"/>
      <c r="Y131" s="119"/>
      <c r="Z131" s="119">
        <v>-5.0999999999999996</v>
      </c>
      <c r="AA131" s="119">
        <v>8</v>
      </c>
      <c r="AB131" s="119">
        <v>4.9000000000000004</v>
      </c>
      <c r="AC131" s="119">
        <v>11.7</v>
      </c>
      <c r="AD131" s="119">
        <v>9.1</v>
      </c>
      <c r="AE131" s="119">
        <v>27.9</v>
      </c>
      <c r="AF131" s="119">
        <v>29.3</v>
      </c>
      <c r="AG131" s="128"/>
      <c r="AH131" s="48">
        <f>MAX(B131:AF131)</f>
        <v>29.3</v>
      </c>
      <c r="AI131" s="49">
        <f>MIN(B131:AF131)</f>
        <v>-34</v>
      </c>
    </row>
    <row r="132" spans="1:37" x14ac:dyDescent="0.25">
      <c r="A132" s="129" t="s">
        <v>152</v>
      </c>
      <c r="B132" s="119">
        <v>92</v>
      </c>
      <c r="C132" s="119">
        <v>83</v>
      </c>
      <c r="D132" s="119">
        <v>81</v>
      </c>
      <c r="E132" s="119">
        <v>63.9</v>
      </c>
      <c r="F132" s="119">
        <v>57.6</v>
      </c>
      <c r="G132" s="119">
        <v>48.2</v>
      </c>
      <c r="H132" s="119">
        <v>40.6</v>
      </c>
      <c r="I132" s="119">
        <v>47.6</v>
      </c>
      <c r="J132" s="119">
        <v>54.9</v>
      </c>
      <c r="K132" s="119">
        <v>53</v>
      </c>
      <c r="L132" s="119">
        <v>54.8</v>
      </c>
      <c r="M132" s="119">
        <v>45.8</v>
      </c>
      <c r="N132" s="119">
        <v>63.6</v>
      </c>
      <c r="O132" s="119">
        <v>75.900000000000006</v>
      </c>
      <c r="P132" s="119">
        <v>76.7</v>
      </c>
      <c r="Q132" s="119">
        <v>82.3</v>
      </c>
      <c r="R132" s="119">
        <v>86.9</v>
      </c>
      <c r="S132" s="119">
        <v>87.2</v>
      </c>
      <c r="T132" s="119">
        <v>92</v>
      </c>
      <c r="U132" s="119">
        <v>74.3</v>
      </c>
      <c r="V132" s="119"/>
      <c r="W132" s="119"/>
      <c r="X132" s="119"/>
      <c r="Y132" s="119"/>
      <c r="Z132" s="119">
        <v>56</v>
      </c>
      <c r="AA132" s="119">
        <v>53</v>
      </c>
      <c r="AB132" s="119">
        <v>59.2</v>
      </c>
      <c r="AC132" s="119">
        <v>57.3</v>
      </c>
      <c r="AD132" s="119">
        <v>65.099999999999994</v>
      </c>
      <c r="AE132" s="119">
        <v>43.5</v>
      </c>
      <c r="AF132" s="119">
        <v>42.6</v>
      </c>
      <c r="AG132" s="128"/>
      <c r="AH132" s="48">
        <f>MAX(B132:AF132)</f>
        <v>92</v>
      </c>
      <c r="AI132" s="49">
        <f>MIN(B132:AF132)</f>
        <v>40.6</v>
      </c>
    </row>
    <row r="133" spans="1:37" ht="15.75" thickBot="1" x14ac:dyDescent="0.3">
      <c r="A133" s="129" t="s">
        <v>153</v>
      </c>
      <c r="B133" s="119">
        <v>94</v>
      </c>
      <c r="C133" s="119">
        <v>91</v>
      </c>
      <c r="D133" s="119">
        <v>88</v>
      </c>
      <c r="E133" s="119">
        <v>68.7</v>
      </c>
      <c r="F133" s="119">
        <v>62.7</v>
      </c>
      <c r="G133" s="119">
        <v>57.6</v>
      </c>
      <c r="H133" s="119">
        <v>50</v>
      </c>
      <c r="I133" s="119">
        <v>58.4</v>
      </c>
      <c r="J133" s="119">
        <v>65.5</v>
      </c>
      <c r="K133" s="119">
        <v>64</v>
      </c>
      <c r="L133" s="119">
        <v>61.9</v>
      </c>
      <c r="M133" s="119">
        <v>58.6</v>
      </c>
      <c r="N133" s="119">
        <v>73.8</v>
      </c>
      <c r="O133" s="119">
        <v>83.7</v>
      </c>
      <c r="P133" s="119">
        <v>86.9</v>
      </c>
      <c r="Q133" s="119">
        <v>94</v>
      </c>
      <c r="R133" s="119">
        <v>98.5</v>
      </c>
      <c r="S133" s="119">
        <v>93.4</v>
      </c>
      <c r="T133" s="119">
        <v>97</v>
      </c>
      <c r="U133" s="119">
        <v>82</v>
      </c>
      <c r="V133" s="119"/>
      <c r="W133" s="119"/>
      <c r="X133" s="119"/>
      <c r="Y133" s="119"/>
      <c r="Z133" s="119">
        <v>70</v>
      </c>
      <c r="AA133" s="119">
        <v>68.3</v>
      </c>
      <c r="AB133" s="119">
        <v>73.900000000000006</v>
      </c>
      <c r="AC133" s="119">
        <v>71.3</v>
      </c>
      <c r="AD133" s="119">
        <v>77.3</v>
      </c>
      <c r="AE133" s="119">
        <v>52.2</v>
      </c>
      <c r="AF133" s="119">
        <v>56.9</v>
      </c>
      <c r="AG133" s="128"/>
      <c r="AH133" s="48">
        <f>MAX(B133:AF133)</f>
        <v>98.5</v>
      </c>
      <c r="AI133" s="49">
        <f>MIN(B133:AF133)</f>
        <v>50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1985.65</v>
      </c>
      <c r="C135" s="137">
        <v>1985.58</v>
      </c>
      <c r="D135" s="137">
        <v>1985.2</v>
      </c>
      <c r="E135" s="137">
        <v>1984.8</v>
      </c>
      <c r="F135" s="137">
        <v>1984.45</v>
      </c>
      <c r="G135" s="137">
        <v>1984.15</v>
      </c>
      <c r="H135" s="137"/>
      <c r="I135" s="137">
        <v>1983.8</v>
      </c>
      <c r="J135" s="137"/>
      <c r="K135" s="137">
        <v>1984.17</v>
      </c>
      <c r="L135" s="137"/>
      <c r="M135" s="137"/>
      <c r="N135" s="137"/>
      <c r="O135" s="137"/>
      <c r="P135" s="137"/>
      <c r="Q135" s="137"/>
      <c r="R135" s="137">
        <v>1985.72</v>
      </c>
      <c r="S135" s="137">
        <v>1985.41</v>
      </c>
      <c r="T135" s="137">
        <v>1985.05</v>
      </c>
      <c r="U135" s="137">
        <v>1984.8</v>
      </c>
      <c r="V135" s="137"/>
      <c r="W135" s="137"/>
      <c r="X135" s="137">
        <v>1984.82</v>
      </c>
      <c r="Y135" s="137"/>
      <c r="Z135" s="137">
        <v>1984.95</v>
      </c>
      <c r="AA135" s="137"/>
      <c r="AB135" s="137">
        <v>1984.97</v>
      </c>
      <c r="AC135" s="137"/>
      <c r="AD135" s="137">
        <v>1985</v>
      </c>
      <c r="AE135" s="137">
        <v>1985.02</v>
      </c>
      <c r="AF135" s="138">
        <v>1985.12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883.2</v>
      </c>
      <c r="T139" s="140"/>
      <c r="U139" s="140"/>
      <c r="V139" s="140"/>
      <c r="W139" s="140"/>
      <c r="X139" s="140"/>
      <c r="Y139" s="140"/>
      <c r="Z139" s="140"/>
      <c r="AA139" s="140"/>
      <c r="AB139" s="140">
        <v>883.4</v>
      </c>
      <c r="AC139" s="140"/>
      <c r="AD139" s="140"/>
      <c r="AE139" s="140"/>
      <c r="AF139" s="141">
        <v>883.3</v>
      </c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8">SUM(B142:B246)</f>
        <v>0</v>
      </c>
      <c r="C247" s="161">
        <f t="shared" si="48"/>
        <v>0</v>
      </c>
      <c r="D247" s="161">
        <f t="shared" si="48"/>
        <v>0</v>
      </c>
      <c r="E247" s="161">
        <f t="shared" si="48"/>
        <v>0</v>
      </c>
      <c r="F247" s="161">
        <f t="shared" si="48"/>
        <v>0</v>
      </c>
      <c r="G247" s="161">
        <f t="shared" si="48"/>
        <v>0</v>
      </c>
      <c r="H247" s="161">
        <f t="shared" si="48"/>
        <v>0</v>
      </c>
      <c r="I247" s="161">
        <f t="shared" si="48"/>
        <v>0</v>
      </c>
      <c r="J247" s="161">
        <f t="shared" si="48"/>
        <v>0</v>
      </c>
      <c r="K247" s="161">
        <f t="shared" si="48"/>
        <v>0</v>
      </c>
      <c r="L247" s="161">
        <f t="shared" si="48"/>
        <v>0</v>
      </c>
      <c r="M247" s="161">
        <f t="shared" si="48"/>
        <v>0</v>
      </c>
      <c r="N247" s="161">
        <f t="shared" si="48"/>
        <v>0</v>
      </c>
      <c r="O247" s="161">
        <f t="shared" si="48"/>
        <v>0</v>
      </c>
      <c r="P247" s="161">
        <f t="shared" si="48"/>
        <v>0</v>
      </c>
      <c r="Q247" s="161">
        <f t="shared" si="48"/>
        <v>0</v>
      </c>
      <c r="R247" s="161">
        <f t="shared" si="48"/>
        <v>0</v>
      </c>
      <c r="S247" s="161">
        <f t="shared" si="48"/>
        <v>0</v>
      </c>
      <c r="T247" s="161">
        <f t="shared" si="48"/>
        <v>0</v>
      </c>
      <c r="U247" s="161">
        <f t="shared" si="48"/>
        <v>0</v>
      </c>
      <c r="V247" s="161">
        <f t="shared" si="48"/>
        <v>0</v>
      </c>
      <c r="W247" s="161">
        <f t="shared" si="48"/>
        <v>0</v>
      </c>
      <c r="X247" s="161">
        <f t="shared" si="48"/>
        <v>0</v>
      </c>
      <c r="Y247" s="161">
        <f t="shared" si="48"/>
        <v>0</v>
      </c>
      <c r="Z247" s="161">
        <f t="shared" si="48"/>
        <v>0</v>
      </c>
      <c r="AA247" s="161">
        <f t="shared" si="48"/>
        <v>0</v>
      </c>
      <c r="AB247" s="161">
        <f t="shared" si="48"/>
        <v>0</v>
      </c>
      <c r="AC247" s="161">
        <f t="shared" si="48"/>
        <v>0</v>
      </c>
      <c r="AD247" s="161">
        <f t="shared" si="48"/>
        <v>0</v>
      </c>
      <c r="AE247" s="161">
        <f t="shared" si="48"/>
        <v>0</v>
      </c>
      <c r="AF247" s="162">
        <f t="shared" si="48"/>
        <v>0</v>
      </c>
      <c r="AG247" s="163">
        <f t="shared" si="48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9">AF249</f>
        <v>0.3</v>
      </c>
      <c r="C249" s="166">
        <v>0.3</v>
      </c>
      <c r="D249" s="166">
        <f t="shared" ref="D249:S254" si="50">C249</f>
        <v>0.3</v>
      </c>
      <c r="E249" s="166">
        <f t="shared" si="50"/>
        <v>0.3</v>
      </c>
      <c r="F249" s="166">
        <f t="shared" si="50"/>
        <v>0.3</v>
      </c>
      <c r="G249" s="166">
        <f t="shared" si="50"/>
        <v>0.3</v>
      </c>
      <c r="H249" s="166">
        <f t="shared" si="50"/>
        <v>0.3</v>
      </c>
      <c r="I249" s="166">
        <f t="shared" si="50"/>
        <v>0.3</v>
      </c>
      <c r="J249" s="166">
        <f t="shared" si="50"/>
        <v>0.3</v>
      </c>
      <c r="K249" s="166">
        <f t="shared" si="50"/>
        <v>0.3</v>
      </c>
      <c r="L249" s="166">
        <f t="shared" si="50"/>
        <v>0.3</v>
      </c>
      <c r="M249" s="166">
        <f t="shared" si="50"/>
        <v>0.3</v>
      </c>
      <c r="N249" s="166">
        <f t="shared" si="50"/>
        <v>0.3</v>
      </c>
      <c r="O249" s="166">
        <f t="shared" si="50"/>
        <v>0.3</v>
      </c>
      <c r="P249" s="166">
        <f t="shared" si="50"/>
        <v>0.3</v>
      </c>
      <c r="Q249" s="166">
        <f t="shared" si="50"/>
        <v>0.3</v>
      </c>
      <c r="R249" s="166">
        <f t="shared" si="50"/>
        <v>0.3</v>
      </c>
      <c r="S249" s="166">
        <f t="shared" si="50"/>
        <v>0.3</v>
      </c>
      <c r="T249" s="166">
        <f t="shared" ref="T249:AF254" si="51">S249</f>
        <v>0.3</v>
      </c>
      <c r="U249" s="166">
        <f t="shared" si="51"/>
        <v>0.3</v>
      </c>
      <c r="V249" s="166">
        <f t="shared" si="51"/>
        <v>0.3</v>
      </c>
      <c r="W249" s="166">
        <f t="shared" si="51"/>
        <v>0.3</v>
      </c>
      <c r="X249" s="166">
        <f t="shared" si="51"/>
        <v>0.3</v>
      </c>
      <c r="Y249" s="166">
        <f t="shared" si="51"/>
        <v>0.3</v>
      </c>
      <c r="Z249" s="166">
        <f t="shared" si="51"/>
        <v>0.3</v>
      </c>
      <c r="AA249" s="166">
        <f t="shared" si="51"/>
        <v>0.3</v>
      </c>
      <c r="AB249" s="166">
        <f t="shared" si="51"/>
        <v>0.3</v>
      </c>
      <c r="AC249" s="166">
        <f t="shared" si="51"/>
        <v>0.3</v>
      </c>
      <c r="AD249" s="166">
        <f t="shared" si="51"/>
        <v>0.3</v>
      </c>
      <c r="AE249" s="166">
        <f t="shared" si="51"/>
        <v>0.3</v>
      </c>
      <c r="AF249" s="166">
        <f t="shared" si="51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9"/>
        <v>0.4</v>
      </c>
      <c r="C250" s="152">
        <v>0.4</v>
      </c>
      <c r="D250" s="152">
        <f t="shared" si="50"/>
        <v>0.4</v>
      </c>
      <c r="E250" s="152">
        <f t="shared" si="50"/>
        <v>0.4</v>
      </c>
      <c r="F250" s="152">
        <f t="shared" si="50"/>
        <v>0.4</v>
      </c>
      <c r="G250" s="152">
        <f t="shared" si="50"/>
        <v>0.4</v>
      </c>
      <c r="H250" s="152">
        <f t="shared" si="50"/>
        <v>0.4</v>
      </c>
      <c r="I250" s="152">
        <f t="shared" si="50"/>
        <v>0.4</v>
      </c>
      <c r="J250" s="152">
        <f t="shared" si="50"/>
        <v>0.4</v>
      </c>
      <c r="K250" s="152">
        <f t="shared" si="50"/>
        <v>0.4</v>
      </c>
      <c r="L250" s="152">
        <f t="shared" si="50"/>
        <v>0.4</v>
      </c>
      <c r="M250" s="152">
        <f t="shared" si="50"/>
        <v>0.4</v>
      </c>
      <c r="N250" s="152">
        <f t="shared" si="50"/>
        <v>0.4</v>
      </c>
      <c r="O250" s="152">
        <f t="shared" si="50"/>
        <v>0.4</v>
      </c>
      <c r="P250" s="152">
        <f t="shared" si="50"/>
        <v>0.4</v>
      </c>
      <c r="Q250" s="152">
        <f t="shared" si="50"/>
        <v>0.4</v>
      </c>
      <c r="R250" s="152">
        <f t="shared" si="50"/>
        <v>0.4</v>
      </c>
      <c r="S250" s="152">
        <f t="shared" si="50"/>
        <v>0.4</v>
      </c>
      <c r="T250" s="152">
        <f t="shared" si="51"/>
        <v>0.4</v>
      </c>
      <c r="U250" s="152">
        <f t="shared" si="51"/>
        <v>0.4</v>
      </c>
      <c r="V250" s="152">
        <f t="shared" si="51"/>
        <v>0.4</v>
      </c>
      <c r="W250" s="152">
        <f t="shared" si="51"/>
        <v>0.4</v>
      </c>
      <c r="X250" s="152">
        <f t="shared" si="51"/>
        <v>0.4</v>
      </c>
      <c r="Y250" s="152">
        <f t="shared" si="51"/>
        <v>0.4</v>
      </c>
      <c r="Z250" s="152">
        <f t="shared" si="51"/>
        <v>0.4</v>
      </c>
      <c r="AA250" s="152">
        <f t="shared" si="51"/>
        <v>0.4</v>
      </c>
      <c r="AB250" s="152">
        <f t="shared" si="51"/>
        <v>0.4</v>
      </c>
      <c r="AC250" s="152">
        <f t="shared" si="51"/>
        <v>0.4</v>
      </c>
      <c r="AD250" s="152">
        <f t="shared" si="51"/>
        <v>0.4</v>
      </c>
      <c r="AE250" s="152">
        <f t="shared" si="51"/>
        <v>0.4</v>
      </c>
      <c r="AF250" s="152">
        <f t="shared" si="51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9"/>
        <v>1.5</v>
      </c>
      <c r="C251" s="152">
        <v>1.5</v>
      </c>
      <c r="D251" s="152">
        <f t="shared" si="50"/>
        <v>1.5</v>
      </c>
      <c r="E251" s="152">
        <f t="shared" si="50"/>
        <v>1.5</v>
      </c>
      <c r="F251" s="152">
        <f t="shared" si="50"/>
        <v>1.5</v>
      </c>
      <c r="G251" s="152">
        <f t="shared" si="50"/>
        <v>1.5</v>
      </c>
      <c r="H251" s="152">
        <f t="shared" si="50"/>
        <v>1.5</v>
      </c>
      <c r="I251" s="152">
        <f t="shared" si="50"/>
        <v>1.5</v>
      </c>
      <c r="J251" s="152">
        <f t="shared" si="50"/>
        <v>1.5</v>
      </c>
      <c r="K251" s="152">
        <f t="shared" si="50"/>
        <v>1.5</v>
      </c>
      <c r="L251" s="152">
        <f t="shared" si="50"/>
        <v>1.5</v>
      </c>
      <c r="M251" s="152">
        <f t="shared" si="50"/>
        <v>1.5</v>
      </c>
      <c r="N251" s="152">
        <f t="shared" si="50"/>
        <v>1.5</v>
      </c>
      <c r="O251" s="152">
        <f t="shared" si="50"/>
        <v>1.5</v>
      </c>
      <c r="P251" s="152">
        <f t="shared" si="50"/>
        <v>1.5</v>
      </c>
      <c r="Q251" s="152">
        <f t="shared" si="50"/>
        <v>1.5</v>
      </c>
      <c r="R251" s="152">
        <f t="shared" si="50"/>
        <v>1.5</v>
      </c>
      <c r="S251" s="152">
        <f t="shared" si="50"/>
        <v>1.5</v>
      </c>
      <c r="T251" s="152">
        <f t="shared" si="51"/>
        <v>1.5</v>
      </c>
      <c r="U251" s="152">
        <f t="shared" si="51"/>
        <v>1.5</v>
      </c>
      <c r="V251" s="152">
        <f t="shared" si="51"/>
        <v>1.5</v>
      </c>
      <c r="W251" s="152">
        <f t="shared" si="51"/>
        <v>1.5</v>
      </c>
      <c r="X251" s="152">
        <f t="shared" si="51"/>
        <v>1.5</v>
      </c>
      <c r="Y251" s="152">
        <f t="shared" si="51"/>
        <v>1.5</v>
      </c>
      <c r="Z251" s="152">
        <f t="shared" si="51"/>
        <v>1.5</v>
      </c>
      <c r="AA251" s="152">
        <f t="shared" si="51"/>
        <v>1.5</v>
      </c>
      <c r="AB251" s="152">
        <f t="shared" si="51"/>
        <v>1.5</v>
      </c>
      <c r="AC251" s="152">
        <f t="shared" si="51"/>
        <v>1.5</v>
      </c>
      <c r="AD251" s="152">
        <f t="shared" si="51"/>
        <v>1.5</v>
      </c>
      <c r="AE251" s="152">
        <f t="shared" si="51"/>
        <v>1.5</v>
      </c>
      <c r="AF251" s="152">
        <f t="shared" si="51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9"/>
        <v>0.3</v>
      </c>
      <c r="C252" s="152">
        <v>0.3</v>
      </c>
      <c r="D252" s="152">
        <f t="shared" si="50"/>
        <v>0.3</v>
      </c>
      <c r="E252" s="152">
        <f t="shared" si="50"/>
        <v>0.3</v>
      </c>
      <c r="F252" s="152">
        <f t="shared" si="50"/>
        <v>0.3</v>
      </c>
      <c r="G252" s="152">
        <f t="shared" si="50"/>
        <v>0.3</v>
      </c>
      <c r="H252" s="152">
        <f t="shared" si="50"/>
        <v>0.3</v>
      </c>
      <c r="I252" s="152">
        <f t="shared" si="50"/>
        <v>0.3</v>
      </c>
      <c r="J252" s="152">
        <f t="shared" si="50"/>
        <v>0.3</v>
      </c>
      <c r="K252" s="152">
        <f t="shared" si="50"/>
        <v>0.3</v>
      </c>
      <c r="L252" s="152">
        <f t="shared" si="50"/>
        <v>0.3</v>
      </c>
      <c r="M252" s="152">
        <f t="shared" si="50"/>
        <v>0.3</v>
      </c>
      <c r="N252" s="152">
        <f t="shared" si="50"/>
        <v>0.3</v>
      </c>
      <c r="O252" s="152">
        <f t="shared" si="50"/>
        <v>0.3</v>
      </c>
      <c r="P252" s="152">
        <f t="shared" si="50"/>
        <v>0.3</v>
      </c>
      <c r="Q252" s="152">
        <f t="shared" si="50"/>
        <v>0.3</v>
      </c>
      <c r="R252" s="152">
        <f t="shared" si="50"/>
        <v>0.3</v>
      </c>
      <c r="S252" s="152">
        <f t="shared" si="50"/>
        <v>0.3</v>
      </c>
      <c r="T252" s="152">
        <f t="shared" si="51"/>
        <v>0.3</v>
      </c>
      <c r="U252" s="152">
        <f t="shared" si="51"/>
        <v>0.3</v>
      </c>
      <c r="V252" s="152">
        <f t="shared" si="51"/>
        <v>0.3</v>
      </c>
      <c r="W252" s="152">
        <f t="shared" si="51"/>
        <v>0.3</v>
      </c>
      <c r="X252" s="152">
        <f t="shared" si="51"/>
        <v>0.3</v>
      </c>
      <c r="Y252" s="152">
        <f t="shared" si="51"/>
        <v>0.3</v>
      </c>
      <c r="Z252" s="152">
        <f t="shared" si="51"/>
        <v>0.3</v>
      </c>
      <c r="AA252" s="152">
        <f t="shared" si="51"/>
        <v>0.3</v>
      </c>
      <c r="AB252" s="152">
        <f t="shared" si="51"/>
        <v>0.3</v>
      </c>
      <c r="AC252" s="152">
        <f t="shared" si="51"/>
        <v>0.3</v>
      </c>
      <c r="AD252" s="152">
        <f t="shared" si="51"/>
        <v>0.3</v>
      </c>
      <c r="AE252" s="152">
        <f t="shared" si="51"/>
        <v>0.3</v>
      </c>
      <c r="AF252" s="152">
        <f t="shared" si="51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9"/>
        <v>0.4</v>
      </c>
      <c r="C253" s="152">
        <v>0.4</v>
      </c>
      <c r="D253" s="152">
        <f t="shared" si="50"/>
        <v>0.4</v>
      </c>
      <c r="E253" s="152">
        <f t="shared" si="50"/>
        <v>0.4</v>
      </c>
      <c r="F253" s="152">
        <f t="shared" si="50"/>
        <v>0.4</v>
      </c>
      <c r="G253" s="152">
        <f t="shared" si="50"/>
        <v>0.4</v>
      </c>
      <c r="H253" s="152">
        <f t="shared" si="50"/>
        <v>0.4</v>
      </c>
      <c r="I253" s="152">
        <f t="shared" si="50"/>
        <v>0.4</v>
      </c>
      <c r="J253" s="152">
        <f t="shared" si="50"/>
        <v>0.4</v>
      </c>
      <c r="K253" s="152">
        <f t="shared" si="50"/>
        <v>0.4</v>
      </c>
      <c r="L253" s="152">
        <f t="shared" si="50"/>
        <v>0.4</v>
      </c>
      <c r="M253" s="152">
        <f t="shared" si="50"/>
        <v>0.4</v>
      </c>
      <c r="N253" s="152">
        <f t="shared" si="50"/>
        <v>0.4</v>
      </c>
      <c r="O253" s="152">
        <f t="shared" si="50"/>
        <v>0.4</v>
      </c>
      <c r="P253" s="152">
        <f t="shared" si="50"/>
        <v>0.4</v>
      </c>
      <c r="Q253" s="152">
        <f t="shared" si="50"/>
        <v>0.4</v>
      </c>
      <c r="R253" s="152">
        <f t="shared" si="50"/>
        <v>0.4</v>
      </c>
      <c r="S253" s="152">
        <f t="shared" si="50"/>
        <v>0.4</v>
      </c>
      <c r="T253" s="152">
        <f t="shared" si="51"/>
        <v>0.4</v>
      </c>
      <c r="U253" s="152">
        <f t="shared" si="51"/>
        <v>0.4</v>
      </c>
      <c r="V253" s="152">
        <f t="shared" si="51"/>
        <v>0.4</v>
      </c>
      <c r="W253" s="152">
        <f t="shared" si="51"/>
        <v>0.4</v>
      </c>
      <c r="X253" s="152">
        <f t="shared" si="51"/>
        <v>0.4</v>
      </c>
      <c r="Y253" s="152">
        <f t="shared" si="51"/>
        <v>0.4</v>
      </c>
      <c r="Z253" s="152">
        <f t="shared" si="51"/>
        <v>0.4</v>
      </c>
      <c r="AA253" s="152">
        <f t="shared" si="51"/>
        <v>0.4</v>
      </c>
      <c r="AB253" s="152">
        <f t="shared" si="51"/>
        <v>0.4</v>
      </c>
      <c r="AC253" s="152">
        <f t="shared" si="51"/>
        <v>0.4</v>
      </c>
      <c r="AD253" s="152">
        <f t="shared" si="51"/>
        <v>0.4</v>
      </c>
      <c r="AE253" s="152">
        <f t="shared" si="51"/>
        <v>0.4</v>
      </c>
      <c r="AF253" s="152">
        <f t="shared" si="51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9"/>
        <v>0.64</v>
      </c>
      <c r="C254" s="157">
        <v>0.64</v>
      </c>
      <c r="D254" s="157">
        <f t="shared" si="50"/>
        <v>0.64</v>
      </c>
      <c r="E254" s="157">
        <f t="shared" si="50"/>
        <v>0.64</v>
      </c>
      <c r="F254" s="157">
        <f t="shared" si="50"/>
        <v>0.64</v>
      </c>
      <c r="G254" s="157">
        <f t="shared" si="50"/>
        <v>0.64</v>
      </c>
      <c r="H254" s="157">
        <f t="shared" si="50"/>
        <v>0.64</v>
      </c>
      <c r="I254" s="157">
        <f t="shared" si="50"/>
        <v>0.64</v>
      </c>
      <c r="J254" s="157">
        <f t="shared" si="50"/>
        <v>0.64</v>
      </c>
      <c r="K254" s="157">
        <f t="shared" si="50"/>
        <v>0.64</v>
      </c>
      <c r="L254" s="157">
        <f t="shared" si="50"/>
        <v>0.64</v>
      </c>
      <c r="M254" s="157">
        <f t="shared" si="50"/>
        <v>0.64</v>
      </c>
      <c r="N254" s="157">
        <f t="shared" si="50"/>
        <v>0.64</v>
      </c>
      <c r="O254" s="157">
        <f t="shared" si="50"/>
        <v>0.64</v>
      </c>
      <c r="P254" s="157">
        <f t="shared" si="50"/>
        <v>0.64</v>
      </c>
      <c r="Q254" s="157">
        <f t="shared" si="50"/>
        <v>0.64</v>
      </c>
      <c r="R254" s="157">
        <f t="shared" si="50"/>
        <v>0.64</v>
      </c>
      <c r="S254" s="157">
        <f t="shared" si="50"/>
        <v>0.64</v>
      </c>
      <c r="T254" s="157">
        <f t="shared" si="51"/>
        <v>0.64</v>
      </c>
      <c r="U254" s="157">
        <f t="shared" si="51"/>
        <v>0.64</v>
      </c>
      <c r="V254" s="157">
        <f t="shared" si="51"/>
        <v>0.64</v>
      </c>
      <c r="W254" s="157">
        <f t="shared" si="51"/>
        <v>0.64</v>
      </c>
      <c r="X254" s="157">
        <f t="shared" si="51"/>
        <v>0.64</v>
      </c>
      <c r="Y254" s="157">
        <f t="shared" si="51"/>
        <v>0.64</v>
      </c>
      <c r="Z254" s="157">
        <f t="shared" si="51"/>
        <v>0.64</v>
      </c>
      <c r="AA254" s="157">
        <f t="shared" si="51"/>
        <v>0.64</v>
      </c>
      <c r="AB254" s="157">
        <f t="shared" si="51"/>
        <v>0.64</v>
      </c>
      <c r="AC254" s="157">
        <f t="shared" si="51"/>
        <v>0.64</v>
      </c>
      <c r="AD254" s="157">
        <f t="shared" si="51"/>
        <v>0.64</v>
      </c>
      <c r="AE254" s="157">
        <f t="shared" si="51"/>
        <v>0.64</v>
      </c>
      <c r="AF254" s="157">
        <f t="shared" si="51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52">SUM(B249:B254)</f>
        <v>3.54</v>
      </c>
      <c r="C255" s="161">
        <f t="shared" si="52"/>
        <v>3.54</v>
      </c>
      <c r="D255" s="161">
        <f t="shared" si="52"/>
        <v>3.54</v>
      </c>
      <c r="E255" s="161">
        <f t="shared" si="52"/>
        <v>3.54</v>
      </c>
      <c r="F255" s="161">
        <f t="shared" si="52"/>
        <v>3.54</v>
      </c>
      <c r="G255" s="161">
        <f t="shared" si="52"/>
        <v>3.54</v>
      </c>
      <c r="H255" s="161">
        <f t="shared" si="52"/>
        <v>3.54</v>
      </c>
      <c r="I255" s="161">
        <f t="shared" si="52"/>
        <v>3.54</v>
      </c>
      <c r="J255" s="161">
        <f t="shared" si="52"/>
        <v>3.54</v>
      </c>
      <c r="K255" s="161">
        <f t="shared" si="52"/>
        <v>3.54</v>
      </c>
      <c r="L255" s="161">
        <f t="shared" si="52"/>
        <v>3.54</v>
      </c>
      <c r="M255" s="161">
        <f t="shared" si="52"/>
        <v>3.54</v>
      </c>
      <c r="N255" s="161">
        <f t="shared" si="52"/>
        <v>3.54</v>
      </c>
      <c r="O255" s="161">
        <f t="shared" si="52"/>
        <v>3.54</v>
      </c>
      <c r="P255" s="161">
        <f t="shared" si="52"/>
        <v>3.54</v>
      </c>
      <c r="Q255" s="161">
        <f t="shared" si="52"/>
        <v>3.54</v>
      </c>
      <c r="R255" s="161">
        <f t="shared" si="52"/>
        <v>3.54</v>
      </c>
      <c r="S255" s="161">
        <f t="shared" si="52"/>
        <v>3.54</v>
      </c>
      <c r="T255" s="161">
        <f t="shared" si="52"/>
        <v>3.54</v>
      </c>
      <c r="U255" s="161">
        <f t="shared" si="52"/>
        <v>3.54</v>
      </c>
      <c r="V255" s="161">
        <f t="shared" si="52"/>
        <v>3.54</v>
      </c>
      <c r="W255" s="161">
        <f t="shared" si="52"/>
        <v>3.54</v>
      </c>
      <c r="X255" s="161">
        <f t="shared" si="52"/>
        <v>3.54</v>
      </c>
      <c r="Y255" s="161">
        <f t="shared" si="52"/>
        <v>3.54</v>
      </c>
      <c r="Z255" s="161">
        <f t="shared" si="52"/>
        <v>3.54</v>
      </c>
      <c r="AA255" s="161">
        <f t="shared" si="52"/>
        <v>3.54</v>
      </c>
      <c r="AB255" s="161">
        <f t="shared" si="52"/>
        <v>3.54</v>
      </c>
      <c r="AC255" s="161">
        <f t="shared" si="52"/>
        <v>3.54</v>
      </c>
      <c r="AD255" s="161">
        <f t="shared" si="52"/>
        <v>3.54</v>
      </c>
      <c r="AE255" s="161">
        <f t="shared" si="52"/>
        <v>3.54</v>
      </c>
      <c r="AF255" s="161">
        <f t="shared" si="52"/>
        <v>3.54</v>
      </c>
      <c r="AG255" s="171">
        <f t="shared" si="52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2012.24</v>
      </c>
      <c r="C259" s="174">
        <f>INDEX(G9:N9,1,MATCH(MAX(G102:N102),G102:N102,0))</f>
        <v>0.25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2080/10/19)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2098" priority="80">
      <formula>$AH11=0</formula>
    </cfRule>
  </conditionalFormatting>
  <conditionalFormatting sqref="A89">
    <cfRule type="expression" dxfId="2097" priority="138">
      <formula>$AH94=0</formula>
    </cfRule>
  </conditionalFormatting>
  <conditionalFormatting sqref="A90:A94">
    <cfRule type="expression" dxfId="2096" priority="81">
      <formula>$AH89=0</formula>
    </cfRule>
  </conditionalFormatting>
  <conditionalFormatting sqref="B8">
    <cfRule type="expression" dxfId="2095" priority="134">
      <formula>AND(C$9&gt;=14/24,C$9&lt;20/24)</formula>
    </cfRule>
    <cfRule type="expression" dxfId="2094" priority="135">
      <formula>AND(C$9&gt;=8/24,C$9&lt;14/24)</formula>
    </cfRule>
    <cfRule type="expression" dxfId="2093" priority="136">
      <formula>C$9&lt;8/24</formula>
    </cfRule>
    <cfRule type="expression" dxfId="2092" priority="137">
      <formula>C$9&gt;=20/24</formula>
    </cfRule>
  </conditionalFormatting>
  <conditionalFormatting sqref="B11:D60 W11:AF60 E12:Q60 S13:V60 R13:R83 E11 S61:AG61 B61:Q83 S62:AF64 S65:AG65 S66:AF83 AG83">
    <cfRule type="expression" dxfId="2091" priority="40">
      <formula>B11&gt;$AG11</formula>
    </cfRule>
  </conditionalFormatting>
  <conditionalFormatting sqref="B9:AF10 E11 B11:D57 W11:AF57 E12:N57 O13:V57 B62:D71 C66:C77 D67:D77 E69:L77 B72:AF77 AC73:AC78 AB78 AD78:AF78 B80:AF102 B104:AF120 B122:AF140 B247:AF247 B249:B255">
    <cfRule type="expression" dxfId="2090" priority="42">
      <formula>AND(B$9&gt;=14/24,B$9&lt;20/24)</formula>
    </cfRule>
    <cfRule type="expression" dxfId="2089" priority="43">
      <formula>AND(B$9&gt;=8/24,B$9&lt;14/24)</formula>
    </cfRule>
    <cfRule type="expression" dxfId="2088" priority="44">
      <formula>B$9&lt;8/24</formula>
    </cfRule>
  </conditionalFormatting>
  <conditionalFormatting sqref="B58:AF60">
    <cfRule type="expression" dxfId="2087" priority="37">
      <formula>B$9&gt;=20/24</formula>
    </cfRule>
    <cfRule type="expression" dxfId="2086" priority="38">
      <formula>AND(B$9&gt;=14/24,B$9&lt;20/24)</formula>
    </cfRule>
    <cfRule type="expression" dxfId="2085" priority="39">
      <formula>AND(B$9&gt;=8/24,B$9&lt;14/24)</formula>
    </cfRule>
    <cfRule type="expression" dxfId="2084" priority="49">
      <formula>B$9&lt;8/24</formula>
    </cfRule>
  </conditionalFormatting>
  <conditionalFormatting sqref="D249:AF255">
    <cfRule type="expression" dxfId="2083" priority="119">
      <formula>D$9&gt;=20/24</formula>
    </cfRule>
    <cfRule type="expression" dxfId="2082" priority="120">
      <formula>AND(D$9&gt;=14/24,D$9&lt;20/24)</formula>
    </cfRule>
    <cfRule type="expression" dxfId="2081" priority="121">
      <formula>AND(D$9&gt;=8/24,D$9&lt;14/24)</formula>
    </cfRule>
    <cfRule type="expression" dxfId="2080" priority="122">
      <formula>D$9&lt;8/24</formula>
    </cfRule>
  </conditionalFormatting>
  <conditionalFormatting sqref="E11 B11:D57 W11:AF57 E12:N57 O13:V57 B62:D71 C66:C77 D67:D77 E69:L77 B72:AF77 AC73:AC78 AB78 AD78:AF78 B80:AF102 B9:AF10 B104:AF120 B122:AF140 B247:AF247 B249:B255">
    <cfRule type="expression" dxfId="2079" priority="41">
      <formula>B$9&gt;=20/24</formula>
    </cfRule>
  </conditionalFormatting>
  <conditionalFormatting sqref="E66:I70 J67:J70 K70 J66:L68">
    <cfRule type="expression" dxfId="2078" priority="50">
      <formula>E$9&gt;=20/24</formula>
    </cfRule>
  </conditionalFormatting>
  <conditionalFormatting sqref="E71:K71">
    <cfRule type="expression" dxfId="2077" priority="45">
      <formula>E$9&gt;=20/24</formula>
    </cfRule>
    <cfRule type="expression" dxfId="2076" priority="46">
      <formula>AND(E$9&gt;=14/24,E$9&lt;20/24)</formula>
    </cfRule>
    <cfRule type="expression" dxfId="2075" priority="47">
      <formula>AND(E$9&gt;=8/24,E$9&lt;14/24)</formula>
    </cfRule>
    <cfRule type="expression" dxfId="2074" priority="48">
      <formula>E$9&lt;8/24</formula>
    </cfRule>
  </conditionalFormatting>
  <conditionalFormatting sqref="E11:Q11 R11:V12 O12:Q12">
    <cfRule type="expression" dxfId="2073" priority="55">
      <formula>E$9&gt;=20/24</formula>
    </cfRule>
    <cfRule type="expression" dxfId="2072" priority="56">
      <formula>AND(E$9&gt;=14/24,E$9&lt;20/24)</formula>
    </cfRule>
    <cfRule type="expression" dxfId="2071" priority="57">
      <formula>AND(E$9&gt;=8/24,E$9&lt;14/24)</formula>
    </cfRule>
    <cfRule type="expression" dxfId="2070" priority="58">
      <formula>E$9&lt;8/24</formula>
    </cfRule>
  </conditionalFormatting>
  <conditionalFormatting sqref="E11:Q11 R11:V12">
    <cfRule type="expression" dxfId="2069" priority="54">
      <formula>E11&gt;$AG11</formula>
    </cfRule>
  </conditionalFormatting>
  <conditionalFormatting sqref="E62:AF65">
    <cfRule type="expression" dxfId="2068" priority="60">
      <formula>E$9&gt;=20/24</formula>
    </cfRule>
    <cfRule type="expression" dxfId="2067" priority="61">
      <formula>AND(E$9&gt;=14/24,E$9&lt;20/24)</formula>
    </cfRule>
    <cfRule type="expression" dxfId="2066" priority="62">
      <formula>AND(E$9&gt;=8/24,E$9&lt;14/24)</formula>
    </cfRule>
    <cfRule type="expression" dxfId="2065" priority="63">
      <formula>E$9&lt;8/24</formula>
    </cfRule>
  </conditionalFormatting>
  <conditionalFormatting sqref="F66:L68">
    <cfRule type="expression" dxfId="2064" priority="72">
      <formula>F$9&gt;=20/24</formula>
    </cfRule>
    <cfRule type="expression" dxfId="2063" priority="73">
      <formula>AND(F$9&gt;=14/24,F$9&lt;20/24)</formula>
    </cfRule>
    <cfRule type="expression" dxfId="2062" priority="74">
      <formula>AND(F$9&gt;=8/24,F$9&lt;14/24)</formula>
    </cfRule>
    <cfRule type="expression" dxfId="2061" priority="75">
      <formula>F$9&lt;8/24</formula>
    </cfRule>
  </conditionalFormatting>
  <conditionalFormatting sqref="J66:L68 E66:I70 J67:J70 K70">
    <cfRule type="expression" dxfId="2060" priority="51">
      <formula>AND(E$9&gt;=14/24,E$9&lt;20/24)</formula>
    </cfRule>
    <cfRule type="expression" dxfId="2059" priority="52">
      <formula>AND(E$9&gt;=8/24,E$9&lt;14/24)</formula>
    </cfRule>
    <cfRule type="expression" dxfId="2058" priority="53">
      <formula>E$9&lt;8/24</formula>
    </cfRule>
  </conditionalFormatting>
  <conditionalFormatting sqref="L71:V71">
    <cfRule type="expression" dxfId="2057" priority="68">
      <formula>L$9&gt;=20/24</formula>
    </cfRule>
    <cfRule type="expression" dxfId="2056" priority="69">
      <formula>AND(L$9&gt;=14/24,L$9&lt;20/24)</formula>
    </cfRule>
    <cfRule type="expression" dxfId="2055" priority="70">
      <formula>AND(L$9&gt;=8/24,L$9&lt;14/24)</formula>
    </cfRule>
    <cfRule type="expression" dxfId="2054" priority="71">
      <formula>L$9&lt;8/24</formula>
    </cfRule>
  </conditionalFormatting>
  <conditionalFormatting sqref="M8 S8 AB8">
    <cfRule type="expression" dxfId="2053" priority="126">
      <formula>AND(N$9&gt;=14/24,N$9&lt;20/24)</formula>
    </cfRule>
    <cfRule type="expression" dxfId="2052" priority="127">
      <formula>AND(N$9&gt;=8/24,N$9&lt;14/24)</formula>
    </cfRule>
    <cfRule type="expression" dxfId="2051" priority="128">
      <formula>N$9&lt;8/24</formula>
    </cfRule>
  </conditionalFormatting>
  <conditionalFormatting sqref="M66:V70">
    <cfRule type="expression" dxfId="2050" priority="76">
      <formula>M$9&gt;=20/24</formula>
    </cfRule>
    <cfRule type="expression" dxfId="2049" priority="77">
      <formula>AND(M$9&gt;=14/24,M$9&lt;20/24)</formula>
    </cfRule>
    <cfRule type="expression" dxfId="2048" priority="78">
      <formula>AND(M$9&gt;=8/24,M$9&lt;14/24)</formula>
    </cfRule>
    <cfRule type="expression" dxfId="2047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046" priority="125">
      <formula>N$9&gt;=20/24</formula>
    </cfRule>
  </conditionalFormatting>
  <conditionalFormatting sqref="S8">
    <cfRule type="expression" dxfId="2045" priority="112">
      <formula>U$9&gt;=20/24</formula>
    </cfRule>
    <cfRule type="expression" dxfId="2044" priority="113">
      <formula>AND(U$9&gt;=14/24,U$9&lt;20/24)</formula>
    </cfRule>
    <cfRule type="expression" dxfId="2043" priority="114">
      <formula>AND(U$9&gt;=8/24,U$9&lt;14/24)</formula>
    </cfRule>
    <cfRule type="expression" dxfId="2042" priority="115">
      <formula>U$9&lt;8/24</formula>
    </cfRule>
  </conditionalFormatting>
  <conditionalFormatting sqref="T66:AF71">
    <cfRule type="expression" dxfId="2041" priority="64">
      <formula>T$9&gt;=20/24</formula>
    </cfRule>
    <cfRule type="expression" dxfId="2040" priority="65">
      <formula>AND(T$9&gt;=14/24,T$9&lt;20/24)</formula>
    </cfRule>
    <cfRule type="expression" dxfId="2039" priority="66">
      <formula>AND(T$9&gt;=8/24,T$9&lt;14/24)</formula>
    </cfRule>
    <cfRule type="expression" dxfId="2038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37" priority="108">
      <formula>AD$9&gt;=20/24</formula>
    </cfRule>
    <cfRule type="expression" dxfId="2036" priority="109">
      <formula>AND(AD$9&gt;=14/24,AD$9&lt;20/24)</formula>
    </cfRule>
    <cfRule type="expression" dxfId="2035" priority="110">
      <formula>AND(AD$9&gt;=8/24,AD$9&lt;14/24)</formula>
    </cfRule>
    <cfRule type="expression" dxfId="2034" priority="111">
      <formula>AD$9&lt;8/24</formula>
    </cfRule>
  </conditionalFormatting>
  <conditionalFormatting sqref="AG65">
    <cfRule type="expression" dxfId="2033" priority="87">
      <formula>AG$9&gt;=20/24</formula>
    </cfRule>
    <cfRule type="expression" dxfId="2032" priority="88">
      <formula>AND(AG$9&gt;=14/24,AG$9&lt;20/24)</formula>
    </cfRule>
    <cfRule type="expression" dxfId="2031" priority="89">
      <formula>AND(AG$9&gt;=8/24,AG$9&lt;14/24)</formula>
    </cfRule>
    <cfRule type="expression" dxfId="2030" priority="90">
      <formula>AG$9&lt;8/24</formula>
    </cfRule>
  </conditionalFormatting>
  <conditionalFormatting sqref="AG78:AG79">
    <cfRule type="expression" dxfId="2029" priority="82">
      <formula>AG78&gt;$AG78</formula>
    </cfRule>
  </conditionalFormatting>
  <conditionalFormatting sqref="AG83">
    <cfRule type="expression" dxfId="2028" priority="83">
      <formula>AG$9&gt;=20/24</formula>
    </cfRule>
    <cfRule type="expression" dxfId="2027" priority="84">
      <formula>AND(AG$9&gt;=14/24,AG$9&lt;20/24)</formula>
    </cfRule>
    <cfRule type="expression" dxfId="2026" priority="85">
      <formula>AND(AG$9&gt;=8/24,AG$9&lt;14/24)</formula>
    </cfRule>
    <cfRule type="expression" dxfId="2025" priority="86">
      <formula>AG$9&lt;8/24</formula>
    </cfRule>
  </conditionalFormatting>
  <conditionalFormatting sqref="AG100">
    <cfRule type="expression" dxfId="2024" priority="104">
      <formula>AG$9&gt;=20/24</formula>
    </cfRule>
    <cfRule type="expression" dxfId="2023" priority="105">
      <formula>AND(AG$9&gt;=14/24,AG$9&lt;20/24)</formula>
    </cfRule>
    <cfRule type="expression" dxfId="2022" priority="106">
      <formula>AND(AG$9&gt;=8/24,AG$9&lt;14/24)</formula>
    </cfRule>
    <cfRule type="expression" dxfId="2021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2020" priority="129">
      <formula>AJ$9&gt;=20/24</formula>
    </cfRule>
    <cfRule type="expression" dxfId="2019" priority="130">
      <formula>AND(AJ$9&gt;=14/24,AJ$9&lt;20/24)</formula>
    </cfRule>
    <cfRule type="expression" dxfId="2018" priority="131">
      <formula>AND(AJ$9&gt;=8/24,AJ$9&lt;14/24)</formula>
    </cfRule>
    <cfRule type="expression" dxfId="2017" priority="132">
      <formula>AJ$9&lt;8/24</formula>
    </cfRule>
  </conditionalFormatting>
  <conditionalFormatting sqref="AL86:AN86 AL92:AN92">
    <cfRule type="expression" dxfId="2016" priority="97">
      <formula>AL$9&gt;=20/24</formula>
    </cfRule>
    <cfRule type="expression" dxfId="2015" priority="98">
      <formula>AND(AL$9&gt;=14/24,AL$9&lt;20/24)</formula>
    </cfRule>
    <cfRule type="expression" dxfId="2014" priority="99">
      <formula>AND(AL$9&gt;=8/24,AL$9&lt;14/24)</formula>
    </cfRule>
    <cfRule type="expression" dxfId="2013" priority="100">
      <formula>AL$9&lt;8/24</formula>
    </cfRule>
  </conditionalFormatting>
  <conditionalFormatting sqref="AM15:AM21 AN16:AR21">
    <cfRule type="expression" dxfId="2012" priority="13">
      <formula>AX$9&gt;=20/24</formula>
    </cfRule>
    <cfRule type="expression" dxfId="2011" priority="14">
      <formula>AND(AX$9&gt;=14/24,AX$9&lt;20/24)</formula>
    </cfRule>
    <cfRule type="expression" dxfId="2010" priority="15">
      <formula>AND(AX$9&gt;=8/24,AX$9&lt;14/24)</formula>
    </cfRule>
    <cfRule type="expression" dxfId="2009" priority="16">
      <formula>AX$9&lt;8/24</formula>
    </cfRule>
  </conditionalFormatting>
  <conditionalFormatting sqref="AN87:AN90">
    <cfRule type="expression" dxfId="2008" priority="93">
      <formula>AN$9&gt;=20/24</formula>
    </cfRule>
    <cfRule type="expression" dxfId="2007" priority="94">
      <formula>AND(AN$9&gt;=14/24,AN$9&lt;20/24)</formula>
    </cfRule>
    <cfRule type="expression" dxfId="2006" priority="95">
      <formula>AND(AN$9&gt;=8/24,AN$9&lt;14/24)</formula>
    </cfRule>
    <cfRule type="expression" dxfId="2005" priority="96">
      <formula>AN$9&lt;8/24</formula>
    </cfRule>
  </conditionalFormatting>
  <conditionalFormatting sqref="AN15:AR15">
    <cfRule type="expression" dxfId="2004" priority="1">
      <formula>U$9&gt;=20/24</formula>
    </cfRule>
    <cfRule type="expression" dxfId="2003" priority="2">
      <formula>AND(U$9&gt;=14/24,U$9&lt;20/24)</formula>
    </cfRule>
    <cfRule type="expression" dxfId="2002" priority="3">
      <formula>AND(U$9&gt;=8/24,U$9&lt;14/24)</formula>
    </cfRule>
    <cfRule type="expression" dxfId="2001" priority="4">
      <formula>U$9&lt;8/24</formula>
    </cfRule>
  </conditionalFormatting>
  <conditionalFormatting sqref="AS15">
    <cfRule type="expression" dxfId="2000" priority="9">
      <formula>AA$9&gt;=20/24</formula>
    </cfRule>
    <cfRule type="expression" dxfId="1999" priority="10">
      <formula>AND(AA$9&gt;=14/24,AA$9&lt;20/24)</formula>
    </cfRule>
    <cfRule type="expression" dxfId="1998" priority="11">
      <formula>AND(AA$9&gt;=8/24,AA$9&lt;14/24)</formula>
    </cfRule>
    <cfRule type="expression" dxfId="1997" priority="12">
      <formula>AA$9&lt;8/24</formula>
    </cfRule>
  </conditionalFormatting>
  <conditionalFormatting sqref="AS16:AS21">
    <cfRule type="expression" dxfId="1996" priority="17">
      <formula>BE$9&gt;=20/24</formula>
    </cfRule>
    <cfRule type="expression" dxfId="1995" priority="18">
      <formula>AND(BE$9&gt;=14/24,BE$9&lt;20/24)</formula>
    </cfRule>
    <cfRule type="expression" dxfId="1994" priority="19">
      <formula>AND(BE$9&gt;=8/24,BE$9&lt;14/24)</formula>
    </cfRule>
    <cfRule type="expression" dxfId="1993" priority="20">
      <formula>BE$9&lt;8/24</formula>
    </cfRule>
  </conditionalFormatting>
  <conditionalFormatting sqref="AT15 AX15:BJ15">
    <cfRule type="expression" dxfId="1992" priority="21">
      <formula>AC$9&gt;=20/24</formula>
    </cfRule>
    <cfRule type="expression" dxfId="1991" priority="22">
      <formula>AND(AC$9&gt;=14/24,AC$9&lt;20/24)</formula>
    </cfRule>
    <cfRule type="expression" dxfId="1990" priority="23">
      <formula>AND(AC$9&gt;=8/24,AC$9&lt;14/24)</formula>
    </cfRule>
    <cfRule type="expression" dxfId="1989" priority="24">
      <formula>AC$9&lt;8/24</formula>
    </cfRule>
  </conditionalFormatting>
  <conditionalFormatting sqref="AT16:AT21">
    <cfRule type="expression" dxfId="1988" priority="25">
      <formula>BG$9&gt;=20/24</formula>
    </cfRule>
    <cfRule type="expression" dxfId="1987" priority="26">
      <formula>AND(BG$9&gt;=14/24,BG$9&lt;20/24)</formula>
    </cfRule>
    <cfRule type="expression" dxfId="1986" priority="27">
      <formula>AND(BG$9&gt;=8/24,BG$9&lt;14/24)</formula>
    </cfRule>
    <cfRule type="expression" dxfId="1985" priority="28">
      <formula>BG$9&lt;8/24</formula>
    </cfRule>
  </conditionalFormatting>
  <conditionalFormatting sqref="AU15:AV15">
    <cfRule type="expression" dxfId="1984" priority="29">
      <formula>AE$9&gt;=20/24</formula>
    </cfRule>
    <cfRule type="expression" dxfId="1983" priority="30">
      <formula>AND(AE$9&gt;=14/24,AE$9&lt;20/24)</formula>
    </cfRule>
    <cfRule type="expression" dxfId="1982" priority="31">
      <formula>AND(AE$9&gt;=8/24,AE$9&lt;14/24)</formula>
    </cfRule>
    <cfRule type="expression" dxfId="1981" priority="32">
      <formula>AE$9&lt;8/24</formula>
    </cfRule>
  </conditionalFormatting>
  <conditionalFormatting sqref="AU16:BJ21">
    <cfRule type="expression" dxfId="1980" priority="33">
      <formula>BI$9&gt;=20/24</formula>
    </cfRule>
    <cfRule type="expression" dxfId="1979" priority="34">
      <formula>AND(BI$9&gt;=14/24,BI$9&lt;20/24)</formula>
    </cfRule>
    <cfRule type="expression" dxfId="1978" priority="35">
      <formula>AND(BI$9&gt;=8/24,BI$9&lt;14/24)</formula>
    </cfRule>
    <cfRule type="expression" dxfId="1977" priority="36">
      <formula>BI$9&lt;8/24</formula>
    </cfRule>
  </conditionalFormatting>
  <conditionalFormatting sqref="AW15">
    <cfRule type="expression" dxfId="1976" priority="5">
      <formula>B$9&gt;=20/24</formula>
    </cfRule>
    <cfRule type="expression" dxfId="1975" priority="6">
      <formula>AND(B$9&gt;=14/24,B$9&lt;20/24)</formula>
    </cfRule>
    <cfRule type="expression" dxfId="1974" priority="7">
      <formula>AND(B$9&gt;=8/24,B$9&lt;14/24)</formula>
    </cfRule>
    <cfRule type="expression" dxfId="197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D984-4EAA-4676-82DD-0F22A62B8DCE}">
  <sheetPr codeName="Sheet21"/>
  <dimension ref="A1:CJ297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L106" sqref="L10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2080/10/20</v>
      </c>
      <c r="C4" s="187"/>
      <c r="D4" s="187"/>
      <c r="E4" s="188" t="str">
        <f ca="1">"2080/"&amp;"10/"&amp;INT(MID(CELL("filename",G6),FIND("]",CELL("filename",G6))+1,200))</f>
        <v>2080/10/20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17.2</v>
      </c>
      <c r="E5" s="30">
        <f t="shared" si="0"/>
        <v>18.600000000000001</v>
      </c>
      <c r="F5" s="30">
        <f t="shared" si="0"/>
        <v>5.6</v>
      </c>
      <c r="G5" s="30">
        <f t="shared" si="0"/>
        <v>12</v>
      </c>
      <c r="H5" s="30">
        <f t="shared" si="0"/>
        <v>1</v>
      </c>
      <c r="I5" s="30">
        <f t="shared" si="0"/>
        <v>49</v>
      </c>
      <c r="J5" s="30">
        <f t="shared" si="0"/>
        <v>52</v>
      </c>
      <c r="K5" s="30">
        <f t="shared" si="0"/>
        <v>52</v>
      </c>
      <c r="L5" s="30">
        <f t="shared" si="0"/>
        <v>147.80000000000001</v>
      </c>
      <c r="M5" s="30">
        <f t="shared" si="0"/>
        <v>152.5</v>
      </c>
      <c r="N5" s="30">
        <f t="shared" si="0"/>
        <v>180.2</v>
      </c>
      <c r="O5" s="30">
        <f t="shared" si="0"/>
        <v>175</v>
      </c>
      <c r="P5" s="30">
        <f t="shared" si="0"/>
        <v>178.9</v>
      </c>
      <c r="Q5" s="30">
        <f t="shared" si="0"/>
        <v>189.3</v>
      </c>
      <c r="R5" s="30">
        <f t="shared" si="0"/>
        <v>366.9</v>
      </c>
      <c r="S5" s="30">
        <f t="shared" si="0"/>
        <v>445.70000000000005</v>
      </c>
      <c r="T5" s="30">
        <f t="shared" si="0"/>
        <v>490</v>
      </c>
      <c r="U5" s="30">
        <f t="shared" si="0"/>
        <v>484</v>
      </c>
      <c r="V5" s="30">
        <f t="shared" si="0"/>
        <v>466.4</v>
      </c>
      <c r="W5" s="30">
        <f t="shared" si="0"/>
        <v>342.4</v>
      </c>
      <c r="X5" s="30">
        <f t="shared" si="0"/>
        <v>25.1</v>
      </c>
      <c r="Y5" s="30">
        <f t="shared" si="0"/>
        <v>25.3</v>
      </c>
      <c r="Z5" s="30">
        <f t="shared" si="0"/>
        <v>41.8</v>
      </c>
      <c r="AA5" s="30">
        <f t="shared" si="0"/>
        <v>67.8</v>
      </c>
      <c r="AB5" s="30">
        <f t="shared" si="0"/>
        <v>40.6</v>
      </c>
      <c r="AC5" s="30">
        <f t="shared" si="0"/>
        <v>24</v>
      </c>
      <c r="AD5" s="30">
        <f t="shared" si="0"/>
        <v>20</v>
      </c>
      <c r="AE5" s="30">
        <f t="shared" si="0"/>
        <v>30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1904MW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Load=1338</v>
      </c>
      <c r="B7" s="35">
        <f t="shared" ref="B7:AF7" si="1">B103</f>
        <v>1458.74</v>
      </c>
      <c r="C7" s="35">
        <f t="shared" si="1"/>
        <v>1411.14</v>
      </c>
      <c r="D7" s="35">
        <f t="shared" si="1"/>
        <v>1468.8400000000001</v>
      </c>
      <c r="E7" s="35">
        <f t="shared" si="1"/>
        <v>1444.5400000000002</v>
      </c>
      <c r="F7" s="35">
        <f t="shared" si="1"/>
        <v>1443.44</v>
      </c>
      <c r="G7" s="35">
        <f t="shared" si="1"/>
        <v>1433.8400000000001</v>
      </c>
      <c r="H7" s="35">
        <f t="shared" si="1"/>
        <v>1380.5400000000002</v>
      </c>
      <c r="I7" s="35">
        <f t="shared" si="1"/>
        <v>1337.84</v>
      </c>
      <c r="J7" s="35">
        <f t="shared" si="1"/>
        <v>1428.84</v>
      </c>
      <c r="K7" s="35">
        <f t="shared" si="1"/>
        <v>1430.04</v>
      </c>
      <c r="L7" s="35">
        <f t="shared" si="1"/>
        <v>1478.14</v>
      </c>
      <c r="M7" s="35">
        <f t="shared" si="1"/>
        <v>1606.74</v>
      </c>
      <c r="N7" s="35">
        <f t="shared" si="1"/>
        <v>1620.9000000000003</v>
      </c>
      <c r="O7" s="35">
        <f t="shared" si="1"/>
        <v>1720.64</v>
      </c>
      <c r="P7" s="35">
        <f t="shared" si="1"/>
        <v>1712.04</v>
      </c>
      <c r="Q7" s="35">
        <f t="shared" si="1"/>
        <v>1724.94</v>
      </c>
      <c r="R7" s="35">
        <f t="shared" si="1"/>
        <v>1828.84</v>
      </c>
      <c r="S7" s="35">
        <f t="shared" si="1"/>
        <v>1820.0400000000004</v>
      </c>
      <c r="T7" s="35">
        <f t="shared" si="1"/>
        <v>1850.5400000000002</v>
      </c>
      <c r="U7" s="35">
        <f t="shared" si="1"/>
        <v>1796.3400000000001</v>
      </c>
      <c r="V7" s="35">
        <f t="shared" si="1"/>
        <v>1784.44</v>
      </c>
      <c r="W7" s="35">
        <f t="shared" si="1"/>
        <v>1707.44</v>
      </c>
      <c r="X7" s="35">
        <f t="shared" si="1"/>
        <v>1697.54</v>
      </c>
      <c r="Y7" s="35">
        <f t="shared" si="1"/>
        <v>1686.4999999999998</v>
      </c>
      <c r="Z7" s="35">
        <f t="shared" si="1"/>
        <v>1752.2999999999997</v>
      </c>
      <c r="AA7" s="35">
        <f t="shared" si="1"/>
        <v>1843.9999999999998</v>
      </c>
      <c r="AB7" s="35">
        <f t="shared" si="1"/>
        <v>1887.04</v>
      </c>
      <c r="AC7" s="35">
        <f t="shared" si="1"/>
        <v>1876.1399999999999</v>
      </c>
      <c r="AD7" s="35">
        <f t="shared" si="1"/>
        <v>1815.7399999999998</v>
      </c>
      <c r="AE7" s="35">
        <f t="shared" si="1"/>
        <v>1757.9399999999998</v>
      </c>
      <c r="AF7" s="35">
        <f t="shared" si="1"/>
        <v>1714.54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1944.04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1887.04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31.1</v>
      </c>
      <c r="C11" s="46">
        <v>31.1</v>
      </c>
      <c r="D11" s="46">
        <v>30.5</v>
      </c>
      <c r="E11" s="46">
        <v>30.4</v>
      </c>
      <c r="F11" s="46">
        <v>30.5</v>
      </c>
      <c r="G11" s="46">
        <v>28.7</v>
      </c>
      <c r="H11" s="46">
        <v>28.7</v>
      </c>
      <c r="I11" s="46">
        <v>28.7</v>
      </c>
      <c r="J11" s="46">
        <v>28.7</v>
      </c>
      <c r="K11" s="46">
        <v>28.7</v>
      </c>
      <c r="L11" s="46">
        <v>22</v>
      </c>
      <c r="M11" s="46">
        <v>27.1</v>
      </c>
      <c r="N11" s="46">
        <v>28</v>
      </c>
      <c r="O11" s="46">
        <v>28</v>
      </c>
      <c r="P11" s="46">
        <v>28</v>
      </c>
      <c r="Q11" s="46">
        <v>28</v>
      </c>
      <c r="R11" s="46">
        <v>27.1</v>
      </c>
      <c r="S11" s="46">
        <v>27.1</v>
      </c>
      <c r="T11" s="46">
        <v>27.1</v>
      </c>
      <c r="U11" s="46">
        <v>27.1</v>
      </c>
      <c r="V11" s="46">
        <v>23.8</v>
      </c>
      <c r="W11" s="46">
        <v>23.8</v>
      </c>
      <c r="X11" s="46">
        <v>23.8</v>
      </c>
      <c r="Y11" s="46">
        <v>23.8</v>
      </c>
      <c r="Z11" s="46">
        <v>23.8</v>
      </c>
      <c r="AA11" s="46">
        <v>23.8</v>
      </c>
      <c r="AB11" s="46">
        <v>23.8</v>
      </c>
      <c r="AC11" s="46">
        <v>22.8</v>
      </c>
      <c r="AD11" s="46">
        <v>22.5</v>
      </c>
      <c r="AE11" s="46">
        <v>22</v>
      </c>
      <c r="AF11" s="46">
        <v>22</v>
      </c>
      <c r="AG11" s="47">
        <v>86</v>
      </c>
      <c r="AH11" s="48">
        <f t="shared" ref="AH11:AH74" si="2">MAX(B11:AF11)</f>
        <v>31.1</v>
      </c>
      <c r="AI11" s="49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27</v>
      </c>
      <c r="C12" s="46">
        <v>27</v>
      </c>
      <c r="D12" s="46">
        <v>27</v>
      </c>
      <c r="E12" s="46">
        <v>23.5</v>
      </c>
      <c r="F12" s="46">
        <v>23.8</v>
      </c>
      <c r="G12" s="46">
        <v>23.8</v>
      </c>
      <c r="H12" s="46">
        <v>23.8</v>
      </c>
      <c r="I12" s="46">
        <v>23.8</v>
      </c>
      <c r="J12" s="46">
        <v>23.8</v>
      </c>
      <c r="K12" s="46">
        <v>23.8</v>
      </c>
      <c r="L12" s="46">
        <v>23.8</v>
      </c>
      <c r="M12" s="46">
        <v>23.8</v>
      </c>
      <c r="N12" s="46">
        <v>23.8</v>
      </c>
      <c r="O12" s="46">
        <v>23.8</v>
      </c>
      <c r="P12" s="46">
        <v>23.8</v>
      </c>
      <c r="Q12" s="46">
        <v>23.8</v>
      </c>
      <c r="R12" s="46">
        <v>23.8</v>
      </c>
      <c r="S12" s="46">
        <v>23.8</v>
      </c>
      <c r="T12" s="46">
        <v>23.8</v>
      </c>
      <c r="U12" s="46">
        <v>23.8</v>
      </c>
      <c r="V12" s="46">
        <v>23.8</v>
      </c>
      <c r="W12" s="46">
        <v>23.8</v>
      </c>
      <c r="X12" s="46">
        <v>23.8</v>
      </c>
      <c r="Y12" s="46">
        <v>23.8</v>
      </c>
      <c r="Z12" s="46">
        <v>23.8</v>
      </c>
      <c r="AA12" s="46">
        <v>23.8</v>
      </c>
      <c r="AB12" s="46">
        <v>23.8</v>
      </c>
      <c r="AC12" s="46">
        <v>23.8</v>
      </c>
      <c r="AD12" s="46">
        <v>23.8</v>
      </c>
      <c r="AE12" s="46">
        <v>23.8</v>
      </c>
      <c r="AF12" s="46">
        <v>23.8</v>
      </c>
      <c r="AG12" s="50">
        <v>77</v>
      </c>
      <c r="AH12" s="48">
        <f t="shared" si="2"/>
        <v>27</v>
      </c>
      <c r="AI12" s="49">
        <f t="shared" si="3"/>
        <v>23.5</v>
      </c>
      <c r="AK12" s="51"/>
      <c r="AL12" s="52" t="str">
        <f ca="1">MID(CELL("filename",C7),FIND("]",CELL("filename",C7))+1,600)</f>
        <v>20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71.8</v>
      </c>
      <c r="C13" s="46">
        <v>71.8</v>
      </c>
      <c r="D13" s="46">
        <v>71.599999999999994</v>
      </c>
      <c r="E13" s="46">
        <v>72</v>
      </c>
      <c r="F13" s="46">
        <v>72</v>
      </c>
      <c r="G13" s="46">
        <v>72</v>
      </c>
      <c r="H13" s="46">
        <v>72</v>
      </c>
      <c r="I13" s="46">
        <v>71</v>
      </c>
      <c r="J13" s="46">
        <v>71</v>
      </c>
      <c r="K13" s="46">
        <v>71</v>
      </c>
      <c r="L13" s="46">
        <v>71</v>
      </c>
      <c r="M13" s="46">
        <v>71</v>
      </c>
      <c r="N13" s="46">
        <v>71</v>
      </c>
      <c r="O13" s="46">
        <v>71</v>
      </c>
      <c r="P13" s="46">
        <v>71</v>
      </c>
      <c r="Q13" s="46">
        <v>71</v>
      </c>
      <c r="R13" s="46">
        <v>69.2</v>
      </c>
      <c r="S13" s="46">
        <v>69.2</v>
      </c>
      <c r="T13" s="46">
        <v>69.2</v>
      </c>
      <c r="U13" s="46">
        <v>69.2</v>
      </c>
      <c r="V13" s="46">
        <v>67</v>
      </c>
      <c r="W13" s="46">
        <v>67</v>
      </c>
      <c r="X13" s="46">
        <v>67</v>
      </c>
      <c r="Y13" s="46">
        <v>67</v>
      </c>
      <c r="Z13" s="46">
        <v>67</v>
      </c>
      <c r="AA13" s="46">
        <v>67</v>
      </c>
      <c r="AB13" s="46">
        <v>67</v>
      </c>
      <c r="AC13" s="46">
        <v>67</v>
      </c>
      <c r="AD13" s="46">
        <v>67</v>
      </c>
      <c r="AE13" s="46">
        <v>67</v>
      </c>
      <c r="AF13" s="46">
        <v>67</v>
      </c>
      <c r="AG13" s="50">
        <v>73</v>
      </c>
      <c r="AH13" s="48">
        <f t="shared" si="2"/>
        <v>72</v>
      </c>
      <c r="AI13" s="49">
        <f t="shared" si="3"/>
        <v>67</v>
      </c>
      <c r="AK13" s="51"/>
      <c r="AL13" s="52" t="str">
        <f ca="1">"Daily Load Curve(Excluding of Export) of Nepal ("&amp;A4&amp;" "&amp;B4&amp;")"</f>
        <v>Daily Load Curve(Excluding of Export) of Nepal (Nepali Date: 2080/10/20)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10.6</v>
      </c>
      <c r="C14" s="46">
        <v>10.6</v>
      </c>
      <c r="D14" s="46">
        <v>20.3</v>
      </c>
      <c r="E14" s="46">
        <v>24.7</v>
      </c>
      <c r="F14" s="46">
        <v>24.7</v>
      </c>
      <c r="G14" s="46">
        <v>24.7</v>
      </c>
      <c r="H14" s="46">
        <v>20</v>
      </c>
      <c r="I14" s="46">
        <v>40</v>
      </c>
      <c r="J14" s="46">
        <v>40</v>
      </c>
      <c r="K14" s="46">
        <v>40</v>
      </c>
      <c r="L14" s="46">
        <v>40</v>
      </c>
      <c r="M14" s="46">
        <v>15</v>
      </c>
      <c r="N14" s="46">
        <v>15</v>
      </c>
      <c r="O14" s="46">
        <v>15</v>
      </c>
      <c r="P14" s="46">
        <v>15</v>
      </c>
      <c r="Q14" s="46">
        <v>15</v>
      </c>
      <c r="R14" s="46">
        <v>32.299999999999997</v>
      </c>
      <c r="S14" s="46">
        <v>32.299999999999997</v>
      </c>
      <c r="T14" s="46">
        <v>32.299999999999997</v>
      </c>
      <c r="U14" s="46">
        <v>32.299999999999997</v>
      </c>
      <c r="V14" s="46">
        <v>36.4</v>
      </c>
      <c r="W14" s="46">
        <v>36.4</v>
      </c>
      <c r="X14" s="46">
        <v>36.4</v>
      </c>
      <c r="Y14" s="46">
        <v>36.4</v>
      </c>
      <c r="Z14" s="46">
        <v>36.4</v>
      </c>
      <c r="AA14" s="46">
        <v>36.4</v>
      </c>
      <c r="AB14" s="46">
        <v>36.4</v>
      </c>
      <c r="AC14" s="46">
        <v>36.4</v>
      </c>
      <c r="AD14" s="46">
        <v>36.4</v>
      </c>
      <c r="AE14" s="46">
        <v>36.4</v>
      </c>
      <c r="AF14" s="46">
        <v>36.4</v>
      </c>
      <c r="AG14" s="50">
        <v>71</v>
      </c>
      <c r="AH14" s="48">
        <f t="shared" si="2"/>
        <v>40</v>
      </c>
      <c r="AI14" s="49">
        <f t="shared" si="3"/>
        <v>10.6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17.399999999999999</v>
      </c>
      <c r="C15" s="46">
        <v>17.399999999999999</v>
      </c>
      <c r="D15" s="46">
        <v>17.399999999999999</v>
      </c>
      <c r="E15" s="46">
        <v>16.2</v>
      </c>
      <c r="F15" s="46">
        <v>16.2</v>
      </c>
      <c r="G15" s="46">
        <v>16.2</v>
      </c>
      <c r="H15" s="46">
        <v>16.2</v>
      </c>
      <c r="I15" s="46">
        <v>16.2</v>
      </c>
      <c r="J15" s="46">
        <v>16.2</v>
      </c>
      <c r="K15" s="46">
        <v>16.2</v>
      </c>
      <c r="L15" s="46">
        <v>16.2</v>
      </c>
      <c r="M15" s="46">
        <v>16.2</v>
      </c>
      <c r="N15" s="46">
        <v>16.2</v>
      </c>
      <c r="O15" s="46">
        <v>16.2</v>
      </c>
      <c r="P15" s="46">
        <v>16.2</v>
      </c>
      <c r="Q15" s="46">
        <v>16.2</v>
      </c>
      <c r="R15" s="46">
        <v>16.2</v>
      </c>
      <c r="S15" s="46">
        <v>16.2</v>
      </c>
      <c r="T15" s="46">
        <v>16.2</v>
      </c>
      <c r="U15" s="46">
        <v>16.2</v>
      </c>
      <c r="V15" s="46">
        <v>16.2</v>
      </c>
      <c r="W15" s="46">
        <v>16.2</v>
      </c>
      <c r="X15" s="46">
        <v>16.2</v>
      </c>
      <c r="Y15" s="46">
        <v>16.2</v>
      </c>
      <c r="Z15" s="46">
        <v>16.2</v>
      </c>
      <c r="AA15" s="46">
        <v>16.2</v>
      </c>
      <c r="AB15" s="46">
        <v>16.2</v>
      </c>
      <c r="AC15" s="46">
        <v>16.2</v>
      </c>
      <c r="AD15" s="46">
        <v>16.2</v>
      </c>
      <c r="AE15" s="46">
        <v>16.2</v>
      </c>
      <c r="AF15" s="46">
        <v>16.2</v>
      </c>
      <c r="AG15" s="50">
        <v>54</v>
      </c>
      <c r="AH15" s="48">
        <f t="shared" si="2"/>
        <v>17.399999999999999</v>
      </c>
      <c r="AI15" s="49">
        <f t="shared" si="3"/>
        <v>16.2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26.9</v>
      </c>
      <c r="E16" s="46">
        <v>26.9</v>
      </c>
      <c r="F16" s="46">
        <v>26.9</v>
      </c>
      <c r="G16" s="46">
        <v>26.9</v>
      </c>
      <c r="H16" s="46">
        <v>26.9</v>
      </c>
      <c r="I16" s="46">
        <v>24</v>
      </c>
      <c r="J16" s="46">
        <v>24</v>
      </c>
      <c r="K16" s="46">
        <v>24</v>
      </c>
      <c r="L16" s="46">
        <v>24</v>
      </c>
      <c r="M16" s="46">
        <v>24</v>
      </c>
      <c r="N16" s="46">
        <v>24</v>
      </c>
      <c r="O16" s="46">
        <v>24</v>
      </c>
      <c r="P16" s="46">
        <v>24</v>
      </c>
      <c r="Q16" s="46">
        <v>24</v>
      </c>
      <c r="R16" s="46">
        <v>21</v>
      </c>
      <c r="S16" s="46">
        <v>21</v>
      </c>
      <c r="T16" s="46">
        <v>21</v>
      </c>
      <c r="U16" s="46">
        <v>21</v>
      </c>
      <c r="V16" s="46">
        <v>26.9</v>
      </c>
      <c r="W16" s="46">
        <v>26.9</v>
      </c>
      <c r="X16" s="46">
        <v>26.9</v>
      </c>
      <c r="Y16" s="46">
        <v>26.9</v>
      </c>
      <c r="Z16" s="46">
        <v>26.9</v>
      </c>
      <c r="AA16" s="46">
        <v>26.9</v>
      </c>
      <c r="AB16" s="46">
        <v>26.9</v>
      </c>
      <c r="AC16" s="46">
        <v>26.9</v>
      </c>
      <c r="AD16" s="46">
        <v>26.9</v>
      </c>
      <c r="AE16" s="46">
        <v>26.9</v>
      </c>
      <c r="AF16" s="46">
        <v>26.9</v>
      </c>
      <c r="AG16" s="50">
        <v>54</v>
      </c>
      <c r="AH16" s="48">
        <f t="shared" si="2"/>
        <v>26.9</v>
      </c>
      <c r="AI16" s="49">
        <f t="shared" si="3"/>
        <v>21</v>
      </c>
      <c r="AK16" s="51"/>
      <c r="AL16" s="54" t="s">
        <v>7</v>
      </c>
      <c r="AM16" s="59">
        <f t="shared" ref="AM16:AR16" si="4">B61</f>
        <v>810.4</v>
      </c>
      <c r="AN16" s="59">
        <f t="shared" si="4"/>
        <v>810.4</v>
      </c>
      <c r="AO16" s="59">
        <f t="shared" si="4"/>
        <v>824.4</v>
      </c>
      <c r="AP16" s="59">
        <f t="shared" si="4"/>
        <v>805.30000000000007</v>
      </c>
      <c r="AQ16" s="59">
        <f t="shared" si="4"/>
        <v>805.7</v>
      </c>
      <c r="AR16" s="59">
        <f t="shared" si="4"/>
        <v>803.90000000000009</v>
      </c>
      <c r="AS16" s="59">
        <f>I61</f>
        <v>813.6</v>
      </c>
      <c r="AT16" s="59">
        <f>K61</f>
        <v>813.6</v>
      </c>
      <c r="AU16" s="59">
        <f t="shared" ref="AU16:BD16" si="5">M61</f>
        <v>787</v>
      </c>
      <c r="AV16" s="59">
        <f t="shared" si="5"/>
        <v>785.50000000000011</v>
      </c>
      <c r="AW16" s="59">
        <f t="shared" si="5"/>
        <v>785.50000000000011</v>
      </c>
      <c r="AX16" s="59">
        <f t="shared" si="5"/>
        <v>785.50000000000011</v>
      </c>
      <c r="AY16" s="59">
        <f t="shared" si="5"/>
        <v>785.50000000000011</v>
      </c>
      <c r="AZ16" s="59">
        <f t="shared" si="5"/>
        <v>754.7</v>
      </c>
      <c r="BA16" s="59">
        <f t="shared" si="5"/>
        <v>751.90000000000009</v>
      </c>
      <c r="BB16" s="59">
        <f t="shared" si="5"/>
        <v>751.90000000000009</v>
      </c>
      <c r="BC16" s="59">
        <f t="shared" si="5"/>
        <v>751.90000000000009</v>
      </c>
      <c r="BD16" s="59">
        <f t="shared" si="5"/>
        <v>757.00000000000011</v>
      </c>
      <c r="BE16" s="60">
        <f>X61</f>
        <v>755.00000000000011</v>
      </c>
      <c r="BF16" s="60">
        <f>Z61</f>
        <v>755.00000000000011</v>
      </c>
      <c r="BG16" s="60">
        <f>AB61</f>
        <v>755.00000000000011</v>
      </c>
      <c r="BH16" s="60">
        <f>AD61</f>
        <v>753.7</v>
      </c>
      <c r="BI16" s="60">
        <f>AE61</f>
        <v>753.2</v>
      </c>
      <c r="BJ16" s="60">
        <f>AF61</f>
        <v>753.2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25.9</v>
      </c>
      <c r="C17" s="46">
        <v>25.9</v>
      </c>
      <c r="D17" s="46">
        <v>25.9</v>
      </c>
      <c r="E17" s="46">
        <v>23.9</v>
      </c>
      <c r="F17" s="46">
        <v>23.9</v>
      </c>
      <c r="G17" s="46">
        <v>23.9</v>
      </c>
      <c r="H17" s="46">
        <v>23.9</v>
      </c>
      <c r="I17" s="46">
        <v>22.3</v>
      </c>
      <c r="J17" s="46">
        <v>22.3</v>
      </c>
      <c r="K17" s="46">
        <v>22.3</v>
      </c>
      <c r="L17" s="46">
        <v>22.3</v>
      </c>
      <c r="M17" s="46">
        <v>22.3</v>
      </c>
      <c r="N17" s="46">
        <v>22.3</v>
      </c>
      <c r="O17" s="46">
        <v>22.3</v>
      </c>
      <c r="P17" s="46">
        <v>22.3</v>
      </c>
      <c r="Q17" s="46">
        <v>22.3</v>
      </c>
      <c r="R17" s="46">
        <v>20.5</v>
      </c>
      <c r="S17" s="46">
        <v>20.5</v>
      </c>
      <c r="T17" s="46">
        <v>20.5</v>
      </c>
      <c r="U17" s="46">
        <v>20.5</v>
      </c>
      <c r="V17" s="46">
        <v>18.100000000000001</v>
      </c>
      <c r="W17" s="46">
        <v>18.100000000000001</v>
      </c>
      <c r="X17" s="46">
        <v>18.100000000000001</v>
      </c>
      <c r="Y17" s="46">
        <v>18.100000000000001</v>
      </c>
      <c r="Z17" s="46">
        <v>18.100000000000001</v>
      </c>
      <c r="AA17" s="46">
        <v>18.100000000000001</v>
      </c>
      <c r="AB17" s="46">
        <v>18.100000000000001</v>
      </c>
      <c r="AC17" s="46">
        <v>18.100000000000001</v>
      </c>
      <c r="AD17" s="46">
        <v>18.100000000000001</v>
      </c>
      <c r="AE17" s="46">
        <v>18.100000000000001</v>
      </c>
      <c r="AF17" s="46">
        <v>18.100000000000001</v>
      </c>
      <c r="AG17" s="47">
        <v>52.4</v>
      </c>
      <c r="AH17" s="48">
        <f t="shared" si="2"/>
        <v>25.9</v>
      </c>
      <c r="AI17" s="49">
        <f t="shared" si="3"/>
        <v>18.100000000000001</v>
      </c>
      <c r="AK17" s="51"/>
      <c r="AL17" s="54" t="s">
        <v>27</v>
      </c>
      <c r="AM17" s="59">
        <f t="shared" ref="AM17:AR17" si="6">B65</f>
        <v>304.5</v>
      </c>
      <c r="AN17" s="59">
        <f t="shared" si="6"/>
        <v>303.5</v>
      </c>
      <c r="AO17" s="59">
        <f t="shared" si="6"/>
        <v>344.1</v>
      </c>
      <c r="AP17" s="59">
        <f t="shared" si="6"/>
        <v>334.4</v>
      </c>
      <c r="AQ17" s="59">
        <f t="shared" si="6"/>
        <v>277.5</v>
      </c>
      <c r="AR17" s="59">
        <f t="shared" si="6"/>
        <v>273.7</v>
      </c>
      <c r="AS17" s="59">
        <f>I65</f>
        <v>273.7</v>
      </c>
      <c r="AT17" s="59">
        <f>K65</f>
        <v>273.7</v>
      </c>
      <c r="AU17" s="59">
        <f t="shared" ref="AU17:BD17" si="7">M65</f>
        <v>518.6</v>
      </c>
      <c r="AV17" s="59">
        <f t="shared" si="7"/>
        <v>357.6</v>
      </c>
      <c r="AW17" s="59">
        <f t="shared" si="7"/>
        <v>386.5</v>
      </c>
      <c r="AX17" s="59">
        <f t="shared" si="7"/>
        <v>362.5</v>
      </c>
      <c r="AY17" s="59">
        <f t="shared" si="7"/>
        <v>333.5</v>
      </c>
      <c r="AZ17" s="59">
        <f t="shared" si="7"/>
        <v>519.5</v>
      </c>
      <c r="BA17" s="59">
        <f t="shared" si="7"/>
        <v>243.4</v>
      </c>
      <c r="BB17" s="59">
        <f t="shared" si="7"/>
        <v>138.80000000000001</v>
      </c>
      <c r="BC17" s="59">
        <f t="shared" si="7"/>
        <v>92.7</v>
      </c>
      <c r="BD17" s="59">
        <f t="shared" si="7"/>
        <v>62.5</v>
      </c>
      <c r="BE17" s="60">
        <f>X65</f>
        <v>77.5</v>
      </c>
      <c r="BF17" s="60">
        <f>Z65</f>
        <v>413.5</v>
      </c>
      <c r="BG17" s="60">
        <f>AB65</f>
        <v>444</v>
      </c>
      <c r="BH17" s="60">
        <f>AD65</f>
        <v>441.9</v>
      </c>
      <c r="BI17" s="60">
        <f>AE65</f>
        <v>441.9</v>
      </c>
      <c r="BJ17" s="60">
        <f>AF65</f>
        <v>412.5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50.5</v>
      </c>
      <c r="F18" s="46">
        <v>50.5</v>
      </c>
      <c r="G18" s="46">
        <v>50.5</v>
      </c>
      <c r="H18" s="46">
        <v>50.5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53">
        <v>50.4</v>
      </c>
      <c r="AB18" s="53">
        <v>50.4</v>
      </c>
      <c r="AC18" s="53">
        <v>50.4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50.5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393.23999999999995</v>
      </c>
      <c r="AN18" s="59">
        <f t="shared" si="8"/>
        <v>383.23999999999995</v>
      </c>
      <c r="AO18" s="59">
        <f t="shared" si="8"/>
        <v>398.23999999999995</v>
      </c>
      <c r="AP18" s="59">
        <f t="shared" si="8"/>
        <v>397.64000000000004</v>
      </c>
      <c r="AQ18" s="59">
        <f t="shared" si="8"/>
        <v>397.64000000000004</v>
      </c>
      <c r="AR18" s="59">
        <f t="shared" si="8"/>
        <v>397.64000000000004</v>
      </c>
      <c r="AS18" s="59">
        <f>I79</f>
        <v>414.54</v>
      </c>
      <c r="AT18" s="59">
        <f>K79</f>
        <v>415.74</v>
      </c>
      <c r="AU18" s="59">
        <f t="shared" ref="AU18:BD18" si="9">M79</f>
        <v>434.84000000000003</v>
      </c>
      <c r="AV18" s="59">
        <f t="shared" si="9"/>
        <v>423.6</v>
      </c>
      <c r="AW18" s="59">
        <f t="shared" si="9"/>
        <v>438.44</v>
      </c>
      <c r="AX18" s="59">
        <f t="shared" si="9"/>
        <v>436.04</v>
      </c>
      <c r="AY18" s="59">
        <f t="shared" si="9"/>
        <v>405.44</v>
      </c>
      <c r="AZ18" s="59">
        <f t="shared" si="9"/>
        <v>423.04</v>
      </c>
      <c r="BA18" s="59">
        <f t="shared" si="9"/>
        <v>424.34000000000003</v>
      </c>
      <c r="BB18" s="59">
        <f t="shared" si="9"/>
        <v>412.64</v>
      </c>
      <c r="BC18" s="59">
        <f t="shared" si="9"/>
        <v>400.44</v>
      </c>
      <c r="BD18" s="59">
        <f t="shared" si="9"/>
        <v>397.34</v>
      </c>
      <c r="BE18" s="60">
        <f>X79</f>
        <v>394.74</v>
      </c>
      <c r="BF18" s="60">
        <f>Z79</f>
        <v>411.29999999999995</v>
      </c>
      <c r="BG18" s="60">
        <f>AB79</f>
        <v>396.04</v>
      </c>
      <c r="BH18" s="60">
        <f>AD79</f>
        <v>410.84000000000003</v>
      </c>
      <c r="BI18" s="60">
        <f>AE79</f>
        <v>419.04</v>
      </c>
      <c r="BJ18" s="60">
        <f>AF79</f>
        <v>407.04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25</v>
      </c>
      <c r="C19" s="46">
        <v>25</v>
      </c>
      <c r="D19" s="46">
        <v>25</v>
      </c>
      <c r="E19" s="46">
        <v>25</v>
      </c>
      <c r="F19" s="46">
        <v>25</v>
      </c>
      <c r="G19" s="46">
        <v>25</v>
      </c>
      <c r="H19" s="46">
        <v>25</v>
      </c>
      <c r="I19" s="46">
        <v>25</v>
      </c>
      <c r="J19" s="46">
        <v>25</v>
      </c>
      <c r="K19" s="46">
        <v>25</v>
      </c>
      <c r="L19" s="46">
        <v>25</v>
      </c>
      <c r="M19" s="46">
        <v>25</v>
      </c>
      <c r="N19" s="46">
        <v>25</v>
      </c>
      <c r="O19" s="46">
        <v>25</v>
      </c>
      <c r="P19" s="46">
        <v>25</v>
      </c>
      <c r="Q19" s="46">
        <v>25</v>
      </c>
      <c r="R19" s="46">
        <v>25</v>
      </c>
      <c r="S19" s="46">
        <v>25</v>
      </c>
      <c r="T19" s="46">
        <v>25</v>
      </c>
      <c r="U19" s="46">
        <v>25</v>
      </c>
      <c r="V19" s="46">
        <v>25</v>
      </c>
      <c r="W19" s="46">
        <v>25</v>
      </c>
      <c r="X19" s="46">
        <v>25</v>
      </c>
      <c r="Y19" s="46">
        <v>25</v>
      </c>
      <c r="Z19" s="46">
        <v>25</v>
      </c>
      <c r="AA19" s="46">
        <v>25</v>
      </c>
      <c r="AB19" s="46">
        <v>25</v>
      </c>
      <c r="AC19" s="46">
        <v>25</v>
      </c>
      <c r="AD19" s="46">
        <v>25</v>
      </c>
      <c r="AE19" s="46">
        <v>25</v>
      </c>
      <c r="AF19" s="46">
        <v>25</v>
      </c>
      <c r="AG19" s="50">
        <v>45</v>
      </c>
      <c r="AH19" s="48">
        <f t="shared" si="2"/>
        <v>25</v>
      </c>
      <c r="AI19" s="49">
        <f t="shared" si="3"/>
        <v>25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17.2</v>
      </c>
      <c r="AQ19" s="59">
        <f t="shared" si="10"/>
        <v>18.600000000000001</v>
      </c>
      <c r="AR19" s="59">
        <f t="shared" si="10"/>
        <v>5.6</v>
      </c>
      <c r="AS19" s="59">
        <f>I95</f>
        <v>1</v>
      </c>
      <c r="AT19" s="59">
        <f>K95</f>
        <v>52</v>
      </c>
      <c r="AU19" s="59">
        <f t="shared" ref="AU19:BD19" si="11">M95</f>
        <v>147.80000000000001</v>
      </c>
      <c r="AV19" s="59">
        <f t="shared" si="11"/>
        <v>152.5</v>
      </c>
      <c r="AW19" s="59">
        <f t="shared" si="11"/>
        <v>180.2</v>
      </c>
      <c r="AX19" s="59">
        <f t="shared" si="11"/>
        <v>175</v>
      </c>
      <c r="AY19" s="59">
        <f t="shared" si="11"/>
        <v>178.9</v>
      </c>
      <c r="AZ19" s="59">
        <f t="shared" si="11"/>
        <v>189.3</v>
      </c>
      <c r="BA19" s="59">
        <f t="shared" si="11"/>
        <v>366.9</v>
      </c>
      <c r="BB19" s="59">
        <f t="shared" si="11"/>
        <v>445.70000000000005</v>
      </c>
      <c r="BC19" s="59">
        <f t="shared" si="11"/>
        <v>490</v>
      </c>
      <c r="BD19" s="59">
        <f t="shared" si="11"/>
        <v>484</v>
      </c>
      <c r="BE19" s="60">
        <f>X95</f>
        <v>342.4</v>
      </c>
      <c r="BF19" s="60">
        <f>Z95</f>
        <v>25.3</v>
      </c>
      <c r="BG19" s="60">
        <f>AB95</f>
        <v>67.8</v>
      </c>
      <c r="BH19" s="60">
        <f>AD95</f>
        <v>24</v>
      </c>
      <c r="BI19" s="60">
        <f>AE95</f>
        <v>20</v>
      </c>
      <c r="BJ19" s="60">
        <f>AF95</f>
        <v>30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32.700000000000003</v>
      </c>
      <c r="C20" s="46">
        <v>32.700000000000003</v>
      </c>
      <c r="D20" s="46">
        <v>32.700000000000003</v>
      </c>
      <c r="E20" s="46">
        <v>32.700000000000003</v>
      </c>
      <c r="F20" s="46">
        <v>32.700000000000003</v>
      </c>
      <c r="G20" s="46">
        <v>32.700000000000003</v>
      </c>
      <c r="H20" s="46">
        <v>32.700000000000003</v>
      </c>
      <c r="I20" s="46">
        <v>32.799999999999997</v>
      </c>
      <c r="J20" s="46">
        <v>32.799999999999997</v>
      </c>
      <c r="K20" s="46">
        <v>32.799999999999997</v>
      </c>
      <c r="L20" s="46">
        <v>32.799999999999997</v>
      </c>
      <c r="M20" s="46">
        <v>32.799999999999997</v>
      </c>
      <c r="N20" s="46">
        <v>32.799999999999997</v>
      </c>
      <c r="O20" s="46">
        <v>32.799999999999997</v>
      </c>
      <c r="P20" s="46">
        <v>32.799999999999997</v>
      </c>
      <c r="Q20" s="46">
        <v>32.799999999999997</v>
      </c>
      <c r="R20" s="46">
        <v>26.3</v>
      </c>
      <c r="S20" s="46">
        <v>26.3</v>
      </c>
      <c r="T20" s="46">
        <v>26.3</v>
      </c>
      <c r="U20" s="46">
        <v>26.3</v>
      </c>
      <c r="V20" s="46">
        <v>26.3</v>
      </c>
      <c r="W20" s="46">
        <v>26.3</v>
      </c>
      <c r="X20" s="46">
        <v>26.3</v>
      </c>
      <c r="Y20" s="46">
        <v>26.3</v>
      </c>
      <c r="Z20" s="46">
        <v>26.3</v>
      </c>
      <c r="AA20" s="46">
        <v>26.3</v>
      </c>
      <c r="AB20" s="46">
        <v>26.3</v>
      </c>
      <c r="AC20" s="46">
        <v>26.3</v>
      </c>
      <c r="AD20" s="46">
        <v>26.3</v>
      </c>
      <c r="AE20" s="46">
        <v>26.3</v>
      </c>
      <c r="AF20" s="46">
        <v>26.3</v>
      </c>
      <c r="AG20" s="50">
        <v>44</v>
      </c>
      <c r="AH20" s="48">
        <f t="shared" si="2"/>
        <v>32.799999999999997</v>
      </c>
      <c r="AI20" s="49">
        <f t="shared" si="3"/>
        <v>26.3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15.5</v>
      </c>
      <c r="AV20" s="59">
        <f t="shared" si="13"/>
        <v>14.399999999999999</v>
      </c>
      <c r="AW20" s="59">
        <f t="shared" si="13"/>
        <v>48</v>
      </c>
      <c r="AX20" s="59">
        <f t="shared" si="13"/>
        <v>48</v>
      </c>
      <c r="AY20" s="59">
        <f t="shared" si="13"/>
        <v>50.6</v>
      </c>
      <c r="AZ20" s="59">
        <f t="shared" si="13"/>
        <v>50.300000000000004</v>
      </c>
      <c r="BA20" s="59">
        <f t="shared" si="13"/>
        <v>33.5</v>
      </c>
      <c r="BB20" s="59">
        <f t="shared" si="13"/>
        <v>101.5</v>
      </c>
      <c r="BC20" s="59">
        <f t="shared" si="13"/>
        <v>61.3</v>
      </c>
      <c r="BD20" s="59">
        <f t="shared" si="13"/>
        <v>83.600000000000009</v>
      </c>
      <c r="BE20" s="60">
        <f>X83</f>
        <v>27.900000000000002</v>
      </c>
      <c r="BF20" s="60">
        <f>Z83</f>
        <v>98.6</v>
      </c>
      <c r="BG20" s="60">
        <f>AB83</f>
        <v>101.2</v>
      </c>
      <c r="BH20" s="60">
        <f>AD83</f>
        <v>98.300000000000011</v>
      </c>
      <c r="BI20" s="60">
        <f>AE83</f>
        <v>88.800000000000011</v>
      </c>
      <c r="BJ20" s="60">
        <f>AF83</f>
        <v>91.8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200</v>
      </c>
      <c r="AN21" s="59">
        <f t="shared" si="14"/>
        <v>200</v>
      </c>
      <c r="AO21" s="59">
        <f t="shared" si="14"/>
        <v>200</v>
      </c>
      <c r="AP21" s="59">
        <f t="shared" si="14"/>
        <v>200</v>
      </c>
      <c r="AQ21" s="59">
        <f t="shared" si="14"/>
        <v>200</v>
      </c>
      <c r="AR21" s="59">
        <f t="shared" si="14"/>
        <v>200</v>
      </c>
      <c r="AS21" s="59">
        <f>I101</f>
        <v>100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100</v>
      </c>
      <c r="BF21" s="60">
        <f>Z101</f>
        <v>150</v>
      </c>
      <c r="BG21" s="60">
        <f>AB101</f>
        <v>180</v>
      </c>
      <c r="BH21" s="60">
        <f>AD101</f>
        <v>180</v>
      </c>
      <c r="BI21" s="60">
        <f>AE101</f>
        <v>150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</v>
      </c>
      <c r="C22" s="46">
        <v>27</v>
      </c>
      <c r="D22" s="46">
        <v>27</v>
      </c>
      <c r="E22" s="46">
        <v>27</v>
      </c>
      <c r="F22" s="46">
        <v>27</v>
      </c>
      <c r="G22" s="46">
        <v>27</v>
      </c>
      <c r="H22" s="46">
        <v>27</v>
      </c>
      <c r="I22" s="46">
        <v>27</v>
      </c>
      <c r="J22" s="46">
        <v>27</v>
      </c>
      <c r="K22" s="46">
        <v>27</v>
      </c>
      <c r="L22" s="46">
        <v>27</v>
      </c>
      <c r="M22" s="46">
        <v>27</v>
      </c>
      <c r="N22" s="46">
        <v>27</v>
      </c>
      <c r="O22" s="46">
        <v>27</v>
      </c>
      <c r="P22" s="46">
        <v>27</v>
      </c>
      <c r="Q22" s="46">
        <v>27</v>
      </c>
      <c r="R22" s="46">
        <v>21.1</v>
      </c>
      <c r="S22" s="46">
        <v>21.1</v>
      </c>
      <c r="T22" s="46">
        <v>21.1</v>
      </c>
      <c r="U22" s="46">
        <v>21.1</v>
      </c>
      <c r="V22" s="46">
        <v>21.1</v>
      </c>
      <c r="W22" s="46">
        <v>21.1</v>
      </c>
      <c r="X22" s="46">
        <v>21.1</v>
      </c>
      <c r="Y22" s="46">
        <v>21.1</v>
      </c>
      <c r="Z22" s="46">
        <v>21.1</v>
      </c>
      <c r="AA22" s="46">
        <v>21.1</v>
      </c>
      <c r="AB22" s="46">
        <v>21.1</v>
      </c>
      <c r="AC22" s="46">
        <v>21.1</v>
      </c>
      <c r="AD22" s="46">
        <v>21.1</v>
      </c>
      <c r="AE22" s="46">
        <v>21.1</v>
      </c>
      <c r="AF22" s="46">
        <v>21.1</v>
      </c>
      <c r="AG22" s="50">
        <v>38.46</v>
      </c>
      <c r="AH22" s="48">
        <f t="shared" si="2"/>
        <v>27</v>
      </c>
      <c r="AI22" s="49">
        <f t="shared" si="3"/>
        <v>21.1</v>
      </c>
      <c r="AK22" s="51"/>
      <c r="AL22" s="62" t="s">
        <v>37</v>
      </c>
      <c r="AM22" s="63">
        <f t="shared" ref="AM22:BJ22" si="16">SUM(AM16:AM21)</f>
        <v>1708.14</v>
      </c>
      <c r="AN22" s="63">
        <f t="shared" si="16"/>
        <v>1697.14</v>
      </c>
      <c r="AO22" s="63">
        <f t="shared" si="16"/>
        <v>1766.74</v>
      </c>
      <c r="AP22" s="63">
        <f t="shared" si="16"/>
        <v>1754.5400000000002</v>
      </c>
      <c r="AQ22" s="63">
        <f t="shared" si="16"/>
        <v>1699.44</v>
      </c>
      <c r="AR22" s="63">
        <f t="shared" si="16"/>
        <v>1680.8400000000001</v>
      </c>
      <c r="AS22" s="63">
        <f t="shared" si="16"/>
        <v>1602.84</v>
      </c>
      <c r="AT22" s="63">
        <f t="shared" si="16"/>
        <v>1555.04</v>
      </c>
      <c r="AU22" s="63">
        <f t="shared" si="16"/>
        <v>1903.74</v>
      </c>
      <c r="AV22" s="63">
        <f t="shared" si="16"/>
        <v>1733.6000000000004</v>
      </c>
      <c r="AW22" s="63">
        <f t="shared" si="16"/>
        <v>1838.64</v>
      </c>
      <c r="AX22" s="63">
        <f t="shared" si="16"/>
        <v>1807.04</v>
      </c>
      <c r="AY22" s="63">
        <f t="shared" si="16"/>
        <v>1753.94</v>
      </c>
      <c r="AZ22" s="63">
        <f t="shared" si="16"/>
        <v>1936.84</v>
      </c>
      <c r="BA22" s="63">
        <f t="shared" si="16"/>
        <v>1820.04</v>
      </c>
      <c r="BB22" s="63">
        <f t="shared" si="16"/>
        <v>1850.5400000000002</v>
      </c>
      <c r="BC22" s="63">
        <f t="shared" si="16"/>
        <v>1796.3400000000001</v>
      </c>
      <c r="BD22" s="63">
        <f t="shared" si="16"/>
        <v>1784.44</v>
      </c>
      <c r="BE22" s="63">
        <f t="shared" si="16"/>
        <v>1697.5400000000004</v>
      </c>
      <c r="BF22" s="63">
        <f t="shared" si="16"/>
        <v>1853.6999999999998</v>
      </c>
      <c r="BG22" s="63">
        <f t="shared" si="16"/>
        <v>1944.04</v>
      </c>
      <c r="BH22" s="63">
        <f t="shared" si="16"/>
        <v>1908.74</v>
      </c>
      <c r="BI22" s="63">
        <f t="shared" si="16"/>
        <v>1872.9399999999998</v>
      </c>
      <c r="BJ22" s="63">
        <f t="shared" si="16"/>
        <v>1844.54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-249.4</v>
      </c>
      <c r="AN23" s="63">
        <f t="shared" si="17"/>
        <v>-286</v>
      </c>
      <c r="AO23" s="63">
        <f t="shared" si="17"/>
        <v>-297.89999999999998</v>
      </c>
      <c r="AP23" s="63">
        <f t="shared" si="17"/>
        <v>-310</v>
      </c>
      <c r="AQ23" s="63">
        <f t="shared" si="17"/>
        <v>-256</v>
      </c>
      <c r="AR23" s="63">
        <f t="shared" si="17"/>
        <v>-247</v>
      </c>
      <c r="AS23" s="63">
        <f>I110*-1</f>
        <v>-265</v>
      </c>
      <c r="AT23" s="63">
        <f>K110*-1</f>
        <v>-125</v>
      </c>
      <c r="AU23" s="63">
        <f t="shared" ref="AU23:BD23" si="18">M110*-1</f>
        <v>-297</v>
      </c>
      <c r="AV23" s="63">
        <f t="shared" si="18"/>
        <v>-112.7</v>
      </c>
      <c r="AW23" s="63">
        <f t="shared" si="18"/>
        <v>-118</v>
      </c>
      <c r="AX23" s="63">
        <f t="shared" si="18"/>
        <v>-95</v>
      </c>
      <c r="AY23" s="63">
        <f t="shared" si="18"/>
        <v>-29</v>
      </c>
      <c r="AZ23" s="63">
        <f t="shared" si="18"/>
        <v>-108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-101.4</v>
      </c>
      <c r="BG23" s="63">
        <f>AB110*-1</f>
        <v>-57</v>
      </c>
      <c r="BH23" s="63">
        <f>AD110*-1</f>
        <v>-93</v>
      </c>
      <c r="BI23" s="63">
        <f>AE110*-1</f>
        <v>-115</v>
      </c>
      <c r="BJ23" s="63">
        <f>AF110*-1</f>
        <v>-130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1458.74</v>
      </c>
      <c r="AN24" s="63">
        <f t="shared" si="19"/>
        <v>1411.14</v>
      </c>
      <c r="AO24" s="63">
        <f t="shared" si="19"/>
        <v>1468.8400000000001</v>
      </c>
      <c r="AP24" s="63">
        <f t="shared" si="19"/>
        <v>1444.5400000000002</v>
      </c>
      <c r="AQ24" s="63">
        <f t="shared" si="19"/>
        <v>1443.44</v>
      </c>
      <c r="AR24" s="63">
        <f t="shared" si="19"/>
        <v>1433.8400000000001</v>
      </c>
      <c r="AS24" s="63">
        <f t="shared" si="19"/>
        <v>1337.84</v>
      </c>
      <c r="AT24" s="63">
        <f t="shared" si="19"/>
        <v>1430.04</v>
      </c>
      <c r="AU24" s="63">
        <f t="shared" si="19"/>
        <v>1606.74</v>
      </c>
      <c r="AV24" s="63">
        <f t="shared" si="19"/>
        <v>1620.9000000000003</v>
      </c>
      <c r="AW24" s="63">
        <f t="shared" si="19"/>
        <v>1720.64</v>
      </c>
      <c r="AX24" s="63">
        <f t="shared" si="19"/>
        <v>1712.04</v>
      </c>
      <c r="AY24" s="63">
        <f t="shared" si="19"/>
        <v>1724.94</v>
      </c>
      <c r="AZ24" s="63">
        <f t="shared" si="19"/>
        <v>1828.84</v>
      </c>
      <c r="BA24" s="63">
        <f t="shared" si="19"/>
        <v>1820.04</v>
      </c>
      <c r="BB24" s="63">
        <f t="shared" si="19"/>
        <v>1850.5400000000002</v>
      </c>
      <c r="BC24" s="63">
        <f t="shared" si="19"/>
        <v>1796.3400000000001</v>
      </c>
      <c r="BD24" s="63">
        <f t="shared" si="19"/>
        <v>1784.44</v>
      </c>
      <c r="BE24" s="63">
        <f t="shared" si="19"/>
        <v>1697.5400000000004</v>
      </c>
      <c r="BF24" s="63">
        <f t="shared" si="19"/>
        <v>1752.2999999999997</v>
      </c>
      <c r="BG24" s="63">
        <f t="shared" si="19"/>
        <v>1887.04</v>
      </c>
      <c r="BH24" s="63">
        <f t="shared" si="19"/>
        <v>1815.74</v>
      </c>
      <c r="BI24" s="63">
        <f t="shared" si="19"/>
        <v>1757.9399999999998</v>
      </c>
      <c r="BJ24" s="63">
        <f t="shared" si="19"/>
        <v>1714.54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10.5</v>
      </c>
      <c r="C25" s="46">
        <v>10.5</v>
      </c>
      <c r="D25" s="46">
        <v>15.6</v>
      </c>
      <c r="E25" s="46">
        <v>14.4</v>
      </c>
      <c r="F25" s="46">
        <v>14.4</v>
      </c>
      <c r="G25" s="46">
        <v>14.4</v>
      </c>
      <c r="H25" s="46">
        <v>14.4</v>
      </c>
      <c r="I25" s="46">
        <v>14.4</v>
      </c>
      <c r="J25" s="46">
        <v>14.4</v>
      </c>
      <c r="K25" s="46">
        <v>14.4</v>
      </c>
      <c r="L25" s="46">
        <v>14.4</v>
      </c>
      <c r="M25" s="46">
        <v>14.4</v>
      </c>
      <c r="N25" s="46">
        <v>12</v>
      </c>
      <c r="O25" s="46">
        <v>12</v>
      </c>
      <c r="P25" s="46">
        <v>12</v>
      </c>
      <c r="Q25" s="46">
        <v>12</v>
      </c>
      <c r="R25" s="46">
        <v>12</v>
      </c>
      <c r="S25" s="46">
        <v>12</v>
      </c>
      <c r="T25" s="46">
        <v>12</v>
      </c>
      <c r="U25" s="46">
        <v>12</v>
      </c>
      <c r="V25" s="46">
        <v>15</v>
      </c>
      <c r="W25" s="46">
        <v>13</v>
      </c>
      <c r="X25" s="46">
        <v>13</v>
      </c>
      <c r="Y25" s="46">
        <v>13</v>
      </c>
      <c r="Z25" s="46">
        <v>13</v>
      </c>
      <c r="AA25" s="46">
        <v>13</v>
      </c>
      <c r="AB25" s="46">
        <v>13</v>
      </c>
      <c r="AC25" s="46">
        <v>13</v>
      </c>
      <c r="AD25" s="46">
        <v>13</v>
      </c>
      <c r="AE25" s="46">
        <v>13</v>
      </c>
      <c r="AF25" s="46">
        <v>13</v>
      </c>
      <c r="AG25" s="61">
        <v>30</v>
      </c>
      <c r="AH25" s="48">
        <f t="shared" si="2"/>
        <v>15.6</v>
      </c>
      <c r="AI25" s="49">
        <f t="shared" si="3"/>
        <v>10.5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>
        <v>11.5</v>
      </c>
      <c r="X26" s="46">
        <v>11.5</v>
      </c>
      <c r="Y26" s="46">
        <v>11.5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12.9</v>
      </c>
      <c r="C27" s="46">
        <v>12.9</v>
      </c>
      <c r="D27" s="46">
        <v>12.9</v>
      </c>
      <c r="E27" s="46">
        <v>13.6</v>
      </c>
      <c r="F27" s="46">
        <v>13.6</v>
      </c>
      <c r="G27" s="46">
        <v>13.6</v>
      </c>
      <c r="H27" s="46">
        <v>13.6</v>
      </c>
      <c r="I27" s="46">
        <v>13.6</v>
      </c>
      <c r="J27" s="46">
        <v>13.6</v>
      </c>
      <c r="K27" s="46">
        <v>13.6</v>
      </c>
      <c r="L27" s="46">
        <v>13.6</v>
      </c>
      <c r="M27" s="46">
        <v>13.6</v>
      </c>
      <c r="N27" s="46">
        <v>13.6</v>
      </c>
      <c r="O27" s="46">
        <v>13.6</v>
      </c>
      <c r="P27" s="46">
        <v>13.6</v>
      </c>
      <c r="Q27" s="46">
        <v>13.6</v>
      </c>
      <c r="R27" s="46">
        <v>10.3</v>
      </c>
      <c r="S27" s="46">
        <v>10.3</v>
      </c>
      <c r="T27" s="46">
        <v>10.3</v>
      </c>
      <c r="U27" s="46">
        <v>10.3</v>
      </c>
      <c r="V27" s="46">
        <v>10.3</v>
      </c>
      <c r="W27" s="46">
        <v>10.3</v>
      </c>
      <c r="X27" s="46">
        <v>10.3</v>
      </c>
      <c r="Y27" s="46">
        <v>10.3</v>
      </c>
      <c r="Z27" s="46">
        <v>10.3</v>
      </c>
      <c r="AA27" s="46">
        <v>10.3</v>
      </c>
      <c r="AB27" s="46">
        <v>10.3</v>
      </c>
      <c r="AC27" s="46">
        <v>10.3</v>
      </c>
      <c r="AD27" s="46">
        <v>10.3</v>
      </c>
      <c r="AE27" s="46">
        <v>10.3</v>
      </c>
      <c r="AF27" s="46">
        <v>10.3</v>
      </c>
      <c r="AG27" s="50">
        <v>28</v>
      </c>
      <c r="AH27" s="48">
        <f t="shared" si="2"/>
        <v>13.6</v>
      </c>
      <c r="AI27" s="49">
        <f t="shared" si="3"/>
        <v>10.3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17.399999999999999</v>
      </c>
      <c r="C28" s="46">
        <v>17.399999999999999</v>
      </c>
      <c r="D28" s="46">
        <v>17.399999999999999</v>
      </c>
      <c r="E28" s="46">
        <v>11.6</v>
      </c>
      <c r="F28" s="46">
        <v>11.6</v>
      </c>
      <c r="G28" s="46">
        <v>11.6</v>
      </c>
      <c r="H28" s="46">
        <v>11.6</v>
      </c>
      <c r="I28" s="46">
        <v>11.6</v>
      </c>
      <c r="J28" s="46">
        <v>11.6</v>
      </c>
      <c r="K28" s="46">
        <v>11.6</v>
      </c>
      <c r="L28" s="46">
        <v>11.6</v>
      </c>
      <c r="M28" s="46">
        <v>11.6</v>
      </c>
      <c r="N28" s="46">
        <v>11.6</v>
      </c>
      <c r="O28" s="46">
        <v>11.6</v>
      </c>
      <c r="P28" s="46">
        <v>11.6</v>
      </c>
      <c r="Q28" s="46">
        <v>11.6</v>
      </c>
      <c r="R28" s="46">
        <v>10.8</v>
      </c>
      <c r="S28" s="46">
        <v>10.8</v>
      </c>
      <c r="T28" s="46">
        <v>10.8</v>
      </c>
      <c r="U28" s="46">
        <v>10.8</v>
      </c>
      <c r="V28" s="46">
        <v>10.8</v>
      </c>
      <c r="W28" s="46">
        <v>10.8</v>
      </c>
      <c r="X28" s="46">
        <v>10.8</v>
      </c>
      <c r="Y28" s="46">
        <v>10.8</v>
      </c>
      <c r="Z28" s="46">
        <v>10.8</v>
      </c>
      <c r="AA28" s="46">
        <v>10.8</v>
      </c>
      <c r="AB28" s="46">
        <v>10.8</v>
      </c>
      <c r="AC28" s="46">
        <v>10.8</v>
      </c>
      <c r="AD28" s="46">
        <v>10.8</v>
      </c>
      <c r="AE28" s="46">
        <v>10.8</v>
      </c>
      <c r="AF28" s="46">
        <v>10.8</v>
      </c>
      <c r="AG28" s="61">
        <v>30</v>
      </c>
      <c r="AH28" s="48">
        <f t="shared" si="2"/>
        <v>17.399999999999999</v>
      </c>
      <c r="AI28" s="49">
        <f t="shared" si="3"/>
        <v>10.8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22.7</v>
      </c>
      <c r="C29" s="46">
        <v>22.7</v>
      </c>
      <c r="D29" s="46">
        <v>22.7</v>
      </c>
      <c r="E29" s="46">
        <v>17.899999999999999</v>
      </c>
      <c r="F29" s="46">
        <v>17.899999999999999</v>
      </c>
      <c r="G29" s="46">
        <v>17.899999999999999</v>
      </c>
      <c r="H29" s="46">
        <v>17.899999999999999</v>
      </c>
      <c r="I29" s="46">
        <v>17.899999999999999</v>
      </c>
      <c r="J29" s="46">
        <v>17.899999999999999</v>
      </c>
      <c r="K29" s="46">
        <v>17.899999999999999</v>
      </c>
      <c r="L29" s="46">
        <v>17.899999999999999</v>
      </c>
      <c r="M29" s="46">
        <v>17.899999999999999</v>
      </c>
      <c r="N29" s="46">
        <v>17.899999999999999</v>
      </c>
      <c r="O29" s="46">
        <v>17.899999999999999</v>
      </c>
      <c r="P29" s="46">
        <v>17.899999999999999</v>
      </c>
      <c r="Q29" s="46">
        <v>17.899999999999999</v>
      </c>
      <c r="R29" s="46">
        <v>14.5</v>
      </c>
      <c r="S29" s="46">
        <v>14.5</v>
      </c>
      <c r="T29" s="46">
        <v>14.5</v>
      </c>
      <c r="U29" s="46">
        <v>14.5</v>
      </c>
      <c r="V29" s="46">
        <v>14.5</v>
      </c>
      <c r="W29" s="46">
        <v>14.5</v>
      </c>
      <c r="X29" s="46">
        <v>14.5</v>
      </c>
      <c r="Y29" s="46">
        <v>14.5</v>
      </c>
      <c r="Z29" s="46">
        <v>14.5</v>
      </c>
      <c r="AA29" s="46">
        <v>14.5</v>
      </c>
      <c r="AB29" s="46">
        <v>14.5</v>
      </c>
      <c r="AC29" s="46">
        <v>14.5</v>
      </c>
      <c r="AD29" s="46">
        <v>14.5</v>
      </c>
      <c r="AE29" s="46">
        <v>14.5</v>
      </c>
      <c r="AF29" s="46">
        <v>14.5</v>
      </c>
      <c r="AG29" s="50">
        <v>25</v>
      </c>
      <c r="AH29" s="48">
        <f t="shared" si="2"/>
        <v>22.7</v>
      </c>
      <c r="AI29" s="49">
        <f t="shared" si="3"/>
        <v>14.5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7.8</v>
      </c>
      <c r="C30" s="46">
        <v>7.8</v>
      </c>
      <c r="D30" s="46">
        <v>7.8</v>
      </c>
      <c r="E30" s="46">
        <v>7.8</v>
      </c>
      <c r="F30" s="46">
        <v>7.8</v>
      </c>
      <c r="G30" s="46">
        <v>7.8</v>
      </c>
      <c r="H30" s="46">
        <v>7.8</v>
      </c>
      <c r="I30" s="46">
        <v>7.8</v>
      </c>
      <c r="J30" s="46">
        <v>7.8</v>
      </c>
      <c r="K30" s="46">
        <v>7.8</v>
      </c>
      <c r="L30" s="46">
        <v>7.8</v>
      </c>
      <c r="M30" s="46">
        <v>7.8</v>
      </c>
      <c r="N30" s="46">
        <v>7.8</v>
      </c>
      <c r="O30" s="46">
        <v>7.8</v>
      </c>
      <c r="P30" s="46">
        <v>7.8</v>
      </c>
      <c r="Q30" s="46">
        <v>7.8</v>
      </c>
      <c r="R30" s="46">
        <v>7.8</v>
      </c>
      <c r="S30" s="46">
        <v>7.8</v>
      </c>
      <c r="T30" s="46">
        <v>7.8</v>
      </c>
      <c r="U30" s="46">
        <v>7.8</v>
      </c>
      <c r="V30" s="46">
        <v>7.8</v>
      </c>
      <c r="W30" s="46">
        <v>7.8</v>
      </c>
      <c r="X30" s="46">
        <v>7.8</v>
      </c>
      <c r="Y30" s="46">
        <v>7.8</v>
      </c>
      <c r="Z30" s="46">
        <v>7.8</v>
      </c>
      <c r="AA30" s="46">
        <v>7.8</v>
      </c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7.8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18.5</v>
      </c>
      <c r="C32" s="46">
        <v>18.5</v>
      </c>
      <c r="D32" s="46">
        <v>18.5</v>
      </c>
      <c r="E32" s="46">
        <v>17.100000000000001</v>
      </c>
      <c r="F32" s="46">
        <v>17.100000000000001</v>
      </c>
      <c r="G32" s="46">
        <v>17.100000000000001</v>
      </c>
      <c r="H32" s="46">
        <v>17.100000000000001</v>
      </c>
      <c r="I32" s="46">
        <v>17.100000000000001</v>
      </c>
      <c r="J32" s="46">
        <v>17.100000000000001</v>
      </c>
      <c r="K32" s="46">
        <v>17.100000000000001</v>
      </c>
      <c r="L32" s="46">
        <v>17.100000000000001</v>
      </c>
      <c r="M32" s="46">
        <v>17.100000000000001</v>
      </c>
      <c r="N32" s="46">
        <v>17.100000000000001</v>
      </c>
      <c r="O32" s="46">
        <v>17.100000000000001</v>
      </c>
      <c r="P32" s="46">
        <v>17.100000000000001</v>
      </c>
      <c r="Q32" s="46">
        <v>17.100000000000001</v>
      </c>
      <c r="R32" s="46">
        <v>14.3</v>
      </c>
      <c r="S32" s="46">
        <v>14.3</v>
      </c>
      <c r="T32" s="46">
        <v>14.3</v>
      </c>
      <c r="U32" s="46">
        <v>14.3</v>
      </c>
      <c r="V32" s="46">
        <v>14.3</v>
      </c>
      <c r="W32" s="46">
        <v>14.3</v>
      </c>
      <c r="X32" s="46">
        <v>14.3</v>
      </c>
      <c r="Y32" s="46">
        <v>14.3</v>
      </c>
      <c r="Z32" s="46">
        <v>14.3</v>
      </c>
      <c r="AA32" s="46">
        <v>14.3</v>
      </c>
      <c r="AB32" s="46">
        <v>14.3</v>
      </c>
      <c r="AC32" s="46">
        <v>14.3</v>
      </c>
      <c r="AD32" s="46">
        <v>14.3</v>
      </c>
      <c r="AE32" s="46">
        <v>14.3</v>
      </c>
      <c r="AF32" s="46">
        <v>14.3</v>
      </c>
      <c r="AG32" s="50">
        <v>25</v>
      </c>
      <c r="AH32" s="48">
        <f t="shared" si="2"/>
        <v>18.5</v>
      </c>
      <c r="AI32" s="49">
        <f t="shared" si="3"/>
        <v>14.3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7.9</v>
      </c>
      <c r="C33" s="46">
        <v>7.9</v>
      </c>
      <c r="D33" s="46">
        <v>7.9</v>
      </c>
      <c r="E33" s="46">
        <v>8.1</v>
      </c>
      <c r="F33" s="46">
        <v>8.1</v>
      </c>
      <c r="G33" s="46">
        <v>8.1</v>
      </c>
      <c r="H33" s="46">
        <v>8.1</v>
      </c>
      <c r="I33" s="46">
        <v>8.1</v>
      </c>
      <c r="J33" s="46">
        <v>8.1</v>
      </c>
      <c r="K33" s="46">
        <v>8.1</v>
      </c>
      <c r="L33" s="46">
        <v>8.1</v>
      </c>
      <c r="M33" s="46">
        <v>8.1</v>
      </c>
      <c r="N33" s="46">
        <v>8.1</v>
      </c>
      <c r="O33" s="46">
        <v>8.1</v>
      </c>
      <c r="P33" s="46">
        <v>8.1</v>
      </c>
      <c r="Q33" s="46">
        <v>8.1</v>
      </c>
      <c r="R33" s="46">
        <v>7.2</v>
      </c>
      <c r="S33" s="46">
        <v>7.2</v>
      </c>
      <c r="T33" s="46">
        <v>7.2</v>
      </c>
      <c r="U33" s="46">
        <v>7.2</v>
      </c>
      <c r="V33" s="46">
        <v>7.2</v>
      </c>
      <c r="W33" s="46">
        <v>7.2</v>
      </c>
      <c r="X33" s="46">
        <v>7.2</v>
      </c>
      <c r="Y33" s="46">
        <v>7.2</v>
      </c>
      <c r="Z33" s="46">
        <v>7.2</v>
      </c>
      <c r="AA33" s="46">
        <v>7.2</v>
      </c>
      <c r="AB33" s="46">
        <v>7.2</v>
      </c>
      <c r="AC33" s="46">
        <v>7.2</v>
      </c>
      <c r="AD33" s="46">
        <v>7.2</v>
      </c>
      <c r="AE33" s="46">
        <v>7.2</v>
      </c>
      <c r="AF33" s="46">
        <v>7.2</v>
      </c>
      <c r="AG33" s="50">
        <v>23.5</v>
      </c>
      <c r="AH33" s="48">
        <f t="shared" si="2"/>
        <v>8.1</v>
      </c>
      <c r="AI33" s="49">
        <f t="shared" si="3"/>
        <v>7.2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20</v>
      </c>
      <c r="C37" s="46">
        <v>20</v>
      </c>
      <c r="D37" s="46">
        <v>20</v>
      </c>
      <c r="E37" s="46">
        <v>18.600000000000001</v>
      </c>
      <c r="F37" s="46">
        <v>18.600000000000001</v>
      </c>
      <c r="G37" s="46">
        <v>18.600000000000001</v>
      </c>
      <c r="H37" s="46">
        <v>18.600000000000001</v>
      </c>
      <c r="I37" s="46">
        <v>18.600000000000001</v>
      </c>
      <c r="J37" s="46">
        <v>18.600000000000001</v>
      </c>
      <c r="K37" s="46">
        <v>18.600000000000001</v>
      </c>
      <c r="L37" s="46">
        <v>18.600000000000001</v>
      </c>
      <c r="M37" s="46">
        <v>18.600000000000001</v>
      </c>
      <c r="N37" s="46">
        <v>18.600000000000001</v>
      </c>
      <c r="O37" s="46">
        <v>18.600000000000001</v>
      </c>
      <c r="P37" s="46">
        <v>18.600000000000001</v>
      </c>
      <c r="Q37" s="46">
        <v>18.600000000000001</v>
      </c>
      <c r="R37" s="46">
        <v>9</v>
      </c>
      <c r="S37" s="46">
        <v>9</v>
      </c>
      <c r="T37" s="46">
        <v>9</v>
      </c>
      <c r="U37" s="46">
        <v>9</v>
      </c>
      <c r="V37" s="46">
        <v>9</v>
      </c>
      <c r="W37" s="46">
        <v>9</v>
      </c>
      <c r="X37" s="46">
        <v>9</v>
      </c>
      <c r="Y37" s="46">
        <v>9</v>
      </c>
      <c r="Z37" s="46">
        <v>9</v>
      </c>
      <c r="AA37" s="46">
        <v>9</v>
      </c>
      <c r="AB37" s="46">
        <v>9</v>
      </c>
      <c r="AC37" s="46">
        <v>9</v>
      </c>
      <c r="AD37" s="46">
        <v>9</v>
      </c>
      <c r="AE37" s="46">
        <v>9</v>
      </c>
      <c r="AF37" s="46">
        <v>9</v>
      </c>
      <c r="AG37" s="50">
        <v>22</v>
      </c>
      <c r="AH37" s="48">
        <f t="shared" si="2"/>
        <v>20</v>
      </c>
      <c r="AI37" s="49">
        <f t="shared" si="3"/>
        <v>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20.100000000000001</v>
      </c>
      <c r="C38" s="46">
        <v>20.100000000000001</v>
      </c>
      <c r="D38" s="46">
        <v>20.100000000000001</v>
      </c>
      <c r="E38" s="46">
        <v>18.600000000000001</v>
      </c>
      <c r="F38" s="46">
        <v>18.600000000000001</v>
      </c>
      <c r="G38" s="46">
        <v>18.600000000000001</v>
      </c>
      <c r="H38" s="46">
        <v>18.600000000000001</v>
      </c>
      <c r="I38" s="46">
        <v>18.600000000000001</v>
      </c>
      <c r="J38" s="46">
        <v>18.600000000000001</v>
      </c>
      <c r="K38" s="46">
        <v>18.600000000000001</v>
      </c>
      <c r="L38" s="46">
        <v>18.600000000000001</v>
      </c>
      <c r="M38" s="46">
        <v>18.600000000000001</v>
      </c>
      <c r="N38" s="46">
        <v>18.600000000000001</v>
      </c>
      <c r="O38" s="46">
        <v>18.600000000000001</v>
      </c>
      <c r="P38" s="46">
        <v>18.600000000000001</v>
      </c>
      <c r="Q38" s="46">
        <v>18.600000000000001</v>
      </c>
      <c r="R38" s="46">
        <v>13.8</v>
      </c>
      <c r="S38" s="46">
        <v>13.8</v>
      </c>
      <c r="T38" s="46">
        <v>13.8</v>
      </c>
      <c r="U38" s="46">
        <v>13.8</v>
      </c>
      <c r="V38" s="46">
        <v>13.8</v>
      </c>
      <c r="W38" s="46">
        <v>13.8</v>
      </c>
      <c r="X38" s="46">
        <v>13.8</v>
      </c>
      <c r="Y38" s="46">
        <v>13.8</v>
      </c>
      <c r="Z38" s="46">
        <v>13.8</v>
      </c>
      <c r="AA38" s="46">
        <v>13.8</v>
      </c>
      <c r="AB38" s="46">
        <v>13.8</v>
      </c>
      <c r="AC38" s="46">
        <v>13.8</v>
      </c>
      <c r="AD38" s="46">
        <v>13.8</v>
      </c>
      <c r="AE38" s="46">
        <v>13.8</v>
      </c>
      <c r="AF38" s="46">
        <v>13.8</v>
      </c>
      <c r="AG38" s="50">
        <v>20</v>
      </c>
      <c r="AH38" s="48">
        <f t="shared" si="2"/>
        <v>20.100000000000001</v>
      </c>
      <c r="AI38" s="49">
        <f t="shared" si="3"/>
        <v>13.8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13.7</v>
      </c>
      <c r="C40" s="46">
        <v>13.7</v>
      </c>
      <c r="D40" s="46">
        <v>13.7</v>
      </c>
      <c r="E40" s="46">
        <v>12.9</v>
      </c>
      <c r="F40" s="46">
        <v>12.9</v>
      </c>
      <c r="G40" s="46">
        <v>12.9</v>
      </c>
      <c r="H40" s="46">
        <v>12.9</v>
      </c>
      <c r="I40" s="46">
        <v>12.9</v>
      </c>
      <c r="J40" s="46">
        <v>12.9</v>
      </c>
      <c r="K40" s="46">
        <v>12.9</v>
      </c>
      <c r="L40" s="46">
        <v>12.9</v>
      </c>
      <c r="M40" s="46">
        <v>12.9</v>
      </c>
      <c r="N40" s="46">
        <v>12.9</v>
      </c>
      <c r="O40" s="46">
        <v>12.9</v>
      </c>
      <c r="P40" s="46">
        <v>12.9</v>
      </c>
      <c r="Q40" s="46">
        <v>12.9</v>
      </c>
      <c r="R40" s="46">
        <v>10.199999999999999</v>
      </c>
      <c r="S40" s="46">
        <v>10.199999999999999</v>
      </c>
      <c r="T40" s="46">
        <v>10.199999999999999</v>
      </c>
      <c r="U40" s="46">
        <v>10.199999999999999</v>
      </c>
      <c r="V40" s="46">
        <v>10.199999999999999</v>
      </c>
      <c r="W40" s="46">
        <v>10.199999999999999</v>
      </c>
      <c r="X40" s="46">
        <v>10.199999999999999</v>
      </c>
      <c r="Y40" s="46">
        <v>10.199999999999999</v>
      </c>
      <c r="Z40" s="46">
        <v>10.199999999999999</v>
      </c>
      <c r="AA40" s="46">
        <v>10.199999999999999</v>
      </c>
      <c r="AB40" s="46">
        <v>10.199999999999999</v>
      </c>
      <c r="AC40" s="46">
        <v>10.199999999999999</v>
      </c>
      <c r="AD40" s="46">
        <v>10.199999999999999</v>
      </c>
      <c r="AE40" s="46">
        <v>10.199999999999999</v>
      </c>
      <c r="AF40" s="46">
        <v>10.199999999999999</v>
      </c>
      <c r="AG40" s="50">
        <v>18</v>
      </c>
      <c r="AH40" s="48">
        <f t="shared" si="2"/>
        <v>13.7</v>
      </c>
      <c r="AI40" s="49">
        <f t="shared" si="3"/>
        <v>10.199999999999999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6.8</v>
      </c>
      <c r="C41" s="46">
        <v>6.8</v>
      </c>
      <c r="D41" s="46">
        <v>6.8</v>
      </c>
      <c r="E41" s="46">
        <v>6.8</v>
      </c>
      <c r="F41" s="46">
        <v>6.8</v>
      </c>
      <c r="G41" s="46">
        <v>6.8</v>
      </c>
      <c r="H41" s="46">
        <v>6.8</v>
      </c>
      <c r="I41" s="46">
        <v>6.8</v>
      </c>
      <c r="J41" s="46">
        <v>6.8</v>
      </c>
      <c r="K41" s="46">
        <v>6.8</v>
      </c>
      <c r="L41" s="46">
        <v>6.8</v>
      </c>
      <c r="M41" s="46">
        <v>6.8</v>
      </c>
      <c r="N41" s="46">
        <v>6.8</v>
      </c>
      <c r="O41" s="46">
        <v>6.8</v>
      </c>
      <c r="P41" s="46">
        <v>6.8</v>
      </c>
      <c r="Q41" s="46">
        <v>6.8</v>
      </c>
      <c r="R41" s="46">
        <v>6.8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15.33</v>
      </c>
      <c r="AH41" s="48">
        <f t="shared" si="2"/>
        <v>6.8</v>
      </c>
      <c r="AI41" s="49">
        <f t="shared" si="3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3.9</v>
      </c>
      <c r="C46" s="46">
        <v>3.9</v>
      </c>
      <c r="D46" s="46">
        <v>3.9</v>
      </c>
      <c r="E46" s="46">
        <v>3.2</v>
      </c>
      <c r="F46" s="46">
        <v>3.2</v>
      </c>
      <c r="G46" s="46">
        <v>3.2</v>
      </c>
      <c r="H46" s="46">
        <v>3.2</v>
      </c>
      <c r="I46" s="46">
        <v>3.2</v>
      </c>
      <c r="J46" s="46">
        <v>3.2</v>
      </c>
      <c r="K46" s="46">
        <v>3.2</v>
      </c>
      <c r="L46" s="46">
        <v>3.2</v>
      </c>
      <c r="M46" s="46">
        <v>3.2</v>
      </c>
      <c r="N46" s="46">
        <v>3.2</v>
      </c>
      <c r="O46" s="46">
        <v>3.2</v>
      </c>
      <c r="P46" s="46">
        <v>3.2</v>
      </c>
      <c r="Q46" s="46">
        <v>3.2</v>
      </c>
      <c r="R46" s="46">
        <v>3.2</v>
      </c>
      <c r="S46" s="46">
        <v>3.2</v>
      </c>
      <c r="T46" s="46">
        <v>3.2</v>
      </c>
      <c r="U46" s="46">
        <v>3.2</v>
      </c>
      <c r="V46" s="46">
        <v>3.2</v>
      </c>
      <c r="W46" s="46">
        <v>3.2</v>
      </c>
      <c r="X46" s="46">
        <v>3.2</v>
      </c>
      <c r="Y46" s="46">
        <v>3.2</v>
      </c>
      <c r="Z46" s="46">
        <v>3.2</v>
      </c>
      <c r="AA46" s="46">
        <v>3.2</v>
      </c>
      <c r="AB46" s="46">
        <v>3.2</v>
      </c>
      <c r="AC46" s="46">
        <v>3.2</v>
      </c>
      <c r="AD46" s="46">
        <v>3.2</v>
      </c>
      <c r="AE46" s="46">
        <v>3.2</v>
      </c>
      <c r="AF46" s="46">
        <v>3.2</v>
      </c>
      <c r="AG46" s="50">
        <v>14</v>
      </c>
      <c r="AH46" s="48">
        <f t="shared" si="2"/>
        <v>3.9</v>
      </c>
      <c r="AI46" s="49">
        <f t="shared" si="3"/>
        <v>3.2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6.5</v>
      </c>
      <c r="C49" s="46">
        <v>6.5</v>
      </c>
      <c r="D49" s="46">
        <v>6.5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6.5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6</v>
      </c>
      <c r="C55" s="46">
        <v>6</v>
      </c>
      <c r="D55" s="46">
        <v>6</v>
      </c>
      <c r="E55" s="46">
        <v>6</v>
      </c>
      <c r="F55" s="46">
        <v>6</v>
      </c>
      <c r="G55" s="46">
        <v>6</v>
      </c>
      <c r="H55" s="46">
        <v>6</v>
      </c>
      <c r="I55" s="46">
        <v>6</v>
      </c>
      <c r="J55" s="46">
        <v>6</v>
      </c>
      <c r="K55" s="46">
        <v>6</v>
      </c>
      <c r="L55" s="46">
        <v>6</v>
      </c>
      <c r="M55" s="46">
        <v>6</v>
      </c>
      <c r="N55" s="46">
        <v>6</v>
      </c>
      <c r="O55" s="46">
        <v>6</v>
      </c>
      <c r="P55" s="46">
        <v>6</v>
      </c>
      <c r="Q55" s="46">
        <v>6</v>
      </c>
      <c r="R55" s="46">
        <v>6</v>
      </c>
      <c r="S55" s="46">
        <v>6</v>
      </c>
      <c r="T55" s="46">
        <v>6</v>
      </c>
      <c r="U55" s="46">
        <v>6</v>
      </c>
      <c r="V55" s="46">
        <v>6</v>
      </c>
      <c r="W55" s="46">
        <v>6</v>
      </c>
      <c r="X55" s="46">
        <v>6</v>
      </c>
      <c r="Y55" s="46">
        <v>6</v>
      </c>
      <c r="Z55" s="46">
        <v>6</v>
      </c>
      <c r="AA55" s="46">
        <v>6</v>
      </c>
      <c r="AB55" s="46">
        <v>6</v>
      </c>
      <c r="AC55" s="46">
        <v>6</v>
      </c>
      <c r="AD55" s="46">
        <v>6</v>
      </c>
      <c r="AE55" s="46">
        <v>6</v>
      </c>
      <c r="AF55" s="46">
        <v>6</v>
      </c>
      <c r="AG55" s="66">
        <v>11</v>
      </c>
      <c r="AH55" s="48">
        <f t="shared" si="2"/>
        <v>6</v>
      </c>
      <c r="AI55" s="49">
        <f t="shared" si="3"/>
        <v>6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54.6+36.5</f>
        <v>91.1</v>
      </c>
      <c r="C60" s="68">
        <f>54.6+36.5</f>
        <v>91.1</v>
      </c>
      <c r="D60" s="68">
        <f>54.6+36.5</f>
        <v>91.1</v>
      </c>
      <c r="E60" s="68">
        <v>84.6</v>
      </c>
      <c r="F60" s="68">
        <v>92</v>
      </c>
      <c r="G60" s="68">
        <v>92</v>
      </c>
      <c r="H60" s="68">
        <v>89</v>
      </c>
      <c r="I60" s="68">
        <v>90</v>
      </c>
      <c r="J60" s="68">
        <v>86</v>
      </c>
      <c r="K60" s="68">
        <v>82.6</v>
      </c>
      <c r="L60" s="68">
        <v>73.8</v>
      </c>
      <c r="M60" s="53">
        <f>33.6+43.2</f>
        <v>76.800000000000011</v>
      </c>
      <c r="N60" s="53">
        <f>45.5+32.5</f>
        <v>78</v>
      </c>
      <c r="O60" s="53">
        <f>31.4+44.4</f>
        <v>75.8</v>
      </c>
      <c r="P60" s="53">
        <v>75</v>
      </c>
      <c r="Q60" s="53">
        <f>41+27.7</f>
        <v>68.7</v>
      </c>
      <c r="R60" s="53">
        <f>29.5+40.7</f>
        <v>70.2</v>
      </c>
      <c r="S60" s="53">
        <f>29.5+40.7</f>
        <v>70.2</v>
      </c>
      <c r="T60" s="53">
        <f>29.5+40.7</f>
        <v>70.2</v>
      </c>
      <c r="U60" s="53">
        <v>65</v>
      </c>
      <c r="V60" s="53">
        <v>65</v>
      </c>
      <c r="W60" s="53">
        <v>65</v>
      </c>
      <c r="X60" s="53">
        <v>65</v>
      </c>
      <c r="Y60" s="53">
        <v>65</v>
      </c>
      <c r="Z60" s="53">
        <v>65</v>
      </c>
      <c r="AA60" s="68">
        <v>65</v>
      </c>
      <c r="AB60" s="68">
        <f>26+37.4</f>
        <v>63.4</v>
      </c>
      <c r="AC60" s="68">
        <f>36.7+26.5</f>
        <v>63.2</v>
      </c>
      <c r="AD60" s="68">
        <f>38.5+27.4</f>
        <v>65.900000000000006</v>
      </c>
      <c r="AE60" s="68">
        <f>37+25.5</f>
        <v>62.5</v>
      </c>
      <c r="AF60" s="68">
        <v>62</v>
      </c>
      <c r="AG60" s="66">
        <v>240</v>
      </c>
      <c r="AH60" s="48">
        <f t="shared" si="2"/>
        <v>92</v>
      </c>
      <c r="AI60" s="49">
        <f t="shared" si="3"/>
        <v>62</v>
      </c>
      <c r="AK60" s="51"/>
    </row>
    <row r="61" spans="1:88" ht="15.75" thickBot="1" x14ac:dyDescent="0.3">
      <c r="A61" s="70" t="s">
        <v>75</v>
      </c>
      <c r="B61" s="71">
        <f>SUM(B11:B59)</f>
        <v>810.4</v>
      </c>
      <c r="C61" s="71">
        <f t="shared" ref="C61:AG61" si="20">SUM(C11:C59)</f>
        <v>810.4</v>
      </c>
      <c r="D61" s="71">
        <f t="shared" si="20"/>
        <v>824.4</v>
      </c>
      <c r="E61" s="71">
        <f t="shared" si="20"/>
        <v>805.30000000000007</v>
      </c>
      <c r="F61" s="71">
        <f t="shared" si="20"/>
        <v>805.7</v>
      </c>
      <c r="G61" s="71">
        <f t="shared" ref="G61:H61" si="21">SUM(G11:G59)</f>
        <v>803.90000000000009</v>
      </c>
      <c r="H61" s="71">
        <f t="shared" si="21"/>
        <v>799.2</v>
      </c>
      <c r="I61" s="71">
        <f t="shared" ref="I61:K61" si="22">SUM(I11:I59)</f>
        <v>813.6</v>
      </c>
      <c r="J61" s="71">
        <f t="shared" si="22"/>
        <v>813.6</v>
      </c>
      <c r="K61" s="71">
        <f t="shared" si="22"/>
        <v>813.6</v>
      </c>
      <c r="L61" s="71">
        <f t="shared" ref="L61" si="23">SUM(L11:L59)</f>
        <v>806.90000000000009</v>
      </c>
      <c r="M61" s="71">
        <f t="shared" si="20"/>
        <v>787</v>
      </c>
      <c r="N61" s="71">
        <f t="shared" si="20"/>
        <v>785.50000000000011</v>
      </c>
      <c r="O61" s="71">
        <f t="shared" si="20"/>
        <v>785.50000000000011</v>
      </c>
      <c r="P61" s="71">
        <f t="shared" si="20"/>
        <v>785.50000000000011</v>
      </c>
      <c r="Q61" s="71">
        <f t="shared" si="20"/>
        <v>785.50000000000011</v>
      </c>
      <c r="R61" s="71">
        <f t="shared" ref="R61" si="24">SUM(R11:R59)</f>
        <v>754.7</v>
      </c>
      <c r="S61" s="71">
        <f t="shared" si="20"/>
        <v>751.90000000000009</v>
      </c>
      <c r="T61" s="71">
        <f t="shared" si="20"/>
        <v>751.90000000000009</v>
      </c>
      <c r="U61" s="71">
        <f t="shared" si="20"/>
        <v>751.90000000000009</v>
      </c>
      <c r="V61" s="71">
        <f t="shared" si="20"/>
        <v>757.00000000000011</v>
      </c>
      <c r="W61" s="71">
        <f t="shared" si="20"/>
        <v>755.00000000000011</v>
      </c>
      <c r="X61" s="71">
        <f t="shared" si="20"/>
        <v>755.00000000000011</v>
      </c>
      <c r="Y61" s="71">
        <f t="shared" si="20"/>
        <v>755.00000000000011</v>
      </c>
      <c r="Z61" s="71">
        <f t="shared" si="20"/>
        <v>755.00000000000011</v>
      </c>
      <c r="AA61" s="71">
        <v>755.00000000000011</v>
      </c>
      <c r="AB61" s="71">
        <f t="shared" si="20"/>
        <v>755.00000000000011</v>
      </c>
      <c r="AC61" s="71">
        <f t="shared" si="20"/>
        <v>754.00000000000011</v>
      </c>
      <c r="AD61" s="71">
        <f t="shared" si="20"/>
        <v>753.7</v>
      </c>
      <c r="AE61" s="71">
        <f t="shared" si="20"/>
        <v>753.2</v>
      </c>
      <c r="AF61" s="71">
        <f t="shared" si="20"/>
        <v>753.2</v>
      </c>
      <c r="AG61" s="71">
        <f t="shared" si="20"/>
        <v>1466.0300000000002</v>
      </c>
      <c r="AH61" s="48">
        <f t="shared" si="2"/>
        <v>824.4</v>
      </c>
      <c r="AI61" s="49">
        <f t="shared" si="3"/>
        <v>751.90000000000009</v>
      </c>
      <c r="AK61" s="51"/>
    </row>
    <row r="62" spans="1:88" x14ac:dyDescent="0.25">
      <c r="A62" s="73" t="s">
        <v>76</v>
      </c>
      <c r="B62" s="46">
        <v>241.3</v>
      </c>
      <c r="C62" s="46">
        <v>241</v>
      </c>
      <c r="D62" s="46">
        <v>281.60000000000002</v>
      </c>
      <c r="E62" s="46">
        <v>271.89999999999998</v>
      </c>
      <c r="F62" s="46">
        <v>215</v>
      </c>
      <c r="G62" s="46">
        <v>211.2</v>
      </c>
      <c r="H62" s="46">
        <v>211.2</v>
      </c>
      <c r="I62" s="46">
        <v>211.2</v>
      </c>
      <c r="J62" s="46">
        <v>211.2</v>
      </c>
      <c r="K62" s="46">
        <v>211.2</v>
      </c>
      <c r="L62" s="46">
        <v>456</v>
      </c>
      <c r="M62" s="46">
        <v>456</v>
      </c>
      <c r="N62" s="74">
        <v>295</v>
      </c>
      <c r="O62" s="74">
        <v>324</v>
      </c>
      <c r="P62" s="74">
        <v>300</v>
      </c>
      <c r="Q62" s="74">
        <v>271</v>
      </c>
      <c r="R62" s="74">
        <v>457</v>
      </c>
      <c r="S62" s="74">
        <v>180.9</v>
      </c>
      <c r="T62" s="74">
        <v>76.3</v>
      </c>
      <c r="U62" s="74">
        <v>30.2</v>
      </c>
      <c r="V62" s="74">
        <v>0</v>
      </c>
      <c r="W62" s="74">
        <v>0</v>
      </c>
      <c r="X62" s="74">
        <v>15</v>
      </c>
      <c r="Y62" s="74">
        <v>305</v>
      </c>
      <c r="Z62" s="74">
        <v>351</v>
      </c>
      <c r="AA62" s="46">
        <v>382</v>
      </c>
      <c r="AB62" s="46">
        <v>381.5</v>
      </c>
      <c r="AC62" s="46">
        <v>381.7</v>
      </c>
      <c r="AD62" s="46">
        <v>381.7</v>
      </c>
      <c r="AE62" s="46">
        <v>381.7</v>
      </c>
      <c r="AF62" s="46">
        <v>350</v>
      </c>
      <c r="AG62" s="61">
        <v>456</v>
      </c>
      <c r="AH62" s="48">
        <f t="shared" si="2"/>
        <v>457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40.700000000000003</v>
      </c>
      <c r="C63" s="76">
        <v>40</v>
      </c>
      <c r="D63" s="76">
        <v>40</v>
      </c>
      <c r="E63" s="76">
        <v>40</v>
      </c>
      <c r="F63" s="76">
        <v>40</v>
      </c>
      <c r="G63" s="76">
        <v>40</v>
      </c>
      <c r="H63" s="76">
        <v>40</v>
      </c>
      <c r="I63" s="76">
        <v>40</v>
      </c>
      <c r="J63" s="76">
        <v>40</v>
      </c>
      <c r="K63" s="76">
        <v>40</v>
      </c>
      <c r="L63" s="76">
        <v>40</v>
      </c>
      <c r="M63" s="76">
        <v>40</v>
      </c>
      <c r="N63" s="76">
        <v>40</v>
      </c>
      <c r="O63" s="76">
        <v>40</v>
      </c>
      <c r="P63" s="76">
        <v>40</v>
      </c>
      <c r="Q63" s="76">
        <v>40</v>
      </c>
      <c r="R63" s="76">
        <v>40</v>
      </c>
      <c r="S63" s="76">
        <v>40</v>
      </c>
      <c r="T63" s="76">
        <v>40</v>
      </c>
      <c r="U63" s="76">
        <v>40</v>
      </c>
      <c r="V63" s="76">
        <v>40</v>
      </c>
      <c r="W63" s="76">
        <v>40</v>
      </c>
      <c r="X63" s="76">
        <v>40</v>
      </c>
      <c r="Y63" s="76">
        <v>40</v>
      </c>
      <c r="Z63" s="76">
        <v>40</v>
      </c>
      <c r="AA63" s="76">
        <v>40</v>
      </c>
      <c r="AB63" s="76">
        <v>40</v>
      </c>
      <c r="AC63" s="76">
        <v>40</v>
      </c>
      <c r="AD63" s="76">
        <v>40</v>
      </c>
      <c r="AE63" s="76">
        <v>40</v>
      </c>
      <c r="AF63" s="76">
        <v>40</v>
      </c>
      <c r="AG63" s="66">
        <v>60</v>
      </c>
      <c r="AH63" s="48">
        <f t="shared" si="2"/>
        <v>40.700000000000003</v>
      </c>
      <c r="AI63" s="49">
        <f t="shared" si="3"/>
        <v>40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22.6</v>
      </c>
      <c r="N64" s="78">
        <v>22.6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20.2</v>
      </c>
      <c r="AD64" s="78">
        <v>20.2</v>
      </c>
      <c r="AE64" s="78">
        <v>20.2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20.2</v>
      </c>
      <c r="AK64" s="51"/>
    </row>
    <row r="65" spans="1:75" ht="15.75" thickBot="1" x14ac:dyDescent="0.3">
      <c r="A65" s="80" t="s">
        <v>79</v>
      </c>
      <c r="B65" s="71">
        <f t="shared" ref="B65:AG65" si="25">SUM(B62:B64)</f>
        <v>304.5</v>
      </c>
      <c r="C65" s="71">
        <f t="shared" si="25"/>
        <v>303.5</v>
      </c>
      <c r="D65" s="71">
        <f t="shared" si="25"/>
        <v>344.1</v>
      </c>
      <c r="E65" s="71">
        <f t="shared" si="25"/>
        <v>334.4</v>
      </c>
      <c r="F65" s="71">
        <f t="shared" si="25"/>
        <v>277.5</v>
      </c>
      <c r="G65" s="71">
        <f t="shared" ref="G65:H65" si="26">SUM(G62:G64)</f>
        <v>273.7</v>
      </c>
      <c r="H65" s="71">
        <f t="shared" si="26"/>
        <v>273.7</v>
      </c>
      <c r="I65" s="71">
        <f t="shared" ref="I65:K65" si="27">SUM(I62:I64)</f>
        <v>273.7</v>
      </c>
      <c r="J65" s="71">
        <f t="shared" si="27"/>
        <v>273.7</v>
      </c>
      <c r="K65" s="71">
        <f t="shared" si="27"/>
        <v>273.7</v>
      </c>
      <c r="L65" s="71">
        <f t="shared" ref="L65" si="28">SUM(L62:L64)</f>
        <v>518.5</v>
      </c>
      <c r="M65" s="71">
        <f t="shared" si="25"/>
        <v>518.6</v>
      </c>
      <c r="N65" s="71">
        <f t="shared" si="25"/>
        <v>357.6</v>
      </c>
      <c r="O65" s="71">
        <f t="shared" si="25"/>
        <v>386.5</v>
      </c>
      <c r="P65" s="71">
        <f t="shared" si="25"/>
        <v>362.5</v>
      </c>
      <c r="Q65" s="71">
        <f t="shared" si="25"/>
        <v>333.5</v>
      </c>
      <c r="R65" s="71">
        <f t="shared" ref="R65" si="29">SUM(R62:R64)</f>
        <v>519.5</v>
      </c>
      <c r="S65" s="71">
        <f t="shared" si="25"/>
        <v>243.4</v>
      </c>
      <c r="T65" s="71">
        <f t="shared" si="25"/>
        <v>138.80000000000001</v>
      </c>
      <c r="U65" s="71">
        <f>SUM(U62:U64)</f>
        <v>92.7</v>
      </c>
      <c r="V65" s="71">
        <f t="shared" si="25"/>
        <v>62.5</v>
      </c>
      <c r="W65" s="71">
        <f t="shared" si="25"/>
        <v>62.5</v>
      </c>
      <c r="X65" s="71">
        <f t="shared" si="25"/>
        <v>77.5</v>
      </c>
      <c r="Y65" s="71">
        <f t="shared" si="25"/>
        <v>367.5</v>
      </c>
      <c r="Z65" s="71">
        <f t="shared" si="25"/>
        <v>413.5</v>
      </c>
      <c r="AA65" s="71">
        <v>444.5</v>
      </c>
      <c r="AB65" s="71">
        <f t="shared" si="25"/>
        <v>444</v>
      </c>
      <c r="AC65" s="71">
        <f t="shared" si="25"/>
        <v>441.9</v>
      </c>
      <c r="AD65" s="71">
        <f t="shared" si="25"/>
        <v>441.9</v>
      </c>
      <c r="AE65" s="71">
        <f t="shared" si="25"/>
        <v>441.9</v>
      </c>
      <c r="AF65" s="71">
        <f t="shared" si="25"/>
        <v>412.5</v>
      </c>
      <c r="AG65" s="72">
        <f t="shared" si="25"/>
        <v>538.1</v>
      </c>
      <c r="AH65" s="48">
        <f t="shared" si="2"/>
        <v>519.5</v>
      </c>
      <c r="AI65" s="49">
        <f t="shared" si="3"/>
        <v>62.5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141.30000000000001</v>
      </c>
      <c r="C66" s="46">
        <v>141.30000000000001</v>
      </c>
      <c r="D66" s="46">
        <v>146.1</v>
      </c>
      <c r="E66" s="46">
        <v>145.5</v>
      </c>
      <c r="F66" s="46">
        <v>145.5</v>
      </c>
      <c r="G66" s="46">
        <v>145.5</v>
      </c>
      <c r="H66" s="46">
        <v>145.5</v>
      </c>
      <c r="I66" s="46">
        <v>145.5</v>
      </c>
      <c r="J66" s="46">
        <v>145.5</v>
      </c>
      <c r="K66" s="46">
        <v>145.5</v>
      </c>
      <c r="L66" s="46">
        <v>145.5</v>
      </c>
      <c r="M66" s="46">
        <v>145.5</v>
      </c>
      <c r="N66" s="46">
        <v>144.80000000000001</v>
      </c>
      <c r="O66" s="46">
        <v>146.5</v>
      </c>
      <c r="P66" s="46">
        <v>146.5</v>
      </c>
      <c r="Q66" s="46">
        <v>145.6</v>
      </c>
      <c r="R66" s="46">
        <v>145.69999999999999</v>
      </c>
      <c r="S66" s="46">
        <v>145.69999999999999</v>
      </c>
      <c r="T66" s="46">
        <v>145.69999999999999</v>
      </c>
      <c r="U66" s="46">
        <v>145.69999999999999</v>
      </c>
      <c r="V66" s="46">
        <v>145.69999999999999</v>
      </c>
      <c r="W66" s="46">
        <v>145.69999999999999</v>
      </c>
      <c r="X66" s="46">
        <v>145.69999999999999</v>
      </c>
      <c r="Y66" s="46">
        <v>145.69999999999999</v>
      </c>
      <c r="Z66" s="46">
        <v>145.69999999999999</v>
      </c>
      <c r="AA66" s="46">
        <v>145.69999999999999</v>
      </c>
      <c r="AB66" s="46">
        <v>145.9</v>
      </c>
      <c r="AC66" s="46">
        <v>145.9</v>
      </c>
      <c r="AD66" s="46">
        <v>145.9</v>
      </c>
      <c r="AE66" s="46">
        <v>145.9</v>
      </c>
      <c r="AF66" s="46">
        <v>145.9</v>
      </c>
      <c r="AG66" s="61">
        <v>144</v>
      </c>
      <c r="AH66" s="48">
        <f t="shared" si="2"/>
        <v>146.5</v>
      </c>
      <c r="AI66" s="49">
        <f t="shared" si="3"/>
        <v>141.30000000000001</v>
      </c>
      <c r="AK66" s="51"/>
      <c r="AY66" s="1" t="s">
        <v>86</v>
      </c>
      <c r="AZ66" s="82">
        <f>ROUND(C84,0)</f>
        <v>0</v>
      </c>
      <c r="BA66" s="81">
        <f t="shared" ref="BA66:BD70" si="30">D84</f>
        <v>0</v>
      </c>
      <c r="BB66" s="81">
        <f t="shared" si="30"/>
        <v>17.2</v>
      </c>
      <c r="BC66" s="81">
        <f t="shared" si="30"/>
        <v>18.600000000000001</v>
      </c>
      <c r="BD66" s="81">
        <f t="shared" si="30"/>
        <v>5.6</v>
      </c>
      <c r="BE66" s="82">
        <f>I84</f>
        <v>1</v>
      </c>
      <c r="BF66" s="82">
        <f>K84</f>
        <v>52</v>
      </c>
      <c r="BG66" s="82">
        <f t="shared" ref="BG66:BP70" si="31">M84</f>
        <v>45</v>
      </c>
      <c r="BH66" s="82">
        <f t="shared" si="31"/>
        <v>44</v>
      </c>
      <c r="BI66" s="82">
        <f t="shared" si="31"/>
        <v>53</v>
      </c>
      <c r="BJ66" s="82">
        <f t="shared" si="31"/>
        <v>50</v>
      </c>
      <c r="BK66" s="82">
        <f t="shared" si="31"/>
        <v>54.6</v>
      </c>
      <c r="BL66" s="82">
        <f t="shared" si="31"/>
        <v>54.3</v>
      </c>
      <c r="BM66" s="82">
        <f t="shared" si="31"/>
        <v>57.3</v>
      </c>
      <c r="BN66" s="82">
        <f t="shared" si="31"/>
        <v>71.8</v>
      </c>
      <c r="BO66" s="82">
        <f t="shared" si="31"/>
        <v>58</v>
      </c>
      <c r="BP66" s="82">
        <f t="shared" si="31"/>
        <v>67</v>
      </c>
      <c r="BQ66" s="82">
        <f>X84</f>
        <v>52.4</v>
      </c>
      <c r="BR66" s="82">
        <f>Z84</f>
        <v>25.3</v>
      </c>
      <c r="BS66" s="81">
        <f>AB84</f>
        <v>67.8</v>
      </c>
      <c r="BT66" s="81">
        <f t="shared" ref="BT66:BV70" si="32">AD84</f>
        <v>24</v>
      </c>
      <c r="BU66" s="81">
        <f t="shared" si="32"/>
        <v>20</v>
      </c>
      <c r="BV66" s="81">
        <f t="shared" si="32"/>
        <v>30</v>
      </c>
      <c r="BW66" s="81">
        <f>B84</f>
        <v>0</v>
      </c>
    </row>
    <row r="67" spans="1:75" x14ac:dyDescent="0.25">
      <c r="A67" s="65" t="s">
        <v>81</v>
      </c>
      <c r="B67" s="76">
        <v>60.1</v>
      </c>
      <c r="C67" s="76">
        <v>60.1</v>
      </c>
      <c r="D67" s="76">
        <v>69.599999999999994</v>
      </c>
      <c r="E67" s="76">
        <v>68.900000000000006</v>
      </c>
      <c r="F67" s="76">
        <v>68.900000000000006</v>
      </c>
      <c r="G67" s="76">
        <v>68.900000000000006</v>
      </c>
      <c r="H67" s="76">
        <v>68.900000000000006</v>
      </c>
      <c r="I67" s="76">
        <v>68.900000000000006</v>
      </c>
      <c r="J67" s="76">
        <v>68.900000000000006</v>
      </c>
      <c r="K67" s="76">
        <v>70.099999999999994</v>
      </c>
      <c r="L67" s="76">
        <v>70.099999999999994</v>
      </c>
      <c r="M67" s="76">
        <v>70.099999999999994</v>
      </c>
      <c r="N67" s="76">
        <v>59.5</v>
      </c>
      <c r="O67" s="76">
        <v>69.400000000000006</v>
      </c>
      <c r="P67" s="76">
        <v>69.400000000000006</v>
      </c>
      <c r="Q67" s="76">
        <v>69.400000000000006</v>
      </c>
      <c r="R67" s="76">
        <v>69</v>
      </c>
      <c r="S67" s="76">
        <v>69</v>
      </c>
      <c r="T67" s="76">
        <v>69</v>
      </c>
      <c r="U67" s="76">
        <v>69</v>
      </c>
      <c r="V67" s="76">
        <v>69</v>
      </c>
      <c r="W67" s="76">
        <v>69</v>
      </c>
      <c r="X67" s="76">
        <v>69</v>
      </c>
      <c r="Y67" s="76">
        <v>69</v>
      </c>
      <c r="Z67" s="76">
        <v>69</v>
      </c>
      <c r="AA67" s="46">
        <v>69</v>
      </c>
      <c r="AB67" s="46">
        <v>70.2</v>
      </c>
      <c r="AC67" s="46">
        <v>70.2</v>
      </c>
      <c r="AD67" s="46">
        <v>70.2</v>
      </c>
      <c r="AE67" s="46">
        <v>70.2</v>
      </c>
      <c r="AF67" s="46">
        <v>70.2</v>
      </c>
      <c r="AG67" s="66">
        <v>70</v>
      </c>
      <c r="AH67" s="48">
        <f t="shared" si="2"/>
        <v>70.2</v>
      </c>
      <c r="AI67" s="49">
        <f t="shared" si="3"/>
        <v>59.5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0</v>
      </c>
      <c r="BH67" s="82">
        <f t="shared" si="31"/>
        <v>0</v>
      </c>
      <c r="BI67" s="82">
        <f t="shared" si="31"/>
        <v>0</v>
      </c>
      <c r="BJ67" s="82">
        <f t="shared" si="31"/>
        <v>0</v>
      </c>
      <c r="BK67" s="82">
        <f t="shared" si="31"/>
        <v>0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70.3</v>
      </c>
      <c r="C68" s="76">
        <v>70.3</v>
      </c>
      <c r="D68" s="76">
        <v>69.7</v>
      </c>
      <c r="E68" s="76">
        <v>70.2</v>
      </c>
      <c r="F68" s="76">
        <v>70.2</v>
      </c>
      <c r="G68" s="76">
        <v>70.2</v>
      </c>
      <c r="H68" s="76">
        <v>70.2</v>
      </c>
      <c r="I68" s="76">
        <v>70.2</v>
      </c>
      <c r="J68" s="76">
        <v>70.2</v>
      </c>
      <c r="K68" s="76">
        <v>70.2</v>
      </c>
      <c r="L68" s="76">
        <v>70.2</v>
      </c>
      <c r="M68" s="76">
        <v>70.2</v>
      </c>
      <c r="N68" s="76">
        <v>70.36</v>
      </c>
      <c r="O68" s="76">
        <v>70.7</v>
      </c>
      <c r="P68" s="76">
        <v>70.7</v>
      </c>
      <c r="Q68" s="76">
        <v>43.4</v>
      </c>
      <c r="R68" s="76">
        <v>69.5</v>
      </c>
      <c r="S68" s="76">
        <v>69.5</v>
      </c>
      <c r="T68" s="76">
        <v>69.5</v>
      </c>
      <c r="U68" s="76">
        <v>69.5</v>
      </c>
      <c r="V68" s="76">
        <v>69.5</v>
      </c>
      <c r="W68" s="76">
        <v>69.5</v>
      </c>
      <c r="X68" s="76">
        <v>69.5</v>
      </c>
      <c r="Y68" s="76">
        <v>69.5</v>
      </c>
      <c r="Z68" s="76">
        <v>69.5</v>
      </c>
      <c r="AA68" s="46">
        <v>69.5</v>
      </c>
      <c r="AB68" s="46">
        <v>70</v>
      </c>
      <c r="AC68" s="46">
        <v>70</v>
      </c>
      <c r="AD68" s="46">
        <v>70</v>
      </c>
      <c r="AE68" s="46">
        <v>70</v>
      </c>
      <c r="AF68" s="46">
        <v>70</v>
      </c>
      <c r="AG68" s="66">
        <v>69</v>
      </c>
      <c r="AH68" s="48">
        <f t="shared" si="2"/>
        <v>70.7</v>
      </c>
      <c r="AI68" s="49">
        <f t="shared" si="3"/>
        <v>43.4</v>
      </c>
      <c r="AK68" s="51"/>
      <c r="AL68" s="83"/>
      <c r="AO68" s="83"/>
      <c r="AY68" s="1" t="s">
        <v>90</v>
      </c>
      <c r="AZ68" s="82">
        <f>ROUND(C86,0)</f>
        <v>-286</v>
      </c>
      <c r="BA68" s="81">
        <f t="shared" si="30"/>
        <v>-297.89999999999998</v>
      </c>
      <c r="BB68" s="81">
        <f t="shared" si="30"/>
        <v>-310</v>
      </c>
      <c r="BC68" s="81">
        <f t="shared" si="30"/>
        <v>-256</v>
      </c>
      <c r="BD68" s="81">
        <f t="shared" si="30"/>
        <v>-247</v>
      </c>
      <c r="BE68" s="82">
        <f>I86</f>
        <v>-265</v>
      </c>
      <c r="BF68" s="82">
        <f>K86</f>
        <v>-125</v>
      </c>
      <c r="BG68" s="82">
        <f t="shared" si="31"/>
        <v>-297</v>
      </c>
      <c r="BH68" s="82">
        <f t="shared" si="31"/>
        <v>-112.7</v>
      </c>
      <c r="BI68" s="82">
        <f t="shared" si="31"/>
        <v>-118</v>
      </c>
      <c r="BJ68" s="82">
        <f t="shared" si="31"/>
        <v>-95</v>
      </c>
      <c r="BK68" s="82">
        <f t="shared" si="31"/>
        <v>-29</v>
      </c>
      <c r="BL68" s="82">
        <f t="shared" si="31"/>
        <v>-108</v>
      </c>
      <c r="BM68" s="82">
        <f t="shared" si="31"/>
        <v>180</v>
      </c>
      <c r="BN68" s="82">
        <f t="shared" si="31"/>
        <v>241</v>
      </c>
      <c r="BO68" s="82">
        <f t="shared" si="31"/>
        <v>265</v>
      </c>
      <c r="BP68" s="82">
        <f t="shared" si="31"/>
        <v>237</v>
      </c>
      <c r="BQ68" s="82">
        <f>X86</f>
        <v>210</v>
      </c>
      <c r="BR68" s="82">
        <f>Z86</f>
        <v>-101.4</v>
      </c>
      <c r="BS68" s="81">
        <f>AB86</f>
        <v>-57</v>
      </c>
      <c r="BT68" s="81">
        <f t="shared" si="32"/>
        <v>-93</v>
      </c>
      <c r="BU68" s="81">
        <f t="shared" si="32"/>
        <v>-115</v>
      </c>
      <c r="BV68" s="81">
        <f t="shared" si="32"/>
        <v>-130</v>
      </c>
      <c r="BW68" s="81">
        <f>B86</f>
        <v>-249.4</v>
      </c>
    </row>
    <row r="69" spans="1:75" s="83" customFormat="1" x14ac:dyDescent="0.25">
      <c r="A69" s="65" t="s">
        <v>83</v>
      </c>
      <c r="B69" s="76">
        <v>61.4</v>
      </c>
      <c r="C69" s="76">
        <v>61.4</v>
      </c>
      <c r="D69" s="76">
        <v>61.4</v>
      </c>
      <c r="E69" s="76">
        <v>61.5</v>
      </c>
      <c r="F69" s="76">
        <v>61.5</v>
      </c>
      <c r="G69" s="76">
        <v>61.5</v>
      </c>
      <c r="H69" s="76">
        <v>61.5</v>
      </c>
      <c r="I69" s="76">
        <v>61.5</v>
      </c>
      <c r="J69" s="76">
        <v>61.5</v>
      </c>
      <c r="K69" s="76">
        <v>61.5</v>
      </c>
      <c r="L69" s="76">
        <v>61.5</v>
      </c>
      <c r="M69" s="76">
        <v>61.5</v>
      </c>
      <c r="N69" s="76">
        <v>61.4</v>
      </c>
      <c r="O69" s="76">
        <v>61.4</v>
      </c>
      <c r="P69" s="76">
        <v>61.4</v>
      </c>
      <c r="Q69" s="76">
        <v>61.4</v>
      </c>
      <c r="R69" s="76">
        <v>61.4</v>
      </c>
      <c r="S69" s="76">
        <v>61.4</v>
      </c>
      <c r="T69" s="76">
        <v>61.4</v>
      </c>
      <c r="U69" s="76">
        <v>61.4</v>
      </c>
      <c r="V69" s="76">
        <v>61.4</v>
      </c>
      <c r="W69" s="76">
        <v>61.4</v>
      </c>
      <c r="X69" s="76">
        <v>61.4</v>
      </c>
      <c r="Y69" s="76">
        <v>61.4</v>
      </c>
      <c r="Z69" s="76">
        <v>61.4</v>
      </c>
      <c r="AA69" s="46">
        <v>61.4</v>
      </c>
      <c r="AB69" s="46">
        <v>61.4</v>
      </c>
      <c r="AC69" s="46">
        <v>61.4</v>
      </c>
      <c r="AD69" s="46">
        <v>61.4</v>
      </c>
      <c r="AE69" s="46">
        <v>61.4</v>
      </c>
      <c r="AF69" s="46">
        <v>61.4</v>
      </c>
      <c r="AG69" s="66">
        <v>60</v>
      </c>
      <c r="AH69" s="48">
        <f t="shared" si="2"/>
        <v>61.5</v>
      </c>
      <c r="AI69" s="49">
        <f t="shared" si="3"/>
        <v>61.4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0</v>
      </c>
      <c r="BG69" s="82">
        <f t="shared" si="31"/>
        <v>0</v>
      </c>
      <c r="BH69" s="82">
        <f t="shared" si="31"/>
        <v>0</v>
      </c>
      <c r="BI69" s="82">
        <f t="shared" si="31"/>
        <v>0</v>
      </c>
      <c r="BJ69" s="82">
        <f t="shared" si="31"/>
        <v>0</v>
      </c>
      <c r="BK69" s="82">
        <f t="shared" si="31"/>
        <v>0</v>
      </c>
      <c r="BL69" s="82">
        <f t="shared" si="31"/>
        <v>0</v>
      </c>
      <c r="BM69" s="82">
        <f t="shared" si="31"/>
        <v>0</v>
      </c>
      <c r="BN69" s="82">
        <f t="shared" si="31"/>
        <v>0</v>
      </c>
      <c r="BO69" s="82">
        <f t="shared" si="31"/>
        <v>0</v>
      </c>
      <c r="BP69" s="82">
        <f t="shared" si="31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10</v>
      </c>
      <c r="C70" s="46">
        <v>0</v>
      </c>
      <c r="D70" s="46">
        <v>0</v>
      </c>
      <c r="E70" s="76">
        <v>0</v>
      </c>
      <c r="F70" s="76">
        <v>0</v>
      </c>
      <c r="G70" s="76">
        <v>0</v>
      </c>
      <c r="H70" s="76">
        <v>10</v>
      </c>
      <c r="I70" s="76">
        <v>15</v>
      </c>
      <c r="J70" s="76">
        <v>15</v>
      </c>
      <c r="K70" s="76">
        <v>15</v>
      </c>
      <c r="L70" s="76">
        <v>15</v>
      </c>
      <c r="M70" s="76">
        <v>23</v>
      </c>
      <c r="N70" s="76">
        <v>23</v>
      </c>
      <c r="O70" s="76">
        <v>23</v>
      </c>
      <c r="P70" s="76">
        <v>23</v>
      </c>
      <c r="Q70" s="76">
        <v>23</v>
      </c>
      <c r="R70" s="76">
        <v>22.6</v>
      </c>
      <c r="S70" s="76">
        <v>22.6</v>
      </c>
      <c r="T70" s="76">
        <v>14.5</v>
      </c>
      <c r="U70" s="76">
        <v>0</v>
      </c>
      <c r="V70" s="76">
        <v>0</v>
      </c>
      <c r="W70" s="76">
        <v>0</v>
      </c>
      <c r="X70" s="76">
        <v>0</v>
      </c>
      <c r="Y70" s="76">
        <v>15</v>
      </c>
      <c r="Z70" s="76">
        <v>15</v>
      </c>
      <c r="AA70" s="46">
        <v>23</v>
      </c>
      <c r="AB70" s="46">
        <v>0</v>
      </c>
      <c r="AC70" s="46">
        <v>14.8</v>
      </c>
      <c r="AD70" s="46">
        <v>14.8</v>
      </c>
      <c r="AE70" s="46">
        <v>23</v>
      </c>
      <c r="AF70" s="46">
        <v>11</v>
      </c>
      <c r="AG70" s="66">
        <v>30</v>
      </c>
      <c r="AH70" s="48">
        <f t="shared" si="2"/>
        <v>23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0</v>
      </c>
      <c r="BG70" s="82">
        <f t="shared" si="31"/>
        <v>102.8</v>
      </c>
      <c r="BH70" s="82">
        <f t="shared" si="31"/>
        <v>108.5</v>
      </c>
      <c r="BI70" s="82">
        <f t="shared" si="31"/>
        <v>127.2</v>
      </c>
      <c r="BJ70" s="82">
        <f t="shared" si="31"/>
        <v>125</v>
      </c>
      <c r="BK70" s="82">
        <f t="shared" si="31"/>
        <v>124.3</v>
      </c>
      <c r="BL70" s="82">
        <f t="shared" si="31"/>
        <v>135</v>
      </c>
      <c r="BM70" s="82">
        <f t="shared" si="31"/>
        <v>129.6</v>
      </c>
      <c r="BN70" s="82">
        <f t="shared" si="31"/>
        <v>132.9</v>
      </c>
      <c r="BO70" s="82">
        <f t="shared" si="31"/>
        <v>132</v>
      </c>
      <c r="BP70" s="82">
        <f t="shared" si="31"/>
        <v>140</v>
      </c>
      <c r="BQ70" s="82">
        <f>X88</f>
        <v>80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1.9</v>
      </c>
      <c r="J71" s="46">
        <v>1.9</v>
      </c>
      <c r="K71" s="46">
        <v>1.9</v>
      </c>
      <c r="L71" s="46">
        <v>1.9</v>
      </c>
      <c r="M71" s="46">
        <v>13</v>
      </c>
      <c r="N71" s="46">
        <v>13</v>
      </c>
      <c r="O71" s="76">
        <v>15.4</v>
      </c>
      <c r="P71" s="76">
        <v>13</v>
      </c>
      <c r="Q71" s="76">
        <v>10.6</v>
      </c>
      <c r="R71" s="76">
        <v>6.3</v>
      </c>
      <c r="S71" s="76">
        <v>7.6</v>
      </c>
      <c r="T71" s="76">
        <v>4</v>
      </c>
      <c r="U71" s="76">
        <v>6.3</v>
      </c>
      <c r="V71" s="76">
        <v>3.2</v>
      </c>
      <c r="W71" s="76">
        <v>1.5</v>
      </c>
      <c r="X71" s="76">
        <v>0.6</v>
      </c>
      <c r="Y71" s="76">
        <v>0.2</v>
      </c>
      <c r="Z71" s="76">
        <v>0.2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15.4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11.5</v>
      </c>
      <c r="C72" s="76">
        <v>11.5</v>
      </c>
      <c r="D72" s="76">
        <v>11.5</v>
      </c>
      <c r="E72" s="76">
        <v>11.5</v>
      </c>
      <c r="F72" s="76">
        <v>11.5</v>
      </c>
      <c r="G72" s="76">
        <v>11.5</v>
      </c>
      <c r="H72" s="76">
        <v>11.5</v>
      </c>
      <c r="I72" s="76">
        <v>11.5</v>
      </c>
      <c r="J72" s="76">
        <v>11.5</v>
      </c>
      <c r="K72" s="76">
        <v>11.5</v>
      </c>
      <c r="L72" s="76">
        <v>11.5</v>
      </c>
      <c r="M72" s="76">
        <v>11.5</v>
      </c>
      <c r="N72" s="76">
        <v>11.5</v>
      </c>
      <c r="O72" s="76">
        <v>12</v>
      </c>
      <c r="P72" s="76">
        <v>12</v>
      </c>
      <c r="Q72" s="76">
        <v>12</v>
      </c>
      <c r="R72" s="76">
        <v>12</v>
      </c>
      <c r="S72" s="76">
        <v>12</v>
      </c>
      <c r="T72" s="76">
        <v>12</v>
      </c>
      <c r="U72" s="76">
        <v>12</v>
      </c>
      <c r="V72" s="76">
        <v>12</v>
      </c>
      <c r="W72" s="76">
        <v>12</v>
      </c>
      <c r="X72" s="76">
        <v>12</v>
      </c>
      <c r="Y72" s="76">
        <v>12</v>
      </c>
      <c r="Z72" s="76">
        <v>12</v>
      </c>
      <c r="AA72" s="76">
        <v>12</v>
      </c>
      <c r="AB72" s="76">
        <v>12</v>
      </c>
      <c r="AC72" s="76">
        <v>12</v>
      </c>
      <c r="AD72" s="76">
        <v>12</v>
      </c>
      <c r="AE72" s="76">
        <v>12</v>
      </c>
      <c r="AF72" s="76">
        <v>12</v>
      </c>
      <c r="AG72" s="66">
        <v>24</v>
      </c>
      <c r="AH72" s="48">
        <f t="shared" si="2"/>
        <v>12</v>
      </c>
      <c r="AI72" s="49">
        <f t="shared" si="3"/>
        <v>11.5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</v>
      </c>
      <c r="C73" s="76">
        <v>2</v>
      </c>
      <c r="D73" s="76">
        <v>2</v>
      </c>
      <c r="E73" s="76">
        <v>2</v>
      </c>
      <c r="F73" s="76">
        <v>2</v>
      </c>
      <c r="G73" s="76">
        <v>2</v>
      </c>
      <c r="H73" s="76">
        <v>2</v>
      </c>
      <c r="I73" s="76">
        <v>2</v>
      </c>
      <c r="J73" s="76">
        <v>2</v>
      </c>
      <c r="K73" s="76">
        <v>2</v>
      </c>
      <c r="L73" s="76">
        <v>2</v>
      </c>
      <c r="M73" s="76">
        <v>2</v>
      </c>
      <c r="N73" s="76">
        <v>2</v>
      </c>
      <c r="O73" s="76">
        <v>2</v>
      </c>
      <c r="P73" s="76">
        <v>2</v>
      </c>
      <c r="Q73" s="76">
        <v>2</v>
      </c>
      <c r="R73" s="76">
        <v>2</v>
      </c>
      <c r="S73" s="76">
        <v>2</v>
      </c>
      <c r="T73" s="76">
        <v>2</v>
      </c>
      <c r="U73" s="76">
        <v>2</v>
      </c>
      <c r="V73" s="76">
        <v>2</v>
      </c>
      <c r="W73" s="76">
        <v>2</v>
      </c>
      <c r="X73" s="76">
        <v>2</v>
      </c>
      <c r="Y73" s="76">
        <v>2</v>
      </c>
      <c r="Z73" s="76">
        <v>2</v>
      </c>
      <c r="AA73" s="76">
        <v>2</v>
      </c>
      <c r="AB73" s="76">
        <v>2</v>
      </c>
      <c r="AC73" s="76">
        <v>2</v>
      </c>
      <c r="AD73" s="76">
        <v>2</v>
      </c>
      <c r="AE73" s="76">
        <v>2</v>
      </c>
      <c r="AF73" s="76">
        <v>2</v>
      </c>
      <c r="AG73" s="66">
        <v>15</v>
      </c>
      <c r="AH73" s="48">
        <f t="shared" si="2"/>
        <v>2</v>
      </c>
      <c r="AI73" s="49">
        <f t="shared" si="3"/>
        <v>2</v>
      </c>
      <c r="AK73" s="51"/>
      <c r="AZ73" s="82">
        <f t="shared" ref="AZ73:BW78" si="34">VALUE(AZ66)</f>
        <v>0</v>
      </c>
      <c r="BA73" s="82">
        <f t="shared" si="34"/>
        <v>0</v>
      </c>
      <c r="BB73" s="82">
        <f t="shared" si="34"/>
        <v>17.2</v>
      </c>
      <c r="BC73" s="82">
        <f t="shared" si="34"/>
        <v>18.600000000000001</v>
      </c>
      <c r="BD73" s="82">
        <f t="shared" si="34"/>
        <v>5.6</v>
      </c>
      <c r="BE73" s="82">
        <f t="shared" si="34"/>
        <v>1</v>
      </c>
      <c r="BF73" s="82">
        <f t="shared" si="34"/>
        <v>52</v>
      </c>
      <c r="BG73" s="82">
        <f t="shared" si="34"/>
        <v>45</v>
      </c>
      <c r="BH73" s="82">
        <f t="shared" si="34"/>
        <v>44</v>
      </c>
      <c r="BI73" s="82">
        <f t="shared" si="34"/>
        <v>53</v>
      </c>
      <c r="BJ73" s="82">
        <f t="shared" si="34"/>
        <v>50</v>
      </c>
      <c r="BK73" s="82">
        <f t="shared" si="34"/>
        <v>54.6</v>
      </c>
      <c r="BL73" s="82">
        <f t="shared" si="34"/>
        <v>54.3</v>
      </c>
      <c r="BM73" s="82">
        <f t="shared" si="34"/>
        <v>57.3</v>
      </c>
      <c r="BN73" s="82">
        <f t="shared" si="34"/>
        <v>71.8</v>
      </c>
      <c r="BO73" s="82">
        <f t="shared" si="34"/>
        <v>58</v>
      </c>
      <c r="BP73" s="82">
        <f t="shared" si="34"/>
        <v>67</v>
      </c>
      <c r="BQ73" s="82">
        <f t="shared" si="34"/>
        <v>52.4</v>
      </c>
      <c r="BR73" s="82">
        <f t="shared" si="34"/>
        <v>25.3</v>
      </c>
      <c r="BS73" s="82">
        <f t="shared" si="34"/>
        <v>67.8</v>
      </c>
      <c r="BT73" s="82">
        <f t="shared" si="34"/>
        <v>24</v>
      </c>
      <c r="BU73" s="82">
        <f t="shared" si="34"/>
        <v>20</v>
      </c>
      <c r="BV73" s="82">
        <f t="shared" si="34"/>
        <v>30</v>
      </c>
      <c r="BW73" s="82">
        <f t="shared" si="34"/>
        <v>0</v>
      </c>
    </row>
    <row r="74" spans="1:75" x14ac:dyDescent="0.25">
      <c r="A74" s="65" t="s">
        <v>91</v>
      </c>
      <c r="B74" s="76">
        <v>9.9</v>
      </c>
      <c r="C74" s="76">
        <v>9.9</v>
      </c>
      <c r="D74" s="76">
        <v>10</v>
      </c>
      <c r="E74" s="76">
        <v>10.199999999999999</v>
      </c>
      <c r="F74" s="76">
        <v>10.199999999999999</v>
      </c>
      <c r="G74" s="76">
        <v>10.199999999999999</v>
      </c>
      <c r="H74" s="76">
        <v>10.199999999999999</v>
      </c>
      <c r="I74" s="76">
        <v>10.199999999999999</v>
      </c>
      <c r="J74" s="76">
        <v>10.199999999999999</v>
      </c>
      <c r="K74" s="76">
        <v>10.199999999999999</v>
      </c>
      <c r="L74" s="76">
        <v>10.199999999999999</v>
      </c>
      <c r="M74" s="76">
        <v>10.199999999999999</v>
      </c>
      <c r="N74" s="76">
        <v>10.199999999999999</v>
      </c>
      <c r="O74" s="76">
        <v>10.199999999999999</v>
      </c>
      <c r="P74" s="76">
        <v>10.199999999999999</v>
      </c>
      <c r="Q74" s="76">
        <v>10.199999999999999</v>
      </c>
      <c r="R74" s="76">
        <v>9.6</v>
      </c>
      <c r="S74" s="76">
        <v>9.6</v>
      </c>
      <c r="T74" s="76">
        <v>9.6</v>
      </c>
      <c r="U74" s="76">
        <v>9.6</v>
      </c>
      <c r="V74" s="76">
        <v>9.6</v>
      </c>
      <c r="W74" s="76">
        <v>9.6</v>
      </c>
      <c r="X74" s="76">
        <v>9.6</v>
      </c>
      <c r="Y74" s="76">
        <v>9.6</v>
      </c>
      <c r="Z74" s="76">
        <v>9.6</v>
      </c>
      <c r="AA74" s="76">
        <v>9.6</v>
      </c>
      <c r="AB74" s="76">
        <v>9.6</v>
      </c>
      <c r="AC74" s="76">
        <v>9.6</v>
      </c>
      <c r="AD74" s="76">
        <v>9.6</v>
      </c>
      <c r="AE74" s="76">
        <v>9.6</v>
      </c>
      <c r="AF74" s="76">
        <v>9.6</v>
      </c>
      <c r="AG74" s="66">
        <v>14.1</v>
      </c>
      <c r="AH74" s="48">
        <f t="shared" si="2"/>
        <v>10.199999999999999</v>
      </c>
      <c r="AI74" s="49">
        <f t="shared" si="3"/>
        <v>9.6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0</v>
      </c>
      <c r="BH74" s="82">
        <f t="shared" si="34"/>
        <v>0</v>
      </c>
      <c r="BI74" s="82">
        <f t="shared" si="34"/>
        <v>0</v>
      </c>
      <c r="BJ74" s="82">
        <f t="shared" si="34"/>
        <v>0</v>
      </c>
      <c r="BK74" s="82">
        <f t="shared" si="34"/>
        <v>0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12.2</v>
      </c>
      <c r="C75" s="76">
        <v>12.2</v>
      </c>
      <c r="D75" s="76">
        <v>13.4</v>
      </c>
      <c r="E75" s="76">
        <v>13.3</v>
      </c>
      <c r="F75" s="76">
        <v>13.3</v>
      </c>
      <c r="G75" s="76">
        <v>13.3</v>
      </c>
      <c r="H75" s="76">
        <v>13.3</v>
      </c>
      <c r="I75" s="76">
        <v>13.3</v>
      </c>
      <c r="J75" s="76">
        <v>13.3</v>
      </c>
      <c r="K75" s="76">
        <v>13.3</v>
      </c>
      <c r="L75" s="76">
        <v>13.3</v>
      </c>
      <c r="M75" s="76">
        <v>13.3</v>
      </c>
      <c r="N75" s="76">
        <v>13.3</v>
      </c>
      <c r="O75" s="76">
        <v>13.3</v>
      </c>
      <c r="P75" s="76">
        <v>13.3</v>
      </c>
      <c r="Q75" s="76">
        <v>13.3</v>
      </c>
      <c r="R75" s="76">
        <v>10.4</v>
      </c>
      <c r="S75" s="76">
        <v>10.4</v>
      </c>
      <c r="T75" s="76">
        <v>10.4</v>
      </c>
      <c r="U75" s="76">
        <v>10.4</v>
      </c>
      <c r="V75" s="76">
        <v>10.4</v>
      </c>
      <c r="W75" s="76">
        <v>10.4</v>
      </c>
      <c r="X75" s="76">
        <v>10.4</v>
      </c>
      <c r="Y75" s="76">
        <v>10.4</v>
      </c>
      <c r="Z75" s="76">
        <v>10.4</v>
      </c>
      <c r="AA75" s="76">
        <v>10.4</v>
      </c>
      <c r="AB75" s="76">
        <v>10.4</v>
      </c>
      <c r="AC75" s="76">
        <v>10.4</v>
      </c>
      <c r="AD75" s="76">
        <v>10.4</v>
      </c>
      <c r="AE75" s="76">
        <v>10.4</v>
      </c>
      <c r="AF75" s="76">
        <v>10.4</v>
      </c>
      <c r="AG75" s="66">
        <v>14</v>
      </c>
      <c r="AH75" s="48">
        <f t="shared" ref="AH75:AH126" si="35">MAX(B75:AF75)</f>
        <v>13.4</v>
      </c>
      <c r="AI75" s="49">
        <f t="shared" ref="AI75:AI126" si="36">MIN(B75:AF75)</f>
        <v>10.4</v>
      </c>
      <c r="AK75" s="51"/>
      <c r="AZ75" s="82">
        <f t="shared" si="34"/>
        <v>-286</v>
      </c>
      <c r="BA75" s="82">
        <f t="shared" si="34"/>
        <v>-297.89999999999998</v>
      </c>
      <c r="BB75" s="82">
        <f t="shared" si="34"/>
        <v>-310</v>
      </c>
      <c r="BC75" s="82">
        <f t="shared" si="34"/>
        <v>-256</v>
      </c>
      <c r="BD75" s="82">
        <f t="shared" si="34"/>
        <v>-247</v>
      </c>
      <c r="BE75" s="82">
        <f t="shared" si="34"/>
        <v>-265</v>
      </c>
      <c r="BF75" s="82">
        <f t="shared" si="34"/>
        <v>-125</v>
      </c>
      <c r="BG75" s="82">
        <f t="shared" si="34"/>
        <v>-297</v>
      </c>
      <c r="BH75" s="82">
        <f t="shared" si="34"/>
        <v>-112.7</v>
      </c>
      <c r="BI75" s="82">
        <f t="shared" si="34"/>
        <v>-118</v>
      </c>
      <c r="BJ75" s="82">
        <f t="shared" si="34"/>
        <v>-95</v>
      </c>
      <c r="BK75" s="82">
        <f t="shared" si="34"/>
        <v>-29</v>
      </c>
      <c r="BL75" s="82">
        <f t="shared" si="34"/>
        <v>-108</v>
      </c>
      <c r="BM75" s="82">
        <f t="shared" si="34"/>
        <v>180</v>
      </c>
      <c r="BN75" s="82">
        <f t="shared" si="34"/>
        <v>241</v>
      </c>
      <c r="BO75" s="82">
        <f t="shared" si="34"/>
        <v>265</v>
      </c>
      <c r="BP75" s="82">
        <f t="shared" si="34"/>
        <v>237</v>
      </c>
      <c r="BQ75" s="82">
        <f t="shared" si="34"/>
        <v>210</v>
      </c>
      <c r="BR75" s="82">
        <f t="shared" si="34"/>
        <v>-101.4</v>
      </c>
      <c r="BS75" s="82">
        <f t="shared" si="34"/>
        <v>-57</v>
      </c>
      <c r="BT75" s="82">
        <f t="shared" si="34"/>
        <v>-93</v>
      </c>
      <c r="BU75" s="82">
        <f t="shared" si="34"/>
        <v>-115</v>
      </c>
      <c r="BV75" s="82">
        <f t="shared" si="34"/>
        <v>-130</v>
      </c>
      <c r="BW75" s="82">
        <f t="shared" si="34"/>
        <v>-249.4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35"/>
        <v>8</v>
      </c>
      <c r="AI76" s="49">
        <f t="shared" si="36"/>
        <v>8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0</v>
      </c>
      <c r="BG76" s="82">
        <f t="shared" si="34"/>
        <v>0</v>
      </c>
      <c r="BH76" s="82">
        <f t="shared" si="34"/>
        <v>0</v>
      </c>
      <c r="BI76" s="82">
        <f t="shared" si="34"/>
        <v>0</v>
      </c>
      <c r="BJ76" s="82">
        <f t="shared" si="34"/>
        <v>0</v>
      </c>
      <c r="BK76" s="82">
        <f t="shared" si="34"/>
        <v>0</v>
      </c>
      <c r="BL76" s="82">
        <f t="shared" si="34"/>
        <v>0</v>
      </c>
      <c r="BM76" s="82">
        <f t="shared" si="34"/>
        <v>0</v>
      </c>
      <c r="BN76" s="82">
        <f t="shared" si="34"/>
        <v>0</v>
      </c>
      <c r="BO76" s="82">
        <f t="shared" si="34"/>
        <v>0</v>
      </c>
      <c r="BP76" s="82">
        <f t="shared" si="34"/>
        <v>0</v>
      </c>
      <c r="BQ76" s="82">
        <f t="shared" si="34"/>
        <v>0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5"/>
        <v>3</v>
      </c>
      <c r="AI77" s="49">
        <f t="shared" si="36"/>
        <v>3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0</v>
      </c>
      <c r="BG77" s="82">
        <f t="shared" si="34"/>
        <v>102.8</v>
      </c>
      <c r="BH77" s="82">
        <f t="shared" si="34"/>
        <v>108.5</v>
      </c>
      <c r="BI77" s="82">
        <f t="shared" si="34"/>
        <v>127.2</v>
      </c>
      <c r="BJ77" s="82">
        <f t="shared" si="34"/>
        <v>125</v>
      </c>
      <c r="BK77" s="82">
        <f t="shared" si="34"/>
        <v>124.3</v>
      </c>
      <c r="BL77" s="82">
        <f t="shared" si="34"/>
        <v>135</v>
      </c>
      <c r="BM77" s="82">
        <f t="shared" si="34"/>
        <v>129.6</v>
      </c>
      <c r="BN77" s="82">
        <f t="shared" si="34"/>
        <v>132.9</v>
      </c>
      <c r="BO77" s="82">
        <f t="shared" si="34"/>
        <v>132</v>
      </c>
      <c r="BP77" s="82">
        <f t="shared" si="34"/>
        <v>140</v>
      </c>
      <c r="BQ77" s="82">
        <f t="shared" si="34"/>
        <v>80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5.5</v>
      </c>
      <c r="AI78" s="49">
        <f t="shared" si="36"/>
        <v>3.5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AG79" si="37">SUM(B66:B78)</f>
        <v>393.23999999999995</v>
      </c>
      <c r="C79" s="71">
        <f t="shared" si="37"/>
        <v>383.23999999999995</v>
      </c>
      <c r="D79" s="71">
        <f t="shared" si="37"/>
        <v>398.23999999999995</v>
      </c>
      <c r="E79" s="71">
        <f t="shared" si="37"/>
        <v>397.64000000000004</v>
      </c>
      <c r="F79" s="71">
        <f t="shared" si="37"/>
        <v>397.64000000000004</v>
      </c>
      <c r="G79" s="71">
        <f t="shared" ref="G79:H79" si="38">SUM(G66:G78)</f>
        <v>397.64000000000004</v>
      </c>
      <c r="H79" s="71">
        <f t="shared" si="38"/>
        <v>407.64000000000004</v>
      </c>
      <c r="I79" s="71">
        <f t="shared" ref="I79" si="39">SUM(I66:I78)</f>
        <v>414.54</v>
      </c>
      <c r="J79" s="71">
        <f t="shared" si="37"/>
        <v>414.54</v>
      </c>
      <c r="K79" s="71">
        <f t="shared" si="37"/>
        <v>415.74</v>
      </c>
      <c r="L79" s="71">
        <f t="shared" ref="L79" si="40">SUM(L66:L78)</f>
        <v>415.74</v>
      </c>
      <c r="M79" s="71">
        <f t="shared" si="37"/>
        <v>434.84000000000003</v>
      </c>
      <c r="N79" s="71">
        <f t="shared" si="37"/>
        <v>423.6</v>
      </c>
      <c r="O79" s="71">
        <f t="shared" si="37"/>
        <v>438.44</v>
      </c>
      <c r="P79" s="71">
        <f t="shared" si="37"/>
        <v>436.04</v>
      </c>
      <c r="Q79" s="71">
        <f t="shared" si="37"/>
        <v>405.44</v>
      </c>
      <c r="R79" s="71">
        <f t="shared" ref="R79" si="41">SUM(R66:R78)</f>
        <v>423.04</v>
      </c>
      <c r="S79" s="71">
        <f t="shared" si="37"/>
        <v>424.34000000000003</v>
      </c>
      <c r="T79" s="71">
        <f t="shared" si="37"/>
        <v>412.64</v>
      </c>
      <c r="U79" s="71">
        <f t="shared" si="37"/>
        <v>400.44</v>
      </c>
      <c r="V79" s="71">
        <f t="shared" si="37"/>
        <v>397.34</v>
      </c>
      <c r="W79" s="71">
        <f t="shared" si="37"/>
        <v>395.64</v>
      </c>
      <c r="X79" s="71">
        <f t="shared" si="37"/>
        <v>394.74</v>
      </c>
      <c r="Y79" s="71">
        <f t="shared" si="37"/>
        <v>409.29999999999995</v>
      </c>
      <c r="Z79" s="71">
        <f t="shared" si="37"/>
        <v>411.29999999999995</v>
      </c>
      <c r="AA79" s="71">
        <v>419.09999999999997</v>
      </c>
      <c r="AB79" s="71">
        <f t="shared" si="37"/>
        <v>396.04</v>
      </c>
      <c r="AC79" s="71">
        <f t="shared" si="37"/>
        <v>410.84000000000003</v>
      </c>
      <c r="AD79" s="71">
        <f t="shared" si="37"/>
        <v>410.84000000000003</v>
      </c>
      <c r="AE79" s="71">
        <f t="shared" si="37"/>
        <v>419.04</v>
      </c>
      <c r="AF79" s="71">
        <f t="shared" si="37"/>
        <v>407.04</v>
      </c>
      <c r="AG79" s="72">
        <f t="shared" si="37"/>
        <v>489.91</v>
      </c>
      <c r="AH79" s="48">
        <f t="shared" si="35"/>
        <v>438.44</v>
      </c>
      <c r="AI79" s="49">
        <f t="shared" si="36"/>
        <v>383.23999999999995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/>
      <c r="G80" s="46"/>
      <c r="H80" s="46"/>
      <c r="I80" s="46"/>
      <c r="J80" s="46"/>
      <c r="K80" s="46"/>
      <c r="L80" s="46"/>
      <c r="M80" s="46">
        <v>11.1</v>
      </c>
      <c r="N80" s="46">
        <v>10</v>
      </c>
      <c r="O80" s="46">
        <v>29.2</v>
      </c>
      <c r="P80" s="46">
        <v>29.2</v>
      </c>
      <c r="Q80" s="46">
        <v>30.1</v>
      </c>
      <c r="R80" s="46">
        <v>30.1</v>
      </c>
      <c r="S80" s="46">
        <v>19.8</v>
      </c>
      <c r="T80" s="46">
        <v>60</v>
      </c>
      <c r="U80" s="46">
        <v>34</v>
      </c>
      <c r="V80" s="46">
        <v>41</v>
      </c>
      <c r="W80" s="46">
        <v>10.3</v>
      </c>
      <c r="X80" s="46">
        <v>10.3</v>
      </c>
      <c r="Y80" s="46">
        <v>55</v>
      </c>
      <c r="Z80" s="46">
        <v>59.4</v>
      </c>
      <c r="AA80" s="46">
        <v>59.4</v>
      </c>
      <c r="AB80" s="46">
        <v>59.4</v>
      </c>
      <c r="AC80" s="46">
        <v>59.4</v>
      </c>
      <c r="AD80" s="46">
        <v>59.5</v>
      </c>
      <c r="AE80" s="46">
        <v>50</v>
      </c>
      <c r="AF80" s="46">
        <v>59.5</v>
      </c>
      <c r="AG80" s="61">
        <v>60</v>
      </c>
      <c r="AH80" s="48">
        <f t="shared" si="35"/>
        <v>60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/>
      <c r="G81" s="76"/>
      <c r="H81" s="76"/>
      <c r="I81" s="76"/>
      <c r="J81" s="76"/>
      <c r="K81" s="76"/>
      <c r="L81" s="76"/>
      <c r="M81" s="76">
        <v>3.2</v>
      </c>
      <c r="N81" s="76">
        <v>3.2</v>
      </c>
      <c r="O81" s="76">
        <v>13.8</v>
      </c>
      <c r="P81" s="76">
        <v>13.8</v>
      </c>
      <c r="Q81" s="76">
        <v>15</v>
      </c>
      <c r="R81" s="76">
        <v>14.8</v>
      </c>
      <c r="S81" s="76">
        <v>10</v>
      </c>
      <c r="T81" s="76">
        <v>30.4</v>
      </c>
      <c r="U81" s="76">
        <v>20</v>
      </c>
      <c r="V81" s="76">
        <v>31.2</v>
      </c>
      <c r="W81" s="76">
        <v>12.9</v>
      </c>
      <c r="X81" s="76">
        <v>12.9</v>
      </c>
      <c r="Y81" s="76">
        <v>18</v>
      </c>
      <c r="Z81" s="76">
        <v>28.7</v>
      </c>
      <c r="AA81" s="76">
        <v>28.7</v>
      </c>
      <c r="AB81" s="76">
        <v>30.6</v>
      </c>
      <c r="AC81" s="76">
        <v>30.3</v>
      </c>
      <c r="AD81" s="76">
        <v>28.4</v>
      </c>
      <c r="AE81" s="76">
        <v>28.4</v>
      </c>
      <c r="AF81" s="76">
        <v>23.7</v>
      </c>
      <c r="AG81" s="66">
        <v>32</v>
      </c>
      <c r="AH81" s="48">
        <f t="shared" si="35"/>
        <v>31.2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/>
      <c r="G82" s="78"/>
      <c r="H82" s="78"/>
      <c r="I82" s="78"/>
      <c r="J82" s="78"/>
      <c r="K82" s="78"/>
      <c r="L82" s="78"/>
      <c r="M82" s="78">
        <v>1.2</v>
      </c>
      <c r="N82" s="78">
        <v>1.2</v>
      </c>
      <c r="O82" s="78">
        <v>5</v>
      </c>
      <c r="P82" s="78">
        <v>5</v>
      </c>
      <c r="Q82" s="78">
        <v>5.5</v>
      </c>
      <c r="R82" s="78">
        <v>5.4</v>
      </c>
      <c r="S82" s="78">
        <v>3.7</v>
      </c>
      <c r="T82" s="78">
        <v>11.1</v>
      </c>
      <c r="U82" s="78">
        <v>7.3</v>
      </c>
      <c r="V82" s="78">
        <v>11.4</v>
      </c>
      <c r="W82" s="78">
        <v>4.7</v>
      </c>
      <c r="X82" s="78">
        <v>4.7</v>
      </c>
      <c r="Y82" s="78">
        <v>6.6</v>
      </c>
      <c r="Z82" s="78">
        <v>10.5</v>
      </c>
      <c r="AA82" s="78">
        <v>10.5</v>
      </c>
      <c r="AB82" s="78">
        <v>11.2</v>
      </c>
      <c r="AC82" s="78">
        <v>11.1</v>
      </c>
      <c r="AD82" s="78">
        <v>10.4</v>
      </c>
      <c r="AE82" s="78">
        <v>10.4</v>
      </c>
      <c r="AF82" s="78">
        <v>8.6</v>
      </c>
      <c r="AG82" s="79">
        <v>14</v>
      </c>
      <c r="AH82" s="48">
        <f t="shared" si="35"/>
        <v>11.4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-286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42">B80+B81+B82</f>
        <v>0</v>
      </c>
      <c r="C83" s="71">
        <f t="shared" si="42"/>
        <v>0</v>
      </c>
      <c r="D83" s="71">
        <f t="shared" si="42"/>
        <v>0</v>
      </c>
      <c r="E83" s="71">
        <f t="shared" si="42"/>
        <v>0</v>
      </c>
      <c r="F83" s="71">
        <f t="shared" si="42"/>
        <v>0</v>
      </c>
      <c r="G83" s="71">
        <f t="shared" si="42"/>
        <v>0</v>
      </c>
      <c r="H83" s="71">
        <f t="shared" ref="H83:I83" si="43">H80+H81+H82</f>
        <v>0</v>
      </c>
      <c r="I83" s="71">
        <f t="shared" si="43"/>
        <v>0</v>
      </c>
      <c r="J83" s="71">
        <f t="shared" si="42"/>
        <v>0</v>
      </c>
      <c r="K83" s="71">
        <f t="shared" si="42"/>
        <v>0</v>
      </c>
      <c r="L83" s="71">
        <f t="shared" si="42"/>
        <v>0</v>
      </c>
      <c r="M83" s="71">
        <f t="shared" si="42"/>
        <v>15.5</v>
      </c>
      <c r="N83" s="71">
        <f t="shared" si="42"/>
        <v>14.399999999999999</v>
      </c>
      <c r="O83" s="71">
        <f t="shared" si="42"/>
        <v>48</v>
      </c>
      <c r="P83" s="71">
        <f t="shared" si="42"/>
        <v>48</v>
      </c>
      <c r="Q83" s="71">
        <f t="shared" si="42"/>
        <v>50.6</v>
      </c>
      <c r="R83" s="71">
        <f t="shared" ref="R83" si="44">R80+R81+R82</f>
        <v>50.300000000000004</v>
      </c>
      <c r="S83" s="71">
        <f t="shared" si="42"/>
        <v>33.5</v>
      </c>
      <c r="T83" s="71">
        <f t="shared" si="42"/>
        <v>101.5</v>
      </c>
      <c r="U83" s="71">
        <f t="shared" si="42"/>
        <v>61.3</v>
      </c>
      <c r="V83" s="71">
        <f t="shared" si="42"/>
        <v>83.600000000000009</v>
      </c>
      <c r="W83" s="71">
        <f t="shared" si="42"/>
        <v>27.900000000000002</v>
      </c>
      <c r="X83" s="71">
        <f t="shared" si="42"/>
        <v>27.900000000000002</v>
      </c>
      <c r="Y83" s="71">
        <f t="shared" si="42"/>
        <v>79.599999999999994</v>
      </c>
      <c r="Z83" s="71">
        <f t="shared" si="42"/>
        <v>98.6</v>
      </c>
      <c r="AA83" s="71">
        <v>98.6</v>
      </c>
      <c r="AB83" s="71">
        <f t="shared" si="42"/>
        <v>101.2</v>
      </c>
      <c r="AC83" s="71">
        <f t="shared" si="42"/>
        <v>100.8</v>
      </c>
      <c r="AD83" s="71">
        <f t="shared" si="42"/>
        <v>98.300000000000011</v>
      </c>
      <c r="AE83" s="71">
        <f t="shared" si="42"/>
        <v>88.800000000000011</v>
      </c>
      <c r="AF83" s="71">
        <f t="shared" si="42"/>
        <v>91.8</v>
      </c>
      <c r="AG83" s="72">
        <f>SUM(AG80:AG82)</f>
        <v>106</v>
      </c>
      <c r="AH83" s="48">
        <f t="shared" si="35"/>
        <v>101.5</v>
      </c>
      <c r="AI83" s="49">
        <f t="shared" si="36"/>
        <v>0</v>
      </c>
      <c r="AK83" s="51"/>
      <c r="AY83" s="82"/>
      <c r="BF83" s="81"/>
      <c r="BG83" s="82">
        <v>0</v>
      </c>
      <c r="BH83" s="82">
        <v>0</v>
      </c>
      <c r="BI83" s="82">
        <v>-297.89999999999998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0</v>
      </c>
      <c r="C84" s="46">
        <v>0</v>
      </c>
      <c r="D84" s="46">
        <v>0</v>
      </c>
      <c r="E84" s="46">
        <v>17.2</v>
      </c>
      <c r="F84" s="46">
        <v>18.600000000000001</v>
      </c>
      <c r="G84" s="46">
        <v>5.6</v>
      </c>
      <c r="H84" s="46">
        <v>12</v>
      </c>
      <c r="I84" s="46">
        <v>1</v>
      </c>
      <c r="J84" s="46">
        <v>49</v>
      </c>
      <c r="K84" s="46">
        <v>52</v>
      </c>
      <c r="L84" s="46">
        <v>52</v>
      </c>
      <c r="M84" s="46">
        <v>45</v>
      </c>
      <c r="N84" s="46">
        <v>44</v>
      </c>
      <c r="O84" s="46">
        <v>53</v>
      </c>
      <c r="P84" s="46">
        <v>50</v>
      </c>
      <c r="Q84" s="46">
        <v>54.6</v>
      </c>
      <c r="R84" s="46">
        <v>54.3</v>
      </c>
      <c r="S84" s="46">
        <v>57.3</v>
      </c>
      <c r="T84" s="46">
        <v>71.8</v>
      </c>
      <c r="U84" s="46">
        <v>58</v>
      </c>
      <c r="V84" s="46">
        <v>67</v>
      </c>
      <c r="W84" s="46">
        <v>65.2</v>
      </c>
      <c r="X84" s="46">
        <v>52.4</v>
      </c>
      <c r="Y84" s="46">
        <v>25.1</v>
      </c>
      <c r="Z84" s="46">
        <v>25.3</v>
      </c>
      <c r="AA84" s="46">
        <v>41.8</v>
      </c>
      <c r="AB84" s="46">
        <v>67.8</v>
      </c>
      <c r="AC84" s="46">
        <v>40.6</v>
      </c>
      <c r="AD84" s="46">
        <v>24</v>
      </c>
      <c r="AE84" s="46">
        <v>20</v>
      </c>
      <c r="AF84" s="46">
        <v>30</v>
      </c>
      <c r="AG84" s="61"/>
      <c r="AH84" s="48">
        <f t="shared" si="35"/>
        <v>71.8</v>
      </c>
      <c r="AI84" s="49">
        <f t="shared" si="36"/>
        <v>0</v>
      </c>
      <c r="AK84" s="51"/>
      <c r="AY84" s="82"/>
      <c r="BF84" s="81"/>
      <c r="BG84" s="82">
        <v>17.2</v>
      </c>
      <c r="BH84" s="82">
        <v>0</v>
      </c>
      <c r="BI84" s="82">
        <v>-310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5"/>
        <v>0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18.600000000000001</v>
      </c>
      <c r="BH85" s="82">
        <v>0</v>
      </c>
      <c r="BI85" s="82">
        <v>-256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-249.4</v>
      </c>
      <c r="C86" s="76">
        <v>-286</v>
      </c>
      <c r="D86" s="76">
        <v>-297.89999999999998</v>
      </c>
      <c r="E86" s="76">
        <v>-310</v>
      </c>
      <c r="F86" s="76">
        <v>-256</v>
      </c>
      <c r="G86" s="76">
        <v>-247</v>
      </c>
      <c r="H86" s="76">
        <v>-262</v>
      </c>
      <c r="I86" s="76">
        <v>-265</v>
      </c>
      <c r="J86" s="76">
        <v>-122</v>
      </c>
      <c r="K86" s="76">
        <v>-125</v>
      </c>
      <c r="L86" s="76">
        <v>-315</v>
      </c>
      <c r="M86" s="76">
        <v>-297</v>
      </c>
      <c r="N86" s="76">
        <v>-112.7</v>
      </c>
      <c r="O86" s="76">
        <v>-118</v>
      </c>
      <c r="P86" s="76">
        <v>-95</v>
      </c>
      <c r="Q86" s="76">
        <v>-29</v>
      </c>
      <c r="R86" s="76">
        <v>-108</v>
      </c>
      <c r="S86" s="76">
        <v>180</v>
      </c>
      <c r="T86" s="76">
        <v>241</v>
      </c>
      <c r="U86" s="76">
        <v>265</v>
      </c>
      <c r="V86" s="76">
        <v>237</v>
      </c>
      <c r="W86" s="76">
        <v>251</v>
      </c>
      <c r="X86" s="76">
        <v>210</v>
      </c>
      <c r="Y86" s="76">
        <v>-100</v>
      </c>
      <c r="Z86" s="76">
        <v>-101.4</v>
      </c>
      <c r="AA86" s="76">
        <v>-65</v>
      </c>
      <c r="AB86" s="76">
        <v>-57</v>
      </c>
      <c r="AC86" s="76">
        <v>-52</v>
      </c>
      <c r="AD86" s="76">
        <v>-93</v>
      </c>
      <c r="AE86" s="76">
        <v>-115</v>
      </c>
      <c r="AF86" s="76">
        <v>-130</v>
      </c>
      <c r="AG86" s="88"/>
      <c r="AH86" s="48">
        <f t="shared" si="35"/>
        <v>265</v>
      </c>
      <c r="AI86" s="49">
        <f t="shared" si="36"/>
        <v>-315</v>
      </c>
      <c r="AK86" s="92"/>
      <c r="AL86" s="93"/>
      <c r="AM86" s="93"/>
      <c r="AN86" s="94"/>
      <c r="AY86" s="82"/>
      <c r="BF86" s="82"/>
      <c r="BG86" s="82">
        <v>5.6</v>
      </c>
      <c r="BH86" s="82">
        <v>0</v>
      </c>
      <c r="BI86" s="82">
        <v>-247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>
        <v>0</v>
      </c>
      <c r="AC87" s="89"/>
      <c r="AD87" s="89"/>
      <c r="AE87" s="89"/>
      <c r="AF87" s="89"/>
      <c r="AG87" s="88"/>
      <c r="AH87" s="48">
        <f t="shared" si="35"/>
        <v>0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1</v>
      </c>
      <c r="BH87" s="82">
        <v>0</v>
      </c>
      <c r="BI87" s="82">
        <v>-265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>
        <v>102.8</v>
      </c>
      <c r="N88" s="46">
        <v>108.5</v>
      </c>
      <c r="O88" s="46">
        <v>127.2</v>
      </c>
      <c r="P88" s="46">
        <v>125</v>
      </c>
      <c r="Q88" s="46">
        <v>124.3</v>
      </c>
      <c r="R88" s="46">
        <v>135</v>
      </c>
      <c r="S88" s="46">
        <v>129.6</v>
      </c>
      <c r="T88" s="46">
        <v>132.9</v>
      </c>
      <c r="U88" s="46">
        <v>132</v>
      </c>
      <c r="V88" s="46">
        <v>140</v>
      </c>
      <c r="W88" s="46">
        <v>115</v>
      </c>
      <c r="X88" s="46">
        <v>80</v>
      </c>
      <c r="Y88" s="46">
        <v>0</v>
      </c>
      <c r="Z88" s="46">
        <v>0</v>
      </c>
      <c r="AA88" s="46"/>
      <c r="AB88" s="46">
        <v>0</v>
      </c>
      <c r="AC88" s="46"/>
      <c r="AD88" s="46"/>
      <c r="AE88" s="46"/>
      <c r="AF88" s="46"/>
      <c r="AG88" s="88"/>
      <c r="AH88" s="48">
        <f t="shared" si="35"/>
        <v>140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52</v>
      </c>
      <c r="BH88" s="82">
        <v>0</v>
      </c>
      <c r="BI88" s="82">
        <v>-125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>
        <v>35</v>
      </c>
      <c r="V89" s="90">
        <v>40</v>
      </c>
      <c r="W89" s="90">
        <v>35.200000000000003</v>
      </c>
      <c r="X89" s="90">
        <v>0</v>
      </c>
      <c r="Y89" s="90">
        <v>0</v>
      </c>
      <c r="Z89" s="90">
        <v>0</v>
      </c>
      <c r="AA89" s="90"/>
      <c r="AB89" s="90">
        <v>0</v>
      </c>
      <c r="AC89" s="90"/>
      <c r="AD89" s="90"/>
      <c r="AE89" s="90"/>
      <c r="AF89" s="90"/>
      <c r="AG89" s="88"/>
      <c r="AH89" s="48">
        <f>MAX(B89:AF89)</f>
        <v>40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45</v>
      </c>
      <c r="BH89" s="82">
        <v>0</v>
      </c>
      <c r="BI89" s="82">
        <v>-297</v>
      </c>
      <c r="BJ89" s="82">
        <v>0</v>
      </c>
      <c r="BK89" s="82">
        <v>102.8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2"/>
      <c r="AY90" s="82"/>
      <c r="BF90" s="82"/>
      <c r="BG90" s="82">
        <v>44</v>
      </c>
      <c r="BH90" s="82">
        <v>0</v>
      </c>
      <c r="BI90" s="82">
        <v>-112.7</v>
      </c>
      <c r="BJ90" s="82">
        <v>0</v>
      </c>
      <c r="BK90" s="82">
        <v>108.5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3"/>
      <c r="BF91" s="82"/>
      <c r="BG91" s="82">
        <v>53</v>
      </c>
      <c r="BH91" s="82">
        <v>0</v>
      </c>
      <c r="BI91" s="82">
        <v>-118</v>
      </c>
      <c r="BJ91" s="82">
        <v>0</v>
      </c>
      <c r="BK91" s="82">
        <v>127.2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50</v>
      </c>
      <c r="BH92" s="82">
        <v>0</v>
      </c>
      <c r="BI92" s="82">
        <v>-95</v>
      </c>
      <c r="BJ92" s="82">
        <v>0</v>
      </c>
      <c r="BK92" s="82">
        <v>125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54.6</v>
      </c>
      <c r="BH93" s="82">
        <v>0</v>
      </c>
      <c r="BI93" s="82">
        <v>-29</v>
      </c>
      <c r="BJ93" s="82">
        <v>0</v>
      </c>
      <c r="BK93" s="82">
        <v>124.3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54.3</v>
      </c>
      <c r="BH94" s="82">
        <v>0</v>
      </c>
      <c r="BI94" s="82">
        <v>-108</v>
      </c>
      <c r="BJ94" s="82">
        <v>0</v>
      </c>
      <c r="BK94" s="82">
        <v>135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45">SUMIF(D84:D94,"&gt;0")</f>
        <v>0</v>
      </c>
      <c r="E95" s="71">
        <f t="shared" si="45"/>
        <v>17.2</v>
      </c>
      <c r="F95" s="71">
        <f t="shared" si="45"/>
        <v>18.600000000000001</v>
      </c>
      <c r="G95" s="71">
        <f t="shared" si="45"/>
        <v>5.6</v>
      </c>
      <c r="H95" s="71">
        <f t="shared" si="45"/>
        <v>12</v>
      </c>
      <c r="I95" s="71">
        <f t="shared" ref="I95" si="46">SUMIF(I84:I94,"&gt;0")</f>
        <v>1</v>
      </c>
      <c r="J95" s="71">
        <f t="shared" si="45"/>
        <v>49</v>
      </c>
      <c r="K95" s="71">
        <f t="shared" si="45"/>
        <v>52</v>
      </c>
      <c r="L95" s="71">
        <f t="shared" si="45"/>
        <v>52</v>
      </c>
      <c r="M95" s="71">
        <f t="shared" si="45"/>
        <v>147.80000000000001</v>
      </c>
      <c r="N95" s="71">
        <f t="shared" si="45"/>
        <v>152.5</v>
      </c>
      <c r="O95" s="71">
        <f t="shared" si="45"/>
        <v>180.2</v>
      </c>
      <c r="P95" s="71">
        <f t="shared" si="45"/>
        <v>175</v>
      </c>
      <c r="Q95" s="71">
        <f t="shared" si="45"/>
        <v>178.9</v>
      </c>
      <c r="R95" s="71">
        <f t="shared" si="45"/>
        <v>189.3</v>
      </c>
      <c r="S95" s="71">
        <f t="shared" si="45"/>
        <v>366.9</v>
      </c>
      <c r="T95" s="71">
        <f t="shared" si="45"/>
        <v>445.70000000000005</v>
      </c>
      <c r="U95" s="71">
        <f>SUMIF(U84:U94,"&gt;0")</f>
        <v>490</v>
      </c>
      <c r="V95" s="71">
        <f t="shared" si="45"/>
        <v>484</v>
      </c>
      <c r="W95" s="71">
        <f t="shared" si="45"/>
        <v>466.4</v>
      </c>
      <c r="X95" s="71">
        <f t="shared" si="45"/>
        <v>342.4</v>
      </c>
      <c r="Y95" s="71">
        <f t="shared" si="45"/>
        <v>25.1</v>
      </c>
      <c r="Z95" s="71">
        <f t="shared" si="45"/>
        <v>25.3</v>
      </c>
      <c r="AA95" s="71">
        <f t="shared" si="45"/>
        <v>41.8</v>
      </c>
      <c r="AB95" s="71">
        <f t="shared" si="45"/>
        <v>67.8</v>
      </c>
      <c r="AC95" s="71">
        <f t="shared" si="45"/>
        <v>40.6</v>
      </c>
      <c r="AD95" s="71">
        <f t="shared" si="45"/>
        <v>24</v>
      </c>
      <c r="AE95" s="71">
        <f t="shared" si="45"/>
        <v>20</v>
      </c>
      <c r="AF95" s="71">
        <f t="shared" si="45"/>
        <v>30</v>
      </c>
      <c r="AG95" s="101">
        <f>SUM(AG84:AG94)</f>
        <v>0</v>
      </c>
      <c r="AH95" s="48">
        <f t="shared" si="35"/>
        <v>490</v>
      </c>
      <c r="AI95" s="49">
        <f t="shared" si="36"/>
        <v>0</v>
      </c>
      <c r="BF95" s="82"/>
      <c r="BG95" s="82">
        <v>57.3</v>
      </c>
      <c r="BH95" s="82">
        <v>0</v>
      </c>
      <c r="BI95" s="82">
        <v>180</v>
      </c>
      <c r="BJ95" s="82">
        <v>0</v>
      </c>
      <c r="BK95" s="82">
        <v>129.6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71.8</v>
      </c>
      <c r="BH96" s="82">
        <v>0</v>
      </c>
      <c r="BI96" s="82">
        <v>241</v>
      </c>
      <c r="BJ96" s="82">
        <v>0</v>
      </c>
      <c r="BK96" s="82">
        <v>132.9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58</v>
      </c>
      <c r="BH97" s="82">
        <v>0</v>
      </c>
      <c r="BI97" s="82">
        <v>265</v>
      </c>
      <c r="BJ97" s="82">
        <v>0</v>
      </c>
      <c r="BK97" s="82">
        <v>132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67</v>
      </c>
      <c r="BH98" s="82">
        <v>0</v>
      </c>
      <c r="BI98" s="82">
        <v>237</v>
      </c>
      <c r="BJ98" s="82">
        <v>0</v>
      </c>
      <c r="BK98" s="82">
        <v>140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52.4</v>
      </c>
      <c r="BH99" s="82">
        <v>0</v>
      </c>
      <c r="BI99" s="82">
        <v>210</v>
      </c>
      <c r="BJ99" s="82">
        <v>0</v>
      </c>
      <c r="BK99" s="82">
        <v>80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47">B61+B65+B83+B79+B95+B99</f>
        <v>1508.14</v>
      </c>
      <c r="C100" s="108">
        <f t="shared" si="47"/>
        <v>1497.14</v>
      </c>
      <c r="D100" s="108">
        <f t="shared" si="47"/>
        <v>1566.74</v>
      </c>
      <c r="E100" s="108">
        <f t="shared" si="47"/>
        <v>1554.5400000000002</v>
      </c>
      <c r="F100" s="108">
        <f t="shared" si="47"/>
        <v>1499.44</v>
      </c>
      <c r="G100" s="108">
        <f t="shared" si="47"/>
        <v>1480.8400000000001</v>
      </c>
      <c r="H100" s="108">
        <f t="shared" si="47"/>
        <v>1492.5400000000002</v>
      </c>
      <c r="I100" s="108">
        <f t="shared" ref="I100" si="48">I61+I65+I83+I79+I95+I99</f>
        <v>1502.84</v>
      </c>
      <c r="J100" s="108">
        <f t="shared" si="47"/>
        <v>1550.84</v>
      </c>
      <c r="K100" s="108">
        <f t="shared" si="47"/>
        <v>1555.04</v>
      </c>
      <c r="L100" s="108">
        <f t="shared" si="47"/>
        <v>1793.14</v>
      </c>
      <c r="M100" s="108">
        <f t="shared" si="47"/>
        <v>1903.74</v>
      </c>
      <c r="N100" s="108">
        <f t="shared" si="47"/>
        <v>1733.6000000000004</v>
      </c>
      <c r="O100" s="108">
        <f t="shared" si="47"/>
        <v>1838.64</v>
      </c>
      <c r="P100" s="108">
        <f t="shared" si="47"/>
        <v>1807.04</v>
      </c>
      <c r="Q100" s="108">
        <f t="shared" si="47"/>
        <v>1753.94</v>
      </c>
      <c r="R100" s="108">
        <f t="shared" si="47"/>
        <v>1936.84</v>
      </c>
      <c r="S100" s="108">
        <f t="shared" si="47"/>
        <v>1820.0400000000004</v>
      </c>
      <c r="T100" s="108">
        <f t="shared" si="47"/>
        <v>1850.5400000000002</v>
      </c>
      <c r="U100" s="108">
        <f t="shared" si="47"/>
        <v>1796.3400000000001</v>
      </c>
      <c r="V100" s="108">
        <f t="shared" si="47"/>
        <v>1784.44</v>
      </c>
      <c r="W100" s="108">
        <f t="shared" si="47"/>
        <v>1707.44</v>
      </c>
      <c r="X100" s="108">
        <f t="shared" si="47"/>
        <v>1597.54</v>
      </c>
      <c r="Y100" s="108">
        <f t="shared" si="47"/>
        <v>1636.4999999999998</v>
      </c>
      <c r="Z100" s="108">
        <f t="shared" si="47"/>
        <v>1703.6999999999998</v>
      </c>
      <c r="AA100" s="108">
        <f t="shared" si="47"/>
        <v>1758.9999999999998</v>
      </c>
      <c r="AB100" s="108">
        <f t="shared" si="47"/>
        <v>1764.04</v>
      </c>
      <c r="AC100" s="108">
        <f t="shared" si="47"/>
        <v>1748.1399999999999</v>
      </c>
      <c r="AD100" s="108">
        <f t="shared" si="47"/>
        <v>1728.7399999999998</v>
      </c>
      <c r="AE100" s="108">
        <f t="shared" si="47"/>
        <v>1722.9399999999998</v>
      </c>
      <c r="AF100" s="108">
        <f t="shared" si="47"/>
        <v>1694.54</v>
      </c>
      <c r="AG100" s="72">
        <f t="shared" si="47"/>
        <v>2655.44</v>
      </c>
      <c r="AH100" s="48">
        <f t="shared" si="35"/>
        <v>1936.84</v>
      </c>
      <c r="AI100" s="49">
        <f t="shared" si="36"/>
        <v>1480.8400000000001</v>
      </c>
      <c r="BF100" s="81"/>
      <c r="BG100" s="82">
        <v>25.3</v>
      </c>
      <c r="BH100" s="82">
        <v>0</v>
      </c>
      <c r="BI100" s="82">
        <v>-101.4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200</v>
      </c>
      <c r="C101" s="110">
        <v>200</v>
      </c>
      <c r="D101" s="110">
        <v>200</v>
      </c>
      <c r="E101" s="110">
        <v>200</v>
      </c>
      <c r="F101" s="110">
        <v>200</v>
      </c>
      <c r="G101" s="110">
        <v>200</v>
      </c>
      <c r="H101" s="110">
        <v>150</v>
      </c>
      <c r="I101" s="110">
        <v>100</v>
      </c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>
        <v>100</v>
      </c>
      <c r="Y101" s="110">
        <v>150</v>
      </c>
      <c r="Z101" s="110">
        <v>150</v>
      </c>
      <c r="AA101" s="110">
        <v>150</v>
      </c>
      <c r="AB101" s="110">
        <v>180</v>
      </c>
      <c r="AC101" s="110">
        <v>180</v>
      </c>
      <c r="AD101" s="110">
        <v>180</v>
      </c>
      <c r="AE101" s="110">
        <v>150</v>
      </c>
      <c r="AF101" s="110">
        <v>150</v>
      </c>
      <c r="AG101" s="101"/>
      <c r="AH101" s="48">
        <f t="shared" si="35"/>
        <v>200</v>
      </c>
      <c r="AI101" s="49">
        <f t="shared" si="36"/>
        <v>100</v>
      </c>
      <c r="BF101" s="81"/>
      <c r="BG101" s="82">
        <v>67.8</v>
      </c>
      <c r="BH101" s="82">
        <v>0</v>
      </c>
      <c r="BI101" s="82">
        <v>-57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1708.14</v>
      </c>
      <c r="C102" s="108">
        <f t="shared" ref="C102:AF102" si="49">C100+C101</f>
        <v>1697.14</v>
      </c>
      <c r="D102" s="108">
        <f t="shared" si="49"/>
        <v>1766.74</v>
      </c>
      <c r="E102" s="108">
        <f t="shared" si="49"/>
        <v>1754.5400000000002</v>
      </c>
      <c r="F102" s="108">
        <f t="shared" si="49"/>
        <v>1699.44</v>
      </c>
      <c r="G102" s="108">
        <f t="shared" si="49"/>
        <v>1680.8400000000001</v>
      </c>
      <c r="H102" s="108">
        <f t="shared" si="49"/>
        <v>1642.5400000000002</v>
      </c>
      <c r="I102" s="108">
        <f t="shared" si="49"/>
        <v>1602.84</v>
      </c>
      <c r="J102" s="108">
        <f t="shared" si="49"/>
        <v>1550.84</v>
      </c>
      <c r="K102" s="108">
        <f t="shared" si="49"/>
        <v>1555.04</v>
      </c>
      <c r="L102" s="108">
        <f t="shared" si="49"/>
        <v>1793.14</v>
      </c>
      <c r="M102" s="108">
        <f t="shared" si="49"/>
        <v>1903.74</v>
      </c>
      <c r="N102" s="108">
        <f t="shared" si="49"/>
        <v>1733.6000000000004</v>
      </c>
      <c r="O102" s="108">
        <f t="shared" si="49"/>
        <v>1838.64</v>
      </c>
      <c r="P102" s="108">
        <f t="shared" si="49"/>
        <v>1807.04</v>
      </c>
      <c r="Q102" s="108">
        <f t="shared" si="49"/>
        <v>1753.94</v>
      </c>
      <c r="R102" s="108">
        <f t="shared" si="49"/>
        <v>1936.84</v>
      </c>
      <c r="S102" s="108">
        <f t="shared" si="49"/>
        <v>1820.0400000000004</v>
      </c>
      <c r="T102" s="108">
        <f t="shared" si="49"/>
        <v>1850.5400000000002</v>
      </c>
      <c r="U102" s="108">
        <f t="shared" si="49"/>
        <v>1796.3400000000001</v>
      </c>
      <c r="V102" s="108">
        <f t="shared" si="49"/>
        <v>1784.44</v>
      </c>
      <c r="W102" s="108">
        <f t="shared" si="49"/>
        <v>1707.44</v>
      </c>
      <c r="X102" s="108">
        <f t="shared" si="49"/>
        <v>1697.54</v>
      </c>
      <c r="Y102" s="108">
        <f t="shared" si="49"/>
        <v>1786.4999999999998</v>
      </c>
      <c r="Z102" s="108">
        <f t="shared" si="49"/>
        <v>1853.6999999999998</v>
      </c>
      <c r="AA102" s="108">
        <f t="shared" si="49"/>
        <v>1908.9999999999998</v>
      </c>
      <c r="AB102" s="108">
        <f t="shared" si="49"/>
        <v>1944.04</v>
      </c>
      <c r="AC102" s="108">
        <f t="shared" si="49"/>
        <v>1928.1399999999999</v>
      </c>
      <c r="AD102" s="108">
        <f t="shared" si="49"/>
        <v>1908.7399999999998</v>
      </c>
      <c r="AE102" s="108">
        <f t="shared" si="49"/>
        <v>1872.9399999999998</v>
      </c>
      <c r="AF102" s="108">
        <f t="shared" si="49"/>
        <v>1844.54</v>
      </c>
      <c r="AG102" s="101">
        <f>AG99+AG95+AG83+AG79+AG61+AG101</f>
        <v>2117.34</v>
      </c>
      <c r="AH102" s="48">
        <f t="shared" si="35"/>
        <v>1944.04</v>
      </c>
      <c r="AI102" s="49">
        <f t="shared" si="36"/>
        <v>1550.84</v>
      </c>
      <c r="BF102" s="81"/>
      <c r="BG102" s="82">
        <v>24</v>
      </c>
      <c r="BH102" s="82">
        <v>0</v>
      </c>
      <c r="BI102" s="82">
        <v>-93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1458.74</v>
      </c>
      <c r="C103" s="108">
        <f t="shared" ref="C103:AF103" si="50">C102-(C110)</f>
        <v>1411.14</v>
      </c>
      <c r="D103" s="108">
        <f t="shared" si="50"/>
        <v>1468.8400000000001</v>
      </c>
      <c r="E103" s="108">
        <f t="shared" si="50"/>
        <v>1444.5400000000002</v>
      </c>
      <c r="F103" s="108">
        <f t="shared" si="50"/>
        <v>1443.44</v>
      </c>
      <c r="G103" s="108">
        <f t="shared" si="50"/>
        <v>1433.8400000000001</v>
      </c>
      <c r="H103" s="108">
        <f t="shared" si="50"/>
        <v>1380.5400000000002</v>
      </c>
      <c r="I103" s="108">
        <f t="shared" si="50"/>
        <v>1337.84</v>
      </c>
      <c r="J103" s="108">
        <f t="shared" si="50"/>
        <v>1428.84</v>
      </c>
      <c r="K103" s="108">
        <f t="shared" si="50"/>
        <v>1430.04</v>
      </c>
      <c r="L103" s="108">
        <f t="shared" si="50"/>
        <v>1478.14</v>
      </c>
      <c r="M103" s="108">
        <f t="shared" si="50"/>
        <v>1606.74</v>
      </c>
      <c r="N103" s="108">
        <f t="shared" si="50"/>
        <v>1620.9000000000003</v>
      </c>
      <c r="O103" s="108">
        <f t="shared" si="50"/>
        <v>1720.64</v>
      </c>
      <c r="P103" s="108">
        <f t="shared" si="50"/>
        <v>1712.04</v>
      </c>
      <c r="Q103" s="108">
        <f t="shared" si="50"/>
        <v>1724.94</v>
      </c>
      <c r="R103" s="108">
        <f t="shared" si="50"/>
        <v>1828.84</v>
      </c>
      <c r="S103" s="108">
        <f t="shared" si="50"/>
        <v>1820.0400000000004</v>
      </c>
      <c r="T103" s="108">
        <f t="shared" si="50"/>
        <v>1850.5400000000002</v>
      </c>
      <c r="U103" s="108">
        <f t="shared" si="50"/>
        <v>1796.3400000000001</v>
      </c>
      <c r="V103" s="108">
        <f t="shared" si="50"/>
        <v>1784.44</v>
      </c>
      <c r="W103" s="108">
        <f t="shared" si="50"/>
        <v>1707.44</v>
      </c>
      <c r="X103" s="108">
        <f t="shared" si="50"/>
        <v>1697.54</v>
      </c>
      <c r="Y103" s="108">
        <f t="shared" si="50"/>
        <v>1686.4999999999998</v>
      </c>
      <c r="Z103" s="108">
        <f t="shared" si="50"/>
        <v>1752.2999999999997</v>
      </c>
      <c r="AA103" s="108">
        <f t="shared" si="50"/>
        <v>1843.9999999999998</v>
      </c>
      <c r="AB103" s="108">
        <f t="shared" si="50"/>
        <v>1887.04</v>
      </c>
      <c r="AC103" s="108">
        <f t="shared" si="50"/>
        <v>1876.1399999999999</v>
      </c>
      <c r="AD103" s="108">
        <f t="shared" si="50"/>
        <v>1815.7399999999998</v>
      </c>
      <c r="AE103" s="108">
        <f t="shared" si="50"/>
        <v>1757.9399999999998</v>
      </c>
      <c r="AF103" s="108">
        <f t="shared" si="50"/>
        <v>1714.54</v>
      </c>
      <c r="AG103" s="101"/>
      <c r="AH103" s="48">
        <f t="shared" si="35"/>
        <v>1887.04</v>
      </c>
      <c r="AI103" s="49">
        <f t="shared" si="36"/>
        <v>1337.84</v>
      </c>
      <c r="BF103" s="81"/>
      <c r="BG103" s="82">
        <v>20</v>
      </c>
      <c r="BH103" s="82">
        <v>0</v>
      </c>
      <c r="BI103" s="82">
        <v>-115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51">IF(C84&lt;0,C84*-1,0)</f>
        <v>0</v>
      </c>
      <c r="D104" s="89">
        <f t="shared" si="51"/>
        <v>0</v>
      </c>
      <c r="E104" s="89">
        <f t="shared" si="51"/>
        <v>0</v>
      </c>
      <c r="F104" s="89">
        <f t="shared" si="51"/>
        <v>0</v>
      </c>
      <c r="G104" s="89">
        <f t="shared" si="51"/>
        <v>0</v>
      </c>
      <c r="H104" s="89">
        <f t="shared" si="51"/>
        <v>0</v>
      </c>
      <c r="I104" s="89">
        <f t="shared" si="51"/>
        <v>0</v>
      </c>
      <c r="J104" s="89">
        <f t="shared" si="51"/>
        <v>0</v>
      </c>
      <c r="K104" s="89">
        <f t="shared" si="51"/>
        <v>0</v>
      </c>
      <c r="L104" s="89">
        <f t="shared" si="51"/>
        <v>0</v>
      </c>
      <c r="M104" s="89">
        <f t="shared" si="51"/>
        <v>0</v>
      </c>
      <c r="N104" s="89">
        <f t="shared" si="51"/>
        <v>0</v>
      </c>
      <c r="O104" s="89">
        <f t="shared" si="51"/>
        <v>0</v>
      </c>
      <c r="P104" s="89">
        <f t="shared" si="51"/>
        <v>0</v>
      </c>
      <c r="Q104" s="89">
        <f t="shared" si="51"/>
        <v>0</v>
      </c>
      <c r="R104" s="89">
        <f t="shared" si="51"/>
        <v>0</v>
      </c>
      <c r="S104" s="89">
        <f t="shared" si="51"/>
        <v>0</v>
      </c>
      <c r="T104" s="89">
        <f t="shared" si="51"/>
        <v>0</v>
      </c>
      <c r="U104" s="89">
        <f t="shared" si="51"/>
        <v>0</v>
      </c>
      <c r="V104" s="89">
        <f t="shared" si="51"/>
        <v>0</v>
      </c>
      <c r="W104" s="89">
        <f t="shared" si="51"/>
        <v>0</v>
      </c>
      <c r="X104" s="89">
        <f t="shared" si="51"/>
        <v>0</v>
      </c>
      <c r="Y104" s="89">
        <f t="shared" si="51"/>
        <v>0</v>
      </c>
      <c r="Z104" s="89">
        <f t="shared" si="51"/>
        <v>0</v>
      </c>
      <c r="AA104" s="89">
        <f t="shared" si="51"/>
        <v>0</v>
      </c>
      <c r="AB104" s="89">
        <f t="shared" si="51"/>
        <v>0</v>
      </c>
      <c r="AC104" s="89">
        <f t="shared" si="51"/>
        <v>0</v>
      </c>
      <c r="AD104" s="89">
        <f t="shared" si="51"/>
        <v>0</v>
      </c>
      <c r="AE104" s="89">
        <f t="shared" si="51"/>
        <v>0</v>
      </c>
      <c r="AF104" s="89">
        <f t="shared" si="51"/>
        <v>0</v>
      </c>
      <c r="AG104" s="61"/>
      <c r="AH104" s="48">
        <f t="shared" si="35"/>
        <v>0</v>
      </c>
      <c r="AI104" s="49">
        <f t="shared" si="36"/>
        <v>0</v>
      </c>
      <c r="BG104" s="82">
        <v>30</v>
      </c>
      <c r="BH104" s="82">
        <v>0</v>
      </c>
      <c r="BI104" s="82">
        <v>-130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52">IF(B85&lt;0,B85*-1,0)</f>
        <v>0</v>
      </c>
      <c r="C105" s="89">
        <f t="shared" si="52"/>
        <v>0</v>
      </c>
      <c r="D105" s="89">
        <f t="shared" si="52"/>
        <v>0</v>
      </c>
      <c r="E105" s="89">
        <f t="shared" si="52"/>
        <v>0</v>
      </c>
      <c r="F105" s="89">
        <f t="shared" si="52"/>
        <v>0</v>
      </c>
      <c r="G105" s="89">
        <f t="shared" si="52"/>
        <v>0</v>
      </c>
      <c r="H105" s="89">
        <f t="shared" si="52"/>
        <v>0</v>
      </c>
      <c r="I105" s="89">
        <f t="shared" si="52"/>
        <v>0</v>
      </c>
      <c r="J105" s="89">
        <f t="shared" si="52"/>
        <v>0</v>
      </c>
      <c r="K105" s="89">
        <f t="shared" si="52"/>
        <v>0</v>
      </c>
      <c r="L105" s="89">
        <f t="shared" si="52"/>
        <v>0</v>
      </c>
      <c r="M105" s="89">
        <f t="shared" si="52"/>
        <v>0</v>
      </c>
      <c r="N105" s="89">
        <f t="shared" si="52"/>
        <v>0</v>
      </c>
      <c r="O105" s="89">
        <f t="shared" si="52"/>
        <v>0</v>
      </c>
      <c r="P105" s="89">
        <f t="shared" si="52"/>
        <v>0</v>
      </c>
      <c r="Q105" s="89">
        <f t="shared" si="52"/>
        <v>0</v>
      </c>
      <c r="R105" s="89">
        <f t="shared" si="51"/>
        <v>0</v>
      </c>
      <c r="S105" s="89">
        <f t="shared" si="51"/>
        <v>0</v>
      </c>
      <c r="T105" s="89">
        <f t="shared" si="51"/>
        <v>0</v>
      </c>
      <c r="U105" s="89">
        <f t="shared" si="51"/>
        <v>0</v>
      </c>
      <c r="V105" s="89">
        <f t="shared" si="51"/>
        <v>0</v>
      </c>
      <c r="W105" s="89">
        <f t="shared" si="51"/>
        <v>0</v>
      </c>
      <c r="X105" s="89">
        <f t="shared" si="51"/>
        <v>0</v>
      </c>
      <c r="Y105" s="89">
        <f t="shared" si="51"/>
        <v>0</v>
      </c>
      <c r="Z105" s="89">
        <f t="shared" si="51"/>
        <v>0</v>
      </c>
      <c r="AA105" s="89">
        <f t="shared" si="51"/>
        <v>0</v>
      </c>
      <c r="AB105" s="89">
        <f t="shared" si="51"/>
        <v>0</v>
      </c>
      <c r="AC105" s="89">
        <f t="shared" si="51"/>
        <v>0</v>
      </c>
      <c r="AD105" s="89">
        <f t="shared" si="51"/>
        <v>0</v>
      </c>
      <c r="AE105" s="89">
        <f t="shared" si="51"/>
        <v>0</v>
      </c>
      <c r="AF105" s="89">
        <f t="shared" si="51"/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0</v>
      </c>
      <c r="BH105" s="82">
        <v>0</v>
      </c>
      <c r="BI105" s="82">
        <v>-249.4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52"/>
        <v>249.4</v>
      </c>
      <c r="C106" s="89">
        <f t="shared" si="51"/>
        <v>286</v>
      </c>
      <c r="D106" s="89">
        <f t="shared" si="51"/>
        <v>297.89999999999998</v>
      </c>
      <c r="E106" s="89">
        <f t="shared" si="51"/>
        <v>310</v>
      </c>
      <c r="F106" s="89">
        <f t="shared" si="51"/>
        <v>256</v>
      </c>
      <c r="G106" s="89">
        <f t="shared" si="51"/>
        <v>247</v>
      </c>
      <c r="H106" s="89">
        <f t="shared" si="51"/>
        <v>262</v>
      </c>
      <c r="I106" s="89">
        <f t="shared" si="51"/>
        <v>265</v>
      </c>
      <c r="J106" s="89">
        <f t="shared" si="51"/>
        <v>122</v>
      </c>
      <c r="K106" s="89">
        <f t="shared" si="51"/>
        <v>125</v>
      </c>
      <c r="L106" s="89">
        <f t="shared" si="51"/>
        <v>315</v>
      </c>
      <c r="M106" s="89">
        <f t="shared" si="51"/>
        <v>297</v>
      </c>
      <c r="N106" s="89">
        <f t="shared" si="51"/>
        <v>112.7</v>
      </c>
      <c r="O106" s="89">
        <f t="shared" si="51"/>
        <v>118</v>
      </c>
      <c r="P106" s="89">
        <f t="shared" si="51"/>
        <v>95</v>
      </c>
      <c r="Q106" s="89">
        <f t="shared" si="51"/>
        <v>29</v>
      </c>
      <c r="R106" s="89">
        <f t="shared" si="51"/>
        <v>108</v>
      </c>
      <c r="S106" s="89">
        <f t="shared" si="51"/>
        <v>0</v>
      </c>
      <c r="T106" s="89">
        <f t="shared" si="51"/>
        <v>0</v>
      </c>
      <c r="U106" s="89">
        <f t="shared" si="51"/>
        <v>0</v>
      </c>
      <c r="V106" s="89">
        <f t="shared" si="51"/>
        <v>0</v>
      </c>
      <c r="W106" s="89">
        <f t="shared" si="51"/>
        <v>0</v>
      </c>
      <c r="X106" s="89">
        <f t="shared" si="51"/>
        <v>0</v>
      </c>
      <c r="Y106" s="89">
        <f t="shared" si="51"/>
        <v>100</v>
      </c>
      <c r="Z106" s="89">
        <f t="shared" si="51"/>
        <v>101.4</v>
      </c>
      <c r="AA106" s="89">
        <f t="shared" si="51"/>
        <v>65</v>
      </c>
      <c r="AB106" s="89">
        <f t="shared" si="51"/>
        <v>57</v>
      </c>
      <c r="AC106" s="89">
        <f t="shared" si="51"/>
        <v>52</v>
      </c>
      <c r="AD106" s="89">
        <f t="shared" si="51"/>
        <v>93</v>
      </c>
      <c r="AE106" s="89">
        <f t="shared" si="51"/>
        <v>115</v>
      </c>
      <c r="AF106" s="89">
        <f t="shared" si="51"/>
        <v>130</v>
      </c>
      <c r="AG106" s="111"/>
      <c r="AH106" s="48">
        <f t="shared" si="35"/>
        <v>315</v>
      </c>
      <c r="AI106" s="49">
        <f t="shared" si="36"/>
        <v>0</v>
      </c>
    </row>
    <row r="107" spans="1:64" x14ac:dyDescent="0.25">
      <c r="A107" s="97" t="s">
        <v>107</v>
      </c>
      <c r="B107" s="89">
        <f t="shared" si="52"/>
        <v>0</v>
      </c>
      <c r="C107" s="89">
        <f t="shared" si="51"/>
        <v>0</v>
      </c>
      <c r="D107" s="89">
        <f t="shared" si="51"/>
        <v>0</v>
      </c>
      <c r="E107" s="89">
        <f t="shared" si="51"/>
        <v>0</v>
      </c>
      <c r="F107" s="89">
        <f t="shared" si="51"/>
        <v>0</v>
      </c>
      <c r="G107" s="89">
        <f t="shared" si="51"/>
        <v>0</v>
      </c>
      <c r="H107" s="89">
        <f t="shared" si="51"/>
        <v>0</v>
      </c>
      <c r="I107" s="89">
        <f t="shared" si="51"/>
        <v>0</v>
      </c>
      <c r="J107" s="89">
        <f t="shared" si="51"/>
        <v>0</v>
      </c>
      <c r="K107" s="89">
        <f t="shared" si="51"/>
        <v>0</v>
      </c>
      <c r="L107" s="89">
        <f t="shared" si="51"/>
        <v>0</v>
      </c>
      <c r="M107" s="89">
        <f t="shared" si="51"/>
        <v>0</v>
      </c>
      <c r="N107" s="89">
        <f t="shared" si="51"/>
        <v>0</v>
      </c>
      <c r="O107" s="89">
        <f t="shared" si="51"/>
        <v>0</v>
      </c>
      <c r="P107" s="89">
        <f t="shared" si="51"/>
        <v>0</v>
      </c>
      <c r="Q107" s="89">
        <f t="shared" si="51"/>
        <v>0</v>
      </c>
      <c r="R107" s="89">
        <f t="shared" si="51"/>
        <v>0</v>
      </c>
      <c r="S107" s="89">
        <f t="shared" si="51"/>
        <v>0</v>
      </c>
      <c r="T107" s="89">
        <f t="shared" si="51"/>
        <v>0</v>
      </c>
      <c r="U107" s="89">
        <f t="shared" si="51"/>
        <v>0</v>
      </c>
      <c r="V107" s="89">
        <f t="shared" si="51"/>
        <v>0</v>
      </c>
      <c r="W107" s="89">
        <f t="shared" si="51"/>
        <v>0</v>
      </c>
      <c r="X107" s="89">
        <f t="shared" si="51"/>
        <v>0</v>
      </c>
      <c r="Y107" s="89">
        <f t="shared" si="51"/>
        <v>0</v>
      </c>
      <c r="Z107" s="89">
        <f t="shared" si="51"/>
        <v>0</v>
      </c>
      <c r="AA107" s="89">
        <f t="shared" si="51"/>
        <v>0</v>
      </c>
      <c r="AB107" s="89">
        <f t="shared" si="51"/>
        <v>0</v>
      </c>
      <c r="AC107" s="89">
        <f t="shared" si="51"/>
        <v>0</v>
      </c>
      <c r="AD107" s="89">
        <f t="shared" si="51"/>
        <v>0</v>
      </c>
      <c r="AE107" s="89">
        <f t="shared" si="51"/>
        <v>0</v>
      </c>
      <c r="AF107" s="89">
        <f t="shared" si="51"/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52"/>
        <v>0</v>
      </c>
      <c r="C108" s="89">
        <f t="shared" si="51"/>
        <v>0</v>
      </c>
      <c r="D108" s="89">
        <f t="shared" si="51"/>
        <v>0</v>
      </c>
      <c r="E108" s="89">
        <f t="shared" si="51"/>
        <v>0</v>
      </c>
      <c r="F108" s="89">
        <f t="shared" si="51"/>
        <v>0</v>
      </c>
      <c r="G108" s="89">
        <f t="shared" si="51"/>
        <v>0</v>
      </c>
      <c r="H108" s="89">
        <f t="shared" si="51"/>
        <v>0</v>
      </c>
      <c r="I108" s="89">
        <f t="shared" si="51"/>
        <v>0</v>
      </c>
      <c r="J108" s="89">
        <f t="shared" si="51"/>
        <v>0</v>
      </c>
      <c r="K108" s="89">
        <f t="shared" si="51"/>
        <v>0</v>
      </c>
      <c r="L108" s="89">
        <f t="shared" si="51"/>
        <v>0</v>
      </c>
      <c r="M108" s="89">
        <f t="shared" si="51"/>
        <v>0</v>
      </c>
      <c r="N108" s="89">
        <f t="shared" si="51"/>
        <v>0</v>
      </c>
      <c r="O108" s="89">
        <f t="shared" si="51"/>
        <v>0</v>
      </c>
      <c r="P108" s="89">
        <f t="shared" si="51"/>
        <v>0</v>
      </c>
      <c r="Q108" s="89">
        <f t="shared" si="51"/>
        <v>0</v>
      </c>
      <c r="R108" s="89">
        <f t="shared" si="51"/>
        <v>0</v>
      </c>
      <c r="S108" s="89">
        <f t="shared" si="51"/>
        <v>0</v>
      </c>
      <c r="T108" s="89">
        <f t="shared" si="51"/>
        <v>0</v>
      </c>
      <c r="U108" s="89">
        <f t="shared" si="51"/>
        <v>0</v>
      </c>
      <c r="V108" s="89">
        <f t="shared" si="51"/>
        <v>0</v>
      </c>
      <c r="W108" s="89">
        <f t="shared" si="51"/>
        <v>0</v>
      </c>
      <c r="X108" s="89">
        <f t="shared" si="51"/>
        <v>0</v>
      </c>
      <c r="Y108" s="89">
        <f t="shared" si="51"/>
        <v>0</v>
      </c>
      <c r="Z108" s="89">
        <f t="shared" si="51"/>
        <v>0</v>
      </c>
      <c r="AA108" s="89">
        <f t="shared" si="51"/>
        <v>0</v>
      </c>
      <c r="AB108" s="89">
        <f t="shared" si="51"/>
        <v>0</v>
      </c>
      <c r="AC108" s="89">
        <f t="shared" si="51"/>
        <v>0</v>
      </c>
      <c r="AD108" s="89">
        <f t="shared" si="51"/>
        <v>0</v>
      </c>
      <c r="AE108" s="89">
        <f t="shared" si="51"/>
        <v>0</v>
      </c>
      <c r="AF108" s="89">
        <f t="shared" si="51"/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52"/>
        <v>0</v>
      </c>
      <c r="C109" s="89">
        <f t="shared" si="51"/>
        <v>0</v>
      </c>
      <c r="D109" s="89">
        <f t="shared" si="51"/>
        <v>0</v>
      </c>
      <c r="E109" s="89">
        <f t="shared" si="51"/>
        <v>0</v>
      </c>
      <c r="F109" s="89">
        <f t="shared" si="51"/>
        <v>0</v>
      </c>
      <c r="G109" s="89">
        <f t="shared" si="51"/>
        <v>0</v>
      </c>
      <c r="H109" s="89">
        <f t="shared" si="51"/>
        <v>0</v>
      </c>
      <c r="I109" s="89">
        <f t="shared" si="51"/>
        <v>0</v>
      </c>
      <c r="J109" s="89">
        <f t="shared" si="51"/>
        <v>0</v>
      </c>
      <c r="K109" s="89">
        <f t="shared" si="51"/>
        <v>0</v>
      </c>
      <c r="L109" s="89">
        <f t="shared" si="51"/>
        <v>0</v>
      </c>
      <c r="M109" s="89">
        <f t="shared" si="51"/>
        <v>0</v>
      </c>
      <c r="N109" s="89">
        <f t="shared" si="51"/>
        <v>0</v>
      </c>
      <c r="O109" s="89">
        <f t="shared" si="51"/>
        <v>0</v>
      </c>
      <c r="P109" s="89">
        <f t="shared" si="51"/>
        <v>0</v>
      </c>
      <c r="Q109" s="89">
        <f t="shared" si="51"/>
        <v>0</v>
      </c>
      <c r="R109" s="89">
        <f t="shared" si="51"/>
        <v>0</v>
      </c>
      <c r="S109" s="89">
        <f t="shared" si="51"/>
        <v>0</v>
      </c>
      <c r="T109" s="89">
        <f t="shared" si="51"/>
        <v>0</v>
      </c>
      <c r="U109" s="89">
        <f t="shared" si="51"/>
        <v>0</v>
      </c>
      <c r="V109" s="89">
        <f t="shared" si="51"/>
        <v>0</v>
      </c>
      <c r="W109" s="89">
        <f t="shared" si="51"/>
        <v>0</v>
      </c>
      <c r="X109" s="89">
        <f t="shared" si="51"/>
        <v>0</v>
      </c>
      <c r="Y109" s="89">
        <f t="shared" si="51"/>
        <v>0</v>
      </c>
      <c r="Z109" s="89">
        <f t="shared" si="51"/>
        <v>0</v>
      </c>
      <c r="AA109" s="89">
        <f t="shared" si="51"/>
        <v>0</v>
      </c>
      <c r="AB109" s="89">
        <f t="shared" si="51"/>
        <v>0</v>
      </c>
      <c r="AC109" s="89">
        <f t="shared" si="51"/>
        <v>0</v>
      </c>
      <c r="AD109" s="89">
        <f t="shared" si="51"/>
        <v>0</v>
      </c>
      <c r="AE109" s="89">
        <f t="shared" si="51"/>
        <v>0</v>
      </c>
      <c r="AF109" s="89">
        <f t="shared" si="51"/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249.4</v>
      </c>
      <c r="C110" s="71">
        <f t="shared" ref="C110:AF110" si="53">SUM(C104:C109)</f>
        <v>286</v>
      </c>
      <c r="D110" s="71">
        <f t="shared" si="53"/>
        <v>297.89999999999998</v>
      </c>
      <c r="E110" s="71">
        <f t="shared" si="53"/>
        <v>310</v>
      </c>
      <c r="F110" s="71">
        <f t="shared" si="53"/>
        <v>256</v>
      </c>
      <c r="G110" s="71">
        <f t="shared" si="53"/>
        <v>247</v>
      </c>
      <c r="H110" s="71">
        <f t="shared" si="53"/>
        <v>262</v>
      </c>
      <c r="I110" s="71">
        <f t="shared" si="53"/>
        <v>265</v>
      </c>
      <c r="J110" s="71">
        <f t="shared" si="53"/>
        <v>122</v>
      </c>
      <c r="K110" s="71">
        <f t="shared" si="53"/>
        <v>125</v>
      </c>
      <c r="L110" s="71">
        <f t="shared" si="53"/>
        <v>315</v>
      </c>
      <c r="M110" s="71">
        <f t="shared" si="53"/>
        <v>297</v>
      </c>
      <c r="N110" s="71">
        <f t="shared" si="53"/>
        <v>112.7</v>
      </c>
      <c r="O110" s="71">
        <f t="shared" si="53"/>
        <v>118</v>
      </c>
      <c r="P110" s="71">
        <f t="shared" si="53"/>
        <v>95</v>
      </c>
      <c r="Q110" s="71">
        <f t="shared" si="53"/>
        <v>29</v>
      </c>
      <c r="R110" s="71">
        <f t="shared" si="53"/>
        <v>108</v>
      </c>
      <c r="S110" s="71">
        <f t="shared" si="53"/>
        <v>0</v>
      </c>
      <c r="T110" s="71">
        <f t="shared" si="53"/>
        <v>0</v>
      </c>
      <c r="U110" s="71">
        <f t="shared" si="53"/>
        <v>0</v>
      </c>
      <c r="V110" s="71">
        <f t="shared" si="53"/>
        <v>0</v>
      </c>
      <c r="W110" s="71">
        <f t="shared" si="53"/>
        <v>0</v>
      </c>
      <c r="X110" s="71">
        <f t="shared" si="53"/>
        <v>0</v>
      </c>
      <c r="Y110" s="71">
        <f t="shared" si="53"/>
        <v>100</v>
      </c>
      <c r="Z110" s="71">
        <f t="shared" si="53"/>
        <v>101.4</v>
      </c>
      <c r="AA110" s="71">
        <f t="shared" si="53"/>
        <v>65</v>
      </c>
      <c r="AB110" s="71">
        <f t="shared" si="53"/>
        <v>57</v>
      </c>
      <c r="AC110" s="71">
        <f t="shared" si="53"/>
        <v>52</v>
      </c>
      <c r="AD110" s="71">
        <f t="shared" si="53"/>
        <v>93</v>
      </c>
      <c r="AE110" s="71">
        <f t="shared" si="53"/>
        <v>115</v>
      </c>
      <c r="AF110" s="71">
        <f t="shared" si="53"/>
        <v>130</v>
      </c>
      <c r="AG110" s="101"/>
      <c r="AH110" s="48">
        <f t="shared" si="35"/>
        <v>315</v>
      </c>
      <c r="AI110" s="49">
        <f t="shared" si="36"/>
        <v>0</v>
      </c>
    </row>
    <row r="111" spans="1:64" ht="15.75" thickBot="1" x14ac:dyDescent="0.3">
      <c r="A111" s="87" t="s">
        <v>131</v>
      </c>
      <c r="B111" s="71">
        <f t="shared" ref="B111:AF111" si="54">B95-B110</f>
        <v>-249.4</v>
      </c>
      <c r="C111" s="71">
        <f t="shared" si="54"/>
        <v>-286</v>
      </c>
      <c r="D111" s="71">
        <f t="shared" si="54"/>
        <v>-297.89999999999998</v>
      </c>
      <c r="E111" s="71">
        <f t="shared" si="54"/>
        <v>-292.8</v>
      </c>
      <c r="F111" s="71">
        <f t="shared" si="54"/>
        <v>-237.4</v>
      </c>
      <c r="G111" s="71">
        <f t="shared" si="54"/>
        <v>-241.4</v>
      </c>
      <c r="H111" s="71">
        <f t="shared" si="54"/>
        <v>-250</v>
      </c>
      <c r="I111" s="71">
        <f t="shared" si="54"/>
        <v>-264</v>
      </c>
      <c r="J111" s="71">
        <f t="shared" si="54"/>
        <v>-73</v>
      </c>
      <c r="K111" s="71">
        <f t="shared" si="54"/>
        <v>-73</v>
      </c>
      <c r="L111" s="71">
        <f t="shared" si="54"/>
        <v>-263</v>
      </c>
      <c r="M111" s="71">
        <f t="shared" si="54"/>
        <v>-149.19999999999999</v>
      </c>
      <c r="N111" s="71">
        <f t="shared" si="54"/>
        <v>39.799999999999997</v>
      </c>
      <c r="O111" s="71">
        <f t="shared" si="54"/>
        <v>62.199999999999989</v>
      </c>
      <c r="P111" s="71">
        <f t="shared" si="54"/>
        <v>80</v>
      </c>
      <c r="Q111" s="71">
        <f t="shared" si="54"/>
        <v>149.9</v>
      </c>
      <c r="R111" s="71">
        <f t="shared" si="54"/>
        <v>81.300000000000011</v>
      </c>
      <c r="S111" s="71">
        <f t="shared" si="54"/>
        <v>366.9</v>
      </c>
      <c r="T111" s="71">
        <f t="shared" si="54"/>
        <v>445.70000000000005</v>
      </c>
      <c r="U111" s="71">
        <f t="shared" si="54"/>
        <v>490</v>
      </c>
      <c r="V111" s="71">
        <f t="shared" si="54"/>
        <v>484</v>
      </c>
      <c r="W111" s="71">
        <f t="shared" si="54"/>
        <v>466.4</v>
      </c>
      <c r="X111" s="71">
        <f t="shared" si="54"/>
        <v>342.4</v>
      </c>
      <c r="Y111" s="71">
        <f t="shared" si="54"/>
        <v>-74.900000000000006</v>
      </c>
      <c r="Z111" s="71">
        <f t="shared" si="54"/>
        <v>-76.100000000000009</v>
      </c>
      <c r="AA111" s="71">
        <f t="shared" si="54"/>
        <v>-23.200000000000003</v>
      </c>
      <c r="AB111" s="71">
        <f t="shared" si="54"/>
        <v>10.799999999999997</v>
      </c>
      <c r="AC111" s="71">
        <f t="shared" si="54"/>
        <v>-11.399999999999999</v>
      </c>
      <c r="AD111" s="71">
        <f t="shared" si="54"/>
        <v>-69</v>
      </c>
      <c r="AE111" s="71">
        <f t="shared" si="54"/>
        <v>-95</v>
      </c>
      <c r="AF111" s="71">
        <f t="shared" si="54"/>
        <v>-100</v>
      </c>
      <c r="AG111" s="101"/>
      <c r="AH111" s="48">
        <f t="shared" si="35"/>
        <v>490</v>
      </c>
      <c r="AI111" s="49">
        <f t="shared" si="36"/>
        <v>-297.89999999999998</v>
      </c>
    </row>
    <row r="112" spans="1:64" x14ac:dyDescent="0.25">
      <c r="A112" s="113" t="s">
        <v>132</v>
      </c>
      <c r="B112" s="114">
        <v>49.865000000000002</v>
      </c>
      <c r="C112" s="114">
        <v>49.94</v>
      </c>
      <c r="D112" s="114">
        <v>50.042000000000002</v>
      </c>
      <c r="E112" s="114">
        <v>50.02</v>
      </c>
      <c r="F112" s="114">
        <v>50.06</v>
      </c>
      <c r="G112" s="114">
        <v>49.962000000000003</v>
      </c>
      <c r="H112" s="114">
        <v>49.996000000000002</v>
      </c>
      <c r="I112" s="114">
        <v>50.04</v>
      </c>
      <c r="J112" s="114">
        <v>50.04</v>
      </c>
      <c r="K112" s="114">
        <v>49.988999999999997</v>
      </c>
      <c r="L112" s="114">
        <v>49.984999999999999</v>
      </c>
      <c r="M112" s="114">
        <v>50.006999999999998</v>
      </c>
      <c r="N112" s="114">
        <v>49.975999999999999</v>
      </c>
      <c r="O112" s="114">
        <v>49.972000000000001</v>
      </c>
      <c r="P112" s="114">
        <v>49.972000000000001</v>
      </c>
      <c r="Q112" s="114">
        <v>49.972000000000001</v>
      </c>
      <c r="R112" s="114">
        <v>50.02</v>
      </c>
      <c r="S112" s="114">
        <v>56.7</v>
      </c>
      <c r="T112" s="114">
        <v>50.087000000000003</v>
      </c>
      <c r="U112" s="114">
        <v>50.064999999999998</v>
      </c>
      <c r="V112" s="114">
        <v>50.030999999999999</v>
      </c>
      <c r="W112" s="114">
        <v>49.98</v>
      </c>
      <c r="X112" s="114"/>
      <c r="Y112" s="114">
        <v>49.984999999999999</v>
      </c>
      <c r="Z112" s="114">
        <v>50.015999999999998</v>
      </c>
      <c r="AA112" s="114">
        <v>50.015000000000001</v>
      </c>
      <c r="AB112" s="114">
        <v>49.978999999999999</v>
      </c>
      <c r="AC112" s="114">
        <v>49.984000000000002</v>
      </c>
      <c r="AD112" s="114">
        <v>50.024999999999999</v>
      </c>
      <c r="AE112" s="114">
        <v>49.92</v>
      </c>
      <c r="AF112" s="114">
        <v>49.65</v>
      </c>
      <c r="AG112" s="115"/>
      <c r="AH112" s="48">
        <f t="shared" si="35"/>
        <v>56.7</v>
      </c>
      <c r="AI112" s="49">
        <f t="shared" si="36"/>
        <v>49.65</v>
      </c>
    </row>
    <row r="113" spans="1:35" x14ac:dyDescent="0.25">
      <c r="A113" s="116" t="s">
        <v>133</v>
      </c>
      <c r="B113" s="76">
        <v>123.4</v>
      </c>
      <c r="C113" s="76">
        <v>122.7</v>
      </c>
      <c r="D113" s="76">
        <v>123.6</v>
      </c>
      <c r="E113" s="76">
        <v>125.6</v>
      </c>
      <c r="F113" s="76">
        <v>125.4</v>
      </c>
      <c r="G113" s="76">
        <v>125.9</v>
      </c>
      <c r="H113" s="76">
        <v>123</v>
      </c>
      <c r="I113" s="76">
        <v>125.6</v>
      </c>
      <c r="J113" s="76">
        <v>125.6</v>
      </c>
      <c r="K113" s="76">
        <v>121.7</v>
      </c>
      <c r="L113" s="76">
        <v>123.2</v>
      </c>
      <c r="M113" s="76">
        <v>123.5</v>
      </c>
      <c r="N113" s="76">
        <v>123.6</v>
      </c>
      <c r="O113" s="76">
        <v>123.9</v>
      </c>
      <c r="P113" s="76">
        <v>123.9</v>
      </c>
      <c r="Q113" s="76">
        <v>125.7</v>
      </c>
      <c r="R113" s="76">
        <v>125.5</v>
      </c>
      <c r="S113" s="76">
        <v>122.8</v>
      </c>
      <c r="T113" s="76">
        <v>125.8</v>
      </c>
      <c r="U113" s="76">
        <v>125.3</v>
      </c>
      <c r="V113" s="76">
        <v>127.1</v>
      </c>
      <c r="W113" s="76">
        <v>127.2</v>
      </c>
      <c r="X113" s="76"/>
      <c r="Y113" s="76">
        <v>127</v>
      </c>
      <c r="Z113" s="76">
        <v>127.7</v>
      </c>
      <c r="AA113" s="76">
        <v>126.7</v>
      </c>
      <c r="AB113" s="76">
        <v>126.5</v>
      </c>
      <c r="AC113" s="76">
        <v>126.6</v>
      </c>
      <c r="AD113" s="76">
        <v>127.8</v>
      </c>
      <c r="AE113" s="76">
        <v>127.5</v>
      </c>
      <c r="AF113" s="76">
        <v>127.2</v>
      </c>
      <c r="AG113" s="117"/>
      <c r="AH113" s="48">
        <f t="shared" si="35"/>
        <v>127.8</v>
      </c>
      <c r="AI113" s="49">
        <f t="shared" si="36"/>
        <v>121.7</v>
      </c>
    </row>
    <row r="114" spans="1:35" x14ac:dyDescent="0.25">
      <c r="A114" s="116" t="s">
        <v>134</v>
      </c>
      <c r="B114" s="76">
        <v>127.9</v>
      </c>
      <c r="C114" s="76">
        <v>127.7</v>
      </c>
      <c r="D114" s="76">
        <v>128.19999999999999</v>
      </c>
      <c r="E114" s="76">
        <v>129.6</v>
      </c>
      <c r="F114" s="76">
        <v>129.19999999999999</v>
      </c>
      <c r="G114" s="76">
        <v>129.19999999999999</v>
      </c>
      <c r="H114" s="76">
        <v>127.3</v>
      </c>
      <c r="I114" s="76">
        <v>128.6</v>
      </c>
      <c r="J114" s="76">
        <v>128.6</v>
      </c>
      <c r="K114" s="76">
        <v>125</v>
      </c>
      <c r="L114" s="76">
        <v>126.2</v>
      </c>
      <c r="M114" s="76">
        <v>126.4</v>
      </c>
      <c r="N114" s="76">
        <v>126.1</v>
      </c>
      <c r="O114" s="76">
        <v>126</v>
      </c>
      <c r="P114" s="76">
        <v>126</v>
      </c>
      <c r="Q114" s="76">
        <v>128</v>
      </c>
      <c r="R114" s="76">
        <v>127.8</v>
      </c>
      <c r="S114" s="76">
        <v>126.1</v>
      </c>
      <c r="T114" s="76">
        <v>128.6</v>
      </c>
      <c r="U114" s="76">
        <v>128</v>
      </c>
      <c r="V114" s="76">
        <v>129.1</v>
      </c>
      <c r="W114" s="76">
        <v>129.4</v>
      </c>
      <c r="X114" s="76"/>
      <c r="Y114" s="76">
        <v>129.5</v>
      </c>
      <c r="Z114" s="76">
        <v>129.80000000000001</v>
      </c>
      <c r="AA114" s="76">
        <v>128.69999999999999</v>
      </c>
      <c r="AB114" s="76">
        <v>128.9</v>
      </c>
      <c r="AC114" s="76">
        <v>129.19999999999999</v>
      </c>
      <c r="AD114" s="76">
        <v>130.5</v>
      </c>
      <c r="AE114" s="76">
        <v>130.5</v>
      </c>
      <c r="AF114" s="76">
        <v>131.4</v>
      </c>
      <c r="AG114" s="117"/>
      <c r="AH114" s="48">
        <f t="shared" si="35"/>
        <v>131.4</v>
      </c>
      <c r="AI114" s="49">
        <f t="shared" si="36"/>
        <v>125</v>
      </c>
    </row>
    <row r="115" spans="1:35" x14ac:dyDescent="0.25">
      <c r="A115" s="116" t="s">
        <v>135</v>
      </c>
      <c r="B115" s="76">
        <v>131.19999999999999</v>
      </c>
      <c r="C115" s="76">
        <v>131.19999999999999</v>
      </c>
      <c r="D115" s="76">
        <v>132.80000000000001</v>
      </c>
      <c r="E115" s="76">
        <v>132.1</v>
      </c>
      <c r="F115" s="76">
        <v>133</v>
      </c>
      <c r="G115" s="76">
        <v>129.4</v>
      </c>
      <c r="H115" s="76">
        <v>128.4</v>
      </c>
      <c r="I115" s="76">
        <v>128.80000000000001</v>
      </c>
      <c r="J115" s="76">
        <v>128.80000000000001</v>
      </c>
      <c r="K115" s="76">
        <v>127.2</v>
      </c>
      <c r="L115" s="76">
        <v>127.4</v>
      </c>
      <c r="M115" s="76">
        <v>129.69999999999999</v>
      </c>
      <c r="N115" s="76">
        <v>129.1</v>
      </c>
      <c r="O115" s="76">
        <v>126.3</v>
      </c>
      <c r="P115" s="76">
        <v>126.3</v>
      </c>
      <c r="Q115" s="76">
        <v>129.80000000000001</v>
      </c>
      <c r="R115" s="76">
        <v>126.8</v>
      </c>
      <c r="S115" s="76">
        <v>124.2</v>
      </c>
      <c r="T115" s="76">
        <v>128.19999999999999</v>
      </c>
      <c r="U115" s="76">
        <v>128.4</v>
      </c>
      <c r="V115" s="76">
        <v>130.4</v>
      </c>
      <c r="W115" s="76">
        <v>128.30000000000001</v>
      </c>
      <c r="X115" s="76"/>
      <c r="Y115" s="76">
        <v>130.1</v>
      </c>
      <c r="Z115" s="76">
        <v>129</v>
      </c>
      <c r="AA115" s="76">
        <v>131.19999999999999</v>
      </c>
      <c r="AB115" s="76">
        <v>129.4</v>
      </c>
      <c r="AC115" s="76">
        <v>130.19999999999999</v>
      </c>
      <c r="AD115" s="76">
        <v>129.9</v>
      </c>
      <c r="AE115" s="76">
        <v>129.9</v>
      </c>
      <c r="AF115" s="76">
        <v>131</v>
      </c>
      <c r="AG115" s="117"/>
      <c r="AH115" s="48">
        <f t="shared" si="35"/>
        <v>133</v>
      </c>
      <c r="AI115" s="49">
        <f t="shared" si="36"/>
        <v>124.2</v>
      </c>
    </row>
    <row r="116" spans="1:35" x14ac:dyDescent="0.25">
      <c r="A116" s="118" t="s">
        <v>136</v>
      </c>
      <c r="B116" s="76">
        <v>132.30000000000001</v>
      </c>
      <c r="C116" s="76">
        <v>132.9</v>
      </c>
      <c r="D116" s="76">
        <v>133.5</v>
      </c>
      <c r="E116" s="76">
        <v>133.6</v>
      </c>
      <c r="F116" s="76">
        <v>134.5</v>
      </c>
      <c r="G116" s="76">
        <v>131.4</v>
      </c>
      <c r="H116" s="76">
        <v>130.4</v>
      </c>
      <c r="I116" s="76">
        <v>132.80000000000001</v>
      </c>
      <c r="J116" s="76">
        <v>132.80000000000001</v>
      </c>
      <c r="K116" s="76">
        <v>128.9</v>
      </c>
      <c r="L116" s="76">
        <v>129</v>
      </c>
      <c r="M116" s="76">
        <v>131.5</v>
      </c>
      <c r="N116" s="76">
        <v>131.5</v>
      </c>
      <c r="O116" s="76">
        <v>128.1</v>
      </c>
      <c r="P116" s="76">
        <v>129.19999999999999</v>
      </c>
      <c r="Q116" s="76">
        <v>131.9</v>
      </c>
      <c r="R116" s="76">
        <v>128.69999999999999</v>
      </c>
      <c r="S116" s="76">
        <v>125.6</v>
      </c>
      <c r="T116" s="76">
        <v>129.19999999999999</v>
      </c>
      <c r="U116" s="76">
        <v>129.1</v>
      </c>
      <c r="V116" s="76">
        <v>131.1</v>
      </c>
      <c r="W116" s="76">
        <v>129.1</v>
      </c>
      <c r="X116" s="76"/>
      <c r="Y116" s="76">
        <v>130.69999999999999</v>
      </c>
      <c r="Z116" s="76">
        <v>130.4</v>
      </c>
      <c r="AA116" s="76">
        <v>131.30000000000001</v>
      </c>
      <c r="AB116" s="76">
        <v>131.4</v>
      </c>
      <c r="AC116" s="76">
        <v>131.9</v>
      </c>
      <c r="AD116" s="76">
        <v>131</v>
      </c>
      <c r="AE116" s="76">
        <v>134</v>
      </c>
      <c r="AF116" s="76">
        <v>134</v>
      </c>
      <c r="AG116" s="117"/>
      <c r="AH116" s="48">
        <f t="shared" si="35"/>
        <v>134.5</v>
      </c>
      <c r="AI116" s="49">
        <f t="shared" si="36"/>
        <v>125.6</v>
      </c>
    </row>
    <row r="117" spans="1:35" x14ac:dyDescent="0.25">
      <c r="A117" s="118" t="s">
        <v>137</v>
      </c>
      <c r="B117" s="119">
        <v>129.6</v>
      </c>
      <c r="C117" s="119">
        <v>134.6</v>
      </c>
      <c r="D117" s="119">
        <v>133.6</v>
      </c>
      <c r="E117" s="119">
        <v>134</v>
      </c>
      <c r="F117" s="119">
        <v>134.36000000000001</v>
      </c>
      <c r="G117" s="119">
        <v>134.80000000000001</v>
      </c>
      <c r="H117" s="119">
        <v>134</v>
      </c>
      <c r="I117" s="119">
        <v>134.80000000000001</v>
      </c>
      <c r="J117" s="119">
        <v>134.80000000000001</v>
      </c>
      <c r="K117" s="119">
        <v>130.9</v>
      </c>
      <c r="L117" s="119">
        <v>135.30000000000001</v>
      </c>
      <c r="M117" s="119">
        <v>135.5</v>
      </c>
      <c r="N117" s="119">
        <v>132</v>
      </c>
      <c r="O117" s="119">
        <v>131.5</v>
      </c>
      <c r="P117" s="119">
        <v>132</v>
      </c>
      <c r="Q117" s="119">
        <v>134.69999999999999</v>
      </c>
      <c r="R117" s="119">
        <v>131.6</v>
      </c>
      <c r="S117" s="119">
        <v>131.1</v>
      </c>
      <c r="T117" s="119">
        <v>130.9</v>
      </c>
      <c r="U117" s="119">
        <v>131.4</v>
      </c>
      <c r="V117" s="119">
        <v>132.19999999999999</v>
      </c>
      <c r="W117" s="119"/>
      <c r="X117" s="119"/>
      <c r="Y117" s="119">
        <v>133</v>
      </c>
      <c r="Z117" s="119">
        <v>134.5</v>
      </c>
      <c r="AA117" s="119">
        <v>133.5</v>
      </c>
      <c r="AB117" s="119">
        <v>130.1</v>
      </c>
      <c r="AC117" s="119">
        <v>130</v>
      </c>
      <c r="AD117" s="119">
        <v>132.4</v>
      </c>
      <c r="AE117" s="119">
        <v>134</v>
      </c>
      <c r="AF117" s="119">
        <v>134</v>
      </c>
      <c r="AG117" s="120"/>
      <c r="AH117" s="48">
        <f t="shared" si="35"/>
        <v>135.5</v>
      </c>
      <c r="AI117" s="49">
        <f t="shared" si="36"/>
        <v>129.6</v>
      </c>
    </row>
    <row r="118" spans="1:35" x14ac:dyDescent="0.25">
      <c r="A118" s="116" t="s">
        <v>138</v>
      </c>
      <c r="B118" s="76">
        <v>118.6</v>
      </c>
      <c r="C118" s="76">
        <v>126</v>
      </c>
      <c r="D118" s="76">
        <v>126.3</v>
      </c>
      <c r="E118" s="76">
        <v>122.9</v>
      </c>
      <c r="F118" s="76">
        <v>125.8</v>
      </c>
      <c r="G118" s="76">
        <v>126.6</v>
      </c>
      <c r="H118" s="76">
        <v>127.1</v>
      </c>
      <c r="I118" s="76">
        <v>127.5</v>
      </c>
      <c r="J118" s="76">
        <v>127.5</v>
      </c>
      <c r="K118" s="76">
        <v>127.7</v>
      </c>
      <c r="L118" s="76">
        <v>126.4</v>
      </c>
      <c r="M118" s="76">
        <v>125.8</v>
      </c>
      <c r="N118" s="76">
        <v>129</v>
      </c>
      <c r="O118" s="76">
        <v>130.9</v>
      </c>
      <c r="P118" s="76">
        <v>130.9</v>
      </c>
      <c r="Q118" s="76">
        <v>131.69999999999999</v>
      </c>
      <c r="R118" s="76">
        <v>126.1</v>
      </c>
      <c r="S118" s="76">
        <v>127.1</v>
      </c>
      <c r="T118" s="76">
        <v>136.5</v>
      </c>
      <c r="U118" s="76">
        <v>126.5</v>
      </c>
      <c r="V118" s="76">
        <v>130.69999999999999</v>
      </c>
      <c r="W118" s="76">
        <v>134.6</v>
      </c>
      <c r="X118" s="76"/>
      <c r="Y118" s="76">
        <v>131.5</v>
      </c>
      <c r="Z118" s="76">
        <v>131.69999999999999</v>
      </c>
      <c r="AA118" s="76">
        <v>129.5</v>
      </c>
      <c r="AB118" s="76">
        <v>124.8</v>
      </c>
      <c r="AC118" s="76">
        <v>123.4</v>
      </c>
      <c r="AD118" s="76">
        <v>127</v>
      </c>
      <c r="AE118" s="76">
        <v>127</v>
      </c>
      <c r="AF118" s="76">
        <v>127</v>
      </c>
      <c r="AG118" s="117"/>
      <c r="AH118" s="48">
        <f t="shared" si="35"/>
        <v>136.5</v>
      </c>
      <c r="AI118" s="49">
        <f t="shared" si="36"/>
        <v>118.6</v>
      </c>
    </row>
    <row r="119" spans="1:35" ht="15.75" thickBot="1" x14ac:dyDescent="0.3">
      <c r="A119" s="116" t="s">
        <v>139</v>
      </c>
      <c r="B119" s="105">
        <v>64.7</v>
      </c>
      <c r="C119" s="105">
        <v>64.5</v>
      </c>
      <c r="D119" s="105">
        <v>65.2</v>
      </c>
      <c r="E119" s="105">
        <v>65.599999999999994</v>
      </c>
      <c r="F119" s="105">
        <v>65.7</v>
      </c>
      <c r="G119" s="105">
        <v>65.2</v>
      </c>
      <c r="H119" s="105">
        <v>64.400000000000006</v>
      </c>
      <c r="I119" s="105">
        <v>65.2</v>
      </c>
      <c r="J119" s="105">
        <v>65.2</v>
      </c>
      <c r="K119" s="105">
        <v>62.8</v>
      </c>
      <c r="L119" s="105">
        <v>63.5</v>
      </c>
      <c r="M119" s="105">
        <v>63.5</v>
      </c>
      <c r="N119" s="105">
        <v>63.2</v>
      </c>
      <c r="O119" s="105">
        <v>62.8</v>
      </c>
      <c r="P119" s="105">
        <v>63</v>
      </c>
      <c r="Q119" s="105">
        <v>64</v>
      </c>
      <c r="R119" s="105">
        <v>64.099999999999994</v>
      </c>
      <c r="S119" s="105">
        <v>63.2</v>
      </c>
      <c r="T119" s="105">
        <v>64.599999999999994</v>
      </c>
      <c r="U119" s="105">
        <v>64.400000000000006</v>
      </c>
      <c r="V119" s="105">
        <v>65</v>
      </c>
      <c r="W119" s="105">
        <v>65.3</v>
      </c>
      <c r="X119" s="105"/>
      <c r="Y119" s="105">
        <v>65.3</v>
      </c>
      <c r="Z119" s="105">
        <v>65.3</v>
      </c>
      <c r="AA119" s="105">
        <v>64.8</v>
      </c>
      <c r="AB119" s="105">
        <v>64.900000000000006</v>
      </c>
      <c r="AC119" s="105">
        <v>65.3</v>
      </c>
      <c r="AD119" s="105">
        <v>65.400000000000006</v>
      </c>
      <c r="AE119" s="105">
        <v>66.3</v>
      </c>
      <c r="AF119" s="105">
        <v>66.3</v>
      </c>
      <c r="AG119" s="121"/>
      <c r="AH119" s="48">
        <f t="shared" si="35"/>
        <v>66.3</v>
      </c>
      <c r="AI119" s="49">
        <f t="shared" si="36"/>
        <v>62.8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 t="shared" ref="B121:O121" si="55">SUM(B25,B31,B34:B35,B69,B71:B72,B74,B76,B122:B126,B158,B164,B170,B179,B181,B193,B200,B203:B204,B211,B213,B215,B219:B221,B223:B225,B230,B236:B237,B239:B241,B249,B254)</f>
        <v>133.13999999999999</v>
      </c>
      <c r="C121" s="124">
        <f t="shared" si="55"/>
        <v>134.84</v>
      </c>
      <c r="D121" s="124">
        <f t="shared" si="55"/>
        <v>125.04</v>
      </c>
      <c r="E121" s="124">
        <f t="shared" si="55"/>
        <v>143.14000000000001</v>
      </c>
      <c r="F121" s="124">
        <f t="shared" si="55"/>
        <v>142.94000000000005</v>
      </c>
      <c r="G121" s="124">
        <f t="shared" si="55"/>
        <v>162.83999999999997</v>
      </c>
      <c r="H121" s="124">
        <f t="shared" si="55"/>
        <v>206.24</v>
      </c>
      <c r="I121" s="124">
        <f t="shared" si="55"/>
        <v>201.54000000000002</v>
      </c>
      <c r="J121" s="124">
        <f t="shared" si="55"/>
        <v>201.54000000000002</v>
      </c>
      <c r="K121" s="124">
        <f t="shared" si="55"/>
        <v>239.33999999999997</v>
      </c>
      <c r="L121" s="124">
        <f t="shared" si="55"/>
        <v>124.44000000000001</v>
      </c>
      <c r="M121" s="124">
        <f t="shared" si="55"/>
        <v>226.64</v>
      </c>
      <c r="N121" s="124">
        <f t="shared" si="55"/>
        <v>224.34</v>
      </c>
      <c r="O121" s="124">
        <f t="shared" si="55"/>
        <v>241.14</v>
      </c>
      <c r="P121" s="124">
        <v>42</v>
      </c>
      <c r="Q121" s="124">
        <f t="shared" ref="Q121:X121" si="56">SUM(Q25,Q31,Q34:Q35,Q69,Q71:Q72,Q74,Q76,Q122:Q126,Q158,Q164,Q170,Q179,Q181,Q193,Q200,Q203:Q204,Q211,Q213,Q215,Q219:Q221,Q223:Q225,Q230,Q236:Q237,Q239:Q241,Q249,Q254)</f>
        <v>214.73999999999998</v>
      </c>
      <c r="R121" s="124">
        <f t="shared" si="56"/>
        <v>201.84</v>
      </c>
      <c r="S121" s="124">
        <f t="shared" si="56"/>
        <v>181.24</v>
      </c>
      <c r="T121" s="124">
        <f t="shared" si="56"/>
        <v>199.84</v>
      </c>
      <c r="U121" s="124">
        <f t="shared" si="56"/>
        <v>227.34000000000003</v>
      </c>
      <c r="V121" s="124">
        <f t="shared" si="56"/>
        <v>237.54</v>
      </c>
      <c r="W121" s="124">
        <f t="shared" si="56"/>
        <v>217.24</v>
      </c>
      <c r="X121" s="124">
        <f t="shared" si="56"/>
        <v>121.53999999999999</v>
      </c>
      <c r="Y121" s="124">
        <f>SUM(Y23,Y29,Y40:Y41,Y69,Y71:Y72,Y74,Y76,Y122:Y126,Y151,Y157,Y163,Y172,Y174,Y186,Y193,Y196:Y197,Y204,Y206,Y208,Y212:Y214,Y216:Y218,Y223,Y229:Y230,Y232:Y234,Y242,Y247)</f>
        <v>249.3</v>
      </c>
      <c r="Z121" s="124">
        <f>SUM(Z23,Z29,Z40:Z41,Z69,Z71:Z72,Z74,Z76,Z122:Z126,Z151,Z157,Z163,Z172,Z174,Z186,Z193,Z196:Z197,Z204,Z206,Z208,Z212:Z214,Z216:Z218,Z223,Z229:Z230,Z232:Z234,Z242,Z247)</f>
        <v>260</v>
      </c>
      <c r="AA121" s="124">
        <f t="shared" ref="AA121:AF121" si="57">SUM(AA25,AA31,AA34:AA35,AA69,AA71:AA72,AA74,AA76,AA122:AA126,AA158,AA164,AA170,AA179,AA181,AA193,AA200,AA203:AA204,AA211,AA213,AA215,AA219:AA221,AA223:AA225,AA230,AA236:AA237,AA239:AA241,AA249,AA254)</f>
        <v>254.64</v>
      </c>
      <c r="AB121" s="124">
        <f t="shared" si="57"/>
        <v>230.73999999999998</v>
      </c>
      <c r="AC121" s="124">
        <f t="shared" si="57"/>
        <v>213.24</v>
      </c>
      <c r="AD121" s="124">
        <f t="shared" si="57"/>
        <v>200.94</v>
      </c>
      <c r="AE121" s="124">
        <f t="shared" si="57"/>
        <v>127.24</v>
      </c>
      <c r="AF121" s="124">
        <f t="shared" si="57"/>
        <v>127.94000000000001</v>
      </c>
      <c r="AG121" s="125"/>
      <c r="AH121" s="48">
        <f t="shared" si="35"/>
        <v>260</v>
      </c>
      <c r="AI121" s="49">
        <f t="shared" si="36"/>
        <v>42</v>
      </c>
    </row>
    <row r="122" spans="1:35" x14ac:dyDescent="0.25">
      <c r="A122" s="126" t="s">
        <v>142</v>
      </c>
      <c r="B122" s="127">
        <v>86.7</v>
      </c>
      <c r="C122" s="127">
        <v>94.9</v>
      </c>
      <c r="D122" s="127">
        <v>92.3</v>
      </c>
      <c r="E122" s="127">
        <v>90.5</v>
      </c>
      <c r="F122" s="127">
        <v>89.2</v>
      </c>
      <c r="G122" s="127">
        <v>95.2</v>
      </c>
      <c r="H122" s="127">
        <v>99.9</v>
      </c>
      <c r="I122" s="127">
        <v>88.6</v>
      </c>
      <c r="J122" s="127">
        <v>88.6</v>
      </c>
      <c r="K122" s="127">
        <v>104.9</v>
      </c>
      <c r="L122" s="127"/>
      <c r="M122" s="127">
        <v>86.2</v>
      </c>
      <c r="N122" s="127">
        <v>79.599999999999994</v>
      </c>
      <c r="O122" s="127">
        <v>78.900000000000006</v>
      </c>
      <c r="P122" s="127">
        <v>78.900000000000006</v>
      </c>
      <c r="Q122" s="127">
        <v>45.4</v>
      </c>
      <c r="R122" s="127">
        <v>48</v>
      </c>
      <c r="S122" s="127">
        <v>37.5</v>
      </c>
      <c r="T122" s="127">
        <v>30.9</v>
      </c>
      <c r="U122" s="127">
        <v>54.4</v>
      </c>
      <c r="V122" s="127">
        <v>52.4</v>
      </c>
      <c r="W122" s="127">
        <v>52.4</v>
      </c>
      <c r="X122" s="127"/>
      <c r="Y122" s="127">
        <v>40.9</v>
      </c>
      <c r="Z122" s="127">
        <v>37.1</v>
      </c>
      <c r="AA122" s="127">
        <v>43</v>
      </c>
      <c r="AB122" s="127">
        <v>32.700000000000003</v>
      </c>
      <c r="AC122" s="127">
        <v>27</v>
      </c>
      <c r="AD122" s="127">
        <v>29.6</v>
      </c>
      <c r="AE122" s="127">
        <v>43.6</v>
      </c>
      <c r="AF122" s="127">
        <v>43.9</v>
      </c>
      <c r="AG122" s="128">
        <v>75</v>
      </c>
      <c r="AH122" s="48">
        <f t="shared" si="35"/>
        <v>104.9</v>
      </c>
      <c r="AI122" s="49">
        <f t="shared" si="36"/>
        <v>27</v>
      </c>
    </row>
    <row r="123" spans="1:35" x14ac:dyDescent="0.25">
      <c r="A123" s="129" t="s">
        <v>143</v>
      </c>
      <c r="B123" s="130">
        <v>120.4</v>
      </c>
      <c r="C123" s="130">
        <v>130.30000000000001</v>
      </c>
      <c r="D123" s="130">
        <v>126.3</v>
      </c>
      <c r="E123" s="130">
        <v>126.7</v>
      </c>
      <c r="F123" s="130">
        <v>122.9</v>
      </c>
      <c r="G123" s="130">
        <v>132.6</v>
      </c>
      <c r="H123" s="130">
        <v>135.30000000000001</v>
      </c>
      <c r="I123" s="130">
        <v>131.19999999999999</v>
      </c>
      <c r="J123" s="130">
        <v>131.19999999999999</v>
      </c>
      <c r="K123" s="130">
        <v>136.6</v>
      </c>
      <c r="L123" s="130"/>
      <c r="M123" s="130">
        <v>115</v>
      </c>
      <c r="N123" s="130">
        <v>107.8</v>
      </c>
      <c r="O123" s="130">
        <v>104.1</v>
      </c>
      <c r="P123" s="130">
        <v>104.1</v>
      </c>
      <c r="Q123" s="130">
        <v>63.5</v>
      </c>
      <c r="R123" s="130">
        <v>66.599999999999994</v>
      </c>
      <c r="S123" s="130">
        <v>51.7</v>
      </c>
      <c r="T123" s="130">
        <v>51.6</v>
      </c>
      <c r="U123" s="130">
        <v>79.400000000000006</v>
      </c>
      <c r="V123" s="130">
        <v>76</v>
      </c>
      <c r="W123" s="130">
        <v>78.2</v>
      </c>
      <c r="X123" s="130"/>
      <c r="Y123" s="130">
        <v>61.5</v>
      </c>
      <c r="Z123" s="130">
        <v>55.7</v>
      </c>
      <c r="AA123" s="130">
        <v>62.5</v>
      </c>
      <c r="AB123" s="130">
        <v>50.2</v>
      </c>
      <c r="AC123" s="130">
        <v>42.8</v>
      </c>
      <c r="AD123" s="130">
        <v>48</v>
      </c>
      <c r="AE123" s="130">
        <v>64</v>
      </c>
      <c r="AF123" s="130">
        <v>64.400000000000006</v>
      </c>
      <c r="AG123" s="128">
        <v>240</v>
      </c>
      <c r="AH123" s="48">
        <f t="shared" si="35"/>
        <v>136.6</v>
      </c>
      <c r="AI123" s="49">
        <f t="shared" si="36"/>
        <v>42.8</v>
      </c>
    </row>
    <row r="124" spans="1:35" x14ac:dyDescent="0.25">
      <c r="A124" s="129" t="s">
        <v>144</v>
      </c>
      <c r="B124" s="130">
        <v>-175</v>
      </c>
      <c r="C124" s="130">
        <v>-189</v>
      </c>
      <c r="D124" s="130">
        <v>-194.3</v>
      </c>
      <c r="E124" s="130">
        <v>-178.6</v>
      </c>
      <c r="F124" s="130">
        <v>-175.5</v>
      </c>
      <c r="G124" s="130">
        <v>-166.7</v>
      </c>
      <c r="H124" s="130">
        <v>-168.6</v>
      </c>
      <c r="I124" s="130">
        <v>-129.5</v>
      </c>
      <c r="J124" s="130">
        <v>-129.5</v>
      </c>
      <c r="K124" s="130">
        <v>-121.3</v>
      </c>
      <c r="L124" s="130"/>
      <c r="M124" s="130">
        <f>-52-56.3</f>
        <v>-108.3</v>
      </c>
      <c r="N124" s="130">
        <f>-46-49.1</f>
        <v>-95.1</v>
      </c>
      <c r="O124" s="130">
        <f>-39.3-45.7</f>
        <v>-85</v>
      </c>
      <c r="P124" s="130">
        <f>-39.3-45.7</f>
        <v>-85</v>
      </c>
      <c r="Q124" s="130">
        <f>-15-22</f>
        <v>-37</v>
      </c>
      <c r="R124" s="130">
        <f>-22.4-28.6</f>
        <v>-51</v>
      </c>
      <c r="S124" s="130">
        <v>-38.4</v>
      </c>
      <c r="T124" s="130">
        <v>-29</v>
      </c>
      <c r="U124" s="130">
        <v>-40</v>
      </c>
      <c r="V124" s="130">
        <v>-38</v>
      </c>
      <c r="W124" s="130">
        <v>-42</v>
      </c>
      <c r="X124" s="130"/>
      <c r="Y124" s="130">
        <v>-32</v>
      </c>
      <c r="Z124" s="130">
        <v>-18</v>
      </c>
      <c r="AA124" s="130">
        <v>-9.6</v>
      </c>
      <c r="AB124" s="130">
        <f>-1.9-11.8</f>
        <v>-13.700000000000001</v>
      </c>
      <c r="AC124" s="130">
        <f>-3.3-12.8</f>
        <v>-16.100000000000001</v>
      </c>
      <c r="AD124" s="130">
        <f>-11-20.9</f>
        <v>-31.9</v>
      </c>
      <c r="AE124" s="130">
        <f>-50-60</f>
        <v>-110</v>
      </c>
      <c r="AF124" s="130">
        <f>-50-60</f>
        <v>-110</v>
      </c>
      <c r="AG124" s="128">
        <v>240</v>
      </c>
      <c r="AH124" s="48">
        <f t="shared" si="35"/>
        <v>-9.6</v>
      </c>
      <c r="AI124" s="49">
        <f t="shared" si="36"/>
        <v>-194.3</v>
      </c>
    </row>
    <row r="125" spans="1:35" ht="15.75" thickBot="1" x14ac:dyDescent="0.3">
      <c r="A125" s="129" t="s">
        <v>145</v>
      </c>
      <c r="B125" s="130">
        <v>-17.2</v>
      </c>
      <c r="C125" s="130">
        <v>-19.600000000000001</v>
      </c>
      <c r="D125" s="130">
        <v>-22.7</v>
      </c>
      <c r="E125" s="130">
        <v>-18</v>
      </c>
      <c r="F125" s="130">
        <v>-16.2</v>
      </c>
      <c r="G125" s="130">
        <v>-20.8</v>
      </c>
      <c r="H125" s="130">
        <v>17.100000000000001</v>
      </c>
      <c r="I125" s="130">
        <v>-13.2</v>
      </c>
      <c r="J125" s="130">
        <v>-13.2</v>
      </c>
      <c r="K125" s="130">
        <v>-5.3</v>
      </c>
      <c r="L125" s="130"/>
      <c r="M125" s="130">
        <v>-1.8</v>
      </c>
      <c r="N125" s="130">
        <v>-1</v>
      </c>
      <c r="O125" s="130">
        <v>7.2</v>
      </c>
      <c r="P125" s="130">
        <v>7.2</v>
      </c>
      <c r="Q125" s="130">
        <v>11.7</v>
      </c>
      <c r="R125" s="130">
        <v>12</v>
      </c>
      <c r="S125" s="130">
        <v>2.9</v>
      </c>
      <c r="T125" s="130">
        <v>22.4</v>
      </c>
      <c r="U125" s="130">
        <v>7.3</v>
      </c>
      <c r="V125" s="130">
        <v>21</v>
      </c>
      <c r="W125" s="130">
        <v>6.2</v>
      </c>
      <c r="X125" s="130"/>
      <c r="Y125" s="130">
        <v>29</v>
      </c>
      <c r="Z125" s="130">
        <v>35.299999999999997</v>
      </c>
      <c r="AA125" s="130">
        <v>37.799999999999997</v>
      </c>
      <c r="AB125" s="130">
        <v>40.6</v>
      </c>
      <c r="AC125" s="130">
        <v>38.6</v>
      </c>
      <c r="AD125" s="130">
        <v>34.299999999999997</v>
      </c>
      <c r="AE125" s="130">
        <v>8.6999999999999993</v>
      </c>
      <c r="AF125" s="130">
        <v>8.6999999999999993</v>
      </c>
      <c r="AG125" s="128">
        <v>60</v>
      </c>
      <c r="AH125" s="48">
        <f t="shared" si="35"/>
        <v>40.6</v>
      </c>
      <c r="AI125" s="49">
        <f t="shared" si="36"/>
        <v>-22.7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5"/>
        <v>0</v>
      </c>
      <c r="AI126" s="49">
        <f t="shared" si="36"/>
        <v>0</v>
      </c>
    </row>
    <row r="127" spans="1:35" x14ac:dyDescent="0.25">
      <c r="A127" s="129" t="s">
        <v>147</v>
      </c>
      <c r="B127" s="131">
        <v>26.5</v>
      </c>
      <c r="C127" s="131">
        <v>23.7</v>
      </c>
      <c r="D127" s="131">
        <v>21</v>
      </c>
      <c r="E127" s="131">
        <v>17.7</v>
      </c>
      <c r="F127" s="131">
        <v>17.100000000000001</v>
      </c>
      <c r="G127" s="131">
        <v>24.5</v>
      </c>
      <c r="H127" s="131">
        <v>28.9</v>
      </c>
      <c r="I127" s="131">
        <v>39.1</v>
      </c>
      <c r="J127" s="131">
        <v>39.1</v>
      </c>
      <c r="K127" s="131">
        <v>46.1</v>
      </c>
      <c r="L127" s="131"/>
      <c r="M127" s="131">
        <v>59</v>
      </c>
      <c r="N127" s="131">
        <v>61.6</v>
      </c>
      <c r="O127" s="131">
        <v>63.3</v>
      </c>
      <c r="P127" s="131">
        <v>63.3</v>
      </c>
      <c r="Q127" s="131">
        <v>73.900000000000006</v>
      </c>
      <c r="R127" s="131">
        <v>76.2</v>
      </c>
      <c r="S127" s="131">
        <v>86.1</v>
      </c>
      <c r="T127" s="131">
        <v>64.5</v>
      </c>
      <c r="U127" s="131">
        <v>67</v>
      </c>
      <c r="V127" s="131">
        <v>60</v>
      </c>
      <c r="W127" s="131">
        <v>63</v>
      </c>
      <c r="X127" s="131"/>
      <c r="Y127" s="131">
        <v>62</v>
      </c>
      <c r="Z127" s="131">
        <v>73.2</v>
      </c>
      <c r="AA127" s="131">
        <v>80</v>
      </c>
      <c r="AB127" s="131">
        <v>78.8</v>
      </c>
      <c r="AC127" s="131">
        <v>79.8</v>
      </c>
      <c r="AD127" s="131">
        <v>65.2</v>
      </c>
      <c r="AE127" s="131">
        <v>43</v>
      </c>
      <c r="AF127" s="131">
        <v>43</v>
      </c>
      <c r="AG127" s="132"/>
      <c r="AH127" s="48"/>
      <c r="AI127" s="49"/>
    </row>
    <row r="128" spans="1:35" x14ac:dyDescent="0.25">
      <c r="A128" s="129" t="s">
        <v>148</v>
      </c>
      <c r="B128" s="131">
        <v>-26</v>
      </c>
      <c r="C128" s="131">
        <v>-27.6</v>
      </c>
      <c r="D128" s="131">
        <v>-27.6</v>
      </c>
      <c r="E128" s="131">
        <v>32.1</v>
      </c>
      <c r="F128" s="131">
        <v>-31</v>
      </c>
      <c r="G128" s="131">
        <v>-42.8</v>
      </c>
      <c r="H128" s="131">
        <v>-43.2</v>
      </c>
      <c r="I128" s="131">
        <v>-47.5</v>
      </c>
      <c r="J128" s="131">
        <v>-47.5</v>
      </c>
      <c r="K128" s="131">
        <v>-68.5</v>
      </c>
      <c r="L128" s="131"/>
      <c r="M128" s="131">
        <v>-44.3</v>
      </c>
      <c r="N128" s="131">
        <v>-38.9</v>
      </c>
      <c r="O128" s="131">
        <v>-36.5</v>
      </c>
      <c r="P128" s="131">
        <v>-36.5</v>
      </c>
      <c r="Q128" s="131">
        <v>-26.1</v>
      </c>
      <c r="R128" s="131">
        <v>-19.600000000000001</v>
      </c>
      <c r="S128" s="131">
        <v>-7.1</v>
      </c>
      <c r="T128" s="131">
        <v>-46.2</v>
      </c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2"/>
      <c r="AH128" s="48"/>
      <c r="AI128" s="49"/>
    </row>
    <row r="129" spans="1:37" ht="15.75" thickBot="1" x14ac:dyDescent="0.3">
      <c r="A129" s="129" t="s">
        <v>149</v>
      </c>
      <c r="B129" s="131">
        <v>15.2</v>
      </c>
      <c r="C129" s="131">
        <v>13.7</v>
      </c>
      <c r="D129" s="131">
        <v>10</v>
      </c>
      <c r="E129" s="131">
        <v>2.5</v>
      </c>
      <c r="F129" s="131">
        <v>11.3</v>
      </c>
      <c r="G129" s="131">
        <v>8.9</v>
      </c>
      <c r="H129" s="131">
        <v>16.100000000000001</v>
      </c>
      <c r="I129" s="131">
        <v>16.600000000000001</v>
      </c>
      <c r="J129" s="131">
        <v>16.600000000000001</v>
      </c>
      <c r="K129" s="131">
        <v>37</v>
      </c>
      <c r="L129" s="131"/>
      <c r="M129" s="131">
        <v>53.9</v>
      </c>
      <c r="N129" s="131">
        <v>38.200000000000003</v>
      </c>
      <c r="O129" s="131">
        <v>37.200000000000003</v>
      </c>
      <c r="P129" s="131">
        <v>37.200000000000003</v>
      </c>
      <c r="Q129" s="131">
        <v>51.6</v>
      </c>
      <c r="R129" s="131">
        <v>47.9</v>
      </c>
      <c r="S129" s="131">
        <v>65.599999999999994</v>
      </c>
      <c r="T129" s="131">
        <v>43.3</v>
      </c>
      <c r="U129" s="131">
        <v>57</v>
      </c>
      <c r="V129" s="131">
        <v>78</v>
      </c>
      <c r="W129" s="131">
        <v>51.4</v>
      </c>
      <c r="X129" s="131"/>
      <c r="Y129" s="131">
        <v>34</v>
      </c>
      <c r="Z129" s="131">
        <v>43</v>
      </c>
      <c r="AA129" s="131">
        <v>50</v>
      </c>
      <c r="AB129" s="131">
        <v>52.4</v>
      </c>
      <c r="AC129" s="131">
        <v>57.2</v>
      </c>
      <c r="AD129" s="131"/>
      <c r="AE129" s="131">
        <v>29.4</v>
      </c>
      <c r="AF129" s="131">
        <v>29.4</v>
      </c>
      <c r="AG129" s="128"/>
      <c r="AH129" s="48">
        <f>MAX(B129:AF129)</f>
        <v>78</v>
      </c>
      <c r="AI129" s="49">
        <f>MIN(B129:AF129)</f>
        <v>2.5</v>
      </c>
    </row>
    <row r="130" spans="1:37" x14ac:dyDescent="0.25">
      <c r="A130" s="126" t="s">
        <v>150</v>
      </c>
      <c r="B130" s="131">
        <v>-194.2</v>
      </c>
      <c r="C130" s="131">
        <v>-215.4</v>
      </c>
      <c r="D130" s="131">
        <v>-200.7</v>
      </c>
      <c r="E130" s="131">
        <v>-213.9</v>
      </c>
      <c r="F130" s="131">
        <v>-105.8</v>
      </c>
      <c r="G130" s="131">
        <v>-184.8</v>
      </c>
      <c r="H130" s="131">
        <v>-185.4</v>
      </c>
      <c r="I130" s="131">
        <v>-211.5</v>
      </c>
      <c r="J130" s="131">
        <v>-211.5</v>
      </c>
      <c r="K130" s="131">
        <v>-156</v>
      </c>
      <c r="L130" s="131"/>
      <c r="M130" s="131">
        <v>-185</v>
      </c>
      <c r="N130" s="131">
        <v>-177.8</v>
      </c>
      <c r="O130" s="131">
        <v>-191</v>
      </c>
      <c r="P130" s="131">
        <v>-191</v>
      </c>
      <c r="Q130" s="131">
        <v>-137.9</v>
      </c>
      <c r="R130" s="131">
        <v>-223.3</v>
      </c>
      <c r="S130" s="131">
        <v>-90.4</v>
      </c>
      <c r="T130" s="131">
        <v>-61.3</v>
      </c>
      <c r="U130" s="131">
        <v>-35</v>
      </c>
      <c r="V130" s="131">
        <v>-21.3</v>
      </c>
      <c r="W130" s="131">
        <v>-22</v>
      </c>
      <c r="X130" s="131"/>
      <c r="Y130" s="131">
        <v>-175</v>
      </c>
      <c r="Z130" s="131">
        <v>-196</v>
      </c>
      <c r="AA130" s="131">
        <v>-196</v>
      </c>
      <c r="AB130" s="131">
        <v>-195</v>
      </c>
      <c r="AC130" s="131">
        <v>-195.5</v>
      </c>
      <c r="AD130" s="131">
        <v>-207</v>
      </c>
      <c r="AE130" s="131">
        <v>-195.9</v>
      </c>
      <c r="AF130" s="131">
        <v>-195.9</v>
      </c>
      <c r="AG130" s="128"/>
      <c r="AH130" s="48">
        <f>MAX(B130:AF130)</f>
        <v>-21.3</v>
      </c>
      <c r="AI130" s="49">
        <f>MIN(B130:AF130)</f>
        <v>-223.3</v>
      </c>
    </row>
    <row r="131" spans="1:37" x14ac:dyDescent="0.25">
      <c r="A131" s="129" t="s">
        <v>151</v>
      </c>
      <c r="B131" s="119">
        <v>55.7</v>
      </c>
      <c r="C131" s="119">
        <v>54.4</v>
      </c>
      <c r="D131" s="119">
        <v>48.4</v>
      </c>
      <c r="E131" s="119">
        <v>47.3</v>
      </c>
      <c r="F131" s="119">
        <v>54.5</v>
      </c>
      <c r="G131" s="119">
        <v>48.2</v>
      </c>
      <c r="H131" s="119">
        <v>38.200000000000003</v>
      </c>
      <c r="I131" s="119">
        <v>34.5</v>
      </c>
      <c r="J131" s="119">
        <v>34.5</v>
      </c>
      <c r="K131" s="119">
        <v>14.8</v>
      </c>
      <c r="L131" s="119"/>
      <c r="M131" s="119">
        <v>20.7</v>
      </c>
      <c r="N131" s="119">
        <v>26</v>
      </c>
      <c r="O131" s="119">
        <v>10.4</v>
      </c>
      <c r="P131" s="119">
        <v>10.4</v>
      </c>
      <c r="Q131" s="119">
        <v>9.4</v>
      </c>
      <c r="R131" s="119">
        <v>9.9</v>
      </c>
      <c r="S131" s="119">
        <v>5</v>
      </c>
      <c r="T131" s="119">
        <v>5.0999999999999996</v>
      </c>
      <c r="U131" s="119">
        <v>1</v>
      </c>
      <c r="V131" s="119">
        <v>-4.2</v>
      </c>
      <c r="W131" s="119">
        <v>-5.7</v>
      </c>
      <c r="X131" s="119"/>
      <c r="Y131" s="119">
        <v>-11</v>
      </c>
      <c r="Z131" s="119">
        <v>-15.4</v>
      </c>
      <c r="AA131" s="119">
        <v>-22</v>
      </c>
      <c r="AB131" s="119">
        <v>-18.3</v>
      </c>
      <c r="AC131" s="119">
        <v>-16.7</v>
      </c>
      <c r="AD131" s="119">
        <v>-19</v>
      </c>
      <c r="AE131" s="119">
        <v>19.3</v>
      </c>
      <c r="AF131" s="119">
        <v>19.3</v>
      </c>
      <c r="AG131" s="128"/>
      <c r="AH131" s="48">
        <f>MAX(B131:AF131)</f>
        <v>55.7</v>
      </c>
      <c r="AI131" s="49">
        <f>MIN(B131:AF131)</f>
        <v>-22</v>
      </c>
    </row>
    <row r="132" spans="1:37" x14ac:dyDescent="0.25">
      <c r="A132" s="129" t="s">
        <v>152</v>
      </c>
      <c r="B132" s="119">
        <v>17.3</v>
      </c>
      <c r="C132" s="119">
        <v>14.3</v>
      </c>
      <c r="D132" s="119">
        <v>10.8</v>
      </c>
      <c r="E132" s="119">
        <v>12.5</v>
      </c>
      <c r="F132" s="119">
        <v>6.8</v>
      </c>
      <c r="G132" s="119">
        <v>12.8</v>
      </c>
      <c r="H132" s="119">
        <v>15.6</v>
      </c>
      <c r="I132" s="119">
        <v>25.2</v>
      </c>
      <c r="J132" s="119">
        <v>25.2</v>
      </c>
      <c r="K132" s="119">
        <v>48.3</v>
      </c>
      <c r="L132" s="119"/>
      <c r="M132" s="119">
        <v>58.1</v>
      </c>
      <c r="N132" s="119">
        <v>53.5</v>
      </c>
      <c r="O132" s="119">
        <v>69.3</v>
      </c>
      <c r="P132" s="119">
        <v>69.3</v>
      </c>
      <c r="Q132" s="119">
        <v>71.7</v>
      </c>
      <c r="R132" s="119">
        <v>79.7</v>
      </c>
      <c r="S132" s="119">
        <v>87</v>
      </c>
      <c r="T132" s="119">
        <v>88</v>
      </c>
      <c r="U132" s="119">
        <v>81</v>
      </c>
      <c r="V132" s="119">
        <v>74</v>
      </c>
      <c r="W132" s="119">
        <v>74</v>
      </c>
      <c r="X132" s="119"/>
      <c r="Y132" s="119">
        <v>54</v>
      </c>
      <c r="Z132" s="119">
        <v>69</v>
      </c>
      <c r="AA132" s="119">
        <v>69</v>
      </c>
      <c r="AB132" s="119">
        <v>66.7</v>
      </c>
      <c r="AC132" s="119">
        <v>66.3</v>
      </c>
      <c r="AD132" s="119">
        <v>69.599999999999994</v>
      </c>
      <c r="AE132" s="119">
        <v>64</v>
      </c>
      <c r="AF132" s="119">
        <v>64</v>
      </c>
      <c r="AG132" s="128"/>
      <c r="AH132" s="48">
        <f>MAX(B132:AF132)</f>
        <v>88</v>
      </c>
      <c r="AI132" s="49">
        <f>MIN(B132:AF132)</f>
        <v>6.8</v>
      </c>
    </row>
    <row r="133" spans="1:37" ht="15.75" thickBot="1" x14ac:dyDescent="0.3">
      <c r="A133" s="129" t="s">
        <v>153</v>
      </c>
      <c r="B133" s="119">
        <v>32.5</v>
      </c>
      <c r="C133" s="119">
        <v>24.6</v>
      </c>
      <c r="D133" s="119">
        <v>20.9</v>
      </c>
      <c r="E133" s="119">
        <v>22.7</v>
      </c>
      <c r="F133" s="119">
        <v>18.600000000000001</v>
      </c>
      <c r="G133" s="119">
        <v>21.5</v>
      </c>
      <c r="H133" s="119">
        <v>23.8</v>
      </c>
      <c r="I133" s="119">
        <v>33.9</v>
      </c>
      <c r="J133" s="119">
        <v>33.9</v>
      </c>
      <c r="K133" s="119">
        <v>57.8</v>
      </c>
      <c r="L133" s="119"/>
      <c r="M133" s="119">
        <v>70.5</v>
      </c>
      <c r="N133" s="119">
        <v>64.400000000000006</v>
      </c>
      <c r="O133" s="119">
        <v>75.900000000000006</v>
      </c>
      <c r="P133" s="119">
        <v>75.900000000000006</v>
      </c>
      <c r="Q133" s="119">
        <v>85.4</v>
      </c>
      <c r="R133" s="119">
        <v>93.1</v>
      </c>
      <c r="S133" s="119">
        <v>95.2</v>
      </c>
      <c r="T133" s="119">
        <v>98</v>
      </c>
      <c r="U133" s="119">
        <v>92.3</v>
      </c>
      <c r="V133" s="119">
        <v>86</v>
      </c>
      <c r="W133" s="119">
        <v>81.5</v>
      </c>
      <c r="X133" s="119"/>
      <c r="Y133" s="119">
        <v>67.2</v>
      </c>
      <c r="Z133" s="119">
        <v>81</v>
      </c>
      <c r="AA133" s="119">
        <v>92</v>
      </c>
      <c r="AB133" s="119">
        <v>76.400000000000006</v>
      </c>
      <c r="AC133" s="119">
        <v>76.099999999999994</v>
      </c>
      <c r="AD133" s="119">
        <v>78.8</v>
      </c>
      <c r="AE133" s="119">
        <v>68.3</v>
      </c>
      <c r="AF133" s="119">
        <v>68.3</v>
      </c>
      <c r="AG133" s="128"/>
      <c r="AH133" s="48">
        <f>MAX(B133:AF133)</f>
        <v>98</v>
      </c>
      <c r="AI133" s="49">
        <f>MIN(B133:AF133)</f>
        <v>18.600000000000001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1985.32</v>
      </c>
      <c r="C135" s="137">
        <v>1985.4</v>
      </c>
      <c r="D135" s="137">
        <v>1985.38</v>
      </c>
      <c r="E135" s="137">
        <v>1985.28</v>
      </c>
      <c r="F135" s="137">
        <v>1985.28</v>
      </c>
      <c r="G135" s="137">
        <v>1985.38</v>
      </c>
      <c r="H135" s="137"/>
      <c r="I135" s="137">
        <v>1985.32</v>
      </c>
      <c r="J135" s="137"/>
      <c r="K135" s="137">
        <v>1985.48</v>
      </c>
      <c r="L135" s="137"/>
      <c r="M135" s="137"/>
      <c r="N135" s="137"/>
      <c r="O135" s="137">
        <v>1984.45</v>
      </c>
      <c r="P135" s="137"/>
      <c r="Q135" s="137">
        <v>1983.78</v>
      </c>
      <c r="R135" s="137">
        <v>1983.6</v>
      </c>
      <c r="S135" s="137">
        <v>1983.02</v>
      </c>
      <c r="T135" s="137">
        <v>1983.44</v>
      </c>
      <c r="U135" s="137">
        <v>1984.02</v>
      </c>
      <c r="V135" s="137">
        <v>1984.62</v>
      </c>
      <c r="W135" s="137">
        <v>1984.99</v>
      </c>
      <c r="X135" s="137">
        <v>1985.3</v>
      </c>
      <c r="Y135" s="137">
        <v>1985.5</v>
      </c>
      <c r="Z135" s="137">
        <v>1985.4</v>
      </c>
      <c r="AA135" s="137"/>
      <c r="AB135" s="137">
        <v>1985</v>
      </c>
      <c r="AC135" s="137"/>
      <c r="AD135" s="137"/>
      <c r="AE135" s="137">
        <v>1984.17</v>
      </c>
      <c r="AF135" s="138">
        <v>1983.7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883.6</v>
      </c>
      <c r="C139" s="140">
        <v>884.4</v>
      </c>
      <c r="D139" s="140">
        <v>885.3</v>
      </c>
      <c r="E139" s="140">
        <v>886.2</v>
      </c>
      <c r="F139" s="140">
        <v>887</v>
      </c>
      <c r="G139" s="140">
        <v>887.6</v>
      </c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883.4</v>
      </c>
      <c r="T139" s="140"/>
      <c r="U139" s="140"/>
      <c r="V139" s="140"/>
      <c r="W139" s="140"/>
      <c r="X139" s="140">
        <v>884.2</v>
      </c>
      <c r="Y139" s="140"/>
      <c r="Z139" s="140"/>
      <c r="AA139" s="140"/>
      <c r="AB139" s="140">
        <v>883.1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>
        <v>1489.65</v>
      </c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8">SUM(B142:B246)</f>
        <v>0</v>
      </c>
      <c r="C247" s="161">
        <f t="shared" si="58"/>
        <v>0</v>
      </c>
      <c r="D247" s="161">
        <f t="shared" si="58"/>
        <v>0</v>
      </c>
      <c r="E247" s="161">
        <f t="shared" si="58"/>
        <v>0</v>
      </c>
      <c r="F247" s="161">
        <f t="shared" si="58"/>
        <v>0</v>
      </c>
      <c r="G247" s="161">
        <f t="shared" si="58"/>
        <v>0</v>
      </c>
      <c r="H247" s="161">
        <f t="shared" si="58"/>
        <v>0</v>
      </c>
      <c r="I247" s="161">
        <f t="shared" si="58"/>
        <v>0</v>
      </c>
      <c r="J247" s="161">
        <f t="shared" si="58"/>
        <v>0</v>
      </c>
      <c r="K247" s="161">
        <f t="shared" si="58"/>
        <v>0</v>
      </c>
      <c r="L247" s="161">
        <f t="shared" si="58"/>
        <v>0</v>
      </c>
      <c r="M247" s="161">
        <f t="shared" si="58"/>
        <v>0</v>
      </c>
      <c r="N247" s="161">
        <f t="shared" si="58"/>
        <v>0</v>
      </c>
      <c r="O247" s="161">
        <f t="shared" si="58"/>
        <v>0</v>
      </c>
      <c r="P247" s="161">
        <f t="shared" si="58"/>
        <v>0</v>
      </c>
      <c r="Q247" s="161">
        <f t="shared" si="58"/>
        <v>0</v>
      </c>
      <c r="R247" s="161">
        <f t="shared" si="58"/>
        <v>0</v>
      </c>
      <c r="S247" s="161">
        <f t="shared" si="58"/>
        <v>0</v>
      </c>
      <c r="T247" s="161">
        <f t="shared" si="58"/>
        <v>0</v>
      </c>
      <c r="U247" s="161">
        <f t="shared" si="58"/>
        <v>0</v>
      </c>
      <c r="V247" s="161">
        <f t="shared" si="58"/>
        <v>0</v>
      </c>
      <c r="W247" s="161">
        <f t="shared" si="58"/>
        <v>0</v>
      </c>
      <c r="X247" s="161">
        <f t="shared" si="58"/>
        <v>0</v>
      </c>
      <c r="Y247" s="161">
        <f t="shared" si="58"/>
        <v>0</v>
      </c>
      <c r="Z247" s="161">
        <f t="shared" si="58"/>
        <v>0</v>
      </c>
      <c r="AA247" s="161">
        <f t="shared" si="58"/>
        <v>0</v>
      </c>
      <c r="AB247" s="161">
        <f t="shared" si="58"/>
        <v>0</v>
      </c>
      <c r="AC247" s="161">
        <f t="shared" si="58"/>
        <v>0</v>
      </c>
      <c r="AD247" s="161">
        <f t="shared" si="58"/>
        <v>0</v>
      </c>
      <c r="AE247" s="161">
        <f t="shared" si="58"/>
        <v>0</v>
      </c>
      <c r="AF247" s="162">
        <f t="shared" si="58"/>
        <v>0</v>
      </c>
      <c r="AG247" s="163">
        <f t="shared" si="58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9">AF249</f>
        <v>0.3</v>
      </c>
      <c r="C249" s="166">
        <v>0.3</v>
      </c>
      <c r="D249" s="166">
        <f t="shared" ref="D249:S254" si="60">C249</f>
        <v>0.3</v>
      </c>
      <c r="E249" s="166">
        <f t="shared" si="60"/>
        <v>0.3</v>
      </c>
      <c r="F249" s="166">
        <f t="shared" si="60"/>
        <v>0.3</v>
      </c>
      <c r="G249" s="166">
        <f t="shared" si="60"/>
        <v>0.3</v>
      </c>
      <c r="H249" s="166">
        <f t="shared" si="60"/>
        <v>0.3</v>
      </c>
      <c r="I249" s="166">
        <f t="shared" si="60"/>
        <v>0.3</v>
      </c>
      <c r="J249" s="166">
        <f t="shared" si="60"/>
        <v>0.3</v>
      </c>
      <c r="K249" s="166">
        <f t="shared" si="60"/>
        <v>0.3</v>
      </c>
      <c r="L249" s="166">
        <f t="shared" si="60"/>
        <v>0.3</v>
      </c>
      <c r="M249" s="166">
        <f t="shared" si="60"/>
        <v>0.3</v>
      </c>
      <c r="N249" s="166">
        <f t="shared" si="60"/>
        <v>0.3</v>
      </c>
      <c r="O249" s="166">
        <f t="shared" si="60"/>
        <v>0.3</v>
      </c>
      <c r="P249" s="166">
        <f t="shared" si="60"/>
        <v>0.3</v>
      </c>
      <c r="Q249" s="166">
        <f t="shared" si="60"/>
        <v>0.3</v>
      </c>
      <c r="R249" s="166">
        <f t="shared" si="60"/>
        <v>0.3</v>
      </c>
      <c r="S249" s="166">
        <f t="shared" si="60"/>
        <v>0.3</v>
      </c>
      <c r="T249" s="166">
        <f t="shared" ref="T249:AF254" si="61">S249</f>
        <v>0.3</v>
      </c>
      <c r="U249" s="166">
        <f t="shared" si="61"/>
        <v>0.3</v>
      </c>
      <c r="V249" s="166">
        <f t="shared" si="61"/>
        <v>0.3</v>
      </c>
      <c r="W249" s="166">
        <f t="shared" si="61"/>
        <v>0.3</v>
      </c>
      <c r="X249" s="166">
        <f t="shared" si="61"/>
        <v>0.3</v>
      </c>
      <c r="Y249" s="166">
        <f t="shared" si="61"/>
        <v>0.3</v>
      </c>
      <c r="Z249" s="166">
        <f t="shared" si="61"/>
        <v>0.3</v>
      </c>
      <c r="AA249" s="166">
        <f t="shared" si="61"/>
        <v>0.3</v>
      </c>
      <c r="AB249" s="166">
        <f t="shared" si="61"/>
        <v>0.3</v>
      </c>
      <c r="AC249" s="166">
        <f t="shared" si="61"/>
        <v>0.3</v>
      </c>
      <c r="AD249" s="166">
        <f t="shared" si="61"/>
        <v>0.3</v>
      </c>
      <c r="AE249" s="166">
        <f t="shared" si="61"/>
        <v>0.3</v>
      </c>
      <c r="AF249" s="166">
        <f t="shared" si="61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9"/>
        <v>0.4</v>
      </c>
      <c r="C250" s="152">
        <v>0.4</v>
      </c>
      <c r="D250" s="152">
        <f t="shared" si="60"/>
        <v>0.4</v>
      </c>
      <c r="E250" s="152">
        <f t="shared" si="60"/>
        <v>0.4</v>
      </c>
      <c r="F250" s="152">
        <f t="shared" si="60"/>
        <v>0.4</v>
      </c>
      <c r="G250" s="152">
        <f t="shared" si="60"/>
        <v>0.4</v>
      </c>
      <c r="H250" s="152">
        <f t="shared" si="60"/>
        <v>0.4</v>
      </c>
      <c r="I250" s="152">
        <f t="shared" si="60"/>
        <v>0.4</v>
      </c>
      <c r="J250" s="152">
        <f t="shared" si="60"/>
        <v>0.4</v>
      </c>
      <c r="K250" s="152">
        <f t="shared" si="60"/>
        <v>0.4</v>
      </c>
      <c r="L250" s="152">
        <f t="shared" si="60"/>
        <v>0.4</v>
      </c>
      <c r="M250" s="152">
        <f t="shared" si="60"/>
        <v>0.4</v>
      </c>
      <c r="N250" s="152">
        <f t="shared" si="60"/>
        <v>0.4</v>
      </c>
      <c r="O250" s="152">
        <f t="shared" si="60"/>
        <v>0.4</v>
      </c>
      <c r="P250" s="152">
        <f t="shared" si="60"/>
        <v>0.4</v>
      </c>
      <c r="Q250" s="152">
        <f t="shared" si="60"/>
        <v>0.4</v>
      </c>
      <c r="R250" s="152">
        <f t="shared" si="60"/>
        <v>0.4</v>
      </c>
      <c r="S250" s="152">
        <f t="shared" si="60"/>
        <v>0.4</v>
      </c>
      <c r="T250" s="152">
        <f t="shared" si="61"/>
        <v>0.4</v>
      </c>
      <c r="U250" s="152">
        <f t="shared" si="61"/>
        <v>0.4</v>
      </c>
      <c r="V250" s="152">
        <f t="shared" si="61"/>
        <v>0.4</v>
      </c>
      <c r="W250" s="152">
        <f t="shared" si="61"/>
        <v>0.4</v>
      </c>
      <c r="X250" s="152">
        <f t="shared" si="61"/>
        <v>0.4</v>
      </c>
      <c r="Y250" s="152">
        <f t="shared" si="61"/>
        <v>0.4</v>
      </c>
      <c r="Z250" s="152">
        <f t="shared" si="61"/>
        <v>0.4</v>
      </c>
      <c r="AA250" s="152">
        <f t="shared" si="61"/>
        <v>0.4</v>
      </c>
      <c r="AB250" s="152">
        <f t="shared" si="61"/>
        <v>0.4</v>
      </c>
      <c r="AC250" s="152">
        <f t="shared" si="61"/>
        <v>0.4</v>
      </c>
      <c r="AD250" s="152">
        <f t="shared" si="61"/>
        <v>0.4</v>
      </c>
      <c r="AE250" s="152">
        <f t="shared" si="61"/>
        <v>0.4</v>
      </c>
      <c r="AF250" s="152">
        <f t="shared" si="61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9"/>
        <v>1.5</v>
      </c>
      <c r="C251" s="152">
        <v>1.5</v>
      </c>
      <c r="D251" s="152">
        <f t="shared" si="60"/>
        <v>1.5</v>
      </c>
      <c r="E251" s="152">
        <f t="shared" si="60"/>
        <v>1.5</v>
      </c>
      <c r="F251" s="152">
        <f t="shared" si="60"/>
        <v>1.5</v>
      </c>
      <c r="G251" s="152">
        <f t="shared" si="60"/>
        <v>1.5</v>
      </c>
      <c r="H251" s="152">
        <f t="shared" si="60"/>
        <v>1.5</v>
      </c>
      <c r="I251" s="152">
        <f t="shared" si="60"/>
        <v>1.5</v>
      </c>
      <c r="J251" s="152">
        <f t="shared" si="60"/>
        <v>1.5</v>
      </c>
      <c r="K251" s="152">
        <f t="shared" si="60"/>
        <v>1.5</v>
      </c>
      <c r="L251" s="152">
        <f t="shared" si="60"/>
        <v>1.5</v>
      </c>
      <c r="M251" s="152">
        <f t="shared" si="60"/>
        <v>1.5</v>
      </c>
      <c r="N251" s="152">
        <f t="shared" si="60"/>
        <v>1.5</v>
      </c>
      <c r="O251" s="152">
        <f t="shared" si="60"/>
        <v>1.5</v>
      </c>
      <c r="P251" s="152">
        <f t="shared" si="60"/>
        <v>1.5</v>
      </c>
      <c r="Q251" s="152">
        <f t="shared" si="60"/>
        <v>1.5</v>
      </c>
      <c r="R251" s="152">
        <f t="shared" si="60"/>
        <v>1.5</v>
      </c>
      <c r="S251" s="152">
        <f t="shared" si="60"/>
        <v>1.5</v>
      </c>
      <c r="T251" s="152">
        <f t="shared" si="61"/>
        <v>1.5</v>
      </c>
      <c r="U251" s="152">
        <f t="shared" si="61"/>
        <v>1.5</v>
      </c>
      <c r="V251" s="152">
        <f t="shared" si="61"/>
        <v>1.5</v>
      </c>
      <c r="W251" s="152">
        <f t="shared" si="61"/>
        <v>1.5</v>
      </c>
      <c r="X251" s="152">
        <f t="shared" si="61"/>
        <v>1.5</v>
      </c>
      <c r="Y251" s="152">
        <f t="shared" si="61"/>
        <v>1.5</v>
      </c>
      <c r="Z251" s="152">
        <f t="shared" si="61"/>
        <v>1.5</v>
      </c>
      <c r="AA251" s="152">
        <f t="shared" si="61"/>
        <v>1.5</v>
      </c>
      <c r="AB251" s="152">
        <f t="shared" si="61"/>
        <v>1.5</v>
      </c>
      <c r="AC251" s="152">
        <f t="shared" si="61"/>
        <v>1.5</v>
      </c>
      <c r="AD251" s="152">
        <f t="shared" si="61"/>
        <v>1.5</v>
      </c>
      <c r="AE251" s="152">
        <f t="shared" si="61"/>
        <v>1.5</v>
      </c>
      <c r="AF251" s="152">
        <f t="shared" si="61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9"/>
        <v>0.3</v>
      </c>
      <c r="C252" s="152">
        <v>0.3</v>
      </c>
      <c r="D252" s="152">
        <f t="shared" si="60"/>
        <v>0.3</v>
      </c>
      <c r="E252" s="152">
        <f t="shared" si="60"/>
        <v>0.3</v>
      </c>
      <c r="F252" s="152">
        <f t="shared" si="60"/>
        <v>0.3</v>
      </c>
      <c r="G252" s="152">
        <f t="shared" si="60"/>
        <v>0.3</v>
      </c>
      <c r="H252" s="152">
        <f t="shared" si="60"/>
        <v>0.3</v>
      </c>
      <c r="I252" s="152">
        <f t="shared" si="60"/>
        <v>0.3</v>
      </c>
      <c r="J252" s="152">
        <f t="shared" si="60"/>
        <v>0.3</v>
      </c>
      <c r="K252" s="152">
        <f t="shared" si="60"/>
        <v>0.3</v>
      </c>
      <c r="L252" s="152">
        <f t="shared" si="60"/>
        <v>0.3</v>
      </c>
      <c r="M252" s="152">
        <f t="shared" si="60"/>
        <v>0.3</v>
      </c>
      <c r="N252" s="152">
        <f t="shared" si="60"/>
        <v>0.3</v>
      </c>
      <c r="O252" s="152">
        <f t="shared" si="60"/>
        <v>0.3</v>
      </c>
      <c r="P252" s="152">
        <f t="shared" si="60"/>
        <v>0.3</v>
      </c>
      <c r="Q252" s="152">
        <f t="shared" si="60"/>
        <v>0.3</v>
      </c>
      <c r="R252" s="152">
        <f t="shared" si="60"/>
        <v>0.3</v>
      </c>
      <c r="S252" s="152">
        <f t="shared" si="60"/>
        <v>0.3</v>
      </c>
      <c r="T252" s="152">
        <f t="shared" si="61"/>
        <v>0.3</v>
      </c>
      <c r="U252" s="152">
        <f t="shared" si="61"/>
        <v>0.3</v>
      </c>
      <c r="V252" s="152">
        <f t="shared" si="61"/>
        <v>0.3</v>
      </c>
      <c r="W252" s="152">
        <f t="shared" si="61"/>
        <v>0.3</v>
      </c>
      <c r="X252" s="152">
        <f t="shared" si="61"/>
        <v>0.3</v>
      </c>
      <c r="Y252" s="152">
        <f t="shared" si="61"/>
        <v>0.3</v>
      </c>
      <c r="Z252" s="152">
        <f t="shared" si="61"/>
        <v>0.3</v>
      </c>
      <c r="AA252" s="152">
        <f t="shared" si="61"/>
        <v>0.3</v>
      </c>
      <c r="AB252" s="152">
        <f t="shared" si="61"/>
        <v>0.3</v>
      </c>
      <c r="AC252" s="152">
        <f t="shared" si="61"/>
        <v>0.3</v>
      </c>
      <c r="AD252" s="152">
        <f t="shared" si="61"/>
        <v>0.3</v>
      </c>
      <c r="AE252" s="152">
        <f t="shared" si="61"/>
        <v>0.3</v>
      </c>
      <c r="AF252" s="152">
        <f t="shared" si="61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9"/>
        <v>0.4</v>
      </c>
      <c r="C253" s="152">
        <v>0.4</v>
      </c>
      <c r="D253" s="152">
        <f t="shared" si="60"/>
        <v>0.4</v>
      </c>
      <c r="E253" s="152">
        <f t="shared" si="60"/>
        <v>0.4</v>
      </c>
      <c r="F253" s="152">
        <f t="shared" si="60"/>
        <v>0.4</v>
      </c>
      <c r="G253" s="152">
        <f t="shared" si="60"/>
        <v>0.4</v>
      </c>
      <c r="H253" s="152">
        <f t="shared" si="60"/>
        <v>0.4</v>
      </c>
      <c r="I253" s="152">
        <f t="shared" si="60"/>
        <v>0.4</v>
      </c>
      <c r="J253" s="152">
        <f t="shared" si="60"/>
        <v>0.4</v>
      </c>
      <c r="K253" s="152">
        <f t="shared" si="60"/>
        <v>0.4</v>
      </c>
      <c r="L253" s="152">
        <f t="shared" si="60"/>
        <v>0.4</v>
      </c>
      <c r="M253" s="152">
        <f t="shared" si="60"/>
        <v>0.4</v>
      </c>
      <c r="N253" s="152">
        <f t="shared" si="60"/>
        <v>0.4</v>
      </c>
      <c r="O253" s="152">
        <f t="shared" si="60"/>
        <v>0.4</v>
      </c>
      <c r="P253" s="152">
        <f t="shared" si="60"/>
        <v>0.4</v>
      </c>
      <c r="Q253" s="152">
        <f t="shared" si="60"/>
        <v>0.4</v>
      </c>
      <c r="R253" s="152">
        <f t="shared" si="60"/>
        <v>0.4</v>
      </c>
      <c r="S253" s="152">
        <f t="shared" si="60"/>
        <v>0.4</v>
      </c>
      <c r="T253" s="152">
        <f t="shared" si="61"/>
        <v>0.4</v>
      </c>
      <c r="U253" s="152">
        <f t="shared" si="61"/>
        <v>0.4</v>
      </c>
      <c r="V253" s="152">
        <f t="shared" si="61"/>
        <v>0.4</v>
      </c>
      <c r="W253" s="152">
        <f t="shared" si="61"/>
        <v>0.4</v>
      </c>
      <c r="X253" s="152">
        <f t="shared" si="61"/>
        <v>0.4</v>
      </c>
      <c r="Y253" s="152">
        <f t="shared" si="61"/>
        <v>0.4</v>
      </c>
      <c r="Z253" s="152">
        <f t="shared" si="61"/>
        <v>0.4</v>
      </c>
      <c r="AA253" s="152">
        <f t="shared" si="61"/>
        <v>0.4</v>
      </c>
      <c r="AB253" s="152">
        <f t="shared" si="61"/>
        <v>0.4</v>
      </c>
      <c r="AC253" s="152">
        <f t="shared" si="61"/>
        <v>0.4</v>
      </c>
      <c r="AD253" s="152">
        <f t="shared" si="61"/>
        <v>0.4</v>
      </c>
      <c r="AE253" s="152">
        <f t="shared" si="61"/>
        <v>0.4</v>
      </c>
      <c r="AF253" s="152">
        <f t="shared" si="61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9"/>
        <v>0.64</v>
      </c>
      <c r="C254" s="157">
        <v>0.64</v>
      </c>
      <c r="D254" s="157">
        <f t="shared" si="60"/>
        <v>0.64</v>
      </c>
      <c r="E254" s="157">
        <f t="shared" si="60"/>
        <v>0.64</v>
      </c>
      <c r="F254" s="157">
        <f t="shared" si="60"/>
        <v>0.64</v>
      </c>
      <c r="G254" s="157">
        <f t="shared" si="60"/>
        <v>0.64</v>
      </c>
      <c r="H254" s="157">
        <f t="shared" si="60"/>
        <v>0.64</v>
      </c>
      <c r="I254" s="157">
        <f t="shared" si="60"/>
        <v>0.64</v>
      </c>
      <c r="J254" s="157">
        <f t="shared" si="60"/>
        <v>0.64</v>
      </c>
      <c r="K254" s="157">
        <f t="shared" si="60"/>
        <v>0.64</v>
      </c>
      <c r="L254" s="157">
        <f t="shared" si="60"/>
        <v>0.64</v>
      </c>
      <c r="M254" s="157">
        <f t="shared" si="60"/>
        <v>0.64</v>
      </c>
      <c r="N254" s="157">
        <f t="shared" si="60"/>
        <v>0.64</v>
      </c>
      <c r="O254" s="157">
        <f t="shared" si="60"/>
        <v>0.64</v>
      </c>
      <c r="P254" s="157">
        <f t="shared" si="60"/>
        <v>0.64</v>
      </c>
      <c r="Q254" s="157">
        <f t="shared" si="60"/>
        <v>0.64</v>
      </c>
      <c r="R254" s="157">
        <f t="shared" si="60"/>
        <v>0.64</v>
      </c>
      <c r="S254" s="157">
        <f t="shared" si="60"/>
        <v>0.64</v>
      </c>
      <c r="T254" s="157">
        <f t="shared" si="61"/>
        <v>0.64</v>
      </c>
      <c r="U254" s="157">
        <f t="shared" si="61"/>
        <v>0.64</v>
      </c>
      <c r="V254" s="157">
        <f t="shared" si="61"/>
        <v>0.64</v>
      </c>
      <c r="W254" s="157">
        <f t="shared" si="61"/>
        <v>0.64</v>
      </c>
      <c r="X254" s="157">
        <f t="shared" si="61"/>
        <v>0.64</v>
      </c>
      <c r="Y254" s="157">
        <f t="shared" si="61"/>
        <v>0.64</v>
      </c>
      <c r="Z254" s="157">
        <f t="shared" si="61"/>
        <v>0.64</v>
      </c>
      <c r="AA254" s="157">
        <f t="shared" si="61"/>
        <v>0.64</v>
      </c>
      <c r="AB254" s="157">
        <f t="shared" si="61"/>
        <v>0.64</v>
      </c>
      <c r="AC254" s="157">
        <f t="shared" si="61"/>
        <v>0.64</v>
      </c>
      <c r="AD254" s="157">
        <f t="shared" si="61"/>
        <v>0.64</v>
      </c>
      <c r="AE254" s="157">
        <f t="shared" si="61"/>
        <v>0.64</v>
      </c>
      <c r="AF254" s="157">
        <f t="shared" si="61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2">SUM(B249:B254)</f>
        <v>3.54</v>
      </c>
      <c r="C255" s="161">
        <f t="shared" si="62"/>
        <v>3.54</v>
      </c>
      <c r="D255" s="161">
        <f t="shared" si="62"/>
        <v>3.54</v>
      </c>
      <c r="E255" s="161">
        <f t="shared" si="62"/>
        <v>3.54</v>
      </c>
      <c r="F255" s="161">
        <f t="shared" si="62"/>
        <v>3.54</v>
      </c>
      <c r="G255" s="161">
        <f t="shared" si="62"/>
        <v>3.54</v>
      </c>
      <c r="H255" s="161">
        <f t="shared" si="62"/>
        <v>3.54</v>
      </c>
      <c r="I255" s="161">
        <f t="shared" si="62"/>
        <v>3.54</v>
      </c>
      <c r="J255" s="161">
        <f t="shared" si="62"/>
        <v>3.54</v>
      </c>
      <c r="K255" s="161">
        <f t="shared" si="62"/>
        <v>3.54</v>
      </c>
      <c r="L255" s="161">
        <f t="shared" si="62"/>
        <v>3.54</v>
      </c>
      <c r="M255" s="161">
        <f t="shared" si="62"/>
        <v>3.54</v>
      </c>
      <c r="N255" s="161">
        <f t="shared" si="62"/>
        <v>3.54</v>
      </c>
      <c r="O255" s="161">
        <f t="shared" si="62"/>
        <v>3.54</v>
      </c>
      <c r="P255" s="161">
        <f t="shared" si="62"/>
        <v>3.54</v>
      </c>
      <c r="Q255" s="161">
        <f t="shared" si="62"/>
        <v>3.54</v>
      </c>
      <c r="R255" s="161">
        <f t="shared" si="62"/>
        <v>3.54</v>
      </c>
      <c r="S255" s="161">
        <f t="shared" si="62"/>
        <v>3.54</v>
      </c>
      <c r="T255" s="161">
        <f t="shared" si="62"/>
        <v>3.54</v>
      </c>
      <c r="U255" s="161">
        <f t="shared" si="62"/>
        <v>3.54</v>
      </c>
      <c r="V255" s="161">
        <f t="shared" si="62"/>
        <v>3.54</v>
      </c>
      <c r="W255" s="161">
        <f t="shared" si="62"/>
        <v>3.54</v>
      </c>
      <c r="X255" s="161">
        <f t="shared" si="62"/>
        <v>3.54</v>
      </c>
      <c r="Y255" s="161">
        <f t="shared" si="62"/>
        <v>3.54</v>
      </c>
      <c r="Z255" s="161">
        <f t="shared" si="62"/>
        <v>3.54</v>
      </c>
      <c r="AA255" s="161">
        <f t="shared" si="62"/>
        <v>3.54</v>
      </c>
      <c r="AB255" s="161">
        <f t="shared" si="62"/>
        <v>3.54</v>
      </c>
      <c r="AC255" s="161">
        <f t="shared" si="62"/>
        <v>3.54</v>
      </c>
      <c r="AD255" s="161">
        <f t="shared" si="62"/>
        <v>3.54</v>
      </c>
      <c r="AE255" s="161">
        <f t="shared" si="62"/>
        <v>3.54</v>
      </c>
      <c r="AF255" s="161">
        <f t="shared" si="62"/>
        <v>3.54</v>
      </c>
      <c r="AG255" s="171">
        <f t="shared" si="62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1903.74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2080/10/20)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972" priority="80">
      <formula>$AH11=0</formula>
    </cfRule>
  </conditionalFormatting>
  <conditionalFormatting sqref="A89">
    <cfRule type="expression" dxfId="1971" priority="138">
      <formula>$AH94=0</formula>
    </cfRule>
  </conditionalFormatting>
  <conditionalFormatting sqref="A90:A94">
    <cfRule type="expression" dxfId="1970" priority="81">
      <formula>$AH89=0</formula>
    </cfRule>
  </conditionalFormatting>
  <conditionalFormatting sqref="B8">
    <cfRule type="expression" dxfId="1969" priority="134">
      <formula>AND(C$9&gt;=14/24,C$9&lt;20/24)</formula>
    </cfRule>
    <cfRule type="expression" dxfId="1968" priority="135">
      <formula>AND(C$9&gt;=8/24,C$9&lt;14/24)</formula>
    </cfRule>
    <cfRule type="expression" dxfId="1967" priority="136">
      <formula>C$9&lt;8/24</formula>
    </cfRule>
    <cfRule type="expression" dxfId="1966" priority="137">
      <formula>C$9&gt;=20/24</formula>
    </cfRule>
  </conditionalFormatting>
  <conditionalFormatting sqref="B9:AF10 E11 B11:D18 E12:K18 L13:V18 W13:Z57 B19:V57 B62:D71 C66:C77 B72:AF77 B80:AF102 B104:AF120 B122:AF140 B247:AF247 B249:B255">
    <cfRule type="expression" dxfId="1965" priority="42">
      <formula>AND(B$9&gt;=14/24,B$9&lt;20/24)</formula>
    </cfRule>
    <cfRule type="expression" dxfId="1964" priority="43">
      <formula>AND(B$9&gt;=8/24,B$9&lt;14/24)</formula>
    </cfRule>
    <cfRule type="expression" dxfId="1963" priority="44">
      <formula>B$9&lt;8/24</formula>
    </cfRule>
  </conditionalFormatting>
  <conditionalFormatting sqref="B58:AF60">
    <cfRule type="expression" dxfId="1962" priority="37">
      <formula>B$9&gt;=20/24</formula>
    </cfRule>
    <cfRule type="expression" dxfId="1961" priority="38">
      <formula>AND(B$9&gt;=14/24,B$9&lt;20/24)</formula>
    </cfRule>
    <cfRule type="expression" dxfId="1960" priority="39">
      <formula>AND(B$9&gt;=8/24,B$9&lt;14/24)</formula>
    </cfRule>
    <cfRule type="expression" dxfId="1959" priority="49">
      <formula>B$9&lt;8/24</formula>
    </cfRule>
  </conditionalFormatting>
  <conditionalFormatting sqref="D249:AF255">
    <cfRule type="expression" dxfId="1958" priority="119">
      <formula>D$9&gt;=20/24</formula>
    </cfRule>
    <cfRule type="expression" dxfId="1957" priority="120">
      <formula>AND(D$9&gt;=14/24,D$9&lt;20/24)</formula>
    </cfRule>
    <cfRule type="expression" dxfId="1956" priority="121">
      <formula>AND(D$9&gt;=8/24,D$9&lt;14/24)</formula>
    </cfRule>
    <cfRule type="expression" dxfId="1955" priority="122">
      <formula>D$9&lt;8/24</formula>
    </cfRule>
  </conditionalFormatting>
  <conditionalFormatting sqref="E11 B11:D18 E12:K18 L13:V18 W13:Z57 B19:V57 B62:D71 C66:C77 B72:AF77 B80:AF102 B9:AF10 B104:AF120 B122:AF140 B247:AF247 B249:B255">
    <cfRule type="expression" dxfId="1954" priority="41">
      <formula>B$9&gt;=20/24</formula>
    </cfRule>
  </conditionalFormatting>
  <conditionalFormatting sqref="E66:M70 N70">
    <cfRule type="expression" dxfId="1953" priority="50">
      <formula>E$9&gt;=20/24</formula>
    </cfRule>
    <cfRule type="expression" dxfId="1952" priority="51">
      <formula>AND(E$9&gt;=14/24,E$9&lt;20/24)</formula>
    </cfRule>
    <cfRule type="expression" dxfId="1951" priority="52">
      <formula>AND(E$9&gt;=8/24,E$9&lt;14/24)</formula>
    </cfRule>
    <cfRule type="expression" dxfId="1950" priority="53">
      <formula>E$9&lt;8/24</formula>
    </cfRule>
  </conditionalFormatting>
  <conditionalFormatting sqref="E71:N71">
    <cfRule type="expression" dxfId="1949" priority="45">
      <formula>E$9&gt;=20/24</formula>
    </cfRule>
    <cfRule type="expression" dxfId="1948" priority="46">
      <formula>AND(E$9&gt;=14/24,E$9&lt;20/24)</formula>
    </cfRule>
    <cfRule type="expression" dxfId="1947" priority="47">
      <formula>AND(E$9&gt;=8/24,E$9&lt;14/24)</formula>
    </cfRule>
    <cfRule type="expression" dxfId="1946" priority="48">
      <formula>E$9&lt;8/24</formula>
    </cfRule>
  </conditionalFormatting>
  <conditionalFormatting sqref="E11:Q11 R11:Z12 AA11:AF57 L12:Q12">
    <cfRule type="expression" dxfId="1945" priority="55">
      <formula>E$9&gt;=20/24</formula>
    </cfRule>
    <cfRule type="expression" dxfId="1944" priority="56">
      <formula>AND(E$9&gt;=14/24,E$9&lt;20/24)</formula>
    </cfRule>
    <cfRule type="expression" dxfId="1943" priority="57">
      <formula>AND(E$9&gt;=8/24,E$9&lt;14/24)</formula>
    </cfRule>
    <cfRule type="expression" dxfId="1942" priority="58">
      <formula>E$9&lt;8/24</formula>
    </cfRule>
  </conditionalFormatting>
  <conditionalFormatting sqref="E11:Q11 R11:Z12">
    <cfRule type="expression" dxfId="1941" priority="54">
      <formula>E11&gt;$AG11</formula>
    </cfRule>
  </conditionalFormatting>
  <conditionalFormatting sqref="E62:AF65">
    <cfRule type="expression" dxfId="1940" priority="60">
      <formula>E$9&gt;=20/24</formula>
    </cfRule>
    <cfRule type="expression" dxfId="1939" priority="61">
      <formula>AND(E$9&gt;=14/24,E$9&lt;20/24)</formula>
    </cfRule>
    <cfRule type="expression" dxfId="1938" priority="62">
      <formula>AND(E$9&gt;=8/24,E$9&lt;14/24)</formula>
    </cfRule>
    <cfRule type="expression" dxfId="1937" priority="63">
      <formula>E$9&lt;8/24</formula>
    </cfRule>
  </conditionalFormatting>
  <conditionalFormatting sqref="F66:M68">
    <cfRule type="expression" dxfId="1936" priority="72">
      <formula>F$9&gt;=20/24</formula>
    </cfRule>
    <cfRule type="expression" dxfId="1935" priority="73">
      <formula>AND(F$9&gt;=14/24,F$9&lt;20/24)</formula>
    </cfRule>
    <cfRule type="expression" dxfId="1934" priority="74">
      <formula>AND(F$9&gt;=8/24,F$9&lt;14/24)</formula>
    </cfRule>
    <cfRule type="expression" dxfId="1933" priority="75">
      <formula>F$9&lt;8/24</formula>
    </cfRule>
  </conditionalFormatting>
  <conditionalFormatting sqref="M8 S8 AB8">
    <cfRule type="expression" dxfId="1932" priority="126">
      <formula>AND(N$9&gt;=14/24,N$9&lt;20/24)</formula>
    </cfRule>
    <cfRule type="expression" dxfId="1931" priority="127">
      <formula>AND(N$9&gt;=8/24,N$9&lt;14/24)</formula>
    </cfRule>
    <cfRule type="expression" dxfId="1930" priority="128">
      <formula>N$9&lt;8/24</formula>
    </cfRule>
  </conditionalFormatting>
  <conditionalFormatting sqref="M66:Z70">
    <cfRule type="expression" dxfId="1929" priority="76">
      <formula>M$9&gt;=20/24</formula>
    </cfRule>
    <cfRule type="expression" dxfId="1928" priority="77">
      <formula>AND(M$9&gt;=14/24,M$9&lt;20/24)</formula>
    </cfRule>
    <cfRule type="expression" dxfId="1927" priority="78">
      <formula>AND(M$9&gt;=8/24,M$9&lt;14/24)</formula>
    </cfRule>
    <cfRule type="expression" dxfId="1926" priority="79">
      <formula>M$9&lt;8/24</formula>
    </cfRule>
  </conditionalFormatting>
  <conditionalFormatting sqref="M71:Z71">
    <cfRule type="expression" dxfId="1925" priority="68">
      <formula>M$9&gt;=20/24</formula>
    </cfRule>
    <cfRule type="expression" dxfId="1924" priority="69">
      <formula>AND(M$9&gt;=14/24,M$9&lt;20/24)</formula>
    </cfRule>
    <cfRule type="expression" dxfId="1923" priority="70">
      <formula>AND(M$9&gt;=8/24,M$9&lt;14/24)</formula>
    </cfRule>
    <cfRule type="expression" dxfId="1922" priority="71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21" priority="125">
      <formula>N$9&gt;=20/24</formula>
    </cfRule>
  </conditionalFormatting>
  <conditionalFormatting sqref="S8">
    <cfRule type="expression" dxfId="1920" priority="112">
      <formula>U$9&gt;=20/24</formula>
    </cfRule>
    <cfRule type="expression" dxfId="1919" priority="113">
      <formula>AND(U$9&gt;=14/24,U$9&lt;20/24)</formula>
    </cfRule>
    <cfRule type="expression" dxfId="1918" priority="114">
      <formula>AND(U$9&gt;=8/24,U$9&lt;14/24)</formula>
    </cfRule>
    <cfRule type="expression" dxfId="1917" priority="115">
      <formula>U$9&lt;8/24</formula>
    </cfRule>
  </conditionalFormatting>
  <conditionalFormatting sqref="T66:AF71">
    <cfRule type="expression" dxfId="1916" priority="64">
      <formula>T$9&gt;=20/24</formula>
    </cfRule>
    <cfRule type="expression" dxfId="1915" priority="65">
      <formula>AND(T$9&gt;=14/24,T$9&lt;20/24)</formula>
    </cfRule>
    <cfRule type="expression" dxfId="1914" priority="66">
      <formula>AND(T$9&gt;=8/24,T$9&lt;14/24)</formula>
    </cfRule>
    <cfRule type="expression" dxfId="1913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A11:AF60 S13:Z60 R13:R83 B19:Q83 E11 B11:D18 E12:Q18 S61:AG61 S62:AF64 S65:AG65 S66:AF82 S83:AG83">
    <cfRule type="expression" dxfId="1912" priority="40">
      <formula>B11&gt;$AG11</formula>
    </cfRule>
  </conditionalFormatting>
  <conditionalFormatting sqref="AB8">
    <cfRule type="expression" dxfId="1911" priority="108">
      <formula>AD$9&gt;=20/24</formula>
    </cfRule>
    <cfRule type="expression" dxfId="1910" priority="109">
      <formula>AND(AD$9&gt;=14/24,AD$9&lt;20/24)</formula>
    </cfRule>
    <cfRule type="expression" dxfId="1909" priority="110">
      <formula>AND(AD$9&gt;=8/24,AD$9&lt;14/24)</formula>
    </cfRule>
    <cfRule type="expression" dxfId="1908" priority="111">
      <formula>AD$9&lt;8/24</formula>
    </cfRule>
  </conditionalFormatting>
  <conditionalFormatting sqref="AG65">
    <cfRule type="expression" dxfId="1907" priority="87">
      <formula>AG$9&gt;=20/24</formula>
    </cfRule>
    <cfRule type="expression" dxfId="1906" priority="88">
      <formula>AND(AG$9&gt;=14/24,AG$9&lt;20/24)</formula>
    </cfRule>
    <cfRule type="expression" dxfId="1905" priority="89">
      <formula>AND(AG$9&gt;=8/24,AG$9&lt;14/24)</formula>
    </cfRule>
    <cfRule type="expression" dxfId="1904" priority="90">
      <formula>AG$9&lt;8/24</formula>
    </cfRule>
  </conditionalFormatting>
  <conditionalFormatting sqref="AG78:AG79">
    <cfRule type="expression" dxfId="1903" priority="82">
      <formula>AG78&gt;$AG78</formula>
    </cfRule>
  </conditionalFormatting>
  <conditionalFormatting sqref="AG83">
    <cfRule type="expression" dxfId="1902" priority="83">
      <formula>AG$9&gt;=20/24</formula>
    </cfRule>
    <cfRule type="expression" dxfId="1901" priority="84">
      <formula>AND(AG$9&gt;=14/24,AG$9&lt;20/24)</formula>
    </cfRule>
    <cfRule type="expression" dxfId="1900" priority="85">
      <formula>AND(AG$9&gt;=8/24,AG$9&lt;14/24)</formula>
    </cfRule>
    <cfRule type="expression" dxfId="1899" priority="86">
      <formula>AG$9&lt;8/24</formula>
    </cfRule>
  </conditionalFormatting>
  <conditionalFormatting sqref="AG100">
    <cfRule type="expression" dxfId="1898" priority="104">
      <formula>AG$9&gt;=20/24</formula>
    </cfRule>
    <cfRule type="expression" dxfId="1897" priority="105">
      <formula>AND(AG$9&gt;=14/24,AG$9&lt;20/24)</formula>
    </cfRule>
    <cfRule type="expression" dxfId="1896" priority="106">
      <formula>AND(AG$9&gt;=8/24,AG$9&lt;14/24)</formula>
    </cfRule>
    <cfRule type="expression" dxfId="189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894" priority="129">
      <formula>AJ$9&gt;=20/24</formula>
    </cfRule>
    <cfRule type="expression" dxfId="1893" priority="130">
      <formula>AND(AJ$9&gt;=14/24,AJ$9&lt;20/24)</formula>
    </cfRule>
    <cfRule type="expression" dxfId="1892" priority="131">
      <formula>AND(AJ$9&gt;=8/24,AJ$9&lt;14/24)</formula>
    </cfRule>
    <cfRule type="expression" dxfId="1891" priority="132">
      <formula>AJ$9&lt;8/24</formula>
    </cfRule>
  </conditionalFormatting>
  <conditionalFormatting sqref="AL86:AN86 AL92:AN92">
    <cfRule type="expression" dxfId="1890" priority="97">
      <formula>AL$9&gt;=20/24</formula>
    </cfRule>
    <cfRule type="expression" dxfId="1889" priority="98">
      <formula>AND(AL$9&gt;=14/24,AL$9&lt;20/24)</formula>
    </cfRule>
    <cfRule type="expression" dxfId="1888" priority="99">
      <formula>AND(AL$9&gt;=8/24,AL$9&lt;14/24)</formula>
    </cfRule>
    <cfRule type="expression" dxfId="1887" priority="100">
      <formula>AL$9&lt;8/24</formula>
    </cfRule>
  </conditionalFormatting>
  <conditionalFormatting sqref="AM15:AM21 AN16:AR21">
    <cfRule type="expression" dxfId="1886" priority="13">
      <formula>AX$9&gt;=20/24</formula>
    </cfRule>
    <cfRule type="expression" dxfId="1885" priority="14">
      <formula>AND(AX$9&gt;=14/24,AX$9&lt;20/24)</formula>
    </cfRule>
    <cfRule type="expression" dxfId="1884" priority="15">
      <formula>AND(AX$9&gt;=8/24,AX$9&lt;14/24)</formula>
    </cfRule>
    <cfRule type="expression" dxfId="1883" priority="16">
      <formula>AX$9&lt;8/24</formula>
    </cfRule>
  </conditionalFormatting>
  <conditionalFormatting sqref="AN87:AN90">
    <cfRule type="expression" dxfId="1882" priority="93">
      <formula>AN$9&gt;=20/24</formula>
    </cfRule>
    <cfRule type="expression" dxfId="1881" priority="94">
      <formula>AND(AN$9&gt;=14/24,AN$9&lt;20/24)</formula>
    </cfRule>
    <cfRule type="expression" dxfId="1880" priority="95">
      <formula>AND(AN$9&gt;=8/24,AN$9&lt;14/24)</formula>
    </cfRule>
    <cfRule type="expression" dxfId="1879" priority="96">
      <formula>AN$9&lt;8/24</formula>
    </cfRule>
  </conditionalFormatting>
  <conditionalFormatting sqref="AN15:AR15">
    <cfRule type="expression" dxfId="1878" priority="1">
      <formula>U$9&gt;=20/24</formula>
    </cfRule>
    <cfRule type="expression" dxfId="1877" priority="2">
      <formula>AND(U$9&gt;=14/24,U$9&lt;20/24)</formula>
    </cfRule>
    <cfRule type="expression" dxfId="1876" priority="3">
      <formula>AND(U$9&gt;=8/24,U$9&lt;14/24)</formula>
    </cfRule>
    <cfRule type="expression" dxfId="1875" priority="4">
      <formula>U$9&lt;8/24</formula>
    </cfRule>
  </conditionalFormatting>
  <conditionalFormatting sqref="AS15">
    <cfRule type="expression" dxfId="1874" priority="9">
      <formula>AA$9&gt;=20/24</formula>
    </cfRule>
    <cfRule type="expression" dxfId="1873" priority="10">
      <formula>AND(AA$9&gt;=14/24,AA$9&lt;20/24)</formula>
    </cfRule>
    <cfRule type="expression" dxfId="1872" priority="11">
      <formula>AND(AA$9&gt;=8/24,AA$9&lt;14/24)</formula>
    </cfRule>
    <cfRule type="expression" dxfId="1871" priority="12">
      <formula>AA$9&lt;8/24</formula>
    </cfRule>
  </conditionalFormatting>
  <conditionalFormatting sqref="AS16:AS21">
    <cfRule type="expression" dxfId="1870" priority="17">
      <formula>BE$9&gt;=20/24</formula>
    </cfRule>
    <cfRule type="expression" dxfId="1869" priority="18">
      <formula>AND(BE$9&gt;=14/24,BE$9&lt;20/24)</formula>
    </cfRule>
    <cfRule type="expression" dxfId="1868" priority="19">
      <formula>AND(BE$9&gt;=8/24,BE$9&lt;14/24)</formula>
    </cfRule>
    <cfRule type="expression" dxfId="1867" priority="20">
      <formula>BE$9&lt;8/24</formula>
    </cfRule>
  </conditionalFormatting>
  <conditionalFormatting sqref="AT15 AX15:BJ15">
    <cfRule type="expression" dxfId="1866" priority="21">
      <formula>AC$9&gt;=20/24</formula>
    </cfRule>
    <cfRule type="expression" dxfId="1865" priority="22">
      <formula>AND(AC$9&gt;=14/24,AC$9&lt;20/24)</formula>
    </cfRule>
    <cfRule type="expression" dxfId="1864" priority="23">
      <formula>AND(AC$9&gt;=8/24,AC$9&lt;14/24)</formula>
    </cfRule>
    <cfRule type="expression" dxfId="1863" priority="24">
      <formula>AC$9&lt;8/24</formula>
    </cfRule>
  </conditionalFormatting>
  <conditionalFormatting sqref="AT16:AT21">
    <cfRule type="expression" dxfId="1862" priority="25">
      <formula>BG$9&gt;=20/24</formula>
    </cfRule>
    <cfRule type="expression" dxfId="1861" priority="26">
      <formula>AND(BG$9&gt;=14/24,BG$9&lt;20/24)</formula>
    </cfRule>
    <cfRule type="expression" dxfId="1860" priority="27">
      <formula>AND(BG$9&gt;=8/24,BG$9&lt;14/24)</formula>
    </cfRule>
    <cfRule type="expression" dxfId="1859" priority="28">
      <formula>BG$9&lt;8/24</formula>
    </cfRule>
  </conditionalFormatting>
  <conditionalFormatting sqref="AU15:AV15">
    <cfRule type="expression" dxfId="1858" priority="29">
      <formula>AE$9&gt;=20/24</formula>
    </cfRule>
    <cfRule type="expression" dxfId="1857" priority="30">
      <formula>AND(AE$9&gt;=14/24,AE$9&lt;20/24)</formula>
    </cfRule>
    <cfRule type="expression" dxfId="1856" priority="31">
      <formula>AND(AE$9&gt;=8/24,AE$9&lt;14/24)</formula>
    </cfRule>
    <cfRule type="expression" dxfId="1855" priority="32">
      <formula>AE$9&lt;8/24</formula>
    </cfRule>
  </conditionalFormatting>
  <conditionalFormatting sqref="AU16:BJ21">
    <cfRule type="expression" dxfId="1854" priority="33">
      <formula>BI$9&gt;=20/24</formula>
    </cfRule>
    <cfRule type="expression" dxfId="1853" priority="34">
      <formula>AND(BI$9&gt;=14/24,BI$9&lt;20/24)</formula>
    </cfRule>
    <cfRule type="expression" dxfId="1852" priority="35">
      <formula>AND(BI$9&gt;=8/24,BI$9&lt;14/24)</formula>
    </cfRule>
    <cfRule type="expression" dxfId="1851" priority="36">
      <formula>BI$9&lt;8/24</formula>
    </cfRule>
  </conditionalFormatting>
  <conditionalFormatting sqref="AW15">
    <cfRule type="expression" dxfId="1850" priority="5">
      <formula>B$9&gt;=20/24</formula>
    </cfRule>
    <cfRule type="expression" dxfId="1849" priority="6">
      <formula>AND(B$9&gt;=14/24,B$9&lt;20/24)</formula>
    </cfRule>
    <cfRule type="expression" dxfId="1848" priority="7">
      <formula>AND(B$9&gt;=8/24,B$9&lt;14/24)</formula>
    </cfRule>
    <cfRule type="expression" dxfId="184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B13A-5A64-46AD-9C63-2864CD65117B}">
  <sheetPr codeName="Sheet22"/>
  <dimension ref="A1:CJ297"/>
  <sheetViews>
    <sheetView zoomScale="106" workbookViewId="0">
      <pane xSplit="1" ySplit="10" topLeftCell="B6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87" sqref="A87:XFD8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2080/10/21</v>
      </c>
      <c r="C4" s="187"/>
      <c r="D4" s="187"/>
      <c r="E4" s="188" t="str">
        <f ca="1">"2080/"&amp;"10/"&amp;INT(MID(CELL("filename",G6),FIND("]",CELL("filename",G6))+1,200))</f>
        <v>2080/10/21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21</v>
      </c>
      <c r="C5" s="30">
        <f t="shared" si="0"/>
        <v>25</v>
      </c>
      <c r="D5" s="30">
        <f t="shared" si="0"/>
        <v>9.6</v>
      </c>
      <c r="E5" s="30">
        <f t="shared" si="0"/>
        <v>9.6999999999999993</v>
      </c>
      <c r="F5" s="30">
        <f t="shared" si="0"/>
        <v>10.8</v>
      </c>
      <c r="G5" s="30">
        <f t="shared" si="0"/>
        <v>12.6</v>
      </c>
      <c r="H5" s="30">
        <f t="shared" si="0"/>
        <v>13.7</v>
      </c>
      <c r="I5" s="30">
        <f t="shared" si="0"/>
        <v>49.4</v>
      </c>
      <c r="J5" s="30">
        <f t="shared" si="0"/>
        <v>256.60000000000002</v>
      </c>
      <c r="K5" s="30">
        <f t="shared" si="0"/>
        <v>252.70000000000002</v>
      </c>
      <c r="L5" s="30">
        <f t="shared" si="0"/>
        <v>270</v>
      </c>
      <c r="M5" s="30">
        <f t="shared" si="0"/>
        <v>366.7</v>
      </c>
      <c r="N5" s="30">
        <f t="shared" si="0"/>
        <v>240</v>
      </c>
      <c r="O5" s="30">
        <f t="shared" si="0"/>
        <v>526.70000000000005</v>
      </c>
      <c r="P5" s="30">
        <f t="shared" si="0"/>
        <v>535.79999999999995</v>
      </c>
      <c r="Q5" s="30">
        <f t="shared" si="0"/>
        <v>519.29999999999995</v>
      </c>
      <c r="R5" s="30">
        <f t="shared" si="0"/>
        <v>517.9</v>
      </c>
      <c r="S5" s="30">
        <f t="shared" si="0"/>
        <v>348.6</v>
      </c>
      <c r="T5" s="30">
        <f t="shared" si="0"/>
        <v>381.5</v>
      </c>
      <c r="U5" s="30">
        <f t="shared" si="0"/>
        <v>482.00000000000006</v>
      </c>
      <c r="V5" s="30">
        <f t="shared" si="0"/>
        <v>567.5</v>
      </c>
      <c r="W5" s="30">
        <f t="shared" si="0"/>
        <v>462.1</v>
      </c>
      <c r="X5" s="30">
        <f t="shared" si="0"/>
        <v>161.69999999999999</v>
      </c>
      <c r="Y5" s="30">
        <f t="shared" si="0"/>
        <v>76.599999999999994</v>
      </c>
      <c r="Z5" s="30">
        <f t="shared" si="0"/>
        <v>77.2</v>
      </c>
      <c r="AA5" s="30">
        <f t="shared" si="0"/>
        <v>0</v>
      </c>
      <c r="AB5" s="30">
        <f t="shared" si="0"/>
        <v>106</v>
      </c>
      <c r="AC5" s="30">
        <f t="shared" si="0"/>
        <v>93.4</v>
      </c>
      <c r="AD5" s="30">
        <f t="shared" si="0"/>
        <v>59.3</v>
      </c>
      <c r="AE5" s="30">
        <f t="shared" si="0"/>
        <v>58.7</v>
      </c>
      <c r="AF5" s="30">
        <f>B95</f>
        <v>30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1847MW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Load=1480</v>
      </c>
      <c r="B7" s="35">
        <f t="shared" ref="B7:AF7" si="1">B103</f>
        <v>1664.54</v>
      </c>
      <c r="C7" s="35">
        <f t="shared" si="1"/>
        <v>1604.84</v>
      </c>
      <c r="D7" s="35">
        <f t="shared" si="1"/>
        <v>1576.7399999999998</v>
      </c>
      <c r="E7" s="35">
        <f t="shared" si="1"/>
        <v>1568.04</v>
      </c>
      <c r="F7" s="35">
        <f t="shared" si="1"/>
        <v>1549.9399999999998</v>
      </c>
      <c r="G7" s="35">
        <f t="shared" si="1"/>
        <v>1518.9399999999998</v>
      </c>
      <c r="H7" s="35">
        <f t="shared" si="1"/>
        <v>1526.34</v>
      </c>
      <c r="I7" s="35">
        <f t="shared" si="1"/>
        <v>1550.44</v>
      </c>
      <c r="J7" s="35">
        <f t="shared" si="1"/>
        <v>1589.64</v>
      </c>
      <c r="K7" s="35">
        <f t="shared" si="1"/>
        <v>1730.04</v>
      </c>
      <c r="L7" s="35">
        <f t="shared" si="1"/>
        <v>1749.54</v>
      </c>
      <c r="M7" s="35">
        <f t="shared" si="1"/>
        <v>1762.44</v>
      </c>
      <c r="N7" s="35">
        <f t="shared" si="1"/>
        <v>1847.34</v>
      </c>
      <c r="O7" s="35">
        <f t="shared" si="1"/>
        <v>1910.44</v>
      </c>
      <c r="P7" s="35">
        <f t="shared" si="1"/>
        <v>2008.54</v>
      </c>
      <c r="Q7" s="35">
        <f t="shared" si="1"/>
        <v>2015.4399999999998</v>
      </c>
      <c r="R7" s="35">
        <f t="shared" si="1"/>
        <v>2013.74</v>
      </c>
      <c r="S7" s="35">
        <f t="shared" si="1"/>
        <v>2015.04</v>
      </c>
      <c r="T7" s="35">
        <f t="shared" si="1"/>
        <v>1994.3400000000001</v>
      </c>
      <c r="U7" s="35">
        <f t="shared" si="1"/>
        <v>1967.04</v>
      </c>
      <c r="V7" s="35">
        <f t="shared" si="1"/>
        <v>1821.44</v>
      </c>
      <c r="W7" s="35">
        <f t="shared" si="1"/>
        <v>1708.44</v>
      </c>
      <c r="X7" s="35">
        <f t="shared" si="1"/>
        <v>1704.54</v>
      </c>
      <c r="Y7" s="35">
        <f t="shared" si="1"/>
        <v>1737.4</v>
      </c>
      <c r="Z7" s="35">
        <f t="shared" si="1"/>
        <v>1827.6999999999998</v>
      </c>
      <c r="AA7" s="35">
        <f t="shared" si="1"/>
        <v>1878.54</v>
      </c>
      <c r="AB7" s="35">
        <f t="shared" si="1"/>
        <v>1761.74</v>
      </c>
      <c r="AC7" s="35">
        <f t="shared" si="1"/>
        <v>1757.74</v>
      </c>
      <c r="AD7" s="35">
        <f t="shared" si="1"/>
        <v>1819.2400000000002</v>
      </c>
      <c r="AE7" s="35">
        <f t="shared" si="1"/>
        <v>1640.74</v>
      </c>
      <c r="AF7" s="35">
        <f t="shared" si="1"/>
        <v>1479.94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2083.04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2015.44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22</v>
      </c>
      <c r="C11" s="46">
        <v>22</v>
      </c>
      <c r="D11" s="46">
        <v>22.5</v>
      </c>
      <c r="E11" s="46">
        <v>22.5</v>
      </c>
      <c r="F11" s="46">
        <v>22.5</v>
      </c>
      <c r="G11" s="46">
        <v>22.5</v>
      </c>
      <c r="H11" s="46">
        <v>22.5</v>
      </c>
      <c r="I11" s="46">
        <v>22.5</v>
      </c>
      <c r="J11" s="46">
        <v>22.5</v>
      </c>
      <c r="K11" s="46">
        <v>22.5</v>
      </c>
      <c r="L11" s="46">
        <v>22.5</v>
      </c>
      <c r="M11" s="46">
        <v>22.5</v>
      </c>
      <c r="N11" s="46">
        <v>22.5</v>
      </c>
      <c r="O11" s="46">
        <v>22.5</v>
      </c>
      <c r="P11" s="46">
        <v>22.5</v>
      </c>
      <c r="Q11" s="46">
        <v>22.5</v>
      </c>
      <c r="R11" s="46">
        <v>22.5</v>
      </c>
      <c r="S11" s="46">
        <v>22.5</v>
      </c>
      <c r="T11" s="46">
        <v>22.5</v>
      </c>
      <c r="U11" s="46">
        <v>22.5</v>
      </c>
      <c r="V11" s="46">
        <v>22.5</v>
      </c>
      <c r="W11" s="46">
        <v>22.5</v>
      </c>
      <c r="X11" s="46">
        <v>23</v>
      </c>
      <c r="Y11" s="46">
        <v>23</v>
      </c>
      <c r="Z11" s="46">
        <v>23.4</v>
      </c>
      <c r="AA11" s="46">
        <v>23.4</v>
      </c>
      <c r="AB11" s="46">
        <v>23.4</v>
      </c>
      <c r="AC11" s="46">
        <v>23.4</v>
      </c>
      <c r="AD11" s="46">
        <v>23.4</v>
      </c>
      <c r="AE11" s="46">
        <v>25</v>
      </c>
      <c r="AF11" s="46">
        <v>24.1</v>
      </c>
      <c r="AG11" s="47">
        <v>86</v>
      </c>
      <c r="AH11" s="48">
        <f t="shared" ref="AH11:AH74" si="2">MAX(B11:AF11)</f>
        <v>25</v>
      </c>
      <c r="AI11" s="49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23.8</v>
      </c>
      <c r="C12" s="46">
        <v>23.8</v>
      </c>
      <c r="D12" s="46">
        <v>23.8</v>
      </c>
      <c r="E12" s="46">
        <v>23.8</v>
      </c>
      <c r="F12" s="46">
        <v>23.8</v>
      </c>
      <c r="G12" s="46">
        <v>23.8</v>
      </c>
      <c r="H12" s="46">
        <v>23.8</v>
      </c>
      <c r="I12" s="46">
        <v>23.8</v>
      </c>
      <c r="J12" s="46">
        <v>23.8</v>
      </c>
      <c r="K12" s="46">
        <v>23.8</v>
      </c>
      <c r="L12" s="46">
        <v>23.8</v>
      </c>
      <c r="M12" s="46">
        <v>23.8</v>
      </c>
      <c r="N12" s="46">
        <v>23.8</v>
      </c>
      <c r="O12" s="46">
        <v>23.8</v>
      </c>
      <c r="P12" s="46">
        <v>23.8</v>
      </c>
      <c r="Q12" s="46">
        <v>23.8</v>
      </c>
      <c r="R12" s="46">
        <v>23.8</v>
      </c>
      <c r="S12" s="46">
        <v>23.8</v>
      </c>
      <c r="T12" s="46">
        <v>23.8</v>
      </c>
      <c r="U12" s="46">
        <v>23.8</v>
      </c>
      <c r="V12" s="46">
        <v>23.8</v>
      </c>
      <c r="W12" s="46">
        <v>23.8</v>
      </c>
      <c r="X12" s="46">
        <v>23.8</v>
      </c>
      <c r="Y12" s="46">
        <v>23.8</v>
      </c>
      <c r="Z12" s="46">
        <v>23.8</v>
      </c>
      <c r="AA12" s="46">
        <v>23.8</v>
      </c>
      <c r="AB12" s="46">
        <v>23.8</v>
      </c>
      <c r="AC12" s="46">
        <v>23.8</v>
      </c>
      <c r="AD12" s="46">
        <v>23.8</v>
      </c>
      <c r="AE12" s="46">
        <v>23.8</v>
      </c>
      <c r="AF12" s="46">
        <v>23.8</v>
      </c>
      <c r="AG12" s="50">
        <v>77</v>
      </c>
      <c r="AH12" s="48">
        <f t="shared" si="2"/>
        <v>23.8</v>
      </c>
      <c r="AI12" s="49">
        <f t="shared" si="3"/>
        <v>23.8</v>
      </c>
      <c r="AK12" s="51"/>
      <c r="AL12" s="52" t="str">
        <f ca="1">MID(CELL("filename",C7),FIND("]",CELL("filename",C7))+1,600)</f>
        <v>21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67</v>
      </c>
      <c r="C13" s="46">
        <v>67</v>
      </c>
      <c r="D13" s="46">
        <v>67</v>
      </c>
      <c r="E13" s="46">
        <v>67</v>
      </c>
      <c r="F13" s="46">
        <v>67</v>
      </c>
      <c r="G13" s="46">
        <v>67</v>
      </c>
      <c r="H13" s="46">
        <v>67</v>
      </c>
      <c r="I13" s="46">
        <v>67</v>
      </c>
      <c r="J13" s="46">
        <v>67</v>
      </c>
      <c r="K13" s="46">
        <v>67</v>
      </c>
      <c r="L13" s="46">
        <v>67</v>
      </c>
      <c r="M13" s="46">
        <v>67</v>
      </c>
      <c r="N13" s="46">
        <v>67</v>
      </c>
      <c r="O13" s="46">
        <v>67</v>
      </c>
      <c r="P13" s="46">
        <v>67</v>
      </c>
      <c r="Q13" s="46">
        <v>67</v>
      </c>
      <c r="R13" s="46">
        <v>67</v>
      </c>
      <c r="S13" s="46">
        <v>67</v>
      </c>
      <c r="T13" s="46">
        <v>67</v>
      </c>
      <c r="U13" s="46">
        <v>67</v>
      </c>
      <c r="V13" s="46">
        <v>67</v>
      </c>
      <c r="W13" s="46">
        <v>67</v>
      </c>
      <c r="X13" s="46">
        <v>67</v>
      </c>
      <c r="Y13" s="46">
        <v>63</v>
      </c>
      <c r="Z13" s="46">
        <v>63</v>
      </c>
      <c r="AA13" s="46">
        <v>63</v>
      </c>
      <c r="AB13" s="46">
        <v>63</v>
      </c>
      <c r="AC13" s="46">
        <v>63</v>
      </c>
      <c r="AD13" s="46">
        <v>63</v>
      </c>
      <c r="AE13" s="46">
        <v>70.099999999999994</v>
      </c>
      <c r="AF13" s="46">
        <v>70.099999999999994</v>
      </c>
      <c r="AG13" s="50">
        <v>73</v>
      </c>
      <c r="AH13" s="48">
        <f t="shared" si="2"/>
        <v>70.099999999999994</v>
      </c>
      <c r="AI13" s="49">
        <f t="shared" si="3"/>
        <v>63</v>
      </c>
      <c r="AK13" s="51"/>
      <c r="AL13" s="52" t="str">
        <f ca="1">"Daily Load Curve(Excluding of Export) of Nepal ("&amp;A4&amp;" "&amp;B4&amp;")"</f>
        <v>Daily Load Curve(Excluding of Export) of Nepal (Nepali Date: 2080/10/21)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36.4</v>
      </c>
      <c r="C14" s="46">
        <v>36.4</v>
      </c>
      <c r="D14" s="46">
        <v>36.4</v>
      </c>
      <c r="E14" s="46">
        <v>36.4</v>
      </c>
      <c r="F14" s="46">
        <v>36.4</v>
      </c>
      <c r="G14" s="46">
        <v>36.4</v>
      </c>
      <c r="H14" s="46">
        <v>36.4</v>
      </c>
      <c r="I14" s="46">
        <v>36.4</v>
      </c>
      <c r="J14" s="46">
        <v>36.4</v>
      </c>
      <c r="K14" s="46">
        <v>36.4</v>
      </c>
      <c r="L14" s="46">
        <v>36.4</v>
      </c>
      <c r="M14" s="46">
        <v>36.4</v>
      </c>
      <c r="N14" s="46">
        <v>36.4</v>
      </c>
      <c r="O14" s="46">
        <v>36.4</v>
      </c>
      <c r="P14" s="46">
        <v>36.4</v>
      </c>
      <c r="Q14" s="46">
        <v>36.4</v>
      </c>
      <c r="R14" s="46">
        <v>36.4</v>
      </c>
      <c r="S14" s="46">
        <v>36.4</v>
      </c>
      <c r="T14" s="46">
        <v>36.4</v>
      </c>
      <c r="U14" s="46">
        <v>36.4</v>
      </c>
      <c r="V14" s="46">
        <v>36.4</v>
      </c>
      <c r="W14" s="46">
        <v>36.4</v>
      </c>
      <c r="X14" s="46">
        <v>36.4</v>
      </c>
      <c r="Y14" s="46">
        <v>36.4</v>
      </c>
      <c r="Z14" s="46">
        <v>39.5</v>
      </c>
      <c r="AA14" s="46">
        <v>39.5</v>
      </c>
      <c r="AB14" s="46">
        <v>39.5</v>
      </c>
      <c r="AC14" s="46">
        <v>39.5</v>
      </c>
      <c r="AD14" s="46">
        <v>0</v>
      </c>
      <c r="AE14" s="46">
        <v>0</v>
      </c>
      <c r="AF14" s="46">
        <v>0</v>
      </c>
      <c r="AG14" s="50">
        <v>71</v>
      </c>
      <c r="AH14" s="48">
        <f t="shared" si="2"/>
        <v>39.5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16.2</v>
      </c>
      <c r="C15" s="46">
        <v>16.2</v>
      </c>
      <c r="D15" s="46">
        <v>16.2</v>
      </c>
      <c r="E15" s="46">
        <v>16.2</v>
      </c>
      <c r="F15" s="46">
        <v>16.2</v>
      </c>
      <c r="G15" s="46">
        <v>16.2</v>
      </c>
      <c r="H15" s="46">
        <v>16.2</v>
      </c>
      <c r="I15" s="46">
        <v>16.2</v>
      </c>
      <c r="J15" s="46">
        <v>16.2</v>
      </c>
      <c r="K15" s="46">
        <v>16.2</v>
      </c>
      <c r="L15" s="46">
        <v>16.2</v>
      </c>
      <c r="M15" s="46">
        <v>16.2</v>
      </c>
      <c r="N15" s="46">
        <v>16.2</v>
      </c>
      <c r="O15" s="46">
        <v>16.2</v>
      </c>
      <c r="P15" s="46">
        <v>16.2</v>
      </c>
      <c r="Q15" s="46">
        <v>16.2</v>
      </c>
      <c r="R15" s="46">
        <v>16.2</v>
      </c>
      <c r="S15" s="46">
        <v>16.2</v>
      </c>
      <c r="T15" s="46">
        <v>16.2</v>
      </c>
      <c r="U15" s="46">
        <v>16.2</v>
      </c>
      <c r="V15" s="46">
        <v>16.2</v>
      </c>
      <c r="W15" s="46">
        <v>16.2</v>
      </c>
      <c r="X15" s="46">
        <v>16.2</v>
      </c>
      <c r="Y15" s="46">
        <v>16.2</v>
      </c>
      <c r="Z15" s="46">
        <v>16.2</v>
      </c>
      <c r="AA15" s="46">
        <v>16.2</v>
      </c>
      <c r="AB15" s="46">
        <v>16.2</v>
      </c>
      <c r="AC15" s="46">
        <v>16.2</v>
      </c>
      <c r="AD15" s="46">
        <v>16.2</v>
      </c>
      <c r="AE15" s="46">
        <v>16.2</v>
      </c>
      <c r="AF15" s="46">
        <v>16.2</v>
      </c>
      <c r="AG15" s="50">
        <v>54</v>
      </c>
      <c r="AH15" s="48">
        <f t="shared" si="2"/>
        <v>16.2</v>
      </c>
      <c r="AI15" s="49">
        <f t="shared" si="3"/>
        <v>16.2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26.9</v>
      </c>
      <c r="E16" s="46">
        <v>26.9</v>
      </c>
      <c r="F16" s="46">
        <v>26.9</v>
      </c>
      <c r="G16" s="46">
        <v>26.9</v>
      </c>
      <c r="H16" s="46">
        <v>26.9</v>
      </c>
      <c r="I16" s="46">
        <v>26.9</v>
      </c>
      <c r="J16" s="46">
        <v>26.9</v>
      </c>
      <c r="K16" s="46">
        <v>26.9</v>
      </c>
      <c r="L16" s="46">
        <v>26.9</v>
      </c>
      <c r="M16" s="46">
        <v>26.9</v>
      </c>
      <c r="N16" s="46">
        <v>26.9</v>
      </c>
      <c r="O16" s="46">
        <v>26.9</v>
      </c>
      <c r="P16" s="46">
        <v>26.9</v>
      </c>
      <c r="Q16" s="46">
        <v>26.9</v>
      </c>
      <c r="R16" s="46">
        <v>26.9</v>
      </c>
      <c r="S16" s="46">
        <v>26.9</v>
      </c>
      <c r="T16" s="46">
        <v>26.9</v>
      </c>
      <c r="U16" s="46">
        <v>26.9</v>
      </c>
      <c r="V16" s="46">
        <v>26.9</v>
      </c>
      <c r="W16" s="46">
        <v>26.9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27</v>
      </c>
      <c r="AG16" s="50">
        <v>54</v>
      </c>
      <c r="AH16" s="48">
        <f t="shared" si="2"/>
        <v>27</v>
      </c>
      <c r="AI16" s="49">
        <f t="shared" si="3"/>
        <v>26.9</v>
      </c>
      <c r="AK16" s="51"/>
      <c r="AL16" s="54" t="s">
        <v>7</v>
      </c>
      <c r="AM16" s="59">
        <f t="shared" ref="AM16:AR16" si="4">B61</f>
        <v>753.2</v>
      </c>
      <c r="AN16" s="59">
        <f t="shared" si="4"/>
        <v>753.2</v>
      </c>
      <c r="AO16" s="59">
        <f t="shared" si="4"/>
        <v>753.7</v>
      </c>
      <c r="AP16" s="59">
        <f t="shared" si="4"/>
        <v>753.7</v>
      </c>
      <c r="AQ16" s="59">
        <f t="shared" si="4"/>
        <v>753.7</v>
      </c>
      <c r="AR16" s="59">
        <f t="shared" si="4"/>
        <v>753.7</v>
      </c>
      <c r="AS16" s="59">
        <f>I61</f>
        <v>753.7</v>
      </c>
      <c r="AT16" s="59">
        <f>K61</f>
        <v>753.7</v>
      </c>
      <c r="AU16" s="59">
        <f t="shared" ref="AU16:BD16" si="5">M61</f>
        <v>753.7</v>
      </c>
      <c r="AV16" s="59">
        <f t="shared" si="5"/>
        <v>753.7</v>
      </c>
      <c r="AW16" s="59">
        <f t="shared" si="5"/>
        <v>753.7</v>
      </c>
      <c r="AX16" s="59">
        <f t="shared" si="5"/>
        <v>753.7</v>
      </c>
      <c r="AY16" s="59">
        <f t="shared" si="5"/>
        <v>753.7</v>
      </c>
      <c r="AZ16" s="59">
        <f t="shared" si="5"/>
        <v>753.7</v>
      </c>
      <c r="BA16" s="59">
        <f t="shared" si="5"/>
        <v>753.7</v>
      </c>
      <c r="BB16" s="59">
        <f t="shared" si="5"/>
        <v>753.7</v>
      </c>
      <c r="BC16" s="59">
        <f t="shared" si="5"/>
        <v>753.7</v>
      </c>
      <c r="BD16" s="59">
        <f t="shared" si="5"/>
        <v>753.7</v>
      </c>
      <c r="BE16" s="60">
        <f>X61</f>
        <v>755.2</v>
      </c>
      <c r="BF16" s="60">
        <f>Z61</f>
        <v>754.7</v>
      </c>
      <c r="BG16" s="60">
        <f>AB61</f>
        <v>754.7</v>
      </c>
      <c r="BH16" s="60">
        <f>AD61</f>
        <v>715.2</v>
      </c>
      <c r="BI16" s="60">
        <f>AE61</f>
        <v>723.90000000000009</v>
      </c>
      <c r="BJ16" s="60">
        <f>AF61</f>
        <v>723.00000000000011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18.100000000000001</v>
      </c>
      <c r="C17" s="46">
        <v>18.100000000000001</v>
      </c>
      <c r="D17" s="46">
        <v>18.100000000000001</v>
      </c>
      <c r="E17" s="46">
        <v>18.100000000000001</v>
      </c>
      <c r="F17" s="46">
        <v>18.100000000000001</v>
      </c>
      <c r="G17" s="46">
        <v>18.100000000000001</v>
      </c>
      <c r="H17" s="46">
        <v>18.100000000000001</v>
      </c>
      <c r="I17" s="46">
        <v>18.100000000000001</v>
      </c>
      <c r="J17" s="46">
        <v>18.100000000000001</v>
      </c>
      <c r="K17" s="46">
        <v>18.100000000000001</v>
      </c>
      <c r="L17" s="46">
        <v>18.100000000000001</v>
      </c>
      <c r="M17" s="46">
        <v>18.100000000000001</v>
      </c>
      <c r="N17" s="46">
        <v>18.100000000000001</v>
      </c>
      <c r="O17" s="46">
        <v>18.100000000000001</v>
      </c>
      <c r="P17" s="46">
        <v>18.100000000000001</v>
      </c>
      <c r="Q17" s="46">
        <v>18.100000000000001</v>
      </c>
      <c r="R17" s="46">
        <v>18.100000000000001</v>
      </c>
      <c r="S17" s="46">
        <v>18.100000000000001</v>
      </c>
      <c r="T17" s="46">
        <v>18.100000000000001</v>
      </c>
      <c r="U17" s="46">
        <v>18.100000000000001</v>
      </c>
      <c r="V17" s="46">
        <v>18.100000000000001</v>
      </c>
      <c r="W17" s="46">
        <v>18.100000000000001</v>
      </c>
      <c r="X17" s="46">
        <v>19</v>
      </c>
      <c r="Y17" s="46">
        <v>19</v>
      </c>
      <c r="Z17" s="46">
        <v>19</v>
      </c>
      <c r="AA17" s="46">
        <v>19</v>
      </c>
      <c r="AB17" s="46">
        <v>19</v>
      </c>
      <c r="AC17" s="46">
        <v>19</v>
      </c>
      <c r="AD17" s="46">
        <v>19</v>
      </c>
      <c r="AE17" s="46">
        <v>19</v>
      </c>
      <c r="AF17" s="46">
        <v>19</v>
      </c>
      <c r="AG17" s="47">
        <v>52.4</v>
      </c>
      <c r="AH17" s="48">
        <f t="shared" si="2"/>
        <v>19</v>
      </c>
      <c r="AI17" s="49">
        <f t="shared" si="3"/>
        <v>18.100000000000001</v>
      </c>
      <c r="AK17" s="51"/>
      <c r="AL17" s="54" t="s">
        <v>27</v>
      </c>
      <c r="AM17" s="59">
        <f t="shared" ref="AM17:AR17" si="6">B65</f>
        <v>327.5</v>
      </c>
      <c r="AN17" s="59">
        <f t="shared" si="6"/>
        <v>300.89999999999998</v>
      </c>
      <c r="AO17" s="59">
        <f t="shared" si="6"/>
        <v>300.89999999999998</v>
      </c>
      <c r="AP17" s="59">
        <f t="shared" si="6"/>
        <v>301.89999999999998</v>
      </c>
      <c r="AQ17" s="59">
        <f t="shared" si="6"/>
        <v>300.89999999999998</v>
      </c>
      <c r="AR17" s="59">
        <f t="shared" si="6"/>
        <v>271.89999999999998</v>
      </c>
      <c r="AS17" s="59">
        <f>I65</f>
        <v>312.3</v>
      </c>
      <c r="AT17" s="59">
        <f>K65</f>
        <v>198.20000000000002</v>
      </c>
      <c r="AU17" s="59">
        <f t="shared" ref="AU17:BD17" si="7">M65</f>
        <v>217.8</v>
      </c>
      <c r="AV17" s="59">
        <f t="shared" si="7"/>
        <v>201.8</v>
      </c>
      <c r="AW17" s="59">
        <f t="shared" si="7"/>
        <v>498.8</v>
      </c>
      <c r="AX17" s="59">
        <f t="shared" si="7"/>
        <v>200.8</v>
      </c>
      <c r="AY17" s="59">
        <f t="shared" si="7"/>
        <v>200.8</v>
      </c>
      <c r="AZ17" s="59">
        <f t="shared" si="7"/>
        <v>214.8</v>
      </c>
      <c r="BA17" s="59">
        <f t="shared" si="7"/>
        <v>214.8</v>
      </c>
      <c r="BB17" s="59">
        <f t="shared" si="7"/>
        <v>360.5</v>
      </c>
      <c r="BC17" s="59">
        <f t="shared" si="7"/>
        <v>420.5</v>
      </c>
      <c r="BD17" s="59">
        <f t="shared" si="7"/>
        <v>62.1</v>
      </c>
      <c r="BE17" s="60">
        <f>X65</f>
        <v>62.1</v>
      </c>
      <c r="BF17" s="60">
        <f>Z65</f>
        <v>413.9</v>
      </c>
      <c r="BG17" s="60">
        <f>AB65</f>
        <v>442.4</v>
      </c>
      <c r="BH17" s="60">
        <f>AD65</f>
        <v>462.5</v>
      </c>
      <c r="BI17" s="60">
        <f>AE65</f>
        <v>412.5</v>
      </c>
      <c r="BJ17" s="60">
        <f>AF65</f>
        <v>262.5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50.4</v>
      </c>
      <c r="S18" s="46">
        <v>50.4</v>
      </c>
      <c r="T18" s="46">
        <v>50.4</v>
      </c>
      <c r="U18" s="46">
        <v>50.4</v>
      </c>
      <c r="V18" s="46">
        <v>50.4</v>
      </c>
      <c r="W18" s="46">
        <v>50.4</v>
      </c>
      <c r="X18" s="46">
        <v>50.4</v>
      </c>
      <c r="Y18" s="46">
        <v>50.4</v>
      </c>
      <c r="Z18" s="46">
        <v>50.4</v>
      </c>
      <c r="AA18" s="46">
        <v>50.4</v>
      </c>
      <c r="AB18" s="46">
        <v>50.4</v>
      </c>
      <c r="AC18" s="46">
        <v>50.4</v>
      </c>
      <c r="AD18" s="46">
        <v>50.4</v>
      </c>
      <c r="AE18" s="46">
        <v>50.4</v>
      </c>
      <c r="AF18" s="46">
        <v>50.4</v>
      </c>
      <c r="AG18" s="50">
        <v>50</v>
      </c>
      <c r="AH18" s="48">
        <f t="shared" si="2"/>
        <v>50.4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407.04</v>
      </c>
      <c r="AN18" s="59">
        <f t="shared" si="8"/>
        <v>407.04</v>
      </c>
      <c r="AO18" s="59">
        <f t="shared" si="8"/>
        <v>407.04</v>
      </c>
      <c r="AP18" s="59">
        <f t="shared" si="8"/>
        <v>410.44</v>
      </c>
      <c r="AQ18" s="59">
        <f t="shared" si="8"/>
        <v>410.34000000000003</v>
      </c>
      <c r="AR18" s="59">
        <f t="shared" si="8"/>
        <v>411.04</v>
      </c>
      <c r="AS18" s="59">
        <f>I79</f>
        <v>407.54</v>
      </c>
      <c r="AT18" s="59">
        <f>K79</f>
        <v>421.24</v>
      </c>
      <c r="AU18" s="59">
        <f t="shared" ref="AU18:BD18" si="9">M79</f>
        <v>420.64</v>
      </c>
      <c r="AV18" s="59">
        <f t="shared" si="9"/>
        <v>424.84</v>
      </c>
      <c r="AW18" s="59">
        <f t="shared" si="9"/>
        <v>425.64</v>
      </c>
      <c r="AX18" s="59">
        <f t="shared" si="9"/>
        <v>427.04</v>
      </c>
      <c r="AY18" s="59">
        <f t="shared" si="9"/>
        <v>424.84000000000003</v>
      </c>
      <c r="AZ18" s="59">
        <f t="shared" si="9"/>
        <v>425.64</v>
      </c>
      <c r="BA18" s="59">
        <f t="shared" si="9"/>
        <v>428.34</v>
      </c>
      <c r="BB18" s="59">
        <f t="shared" si="9"/>
        <v>432.34</v>
      </c>
      <c r="BC18" s="59">
        <f t="shared" si="9"/>
        <v>428.14</v>
      </c>
      <c r="BD18" s="59">
        <f t="shared" si="9"/>
        <v>424.24</v>
      </c>
      <c r="BE18" s="60">
        <f>X79</f>
        <v>309.74</v>
      </c>
      <c r="BF18" s="60">
        <f>Z79</f>
        <v>397.49999999999994</v>
      </c>
      <c r="BG18" s="60">
        <f>AB79</f>
        <v>265.64000000000004</v>
      </c>
      <c r="BH18" s="60">
        <f>AD79</f>
        <v>363.14</v>
      </c>
      <c r="BI18" s="60">
        <f>AE79</f>
        <v>408.53999999999996</v>
      </c>
      <c r="BJ18" s="60">
        <f>AF79</f>
        <v>400.53999999999996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25</v>
      </c>
      <c r="C19" s="46">
        <v>25</v>
      </c>
      <c r="D19" s="46">
        <v>25</v>
      </c>
      <c r="E19" s="46">
        <v>25</v>
      </c>
      <c r="F19" s="46">
        <v>25</v>
      </c>
      <c r="G19" s="46">
        <v>25</v>
      </c>
      <c r="H19" s="46">
        <v>25</v>
      </c>
      <c r="I19" s="46">
        <v>25</v>
      </c>
      <c r="J19" s="46">
        <v>25</v>
      </c>
      <c r="K19" s="46">
        <v>25</v>
      </c>
      <c r="L19" s="46">
        <v>25</v>
      </c>
      <c r="M19" s="46">
        <v>25</v>
      </c>
      <c r="N19" s="46">
        <v>25</v>
      </c>
      <c r="O19" s="46">
        <v>25</v>
      </c>
      <c r="P19" s="46">
        <v>25</v>
      </c>
      <c r="Q19" s="46">
        <v>25</v>
      </c>
      <c r="R19" s="46">
        <v>25</v>
      </c>
      <c r="S19" s="46">
        <v>25</v>
      </c>
      <c r="T19" s="46">
        <v>25</v>
      </c>
      <c r="U19" s="46">
        <v>25</v>
      </c>
      <c r="V19" s="46">
        <v>25</v>
      </c>
      <c r="W19" s="46">
        <v>25</v>
      </c>
      <c r="X19" s="46">
        <v>25</v>
      </c>
      <c r="Y19" s="46">
        <v>25</v>
      </c>
      <c r="Z19" s="46">
        <v>25</v>
      </c>
      <c r="AA19" s="46">
        <v>25</v>
      </c>
      <c r="AB19" s="46">
        <v>25</v>
      </c>
      <c r="AC19" s="46">
        <v>25</v>
      </c>
      <c r="AD19" s="46">
        <v>25</v>
      </c>
      <c r="AE19" s="46">
        <v>25</v>
      </c>
      <c r="AF19" s="46">
        <v>25</v>
      </c>
      <c r="AG19" s="50">
        <v>45</v>
      </c>
      <c r="AH19" s="48">
        <f t="shared" si="2"/>
        <v>25</v>
      </c>
      <c r="AI19" s="49">
        <f t="shared" si="3"/>
        <v>25</v>
      </c>
      <c r="AK19" s="51"/>
      <c r="AL19" s="54" t="s">
        <v>31</v>
      </c>
      <c r="AM19" s="59">
        <f t="shared" ref="AM19:AR19" si="10">B95</f>
        <v>30</v>
      </c>
      <c r="AN19" s="59">
        <f t="shared" si="10"/>
        <v>21</v>
      </c>
      <c r="AO19" s="59">
        <f t="shared" si="10"/>
        <v>25</v>
      </c>
      <c r="AP19" s="59">
        <f t="shared" si="10"/>
        <v>9.6</v>
      </c>
      <c r="AQ19" s="59">
        <f t="shared" si="10"/>
        <v>9.6999999999999993</v>
      </c>
      <c r="AR19" s="59">
        <f t="shared" si="10"/>
        <v>10.8</v>
      </c>
      <c r="AS19" s="59">
        <f>I95</f>
        <v>13.7</v>
      </c>
      <c r="AT19" s="59">
        <f>K95</f>
        <v>256.60000000000002</v>
      </c>
      <c r="AU19" s="59">
        <f t="shared" ref="AU19:BD19" si="11">M95</f>
        <v>270</v>
      </c>
      <c r="AV19" s="59">
        <f t="shared" si="11"/>
        <v>366.7</v>
      </c>
      <c r="AW19" s="59">
        <f t="shared" si="11"/>
        <v>240</v>
      </c>
      <c r="AX19" s="59">
        <f t="shared" si="11"/>
        <v>526.70000000000005</v>
      </c>
      <c r="AY19" s="59">
        <f t="shared" si="11"/>
        <v>535.79999999999995</v>
      </c>
      <c r="AZ19" s="59">
        <f t="shared" si="11"/>
        <v>519.29999999999995</v>
      </c>
      <c r="BA19" s="59">
        <f t="shared" si="11"/>
        <v>517.9</v>
      </c>
      <c r="BB19" s="59">
        <f t="shared" si="11"/>
        <v>348.6</v>
      </c>
      <c r="BC19" s="59">
        <f t="shared" si="11"/>
        <v>381.5</v>
      </c>
      <c r="BD19" s="59">
        <f t="shared" si="11"/>
        <v>482.00000000000006</v>
      </c>
      <c r="BE19" s="60">
        <f>X95</f>
        <v>462.1</v>
      </c>
      <c r="BF19" s="60">
        <f>Z95</f>
        <v>76.599999999999994</v>
      </c>
      <c r="BG19" s="60">
        <f>AB95</f>
        <v>0</v>
      </c>
      <c r="BH19" s="60">
        <f>AD95</f>
        <v>93.4</v>
      </c>
      <c r="BI19" s="60">
        <f>AE95</f>
        <v>59.3</v>
      </c>
      <c r="BJ19" s="60">
        <f>AF95</f>
        <v>58.7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26.3</v>
      </c>
      <c r="C20" s="46">
        <v>26.3</v>
      </c>
      <c r="D20" s="46">
        <v>26.3</v>
      </c>
      <c r="E20" s="46">
        <v>26.3</v>
      </c>
      <c r="F20" s="46">
        <v>26.3</v>
      </c>
      <c r="G20" s="46">
        <v>26.3</v>
      </c>
      <c r="H20" s="46">
        <v>26.3</v>
      </c>
      <c r="I20" s="46">
        <v>26.3</v>
      </c>
      <c r="J20" s="46">
        <v>26.3</v>
      </c>
      <c r="K20" s="46">
        <v>26.3</v>
      </c>
      <c r="L20" s="46">
        <v>26.3</v>
      </c>
      <c r="M20" s="46">
        <v>26.3</v>
      </c>
      <c r="N20" s="46">
        <v>26.3</v>
      </c>
      <c r="O20" s="46">
        <v>26.3</v>
      </c>
      <c r="P20" s="46">
        <v>26.3</v>
      </c>
      <c r="Q20" s="46">
        <v>26.3</v>
      </c>
      <c r="R20" s="46">
        <v>26.3</v>
      </c>
      <c r="S20" s="46">
        <v>26.3</v>
      </c>
      <c r="T20" s="46">
        <v>26.3</v>
      </c>
      <c r="U20" s="46">
        <v>26.3</v>
      </c>
      <c r="V20" s="46">
        <v>26.3</v>
      </c>
      <c r="W20" s="46">
        <v>26.3</v>
      </c>
      <c r="X20" s="46">
        <v>26.3</v>
      </c>
      <c r="Y20" s="46">
        <v>26.3</v>
      </c>
      <c r="Z20" s="46">
        <v>26.3</v>
      </c>
      <c r="AA20" s="46">
        <v>26.3</v>
      </c>
      <c r="AB20" s="46">
        <v>26.3</v>
      </c>
      <c r="AC20" s="46">
        <v>26.3</v>
      </c>
      <c r="AD20" s="46">
        <v>26.3</v>
      </c>
      <c r="AE20" s="46">
        <v>26.3</v>
      </c>
      <c r="AF20" s="46">
        <v>26.3</v>
      </c>
      <c r="AG20" s="50">
        <v>44</v>
      </c>
      <c r="AH20" s="48">
        <f t="shared" si="2"/>
        <v>26.3</v>
      </c>
      <c r="AI20" s="49">
        <f t="shared" si="3"/>
        <v>26.3</v>
      </c>
      <c r="AK20" s="51"/>
      <c r="AL20" s="54" t="s">
        <v>33</v>
      </c>
      <c r="AM20" s="59">
        <f t="shared" ref="AM20:AR20" si="12">B83</f>
        <v>81.8</v>
      </c>
      <c r="AN20" s="59">
        <f t="shared" si="12"/>
        <v>97.699999999999989</v>
      </c>
      <c r="AO20" s="59">
        <f t="shared" si="12"/>
        <v>80.099999999999994</v>
      </c>
      <c r="AP20" s="59">
        <f t="shared" si="12"/>
        <v>99.4</v>
      </c>
      <c r="AQ20" s="59">
        <f t="shared" si="12"/>
        <v>59.3</v>
      </c>
      <c r="AR20" s="59">
        <f t="shared" si="12"/>
        <v>60.699999999999996</v>
      </c>
      <c r="AS20" s="59">
        <f>I83</f>
        <v>82.699999999999989</v>
      </c>
      <c r="AT20" s="59">
        <f>K83</f>
        <v>100.30000000000001</v>
      </c>
      <c r="AU20" s="59">
        <f t="shared" ref="AU20:BD20" si="13">M83</f>
        <v>100.30000000000001</v>
      </c>
      <c r="AV20" s="59">
        <f t="shared" si="13"/>
        <v>100.30000000000001</v>
      </c>
      <c r="AW20" s="59">
        <f t="shared" si="13"/>
        <v>100.30000000000001</v>
      </c>
      <c r="AX20" s="59">
        <f t="shared" si="13"/>
        <v>100.30000000000001</v>
      </c>
      <c r="AY20" s="59">
        <f t="shared" si="13"/>
        <v>100.30000000000001</v>
      </c>
      <c r="AZ20" s="59">
        <f t="shared" si="13"/>
        <v>100.30000000000001</v>
      </c>
      <c r="BA20" s="59">
        <f t="shared" si="13"/>
        <v>100.30000000000001</v>
      </c>
      <c r="BB20" s="59">
        <f t="shared" si="13"/>
        <v>99.2</v>
      </c>
      <c r="BC20" s="59">
        <f t="shared" si="13"/>
        <v>99.2</v>
      </c>
      <c r="BD20" s="59">
        <f t="shared" si="13"/>
        <v>99.4</v>
      </c>
      <c r="BE20" s="60">
        <f>X83</f>
        <v>15.400000000000002</v>
      </c>
      <c r="BF20" s="60">
        <f>Z83</f>
        <v>99</v>
      </c>
      <c r="BG20" s="60">
        <f>AB83</f>
        <v>99</v>
      </c>
      <c r="BH20" s="60">
        <f>AD83</f>
        <v>99</v>
      </c>
      <c r="BI20" s="60">
        <f>AE83</f>
        <v>62.5</v>
      </c>
      <c r="BJ20" s="60">
        <f>AF83</f>
        <v>50.199999999999996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120</v>
      </c>
      <c r="AN21" s="59">
        <f t="shared" si="14"/>
        <v>120</v>
      </c>
      <c r="AO21" s="59">
        <f t="shared" si="14"/>
        <v>120</v>
      </c>
      <c r="AP21" s="59">
        <f t="shared" si="14"/>
        <v>120</v>
      </c>
      <c r="AQ21" s="59">
        <f t="shared" si="14"/>
        <v>120</v>
      </c>
      <c r="AR21" s="59">
        <f t="shared" si="14"/>
        <v>120</v>
      </c>
      <c r="AS21" s="59">
        <f>I101</f>
        <v>100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100</v>
      </c>
      <c r="BF21" s="60">
        <f>Z101</f>
        <v>200</v>
      </c>
      <c r="BG21" s="60">
        <f>AB101</f>
        <v>200</v>
      </c>
      <c r="BH21" s="60">
        <f>AD101</f>
        <v>200</v>
      </c>
      <c r="BI21" s="60">
        <f>AE101</f>
        <v>100</v>
      </c>
      <c r="BJ21" s="60">
        <f>AF101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21.1</v>
      </c>
      <c r="C22" s="46">
        <v>21.1</v>
      </c>
      <c r="D22" s="46">
        <v>21.1</v>
      </c>
      <c r="E22" s="46">
        <v>21.1</v>
      </c>
      <c r="F22" s="46">
        <v>21.1</v>
      </c>
      <c r="G22" s="46">
        <v>21.1</v>
      </c>
      <c r="H22" s="46">
        <v>21.1</v>
      </c>
      <c r="I22" s="46">
        <v>21.1</v>
      </c>
      <c r="J22" s="46">
        <v>21.1</v>
      </c>
      <c r="K22" s="46">
        <v>21.1</v>
      </c>
      <c r="L22" s="46">
        <v>21.1</v>
      </c>
      <c r="M22" s="46">
        <v>21.1</v>
      </c>
      <c r="N22" s="46">
        <v>21.1</v>
      </c>
      <c r="O22" s="46">
        <v>21.1</v>
      </c>
      <c r="P22" s="46">
        <v>21.1</v>
      </c>
      <c r="Q22" s="46">
        <v>21.1</v>
      </c>
      <c r="R22" s="46">
        <v>21.1</v>
      </c>
      <c r="S22" s="46">
        <v>21.1</v>
      </c>
      <c r="T22" s="46">
        <v>21.1</v>
      </c>
      <c r="U22" s="46">
        <v>21.1</v>
      </c>
      <c r="V22" s="46">
        <v>21.1</v>
      </c>
      <c r="W22" s="46">
        <v>21.1</v>
      </c>
      <c r="X22" s="46">
        <v>21.1</v>
      </c>
      <c r="Y22" s="46">
        <v>21.1</v>
      </c>
      <c r="Z22" s="46">
        <v>21.1</v>
      </c>
      <c r="AA22" s="46">
        <v>21.1</v>
      </c>
      <c r="AB22" s="46">
        <v>21.1</v>
      </c>
      <c r="AC22" s="46">
        <v>21.1</v>
      </c>
      <c r="AD22" s="46">
        <v>21.1</v>
      </c>
      <c r="AE22" s="46">
        <v>21.1</v>
      </c>
      <c r="AF22" s="46">
        <v>21.1</v>
      </c>
      <c r="AG22" s="50">
        <v>38.46</v>
      </c>
      <c r="AH22" s="48">
        <f t="shared" si="2"/>
        <v>21.1</v>
      </c>
      <c r="AI22" s="49">
        <f t="shared" si="3"/>
        <v>21.1</v>
      </c>
      <c r="AK22" s="51"/>
      <c r="AL22" s="62" t="s">
        <v>37</v>
      </c>
      <c r="AM22" s="63">
        <f t="shared" ref="AM22:BJ22" si="16">SUM(AM16:AM21)</f>
        <v>1719.54</v>
      </c>
      <c r="AN22" s="63">
        <f t="shared" si="16"/>
        <v>1699.84</v>
      </c>
      <c r="AO22" s="63">
        <f t="shared" si="16"/>
        <v>1686.7399999999998</v>
      </c>
      <c r="AP22" s="63">
        <f t="shared" si="16"/>
        <v>1695.04</v>
      </c>
      <c r="AQ22" s="63">
        <f t="shared" si="16"/>
        <v>1653.94</v>
      </c>
      <c r="AR22" s="63">
        <f t="shared" si="16"/>
        <v>1628.1399999999999</v>
      </c>
      <c r="AS22" s="63">
        <f t="shared" si="16"/>
        <v>1669.94</v>
      </c>
      <c r="AT22" s="63">
        <f t="shared" si="16"/>
        <v>1730.0400000000002</v>
      </c>
      <c r="AU22" s="63">
        <f t="shared" si="16"/>
        <v>1762.4399999999998</v>
      </c>
      <c r="AV22" s="63">
        <f t="shared" si="16"/>
        <v>1847.34</v>
      </c>
      <c r="AW22" s="63">
        <f t="shared" si="16"/>
        <v>2018.4399999999998</v>
      </c>
      <c r="AX22" s="63">
        <f t="shared" si="16"/>
        <v>2008.54</v>
      </c>
      <c r="AY22" s="63">
        <f t="shared" si="16"/>
        <v>2015.44</v>
      </c>
      <c r="AZ22" s="63">
        <f t="shared" si="16"/>
        <v>2013.7399999999998</v>
      </c>
      <c r="BA22" s="63">
        <f t="shared" si="16"/>
        <v>2015.0399999999997</v>
      </c>
      <c r="BB22" s="63">
        <f t="shared" si="16"/>
        <v>1994.34</v>
      </c>
      <c r="BC22" s="63">
        <f t="shared" si="16"/>
        <v>2083.04</v>
      </c>
      <c r="BD22" s="63">
        <f t="shared" si="16"/>
        <v>1821.44</v>
      </c>
      <c r="BE22" s="63">
        <f t="shared" si="16"/>
        <v>1704.54</v>
      </c>
      <c r="BF22" s="63">
        <f t="shared" si="16"/>
        <v>1941.6999999999998</v>
      </c>
      <c r="BG22" s="63">
        <f t="shared" si="16"/>
        <v>1761.74</v>
      </c>
      <c r="BH22" s="63">
        <f t="shared" si="16"/>
        <v>1933.2400000000002</v>
      </c>
      <c r="BI22" s="63">
        <f t="shared" si="16"/>
        <v>1766.74</v>
      </c>
      <c r="BJ22" s="63">
        <f t="shared" si="16"/>
        <v>1594.94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30</v>
      </c>
      <c r="C23" s="46">
        <v>30</v>
      </c>
      <c r="D23" s="46">
        <v>30</v>
      </c>
      <c r="E23" s="46">
        <v>30</v>
      </c>
      <c r="F23" s="46">
        <v>30</v>
      </c>
      <c r="G23" s="46">
        <v>30</v>
      </c>
      <c r="H23" s="46">
        <v>30</v>
      </c>
      <c r="I23" s="46">
        <v>30</v>
      </c>
      <c r="J23" s="46">
        <v>30</v>
      </c>
      <c r="K23" s="46">
        <v>30</v>
      </c>
      <c r="L23" s="46">
        <v>30</v>
      </c>
      <c r="M23" s="46">
        <v>30</v>
      </c>
      <c r="N23" s="46">
        <v>30</v>
      </c>
      <c r="O23" s="46">
        <v>30</v>
      </c>
      <c r="P23" s="46">
        <v>30</v>
      </c>
      <c r="Q23" s="46">
        <v>30</v>
      </c>
      <c r="R23" s="46">
        <v>30</v>
      </c>
      <c r="S23" s="46">
        <v>30</v>
      </c>
      <c r="T23" s="46">
        <v>30</v>
      </c>
      <c r="U23" s="46">
        <v>30</v>
      </c>
      <c r="V23" s="46">
        <v>30</v>
      </c>
      <c r="W23" s="46">
        <v>30</v>
      </c>
      <c r="X23" s="46">
        <v>30</v>
      </c>
      <c r="Y23" s="46">
        <v>30</v>
      </c>
      <c r="Z23" s="46">
        <v>30</v>
      </c>
      <c r="AA23" s="46">
        <v>30</v>
      </c>
      <c r="AB23" s="46">
        <v>30</v>
      </c>
      <c r="AC23" s="46">
        <v>30</v>
      </c>
      <c r="AD23" s="46">
        <v>30</v>
      </c>
      <c r="AE23" s="46">
        <v>30</v>
      </c>
      <c r="AF23" s="46">
        <v>30</v>
      </c>
      <c r="AG23" s="50">
        <v>38.46</v>
      </c>
      <c r="AH23" s="48">
        <f t="shared" si="2"/>
        <v>30</v>
      </c>
      <c r="AI23" s="49">
        <f t="shared" si="3"/>
        <v>30</v>
      </c>
      <c r="AK23" s="51"/>
      <c r="AL23" s="62" t="s">
        <v>39</v>
      </c>
      <c r="AM23" s="63">
        <f t="shared" ref="AM23:AR23" si="17">B110*-1</f>
        <v>-109</v>
      </c>
      <c r="AN23" s="63">
        <f t="shared" si="17"/>
        <v>-95</v>
      </c>
      <c r="AO23" s="63">
        <f t="shared" si="17"/>
        <v>-110</v>
      </c>
      <c r="AP23" s="63">
        <f t="shared" si="17"/>
        <v>-127</v>
      </c>
      <c r="AQ23" s="63">
        <f t="shared" si="17"/>
        <v>-104</v>
      </c>
      <c r="AR23" s="63">
        <f t="shared" si="17"/>
        <v>-109.2</v>
      </c>
      <c r="AS23" s="63">
        <f>I110*-1</f>
        <v>-119.5</v>
      </c>
      <c r="AT23" s="63">
        <f>K110*-1</f>
        <v>0</v>
      </c>
      <c r="AU23" s="63">
        <f t="shared" ref="AU23:BD23" si="18">M110*-1</f>
        <v>0</v>
      </c>
      <c r="AV23" s="63">
        <f t="shared" si="18"/>
        <v>0</v>
      </c>
      <c r="AW23" s="63">
        <f t="shared" si="18"/>
        <v>-108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-116</v>
      </c>
      <c r="BD23" s="63">
        <f t="shared" si="18"/>
        <v>0</v>
      </c>
      <c r="BE23" s="63">
        <f>X110*-1</f>
        <v>0</v>
      </c>
      <c r="BF23" s="63">
        <f>Z110*-1</f>
        <v>-114</v>
      </c>
      <c r="BG23" s="63">
        <f>AB110*-1</f>
        <v>0</v>
      </c>
      <c r="BH23" s="63">
        <f>AD110*-1</f>
        <v>-114</v>
      </c>
      <c r="BI23" s="63">
        <f>AE110*-1</f>
        <v>-126</v>
      </c>
      <c r="BJ23" s="63">
        <f>AF110*-1</f>
        <v>-115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1610.54</v>
      </c>
      <c r="AN24" s="63">
        <f t="shared" si="19"/>
        <v>1604.84</v>
      </c>
      <c r="AO24" s="63">
        <f t="shared" si="19"/>
        <v>1576.7399999999998</v>
      </c>
      <c r="AP24" s="63">
        <f t="shared" si="19"/>
        <v>1568.04</v>
      </c>
      <c r="AQ24" s="63">
        <f t="shared" si="19"/>
        <v>1549.94</v>
      </c>
      <c r="AR24" s="63">
        <f t="shared" si="19"/>
        <v>1518.9399999999998</v>
      </c>
      <c r="AS24" s="63">
        <f t="shared" si="19"/>
        <v>1550.44</v>
      </c>
      <c r="AT24" s="63">
        <f t="shared" si="19"/>
        <v>1730.0400000000002</v>
      </c>
      <c r="AU24" s="63">
        <f t="shared" si="19"/>
        <v>1762.4399999999998</v>
      </c>
      <c r="AV24" s="63">
        <f t="shared" si="19"/>
        <v>1847.34</v>
      </c>
      <c r="AW24" s="63">
        <f t="shared" si="19"/>
        <v>1910.4399999999998</v>
      </c>
      <c r="AX24" s="63">
        <f t="shared" si="19"/>
        <v>2008.54</v>
      </c>
      <c r="AY24" s="63">
        <f t="shared" si="19"/>
        <v>2015.44</v>
      </c>
      <c r="AZ24" s="63">
        <f t="shared" si="19"/>
        <v>2013.7399999999998</v>
      </c>
      <c r="BA24" s="63">
        <f t="shared" si="19"/>
        <v>2015.0399999999997</v>
      </c>
      <c r="BB24" s="63">
        <f t="shared" si="19"/>
        <v>1994.34</v>
      </c>
      <c r="BC24" s="63">
        <f t="shared" si="19"/>
        <v>1967.04</v>
      </c>
      <c r="BD24" s="63">
        <f t="shared" si="19"/>
        <v>1821.44</v>
      </c>
      <c r="BE24" s="63">
        <f t="shared" si="19"/>
        <v>1704.54</v>
      </c>
      <c r="BF24" s="63">
        <f t="shared" si="19"/>
        <v>1827.6999999999998</v>
      </c>
      <c r="BG24" s="63">
        <f t="shared" si="19"/>
        <v>1761.74</v>
      </c>
      <c r="BH24" s="63">
        <f t="shared" si="19"/>
        <v>1819.2400000000002</v>
      </c>
      <c r="BI24" s="63">
        <f t="shared" si="19"/>
        <v>1640.74</v>
      </c>
      <c r="BJ24" s="63">
        <f t="shared" si="19"/>
        <v>1479.94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13</v>
      </c>
      <c r="C25" s="46">
        <v>13</v>
      </c>
      <c r="D25" s="46">
        <v>13</v>
      </c>
      <c r="E25" s="46">
        <v>13</v>
      </c>
      <c r="F25" s="46">
        <v>13</v>
      </c>
      <c r="G25" s="46">
        <v>13</v>
      </c>
      <c r="H25" s="46">
        <v>13</v>
      </c>
      <c r="I25" s="46">
        <v>13</v>
      </c>
      <c r="J25" s="46">
        <v>13</v>
      </c>
      <c r="K25" s="46">
        <v>13</v>
      </c>
      <c r="L25" s="46">
        <v>13</v>
      </c>
      <c r="M25" s="46">
        <v>13</v>
      </c>
      <c r="N25" s="46">
        <v>13</v>
      </c>
      <c r="O25" s="46">
        <v>13</v>
      </c>
      <c r="P25" s="46">
        <v>13</v>
      </c>
      <c r="Q25" s="46">
        <v>13</v>
      </c>
      <c r="R25" s="46">
        <v>13</v>
      </c>
      <c r="S25" s="46">
        <v>13</v>
      </c>
      <c r="T25" s="46">
        <v>13</v>
      </c>
      <c r="U25" s="46">
        <v>13</v>
      </c>
      <c r="V25" s="46">
        <v>13</v>
      </c>
      <c r="W25" s="46">
        <v>13</v>
      </c>
      <c r="X25" s="46">
        <v>13</v>
      </c>
      <c r="Y25" s="46">
        <v>13</v>
      </c>
      <c r="Z25" s="46">
        <v>13</v>
      </c>
      <c r="AA25" s="46">
        <v>13</v>
      </c>
      <c r="AB25" s="46">
        <v>13</v>
      </c>
      <c r="AC25" s="46">
        <v>13</v>
      </c>
      <c r="AD25" s="46">
        <v>13</v>
      </c>
      <c r="AE25" s="46">
        <v>13</v>
      </c>
      <c r="AF25" s="46">
        <v>13</v>
      </c>
      <c r="AG25" s="61">
        <v>30</v>
      </c>
      <c r="AH25" s="48">
        <f t="shared" si="2"/>
        <v>13</v>
      </c>
      <c r="AI25" s="49">
        <f t="shared" si="3"/>
        <v>13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>
        <v>11.5</v>
      </c>
      <c r="X26" s="46">
        <v>11.5</v>
      </c>
      <c r="Y26" s="46">
        <v>11.5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10.3</v>
      </c>
      <c r="C27" s="46">
        <v>10.3</v>
      </c>
      <c r="D27" s="46">
        <v>10.3</v>
      </c>
      <c r="E27" s="46">
        <v>10.3</v>
      </c>
      <c r="F27" s="46">
        <v>10.3</v>
      </c>
      <c r="G27" s="46">
        <v>10.3</v>
      </c>
      <c r="H27" s="46">
        <v>10.3</v>
      </c>
      <c r="I27" s="46">
        <v>10.3</v>
      </c>
      <c r="J27" s="46">
        <v>10.3</v>
      </c>
      <c r="K27" s="46">
        <v>10.3</v>
      </c>
      <c r="L27" s="46">
        <v>10.3</v>
      </c>
      <c r="M27" s="46">
        <v>10.3</v>
      </c>
      <c r="N27" s="46">
        <v>10.3</v>
      </c>
      <c r="O27" s="46">
        <v>10.3</v>
      </c>
      <c r="P27" s="46">
        <v>10.3</v>
      </c>
      <c r="Q27" s="46">
        <v>10.3</v>
      </c>
      <c r="R27" s="46">
        <v>10.3</v>
      </c>
      <c r="S27" s="46">
        <v>10.3</v>
      </c>
      <c r="T27" s="46">
        <v>10.3</v>
      </c>
      <c r="U27" s="46">
        <v>10.3</v>
      </c>
      <c r="V27" s="46">
        <v>10.3</v>
      </c>
      <c r="W27" s="46">
        <v>10.3</v>
      </c>
      <c r="X27" s="46">
        <v>10.3</v>
      </c>
      <c r="Y27" s="46">
        <v>10.3</v>
      </c>
      <c r="Z27" s="46">
        <v>10.3</v>
      </c>
      <c r="AA27" s="46">
        <v>10.3</v>
      </c>
      <c r="AB27" s="46">
        <v>10.3</v>
      </c>
      <c r="AC27" s="46">
        <v>10.3</v>
      </c>
      <c r="AD27" s="46">
        <v>10.3</v>
      </c>
      <c r="AE27" s="46">
        <v>10.3</v>
      </c>
      <c r="AF27" s="46">
        <v>10.3</v>
      </c>
      <c r="AG27" s="50">
        <v>28</v>
      </c>
      <c r="AH27" s="48">
        <f t="shared" si="2"/>
        <v>10.3</v>
      </c>
      <c r="AI27" s="49">
        <f t="shared" si="3"/>
        <v>10.3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10.8</v>
      </c>
      <c r="C28" s="46">
        <v>10.8</v>
      </c>
      <c r="D28" s="46">
        <v>10.8</v>
      </c>
      <c r="E28" s="46">
        <v>10.8</v>
      </c>
      <c r="F28" s="46">
        <v>10.8</v>
      </c>
      <c r="G28" s="46">
        <v>10.8</v>
      </c>
      <c r="H28" s="46">
        <v>10.8</v>
      </c>
      <c r="I28" s="46">
        <v>10.8</v>
      </c>
      <c r="J28" s="46">
        <v>10.8</v>
      </c>
      <c r="K28" s="46">
        <v>10.8</v>
      </c>
      <c r="L28" s="46">
        <v>10.8</v>
      </c>
      <c r="M28" s="46">
        <v>10.8</v>
      </c>
      <c r="N28" s="46">
        <v>10.8</v>
      </c>
      <c r="O28" s="46">
        <v>10.8</v>
      </c>
      <c r="P28" s="46">
        <v>10.8</v>
      </c>
      <c r="Q28" s="46">
        <v>10.8</v>
      </c>
      <c r="R28" s="46">
        <v>10.8</v>
      </c>
      <c r="S28" s="46">
        <v>10.8</v>
      </c>
      <c r="T28" s="46">
        <v>10.8</v>
      </c>
      <c r="U28" s="46">
        <v>10.8</v>
      </c>
      <c r="V28" s="46">
        <v>10.8</v>
      </c>
      <c r="W28" s="46">
        <v>10.8</v>
      </c>
      <c r="X28" s="46">
        <v>10.8</v>
      </c>
      <c r="Y28" s="46">
        <v>10.8</v>
      </c>
      <c r="Z28" s="46">
        <v>10.8</v>
      </c>
      <c r="AA28" s="46">
        <v>10.8</v>
      </c>
      <c r="AB28" s="46">
        <v>10.8</v>
      </c>
      <c r="AC28" s="46">
        <v>10.8</v>
      </c>
      <c r="AD28" s="46">
        <v>10.8</v>
      </c>
      <c r="AE28" s="46">
        <v>10.8</v>
      </c>
      <c r="AF28" s="46">
        <v>10.8</v>
      </c>
      <c r="AG28" s="61">
        <v>30</v>
      </c>
      <c r="AH28" s="48">
        <f t="shared" si="2"/>
        <v>10.8</v>
      </c>
      <c r="AI28" s="49">
        <f t="shared" si="3"/>
        <v>10.8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14.5</v>
      </c>
      <c r="C29" s="46">
        <v>14.5</v>
      </c>
      <c r="D29" s="46">
        <v>14.5</v>
      </c>
      <c r="E29" s="46">
        <v>14.5</v>
      </c>
      <c r="F29" s="46">
        <v>14.5</v>
      </c>
      <c r="G29" s="46">
        <v>14.5</v>
      </c>
      <c r="H29" s="46">
        <v>14.5</v>
      </c>
      <c r="I29" s="46">
        <v>14.5</v>
      </c>
      <c r="J29" s="46">
        <v>14.5</v>
      </c>
      <c r="K29" s="46">
        <v>14.5</v>
      </c>
      <c r="L29" s="46">
        <v>14.5</v>
      </c>
      <c r="M29" s="46">
        <v>14.5</v>
      </c>
      <c r="N29" s="46">
        <v>14.5</v>
      </c>
      <c r="O29" s="46">
        <v>14.5</v>
      </c>
      <c r="P29" s="46">
        <v>14.5</v>
      </c>
      <c r="Q29" s="46">
        <v>14.5</v>
      </c>
      <c r="R29" s="46">
        <v>14.5</v>
      </c>
      <c r="S29" s="46">
        <v>14.5</v>
      </c>
      <c r="T29" s="46">
        <v>14.5</v>
      </c>
      <c r="U29" s="46">
        <v>14.5</v>
      </c>
      <c r="V29" s="46">
        <v>14.5</v>
      </c>
      <c r="W29" s="46">
        <v>14.5</v>
      </c>
      <c r="X29" s="46">
        <v>14.5</v>
      </c>
      <c r="Y29" s="46">
        <v>14.5</v>
      </c>
      <c r="Z29" s="46">
        <v>14.5</v>
      </c>
      <c r="AA29" s="46">
        <v>14.5</v>
      </c>
      <c r="AB29" s="46">
        <v>14.5</v>
      </c>
      <c r="AC29" s="46">
        <v>14.5</v>
      </c>
      <c r="AD29" s="46">
        <v>14.5</v>
      </c>
      <c r="AE29" s="46">
        <v>14.5</v>
      </c>
      <c r="AF29" s="46">
        <v>14.5</v>
      </c>
      <c r="AG29" s="50">
        <v>25</v>
      </c>
      <c r="AH29" s="48">
        <f t="shared" si="2"/>
        <v>14.5</v>
      </c>
      <c r="AI29" s="49">
        <f t="shared" si="3"/>
        <v>14.5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7.8</v>
      </c>
      <c r="C30" s="46">
        <v>7.8</v>
      </c>
      <c r="D30" s="46">
        <v>7.8</v>
      </c>
      <c r="E30" s="46">
        <v>7.8</v>
      </c>
      <c r="F30" s="46">
        <v>7.8</v>
      </c>
      <c r="G30" s="46">
        <v>7.8</v>
      </c>
      <c r="H30" s="46">
        <v>7.8</v>
      </c>
      <c r="I30" s="46">
        <v>7.8</v>
      </c>
      <c r="J30" s="46">
        <v>7.8</v>
      </c>
      <c r="K30" s="46">
        <v>7.8</v>
      </c>
      <c r="L30" s="46">
        <v>7.8</v>
      </c>
      <c r="M30" s="46">
        <v>7.8</v>
      </c>
      <c r="N30" s="46">
        <v>7.8</v>
      </c>
      <c r="O30" s="46">
        <v>7.8</v>
      </c>
      <c r="P30" s="46">
        <v>7.8</v>
      </c>
      <c r="Q30" s="46">
        <v>7.8</v>
      </c>
      <c r="R30" s="46">
        <v>7.8</v>
      </c>
      <c r="S30" s="46">
        <v>7.8</v>
      </c>
      <c r="T30" s="46">
        <v>7.8</v>
      </c>
      <c r="U30" s="46">
        <v>7.8</v>
      </c>
      <c r="V30" s="46">
        <v>7.8</v>
      </c>
      <c r="W30" s="46">
        <v>7.8</v>
      </c>
      <c r="X30" s="46">
        <v>7.8</v>
      </c>
      <c r="Y30" s="46">
        <v>7.8</v>
      </c>
      <c r="Z30" s="46">
        <v>7.8</v>
      </c>
      <c r="AA30" s="46">
        <v>7.8</v>
      </c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7.8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14.3</v>
      </c>
      <c r="C32" s="46">
        <v>14.3</v>
      </c>
      <c r="D32" s="46">
        <v>14.3</v>
      </c>
      <c r="E32" s="46">
        <v>14.3</v>
      </c>
      <c r="F32" s="46">
        <v>14.3</v>
      </c>
      <c r="G32" s="46">
        <v>14.3</v>
      </c>
      <c r="H32" s="46">
        <v>14.3</v>
      </c>
      <c r="I32" s="46">
        <v>14.3</v>
      </c>
      <c r="J32" s="46">
        <v>14.3</v>
      </c>
      <c r="K32" s="46">
        <v>14.3</v>
      </c>
      <c r="L32" s="46">
        <v>14.3</v>
      </c>
      <c r="M32" s="46">
        <v>14.3</v>
      </c>
      <c r="N32" s="46">
        <v>14.3</v>
      </c>
      <c r="O32" s="46">
        <v>14.3</v>
      </c>
      <c r="P32" s="46">
        <v>14.3</v>
      </c>
      <c r="Q32" s="46">
        <v>14.3</v>
      </c>
      <c r="R32" s="46">
        <v>14.3</v>
      </c>
      <c r="S32" s="46">
        <v>14.3</v>
      </c>
      <c r="T32" s="46">
        <v>14.3</v>
      </c>
      <c r="U32" s="46">
        <v>14.3</v>
      </c>
      <c r="V32" s="46">
        <v>14.3</v>
      </c>
      <c r="W32" s="46">
        <v>14.3</v>
      </c>
      <c r="X32" s="46">
        <v>14.3</v>
      </c>
      <c r="Y32" s="46">
        <v>14.3</v>
      </c>
      <c r="Z32" s="46">
        <v>14.3</v>
      </c>
      <c r="AA32" s="46">
        <v>14.3</v>
      </c>
      <c r="AB32" s="46">
        <v>14.3</v>
      </c>
      <c r="AC32" s="46">
        <v>14.3</v>
      </c>
      <c r="AD32" s="46">
        <v>14.3</v>
      </c>
      <c r="AE32" s="46">
        <v>14.3</v>
      </c>
      <c r="AF32" s="46">
        <v>14.3</v>
      </c>
      <c r="AG32" s="50">
        <v>25</v>
      </c>
      <c r="AH32" s="48">
        <f t="shared" si="2"/>
        <v>14.3</v>
      </c>
      <c r="AI32" s="49">
        <f t="shared" si="3"/>
        <v>14.3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7.2</v>
      </c>
      <c r="C33" s="46">
        <v>7.2</v>
      </c>
      <c r="D33" s="46">
        <v>7.2</v>
      </c>
      <c r="E33" s="46">
        <v>7.2</v>
      </c>
      <c r="F33" s="46">
        <v>7.2</v>
      </c>
      <c r="G33" s="46">
        <v>7.2</v>
      </c>
      <c r="H33" s="46">
        <v>7.2</v>
      </c>
      <c r="I33" s="46">
        <v>7.2</v>
      </c>
      <c r="J33" s="46">
        <v>7.2</v>
      </c>
      <c r="K33" s="46">
        <v>7.2</v>
      </c>
      <c r="L33" s="46">
        <v>7.2</v>
      </c>
      <c r="M33" s="46">
        <v>7.2</v>
      </c>
      <c r="N33" s="46">
        <v>7.2</v>
      </c>
      <c r="O33" s="46">
        <v>7.2</v>
      </c>
      <c r="P33" s="46">
        <v>7.2</v>
      </c>
      <c r="Q33" s="46">
        <v>7.2</v>
      </c>
      <c r="R33" s="46">
        <v>7.2</v>
      </c>
      <c r="S33" s="46">
        <v>7.2</v>
      </c>
      <c r="T33" s="46">
        <v>7.2</v>
      </c>
      <c r="U33" s="46">
        <v>7.2</v>
      </c>
      <c r="V33" s="46">
        <v>7.2</v>
      </c>
      <c r="W33" s="46">
        <v>7.2</v>
      </c>
      <c r="X33" s="46">
        <v>7.2</v>
      </c>
      <c r="Y33" s="46">
        <v>7.2</v>
      </c>
      <c r="Z33" s="46">
        <v>7.2</v>
      </c>
      <c r="AA33" s="46">
        <v>7.2</v>
      </c>
      <c r="AB33" s="46">
        <v>7.2</v>
      </c>
      <c r="AC33" s="46">
        <v>7.2</v>
      </c>
      <c r="AD33" s="46">
        <v>7.2</v>
      </c>
      <c r="AE33" s="46">
        <v>7.2</v>
      </c>
      <c r="AF33" s="46">
        <v>7.2</v>
      </c>
      <c r="AG33" s="50">
        <v>23.5</v>
      </c>
      <c r="AH33" s="48">
        <f t="shared" si="2"/>
        <v>7.2</v>
      </c>
      <c r="AI33" s="49">
        <f t="shared" si="3"/>
        <v>7.2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9</v>
      </c>
      <c r="C37" s="46">
        <v>9</v>
      </c>
      <c r="D37" s="46">
        <v>9</v>
      </c>
      <c r="E37" s="46">
        <v>9</v>
      </c>
      <c r="F37" s="46">
        <v>9</v>
      </c>
      <c r="G37" s="46">
        <v>9</v>
      </c>
      <c r="H37" s="46">
        <v>9</v>
      </c>
      <c r="I37" s="46">
        <v>9</v>
      </c>
      <c r="J37" s="46">
        <v>9</v>
      </c>
      <c r="K37" s="46">
        <v>9</v>
      </c>
      <c r="L37" s="46">
        <v>9</v>
      </c>
      <c r="M37" s="46">
        <v>9</v>
      </c>
      <c r="N37" s="46">
        <v>9</v>
      </c>
      <c r="O37" s="46">
        <v>9</v>
      </c>
      <c r="P37" s="46">
        <v>9</v>
      </c>
      <c r="Q37" s="46">
        <v>9</v>
      </c>
      <c r="R37" s="46">
        <v>9</v>
      </c>
      <c r="S37" s="46">
        <v>9</v>
      </c>
      <c r="T37" s="46">
        <v>9</v>
      </c>
      <c r="U37" s="46">
        <v>9</v>
      </c>
      <c r="V37" s="46">
        <v>9</v>
      </c>
      <c r="W37" s="46">
        <v>9</v>
      </c>
      <c r="X37" s="46">
        <v>9</v>
      </c>
      <c r="Y37" s="46">
        <v>9</v>
      </c>
      <c r="Z37" s="46">
        <v>9</v>
      </c>
      <c r="AA37" s="46">
        <v>9</v>
      </c>
      <c r="AB37" s="46">
        <v>9</v>
      </c>
      <c r="AC37" s="46">
        <v>9</v>
      </c>
      <c r="AD37" s="46">
        <v>9</v>
      </c>
      <c r="AE37" s="46">
        <v>9</v>
      </c>
      <c r="AF37" s="46">
        <v>9</v>
      </c>
      <c r="AG37" s="50">
        <v>22</v>
      </c>
      <c r="AH37" s="48">
        <f t="shared" si="2"/>
        <v>9</v>
      </c>
      <c r="AI37" s="49">
        <f t="shared" si="3"/>
        <v>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13.8</v>
      </c>
      <c r="C38" s="46">
        <v>13.8</v>
      </c>
      <c r="D38" s="46">
        <v>13.8</v>
      </c>
      <c r="E38" s="46">
        <v>13.8</v>
      </c>
      <c r="F38" s="46">
        <v>13.8</v>
      </c>
      <c r="G38" s="46">
        <v>13.8</v>
      </c>
      <c r="H38" s="46">
        <v>13.8</v>
      </c>
      <c r="I38" s="46">
        <v>13.8</v>
      </c>
      <c r="J38" s="46">
        <v>13.8</v>
      </c>
      <c r="K38" s="46">
        <v>13.8</v>
      </c>
      <c r="L38" s="46">
        <v>13.8</v>
      </c>
      <c r="M38" s="46">
        <v>13.8</v>
      </c>
      <c r="N38" s="46">
        <v>13.8</v>
      </c>
      <c r="O38" s="46">
        <v>13.8</v>
      </c>
      <c r="P38" s="46">
        <v>13.8</v>
      </c>
      <c r="Q38" s="46">
        <v>13.8</v>
      </c>
      <c r="R38" s="46">
        <v>13.8</v>
      </c>
      <c r="S38" s="46">
        <v>13.8</v>
      </c>
      <c r="T38" s="46">
        <v>13.8</v>
      </c>
      <c r="U38" s="46">
        <v>13.8</v>
      </c>
      <c r="V38" s="46">
        <v>13.8</v>
      </c>
      <c r="W38" s="46">
        <v>13.8</v>
      </c>
      <c r="X38" s="46">
        <v>13.8</v>
      </c>
      <c r="Y38" s="46">
        <v>13.8</v>
      </c>
      <c r="Z38" s="46">
        <v>13.8</v>
      </c>
      <c r="AA38" s="46">
        <v>13.8</v>
      </c>
      <c r="AB38" s="46">
        <v>13.8</v>
      </c>
      <c r="AC38" s="46">
        <v>13.8</v>
      </c>
      <c r="AD38" s="46">
        <v>13.8</v>
      </c>
      <c r="AE38" s="46">
        <v>13.8</v>
      </c>
      <c r="AF38" s="46">
        <v>13.8</v>
      </c>
      <c r="AG38" s="50">
        <v>20</v>
      </c>
      <c r="AH38" s="48">
        <f t="shared" si="2"/>
        <v>13.8</v>
      </c>
      <c r="AI38" s="49">
        <f t="shared" si="3"/>
        <v>13.8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10.199999999999999</v>
      </c>
      <c r="C40" s="46">
        <v>10.199999999999999</v>
      </c>
      <c r="D40" s="46">
        <v>10.199999999999999</v>
      </c>
      <c r="E40" s="46">
        <v>10.199999999999999</v>
      </c>
      <c r="F40" s="46">
        <v>10.199999999999999</v>
      </c>
      <c r="G40" s="46">
        <v>10.199999999999999</v>
      </c>
      <c r="H40" s="46">
        <v>10.199999999999999</v>
      </c>
      <c r="I40" s="46">
        <v>10.199999999999999</v>
      </c>
      <c r="J40" s="46">
        <v>10.199999999999999</v>
      </c>
      <c r="K40" s="46">
        <v>10.199999999999999</v>
      </c>
      <c r="L40" s="46">
        <v>10.199999999999999</v>
      </c>
      <c r="M40" s="46">
        <v>10.199999999999999</v>
      </c>
      <c r="N40" s="46">
        <v>10.199999999999999</v>
      </c>
      <c r="O40" s="46">
        <v>10.199999999999999</v>
      </c>
      <c r="P40" s="46">
        <v>10.199999999999999</v>
      </c>
      <c r="Q40" s="46">
        <v>10.199999999999999</v>
      </c>
      <c r="R40" s="46">
        <v>10.199999999999999</v>
      </c>
      <c r="S40" s="46">
        <v>10.199999999999999</v>
      </c>
      <c r="T40" s="46">
        <v>10.199999999999999</v>
      </c>
      <c r="U40" s="46">
        <v>10.199999999999999</v>
      </c>
      <c r="V40" s="46">
        <v>10.199999999999999</v>
      </c>
      <c r="W40" s="46">
        <v>10.199999999999999</v>
      </c>
      <c r="X40" s="46">
        <v>10.199999999999999</v>
      </c>
      <c r="Y40" s="46">
        <v>10.199999999999999</v>
      </c>
      <c r="Z40" s="46">
        <v>10.199999999999999</v>
      </c>
      <c r="AA40" s="46">
        <v>10.199999999999999</v>
      </c>
      <c r="AB40" s="46">
        <v>10.199999999999999</v>
      </c>
      <c r="AC40" s="46">
        <v>10.199999999999999</v>
      </c>
      <c r="AD40" s="46">
        <v>10.199999999999999</v>
      </c>
      <c r="AE40" s="46">
        <v>10.199999999999999</v>
      </c>
      <c r="AF40" s="46">
        <v>10.199999999999999</v>
      </c>
      <c r="AG40" s="50">
        <v>18</v>
      </c>
      <c r="AH40" s="48">
        <f t="shared" si="2"/>
        <v>10.199999999999999</v>
      </c>
      <c r="AI40" s="49">
        <f t="shared" si="3"/>
        <v>10.199999999999999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15.33</v>
      </c>
      <c r="AH41" s="48">
        <f t="shared" si="2"/>
        <v>4</v>
      </c>
      <c r="AI41" s="49">
        <f t="shared" si="3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3.2</v>
      </c>
      <c r="C46" s="46">
        <v>3.2</v>
      </c>
      <c r="D46" s="46">
        <v>3.2</v>
      </c>
      <c r="E46" s="46">
        <v>3.2</v>
      </c>
      <c r="F46" s="46">
        <v>3.2</v>
      </c>
      <c r="G46" s="46">
        <v>3.2</v>
      </c>
      <c r="H46" s="46">
        <v>3.2</v>
      </c>
      <c r="I46" s="46">
        <v>3.2</v>
      </c>
      <c r="J46" s="46">
        <v>3.2</v>
      </c>
      <c r="K46" s="46">
        <v>3.2</v>
      </c>
      <c r="L46" s="46">
        <v>3.2</v>
      </c>
      <c r="M46" s="46">
        <v>3.2</v>
      </c>
      <c r="N46" s="46">
        <v>3.2</v>
      </c>
      <c r="O46" s="46">
        <v>3.2</v>
      </c>
      <c r="P46" s="46">
        <v>3.2</v>
      </c>
      <c r="Q46" s="46">
        <v>3.2</v>
      </c>
      <c r="R46" s="46">
        <v>3.2</v>
      </c>
      <c r="S46" s="46">
        <v>3.2</v>
      </c>
      <c r="T46" s="46">
        <v>3.2</v>
      </c>
      <c r="U46" s="46">
        <v>3.2</v>
      </c>
      <c r="V46" s="46">
        <v>3.2</v>
      </c>
      <c r="W46" s="46">
        <v>3.2</v>
      </c>
      <c r="X46" s="46">
        <v>3.2</v>
      </c>
      <c r="Y46" s="46">
        <v>3.2</v>
      </c>
      <c r="Z46" s="46">
        <v>3.2</v>
      </c>
      <c r="AA46" s="46">
        <v>3.2</v>
      </c>
      <c r="AB46" s="46">
        <v>3.2</v>
      </c>
      <c r="AC46" s="46">
        <v>3.2</v>
      </c>
      <c r="AD46" s="46">
        <v>3.2</v>
      </c>
      <c r="AE46" s="46">
        <v>3.2</v>
      </c>
      <c r="AF46" s="46">
        <v>3.2</v>
      </c>
      <c r="AG46" s="50">
        <v>14</v>
      </c>
      <c r="AH46" s="48">
        <f t="shared" si="2"/>
        <v>3.2</v>
      </c>
      <c r="AI46" s="49">
        <f t="shared" si="3"/>
        <v>3.2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6</v>
      </c>
      <c r="C55" s="46">
        <v>6</v>
      </c>
      <c r="D55" s="46">
        <v>6</v>
      </c>
      <c r="E55" s="46">
        <v>6</v>
      </c>
      <c r="F55" s="46">
        <v>6</v>
      </c>
      <c r="G55" s="46">
        <v>6</v>
      </c>
      <c r="H55" s="46">
        <v>6</v>
      </c>
      <c r="I55" s="46">
        <v>6</v>
      </c>
      <c r="J55" s="46">
        <v>6</v>
      </c>
      <c r="K55" s="46">
        <v>6</v>
      </c>
      <c r="L55" s="46">
        <v>6</v>
      </c>
      <c r="M55" s="46">
        <v>6</v>
      </c>
      <c r="N55" s="46">
        <v>6</v>
      </c>
      <c r="O55" s="46">
        <v>6</v>
      </c>
      <c r="P55" s="46">
        <v>6</v>
      </c>
      <c r="Q55" s="46">
        <v>6</v>
      </c>
      <c r="R55" s="46">
        <v>6</v>
      </c>
      <c r="S55" s="46">
        <v>6</v>
      </c>
      <c r="T55" s="46">
        <v>6</v>
      </c>
      <c r="U55" s="46">
        <v>6</v>
      </c>
      <c r="V55" s="46">
        <v>6</v>
      </c>
      <c r="W55" s="46">
        <v>6</v>
      </c>
      <c r="X55" s="46">
        <v>6</v>
      </c>
      <c r="Y55" s="46">
        <v>6</v>
      </c>
      <c r="Z55" s="46">
        <v>6</v>
      </c>
      <c r="AA55" s="46">
        <v>6</v>
      </c>
      <c r="AB55" s="46">
        <v>6</v>
      </c>
      <c r="AC55" s="46">
        <v>6</v>
      </c>
      <c r="AD55" s="46">
        <v>6</v>
      </c>
      <c r="AE55" s="46">
        <v>6</v>
      </c>
      <c r="AF55" s="46">
        <v>6</v>
      </c>
      <c r="AG55" s="66">
        <v>11</v>
      </c>
      <c r="AH55" s="48">
        <f t="shared" si="2"/>
        <v>6</v>
      </c>
      <c r="AI55" s="49">
        <f t="shared" si="3"/>
        <v>6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62</v>
      </c>
      <c r="C60" s="68">
        <v>68.5</v>
      </c>
      <c r="D60" s="68">
        <v>68.5</v>
      </c>
      <c r="E60" s="68">
        <f>27.4+39.1</f>
        <v>66.5</v>
      </c>
      <c r="F60" s="68">
        <f>27.5+39.7</f>
        <v>67.2</v>
      </c>
      <c r="G60" s="68">
        <f>26.8+39.2</f>
        <v>66</v>
      </c>
      <c r="H60" s="68">
        <f>26.1+38</f>
        <v>64.099999999999994</v>
      </c>
      <c r="I60" s="68">
        <f>26+37.2</f>
        <v>63.2</v>
      </c>
      <c r="J60" s="68">
        <f>25.8+36.7</f>
        <v>62.5</v>
      </c>
      <c r="K60" s="53">
        <f>22.3+33.5</f>
        <v>55.8</v>
      </c>
      <c r="L60" s="53">
        <f>19.8+31.3</f>
        <v>51.1</v>
      </c>
      <c r="M60" s="53">
        <v>56.8</v>
      </c>
      <c r="N60" s="53">
        <v>60.4</v>
      </c>
      <c r="O60" s="53">
        <v>60.4</v>
      </c>
      <c r="P60" s="53">
        <v>60.4</v>
      </c>
      <c r="Q60" s="53">
        <v>60.4</v>
      </c>
      <c r="R60" s="53">
        <v>60.4</v>
      </c>
      <c r="S60" s="53">
        <v>57.6</v>
      </c>
      <c r="T60" s="53">
        <v>57.6</v>
      </c>
      <c r="U60" s="53">
        <v>57.6</v>
      </c>
      <c r="V60" s="53">
        <v>57.6</v>
      </c>
      <c r="W60" s="53">
        <v>57.6</v>
      </c>
      <c r="X60" s="53">
        <v>57.6</v>
      </c>
      <c r="Y60" s="53">
        <v>57.6</v>
      </c>
      <c r="Z60" s="53">
        <v>57.6</v>
      </c>
      <c r="AA60" s="53">
        <v>57.6</v>
      </c>
      <c r="AB60" s="53">
        <v>57.6</v>
      </c>
      <c r="AC60" s="53">
        <v>57.6</v>
      </c>
      <c r="AD60" s="53">
        <v>57.6</v>
      </c>
      <c r="AE60" s="53">
        <f>20.5+30</f>
        <v>50.5</v>
      </c>
      <c r="AF60" s="53">
        <f>19.8+29.6</f>
        <v>49.400000000000006</v>
      </c>
      <c r="AG60" s="66">
        <v>240</v>
      </c>
      <c r="AH60" s="48">
        <f t="shared" si="2"/>
        <v>68.5</v>
      </c>
      <c r="AI60" s="49">
        <f t="shared" si="3"/>
        <v>49.400000000000006</v>
      </c>
      <c r="AK60" s="51"/>
    </row>
    <row r="61" spans="1:88" ht="15.75" thickBot="1" x14ac:dyDescent="0.3">
      <c r="A61" s="70" t="s">
        <v>75</v>
      </c>
      <c r="B61" s="71">
        <f t="shared" ref="B61" si="20">SUM(B11:B59)</f>
        <v>753.2</v>
      </c>
      <c r="C61" s="71">
        <f t="shared" ref="C61:AG61" si="21">SUM(C11:C59)</f>
        <v>753.2</v>
      </c>
      <c r="D61" s="71">
        <f t="shared" ref="D61" si="22">SUM(D11:D59)</f>
        <v>753.7</v>
      </c>
      <c r="E61" s="71">
        <f t="shared" si="21"/>
        <v>753.7</v>
      </c>
      <c r="F61" s="71">
        <f t="shared" si="21"/>
        <v>753.7</v>
      </c>
      <c r="G61" s="71">
        <f t="shared" si="21"/>
        <v>753.7</v>
      </c>
      <c r="H61" s="71">
        <f t="shared" si="21"/>
        <v>753.7</v>
      </c>
      <c r="I61" s="71">
        <f t="shared" si="21"/>
        <v>753.7</v>
      </c>
      <c r="J61" s="71">
        <f t="shared" si="21"/>
        <v>753.7</v>
      </c>
      <c r="K61" s="71">
        <f t="shared" si="21"/>
        <v>753.7</v>
      </c>
      <c r="L61" s="71">
        <f t="shared" si="21"/>
        <v>753.7</v>
      </c>
      <c r="M61" s="71">
        <f t="shared" si="21"/>
        <v>753.7</v>
      </c>
      <c r="N61" s="71">
        <f t="shared" si="21"/>
        <v>753.7</v>
      </c>
      <c r="O61" s="71">
        <f t="shared" si="21"/>
        <v>753.7</v>
      </c>
      <c r="P61" s="71">
        <f t="shared" si="21"/>
        <v>753.7</v>
      </c>
      <c r="Q61" s="71">
        <f t="shared" si="21"/>
        <v>753.7</v>
      </c>
      <c r="R61" s="71">
        <f t="shared" si="21"/>
        <v>753.7</v>
      </c>
      <c r="S61" s="71">
        <f t="shared" si="21"/>
        <v>753.7</v>
      </c>
      <c r="T61" s="71">
        <f t="shared" si="21"/>
        <v>753.7</v>
      </c>
      <c r="U61" s="71">
        <f t="shared" si="21"/>
        <v>753.7</v>
      </c>
      <c r="V61" s="71">
        <f t="shared" si="21"/>
        <v>753.7</v>
      </c>
      <c r="W61" s="71">
        <f t="shared" ref="W61:X61" si="23">SUM(W11:W59)</f>
        <v>753.7</v>
      </c>
      <c r="X61" s="71">
        <f t="shared" si="23"/>
        <v>755.2</v>
      </c>
      <c r="Y61" s="71">
        <f t="shared" si="21"/>
        <v>751.2</v>
      </c>
      <c r="Z61" s="71">
        <f t="shared" si="21"/>
        <v>754.7</v>
      </c>
      <c r="AA61" s="71">
        <f t="shared" si="21"/>
        <v>754.7</v>
      </c>
      <c r="AB61" s="71">
        <f t="shared" si="21"/>
        <v>754.7</v>
      </c>
      <c r="AC61" s="71">
        <f t="shared" si="21"/>
        <v>754.7</v>
      </c>
      <c r="AD61" s="71">
        <f t="shared" si="21"/>
        <v>715.2</v>
      </c>
      <c r="AE61" s="71">
        <f t="shared" ref="AE61:AF61" si="24">SUM(AE11:AE59)</f>
        <v>723.90000000000009</v>
      </c>
      <c r="AF61" s="71">
        <f t="shared" si="24"/>
        <v>723.00000000000011</v>
      </c>
      <c r="AG61" s="71">
        <f t="shared" si="21"/>
        <v>1466.0300000000002</v>
      </c>
      <c r="AH61" s="48">
        <f t="shared" si="2"/>
        <v>755.2</v>
      </c>
      <c r="AI61" s="49">
        <f t="shared" si="3"/>
        <v>715.2</v>
      </c>
      <c r="AK61" s="51"/>
    </row>
    <row r="62" spans="1:88" x14ac:dyDescent="0.25">
      <c r="A62" s="73" t="s">
        <v>76</v>
      </c>
      <c r="B62" s="46">
        <v>265</v>
      </c>
      <c r="C62" s="46">
        <v>240</v>
      </c>
      <c r="D62" s="46">
        <v>240</v>
      </c>
      <c r="E62" s="46">
        <v>241</v>
      </c>
      <c r="F62" s="46">
        <v>240</v>
      </c>
      <c r="G62" s="46">
        <v>211</v>
      </c>
      <c r="H62" s="46">
        <v>231.3</v>
      </c>
      <c r="I62" s="46">
        <v>251.5</v>
      </c>
      <c r="J62" s="46">
        <v>190.5</v>
      </c>
      <c r="K62" s="46">
        <v>137.4</v>
      </c>
      <c r="L62" s="46">
        <v>160</v>
      </c>
      <c r="M62" s="46">
        <v>157</v>
      </c>
      <c r="N62" s="46">
        <v>141</v>
      </c>
      <c r="O62" s="46">
        <v>438</v>
      </c>
      <c r="P62" s="46">
        <v>140</v>
      </c>
      <c r="Q62" s="46">
        <v>140</v>
      </c>
      <c r="R62" s="46">
        <v>154</v>
      </c>
      <c r="S62" s="46">
        <v>154</v>
      </c>
      <c r="T62" s="74">
        <v>300</v>
      </c>
      <c r="U62" s="74">
        <v>360</v>
      </c>
      <c r="V62" s="74">
        <v>0</v>
      </c>
      <c r="W62" s="74">
        <v>0</v>
      </c>
      <c r="X62" s="74">
        <v>0</v>
      </c>
      <c r="Y62" s="46">
        <v>230</v>
      </c>
      <c r="Z62" s="46">
        <v>351.4</v>
      </c>
      <c r="AA62" s="46">
        <v>379.9</v>
      </c>
      <c r="AB62" s="46">
        <v>379.9</v>
      </c>
      <c r="AC62" s="46">
        <v>379.9</v>
      </c>
      <c r="AD62" s="46">
        <v>400</v>
      </c>
      <c r="AE62" s="46">
        <v>350</v>
      </c>
      <c r="AF62" s="46">
        <v>200</v>
      </c>
      <c r="AG62" s="61">
        <v>456</v>
      </c>
      <c r="AH62" s="48">
        <f t="shared" si="2"/>
        <v>438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40</v>
      </c>
      <c r="C63" s="76">
        <v>40</v>
      </c>
      <c r="D63" s="76">
        <v>40</v>
      </c>
      <c r="E63" s="76">
        <v>40</v>
      </c>
      <c r="F63" s="76">
        <v>40</v>
      </c>
      <c r="G63" s="76">
        <v>40</v>
      </c>
      <c r="H63" s="76">
        <v>40</v>
      </c>
      <c r="I63" s="76">
        <v>40</v>
      </c>
      <c r="J63" s="76">
        <v>40</v>
      </c>
      <c r="K63" s="76">
        <v>40</v>
      </c>
      <c r="L63" s="76">
        <v>40</v>
      </c>
      <c r="M63" s="76">
        <v>40</v>
      </c>
      <c r="N63" s="76">
        <v>40</v>
      </c>
      <c r="O63" s="76">
        <v>40</v>
      </c>
      <c r="P63" s="76">
        <v>40</v>
      </c>
      <c r="Q63" s="76">
        <v>40</v>
      </c>
      <c r="R63" s="76">
        <v>40</v>
      </c>
      <c r="S63" s="76">
        <v>40</v>
      </c>
      <c r="T63" s="76">
        <v>40</v>
      </c>
      <c r="U63" s="76">
        <v>40</v>
      </c>
      <c r="V63" s="76">
        <v>40</v>
      </c>
      <c r="W63" s="76">
        <v>40</v>
      </c>
      <c r="X63" s="76">
        <v>40</v>
      </c>
      <c r="Y63" s="76">
        <v>40</v>
      </c>
      <c r="Z63" s="76">
        <v>40</v>
      </c>
      <c r="AA63" s="76">
        <v>40</v>
      </c>
      <c r="AB63" s="76">
        <v>40</v>
      </c>
      <c r="AC63" s="76">
        <v>40</v>
      </c>
      <c r="AD63" s="76">
        <v>40</v>
      </c>
      <c r="AE63" s="76">
        <v>40</v>
      </c>
      <c r="AF63" s="76">
        <v>40</v>
      </c>
      <c r="AG63" s="66">
        <v>60</v>
      </c>
      <c r="AH63" s="48">
        <f t="shared" si="2"/>
        <v>40</v>
      </c>
      <c r="AI63" s="49">
        <f t="shared" si="3"/>
        <v>40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20.9</v>
      </c>
      <c r="D64" s="78">
        <v>20.9</v>
      </c>
      <c r="E64" s="78">
        <v>20.9</v>
      </c>
      <c r="F64" s="78">
        <v>20.9</v>
      </c>
      <c r="G64" s="78">
        <v>20.9</v>
      </c>
      <c r="H64" s="78">
        <v>20.9</v>
      </c>
      <c r="I64" s="78">
        <v>20.8</v>
      </c>
      <c r="J64" s="78">
        <v>20.8</v>
      </c>
      <c r="K64" s="78">
        <v>20.8</v>
      </c>
      <c r="L64" s="78">
        <v>20.8</v>
      </c>
      <c r="M64" s="78">
        <v>20.8</v>
      </c>
      <c r="N64" s="78">
        <v>20.8</v>
      </c>
      <c r="O64" s="78">
        <v>20.8</v>
      </c>
      <c r="P64" s="78">
        <v>20.8</v>
      </c>
      <c r="Q64" s="78">
        <v>20.8</v>
      </c>
      <c r="R64" s="78">
        <v>20.8</v>
      </c>
      <c r="S64" s="78">
        <v>20.8</v>
      </c>
      <c r="T64" s="78">
        <v>20.5</v>
      </c>
      <c r="U64" s="78">
        <v>20.5</v>
      </c>
      <c r="V64" s="78">
        <v>22.1</v>
      </c>
      <c r="W64" s="78">
        <v>22.1</v>
      </c>
      <c r="X64" s="78">
        <v>22.1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20.5</v>
      </c>
      <c r="AK64" s="51"/>
    </row>
    <row r="65" spans="1:75" ht="15.75" thickBot="1" x14ac:dyDescent="0.3">
      <c r="A65" s="80" t="s">
        <v>79</v>
      </c>
      <c r="B65" s="71">
        <f t="shared" ref="B65:AD65" si="25">SUM(B62:B64)</f>
        <v>327.5</v>
      </c>
      <c r="C65" s="71">
        <f t="shared" si="25"/>
        <v>300.89999999999998</v>
      </c>
      <c r="D65" s="71">
        <f t="shared" si="25"/>
        <v>300.89999999999998</v>
      </c>
      <c r="E65" s="71">
        <f t="shared" si="25"/>
        <v>301.89999999999998</v>
      </c>
      <c r="F65" s="71">
        <f t="shared" si="25"/>
        <v>300.89999999999998</v>
      </c>
      <c r="G65" s="71">
        <f t="shared" si="25"/>
        <v>271.89999999999998</v>
      </c>
      <c r="H65" s="71">
        <f t="shared" si="25"/>
        <v>292.2</v>
      </c>
      <c r="I65" s="71">
        <f t="shared" si="25"/>
        <v>312.3</v>
      </c>
      <c r="J65" s="71">
        <f t="shared" si="25"/>
        <v>251.3</v>
      </c>
      <c r="K65" s="71">
        <f t="shared" si="25"/>
        <v>198.20000000000002</v>
      </c>
      <c r="L65" s="71">
        <f t="shared" si="25"/>
        <v>220.8</v>
      </c>
      <c r="M65" s="71">
        <f t="shared" si="25"/>
        <v>217.8</v>
      </c>
      <c r="N65" s="71">
        <f t="shared" si="25"/>
        <v>201.8</v>
      </c>
      <c r="O65" s="71">
        <f t="shared" si="25"/>
        <v>498.8</v>
      </c>
      <c r="P65" s="71">
        <f t="shared" si="25"/>
        <v>200.8</v>
      </c>
      <c r="Q65" s="71">
        <f t="shared" si="25"/>
        <v>200.8</v>
      </c>
      <c r="R65" s="71">
        <f t="shared" si="25"/>
        <v>214.8</v>
      </c>
      <c r="S65" s="71">
        <f t="shared" si="25"/>
        <v>214.8</v>
      </c>
      <c r="T65" s="71">
        <f t="shared" si="25"/>
        <v>360.5</v>
      </c>
      <c r="U65" s="71">
        <f t="shared" si="25"/>
        <v>420.5</v>
      </c>
      <c r="V65" s="71">
        <f t="shared" si="25"/>
        <v>62.1</v>
      </c>
      <c r="W65" s="71">
        <f t="shared" ref="W65:X65" si="26">SUM(W62:W64)</f>
        <v>62.1</v>
      </c>
      <c r="X65" s="71">
        <f t="shared" si="26"/>
        <v>62.1</v>
      </c>
      <c r="Y65" s="71">
        <f t="shared" si="25"/>
        <v>292.5</v>
      </c>
      <c r="Z65" s="71">
        <f t="shared" si="25"/>
        <v>413.9</v>
      </c>
      <c r="AA65" s="71">
        <f t="shared" si="25"/>
        <v>442.4</v>
      </c>
      <c r="AB65" s="71">
        <f t="shared" si="25"/>
        <v>442.4</v>
      </c>
      <c r="AC65" s="71">
        <f t="shared" si="25"/>
        <v>442.4</v>
      </c>
      <c r="AD65" s="71">
        <f t="shared" si="25"/>
        <v>462.5</v>
      </c>
      <c r="AE65" s="71">
        <f t="shared" ref="AE65:AF65" si="27">SUM(AE62:AE64)</f>
        <v>412.5</v>
      </c>
      <c r="AF65" s="71">
        <f t="shared" si="27"/>
        <v>262.5</v>
      </c>
      <c r="AG65" s="72">
        <f t="shared" ref="AG65" si="28">SUM(AG62:AG64)</f>
        <v>538.1</v>
      </c>
      <c r="AH65" s="48">
        <f t="shared" si="2"/>
        <v>498.8</v>
      </c>
      <c r="AI65" s="49">
        <f t="shared" si="3"/>
        <v>62.1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145.9</v>
      </c>
      <c r="C66" s="46">
        <v>145.9</v>
      </c>
      <c r="D66" s="46">
        <v>145.9</v>
      </c>
      <c r="E66" s="46">
        <v>145.9</v>
      </c>
      <c r="F66" s="46">
        <v>145.9</v>
      </c>
      <c r="G66" s="46">
        <v>145.1</v>
      </c>
      <c r="H66" s="46">
        <v>145.1</v>
      </c>
      <c r="I66" s="46">
        <v>145.1</v>
      </c>
      <c r="J66" s="46">
        <v>144.6</v>
      </c>
      <c r="K66" s="46">
        <v>144.6</v>
      </c>
      <c r="L66" s="46">
        <v>144.6</v>
      </c>
      <c r="M66" s="46">
        <v>144.6</v>
      </c>
      <c r="N66" s="46">
        <v>144.6</v>
      </c>
      <c r="O66" s="46">
        <v>144.6</v>
      </c>
      <c r="P66" s="46">
        <v>144.6</v>
      </c>
      <c r="Q66" s="46">
        <v>144.6</v>
      </c>
      <c r="R66" s="46">
        <v>144.6</v>
      </c>
      <c r="S66" s="46">
        <v>144.6</v>
      </c>
      <c r="T66" s="46">
        <v>144.6</v>
      </c>
      <c r="U66" s="46">
        <v>144.6</v>
      </c>
      <c r="V66" s="46">
        <v>144.6</v>
      </c>
      <c r="W66" s="46">
        <v>90</v>
      </c>
      <c r="X66" s="46">
        <v>90</v>
      </c>
      <c r="Y66" s="46">
        <v>143.5</v>
      </c>
      <c r="Z66" s="46">
        <v>143.5</v>
      </c>
      <c r="AA66" s="46">
        <v>142.4</v>
      </c>
      <c r="AB66" s="46">
        <v>0</v>
      </c>
      <c r="AC66" s="46">
        <v>0</v>
      </c>
      <c r="AD66" s="46">
        <v>97.5</v>
      </c>
      <c r="AE66" s="46">
        <v>143</v>
      </c>
      <c r="AF66" s="46">
        <v>135</v>
      </c>
      <c r="AG66" s="61">
        <v>144</v>
      </c>
      <c r="AH66" s="48">
        <f t="shared" si="2"/>
        <v>145.9</v>
      </c>
      <c r="AI66" s="49">
        <f t="shared" si="3"/>
        <v>0</v>
      </c>
      <c r="AK66" s="51"/>
      <c r="AY66" s="1" t="s">
        <v>86</v>
      </c>
      <c r="AZ66" s="82">
        <f>ROUND(C84,0)</f>
        <v>21</v>
      </c>
      <c r="BA66" s="81">
        <f t="shared" ref="BA66:BD70" si="29">D84</f>
        <v>25</v>
      </c>
      <c r="BB66" s="81">
        <f t="shared" si="29"/>
        <v>9.6</v>
      </c>
      <c r="BC66" s="81">
        <f t="shared" si="29"/>
        <v>9.6999999999999993</v>
      </c>
      <c r="BD66" s="81">
        <f t="shared" si="29"/>
        <v>10.8</v>
      </c>
      <c r="BE66" s="82">
        <f>I84</f>
        <v>13.7</v>
      </c>
      <c r="BF66" s="82">
        <f>K84</f>
        <v>58.9</v>
      </c>
      <c r="BG66" s="82">
        <f t="shared" ref="BG66:BP70" si="30">M84</f>
        <v>72</v>
      </c>
      <c r="BH66" s="82">
        <f t="shared" si="30"/>
        <v>64</v>
      </c>
      <c r="BI66" s="82">
        <f t="shared" si="30"/>
        <v>55</v>
      </c>
      <c r="BJ66" s="82">
        <f t="shared" si="30"/>
        <v>44.2</v>
      </c>
      <c r="BK66" s="82">
        <f t="shared" si="30"/>
        <v>63.8</v>
      </c>
      <c r="BL66" s="82">
        <f t="shared" si="30"/>
        <v>64.599999999999994</v>
      </c>
      <c r="BM66" s="82">
        <f t="shared" si="30"/>
        <v>72.599999999999994</v>
      </c>
      <c r="BN66" s="82">
        <f t="shared" si="30"/>
        <v>65.8</v>
      </c>
      <c r="BO66" s="82">
        <f t="shared" si="30"/>
        <v>65</v>
      </c>
      <c r="BP66" s="82">
        <f t="shared" si="30"/>
        <v>63.5</v>
      </c>
      <c r="BQ66" s="82">
        <f>X84</f>
        <v>41.5</v>
      </c>
      <c r="BR66" s="82">
        <f>Z84</f>
        <v>35.5</v>
      </c>
      <c r="BS66" s="81">
        <f>AB84</f>
        <v>0</v>
      </c>
      <c r="BT66" s="81">
        <f t="shared" ref="BT66:BV70" si="31">AD84</f>
        <v>47.6</v>
      </c>
      <c r="BU66" s="81">
        <f t="shared" si="31"/>
        <v>15</v>
      </c>
      <c r="BV66" s="81">
        <f t="shared" si="31"/>
        <v>13.5</v>
      </c>
      <c r="BW66" s="81">
        <f>B84</f>
        <v>30</v>
      </c>
    </row>
    <row r="67" spans="1:75" x14ac:dyDescent="0.25">
      <c r="A67" s="65" t="s">
        <v>81</v>
      </c>
      <c r="B67" s="76">
        <v>70.2</v>
      </c>
      <c r="C67" s="76">
        <v>70.2</v>
      </c>
      <c r="D67" s="76">
        <v>70.2</v>
      </c>
      <c r="E67" s="76">
        <v>70.2</v>
      </c>
      <c r="F67" s="76">
        <v>70.2</v>
      </c>
      <c r="G67" s="76">
        <v>71.900000000000006</v>
      </c>
      <c r="H67" s="76">
        <v>72.2</v>
      </c>
      <c r="I67" s="76">
        <v>72.2</v>
      </c>
      <c r="J67" s="76">
        <v>70.7</v>
      </c>
      <c r="K67" s="76">
        <v>70.7</v>
      </c>
      <c r="L67" s="76">
        <v>70.7</v>
      </c>
      <c r="M67" s="76">
        <v>70.7</v>
      </c>
      <c r="N67" s="76">
        <v>70.7</v>
      </c>
      <c r="O67" s="76">
        <v>70.7</v>
      </c>
      <c r="P67" s="76">
        <v>70.7</v>
      </c>
      <c r="Q67" s="76">
        <v>70.7</v>
      </c>
      <c r="R67" s="76">
        <v>70.7</v>
      </c>
      <c r="S67" s="76">
        <v>70.7</v>
      </c>
      <c r="T67" s="76">
        <v>70.7</v>
      </c>
      <c r="U67" s="76">
        <v>70.7</v>
      </c>
      <c r="V67" s="76">
        <v>70.7</v>
      </c>
      <c r="W67" s="76">
        <v>45</v>
      </c>
      <c r="X67" s="76">
        <v>45</v>
      </c>
      <c r="Y67" s="46">
        <v>60.8</v>
      </c>
      <c r="Z67" s="46">
        <v>60.8</v>
      </c>
      <c r="AA67" s="46">
        <v>69.8</v>
      </c>
      <c r="AB67" s="46">
        <v>69.8</v>
      </c>
      <c r="AC67" s="46">
        <v>69.8</v>
      </c>
      <c r="AD67" s="46">
        <v>69.8</v>
      </c>
      <c r="AE67" s="46">
        <v>69</v>
      </c>
      <c r="AF67" s="46">
        <v>69</v>
      </c>
      <c r="AG67" s="66">
        <v>70</v>
      </c>
      <c r="AH67" s="48">
        <f t="shared" si="2"/>
        <v>72.2</v>
      </c>
      <c r="AI67" s="49">
        <f t="shared" si="3"/>
        <v>45</v>
      </c>
      <c r="AK67" s="51"/>
      <c r="AY67" s="1" t="s">
        <v>88</v>
      </c>
      <c r="AZ67" s="82">
        <f>ROUND(C85,0)</f>
        <v>0</v>
      </c>
      <c r="BA67" s="81">
        <f t="shared" si="29"/>
        <v>0</v>
      </c>
      <c r="BB67" s="81">
        <f t="shared" si="29"/>
        <v>0</v>
      </c>
      <c r="BC67" s="81">
        <f t="shared" si="29"/>
        <v>0</v>
      </c>
      <c r="BD67" s="81">
        <f t="shared" si="29"/>
        <v>0</v>
      </c>
      <c r="BE67" s="82">
        <f>I85</f>
        <v>0</v>
      </c>
      <c r="BF67" s="82">
        <f>K85</f>
        <v>0</v>
      </c>
      <c r="BG67" s="82">
        <f t="shared" si="30"/>
        <v>0</v>
      </c>
      <c r="BH67" s="82">
        <f t="shared" si="30"/>
        <v>0</v>
      </c>
      <c r="BI67" s="82">
        <f t="shared" si="30"/>
        <v>0</v>
      </c>
      <c r="BJ67" s="82">
        <f t="shared" si="30"/>
        <v>0</v>
      </c>
      <c r="BK67" s="82">
        <f t="shared" si="30"/>
        <v>0</v>
      </c>
      <c r="BL67" s="82">
        <f t="shared" si="30"/>
        <v>0</v>
      </c>
      <c r="BM67" s="82">
        <f t="shared" si="30"/>
        <v>0</v>
      </c>
      <c r="BN67" s="82">
        <f t="shared" si="30"/>
        <v>0</v>
      </c>
      <c r="BO67" s="82">
        <f t="shared" si="30"/>
        <v>80.2</v>
      </c>
      <c r="BP67" s="82">
        <f t="shared" si="30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1"/>
        <v>0</v>
      </c>
      <c r="BU67" s="81">
        <f t="shared" si="31"/>
        <v>0</v>
      </c>
      <c r="BV67" s="81">
        <f t="shared" si="31"/>
        <v>0</v>
      </c>
      <c r="BW67" s="81">
        <f>B85</f>
        <v>0</v>
      </c>
    </row>
    <row r="68" spans="1:75" x14ac:dyDescent="0.25">
      <c r="A68" s="65" t="s">
        <v>82</v>
      </c>
      <c r="B68" s="76">
        <v>70</v>
      </c>
      <c r="C68" s="76">
        <v>70</v>
      </c>
      <c r="D68" s="76">
        <v>70</v>
      </c>
      <c r="E68" s="76">
        <v>70</v>
      </c>
      <c r="F68" s="76">
        <v>70</v>
      </c>
      <c r="G68" s="76">
        <v>69.8</v>
      </c>
      <c r="H68" s="76">
        <v>70</v>
      </c>
      <c r="I68" s="76">
        <v>70</v>
      </c>
      <c r="J68" s="76">
        <v>70</v>
      </c>
      <c r="K68" s="76">
        <v>70</v>
      </c>
      <c r="L68" s="76">
        <v>70</v>
      </c>
      <c r="M68" s="76">
        <v>70</v>
      </c>
      <c r="N68" s="76">
        <v>70</v>
      </c>
      <c r="O68" s="76">
        <v>70</v>
      </c>
      <c r="P68" s="76">
        <v>70</v>
      </c>
      <c r="Q68" s="76">
        <v>70</v>
      </c>
      <c r="R68" s="76">
        <v>70</v>
      </c>
      <c r="S68" s="76">
        <v>70</v>
      </c>
      <c r="T68" s="76">
        <v>70</v>
      </c>
      <c r="U68" s="76">
        <v>70</v>
      </c>
      <c r="V68" s="76">
        <v>70</v>
      </c>
      <c r="W68" s="76">
        <v>51.8</v>
      </c>
      <c r="X68" s="76">
        <v>51.8</v>
      </c>
      <c r="Y68" s="46">
        <v>68.8</v>
      </c>
      <c r="Z68" s="46">
        <v>68.8</v>
      </c>
      <c r="AA68" s="46">
        <v>69.8</v>
      </c>
      <c r="AB68" s="46">
        <v>69.8</v>
      </c>
      <c r="AC68" s="46">
        <v>69.8</v>
      </c>
      <c r="AD68" s="46">
        <v>69.8</v>
      </c>
      <c r="AE68" s="46">
        <v>69.900000000000006</v>
      </c>
      <c r="AF68" s="46">
        <v>69.900000000000006</v>
      </c>
      <c r="AG68" s="66">
        <v>69</v>
      </c>
      <c r="AH68" s="48">
        <f t="shared" si="2"/>
        <v>70</v>
      </c>
      <c r="AI68" s="49">
        <f t="shared" si="3"/>
        <v>51.8</v>
      </c>
      <c r="AK68" s="51"/>
      <c r="AL68" s="83"/>
      <c r="AO68" s="83"/>
      <c r="AY68" s="1" t="s">
        <v>90</v>
      </c>
      <c r="AZ68" s="82">
        <f>ROUND(C86,0)</f>
        <v>-95</v>
      </c>
      <c r="BA68" s="81">
        <f t="shared" si="29"/>
        <v>-110</v>
      </c>
      <c r="BB68" s="81">
        <f t="shared" si="29"/>
        <v>-127</v>
      </c>
      <c r="BC68" s="81">
        <f t="shared" si="29"/>
        <v>-104</v>
      </c>
      <c r="BD68" s="81">
        <f t="shared" si="29"/>
        <v>-109.2</v>
      </c>
      <c r="BE68" s="82">
        <f>I86</f>
        <v>-119.5</v>
      </c>
      <c r="BF68" s="82">
        <f>K86</f>
        <v>86.9</v>
      </c>
      <c r="BG68" s="82">
        <f t="shared" si="30"/>
        <v>79</v>
      </c>
      <c r="BH68" s="82">
        <f t="shared" si="30"/>
        <v>133</v>
      </c>
      <c r="BI68" s="82">
        <f t="shared" si="30"/>
        <v>-108</v>
      </c>
      <c r="BJ68" s="82">
        <f t="shared" si="30"/>
        <v>240</v>
      </c>
      <c r="BK68" s="82">
        <f t="shared" si="30"/>
        <v>238</v>
      </c>
      <c r="BL68" s="82">
        <f t="shared" si="30"/>
        <v>216</v>
      </c>
      <c r="BM68" s="82">
        <f t="shared" si="30"/>
        <v>220</v>
      </c>
      <c r="BN68" s="82">
        <f t="shared" si="30"/>
        <v>120</v>
      </c>
      <c r="BO68" s="82">
        <f t="shared" si="30"/>
        <v>-116</v>
      </c>
      <c r="BP68" s="82">
        <f t="shared" si="30"/>
        <v>198</v>
      </c>
      <c r="BQ68" s="82">
        <f>X86</f>
        <v>249</v>
      </c>
      <c r="BR68" s="82">
        <f>Z86</f>
        <v>-114</v>
      </c>
      <c r="BS68" s="81">
        <f>AB86</f>
        <v>0</v>
      </c>
      <c r="BT68" s="81">
        <f t="shared" si="31"/>
        <v>-114</v>
      </c>
      <c r="BU68" s="81">
        <f t="shared" si="31"/>
        <v>-126</v>
      </c>
      <c r="BV68" s="81">
        <f t="shared" si="31"/>
        <v>-115</v>
      </c>
      <c r="BW68" s="81">
        <f>B86</f>
        <v>-109</v>
      </c>
    </row>
    <row r="69" spans="1:75" s="83" customFormat="1" x14ac:dyDescent="0.25">
      <c r="A69" s="65" t="s">
        <v>83</v>
      </c>
      <c r="B69" s="76">
        <v>61.4</v>
      </c>
      <c r="C69" s="76">
        <v>61.4</v>
      </c>
      <c r="D69" s="76">
        <v>61.4</v>
      </c>
      <c r="E69" s="76">
        <v>61.4</v>
      </c>
      <c r="F69" s="76">
        <v>61.4</v>
      </c>
      <c r="G69" s="76">
        <v>61.4</v>
      </c>
      <c r="H69" s="76">
        <v>61.4</v>
      </c>
      <c r="I69" s="76">
        <v>61.4</v>
      </c>
      <c r="J69" s="76">
        <v>61.4</v>
      </c>
      <c r="K69" s="76">
        <v>61.4</v>
      </c>
      <c r="L69" s="76">
        <v>61.4</v>
      </c>
      <c r="M69" s="76">
        <v>61.4</v>
      </c>
      <c r="N69" s="76">
        <v>61.4</v>
      </c>
      <c r="O69" s="76">
        <v>61.4</v>
      </c>
      <c r="P69" s="76">
        <v>61.4</v>
      </c>
      <c r="Q69" s="76">
        <v>61.4</v>
      </c>
      <c r="R69" s="76">
        <v>61.4</v>
      </c>
      <c r="S69" s="76">
        <v>61.4</v>
      </c>
      <c r="T69" s="76">
        <v>61.4</v>
      </c>
      <c r="U69" s="76">
        <v>61.4</v>
      </c>
      <c r="V69" s="76">
        <v>61.4</v>
      </c>
      <c r="W69" s="76">
        <v>61.4</v>
      </c>
      <c r="X69" s="76">
        <v>61.4</v>
      </c>
      <c r="Y69" s="46">
        <v>61.4</v>
      </c>
      <c r="Z69" s="46">
        <v>61.4</v>
      </c>
      <c r="AA69" s="46">
        <v>61.4</v>
      </c>
      <c r="AB69" s="46">
        <v>61.4</v>
      </c>
      <c r="AC69" s="46">
        <v>61.4</v>
      </c>
      <c r="AD69" s="46">
        <v>61.4</v>
      </c>
      <c r="AE69" s="46">
        <v>61.4</v>
      </c>
      <c r="AF69" s="46">
        <v>61.4</v>
      </c>
      <c r="AG69" s="66">
        <v>60</v>
      </c>
      <c r="AH69" s="48">
        <f t="shared" si="2"/>
        <v>61.4</v>
      </c>
      <c r="AI69" s="49">
        <f t="shared" si="3"/>
        <v>61.4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9"/>
        <v>0</v>
      </c>
      <c r="BB69" s="81">
        <f t="shared" si="29"/>
        <v>0</v>
      </c>
      <c r="BC69" s="81">
        <f t="shared" si="29"/>
        <v>0</v>
      </c>
      <c r="BD69" s="81">
        <f t="shared" si="29"/>
        <v>0</v>
      </c>
      <c r="BE69" s="82">
        <f>I87</f>
        <v>0</v>
      </c>
      <c r="BF69" s="82">
        <f>K87</f>
        <v>0</v>
      </c>
      <c r="BG69" s="82">
        <f t="shared" si="30"/>
        <v>0</v>
      </c>
      <c r="BH69" s="82">
        <f t="shared" si="30"/>
        <v>45</v>
      </c>
      <c r="BI69" s="82">
        <f t="shared" si="30"/>
        <v>50</v>
      </c>
      <c r="BJ69" s="82">
        <f t="shared" si="30"/>
        <v>51.5</v>
      </c>
      <c r="BK69" s="82">
        <f t="shared" si="30"/>
        <v>46</v>
      </c>
      <c r="BL69" s="82">
        <f t="shared" si="30"/>
        <v>46.4</v>
      </c>
      <c r="BM69" s="82">
        <f t="shared" si="30"/>
        <v>43.2</v>
      </c>
      <c r="BN69" s="82">
        <f t="shared" si="30"/>
        <v>45.5</v>
      </c>
      <c r="BO69" s="82">
        <f t="shared" si="30"/>
        <v>48.7</v>
      </c>
      <c r="BP69" s="82">
        <f t="shared" si="30"/>
        <v>46.1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31"/>
        <v>0</v>
      </c>
      <c r="BU69" s="81">
        <f t="shared" si="31"/>
        <v>0</v>
      </c>
      <c r="BV69" s="81">
        <f t="shared" si="31"/>
        <v>0</v>
      </c>
      <c r="BW69" s="81">
        <f>B87</f>
        <v>0</v>
      </c>
    </row>
    <row r="70" spans="1:75" x14ac:dyDescent="0.25">
      <c r="A70" s="65" t="s">
        <v>84</v>
      </c>
      <c r="B70" s="46">
        <v>11</v>
      </c>
      <c r="C70" s="46">
        <v>11</v>
      </c>
      <c r="D70" s="46">
        <v>11</v>
      </c>
      <c r="E70" s="46">
        <v>14.4</v>
      </c>
      <c r="F70" s="46">
        <v>14.3</v>
      </c>
      <c r="G70" s="46">
        <v>14.3</v>
      </c>
      <c r="H70" s="46">
        <v>14.3</v>
      </c>
      <c r="I70" s="46">
        <v>10.1</v>
      </c>
      <c r="J70" s="76">
        <v>10</v>
      </c>
      <c r="K70" s="76">
        <v>22.7</v>
      </c>
      <c r="L70" s="76">
        <v>22.7</v>
      </c>
      <c r="M70" s="76">
        <v>15</v>
      </c>
      <c r="N70" s="76">
        <v>15</v>
      </c>
      <c r="O70" s="76">
        <v>15</v>
      </c>
      <c r="P70" s="76">
        <v>15</v>
      </c>
      <c r="Q70" s="76">
        <v>10</v>
      </c>
      <c r="R70" s="76">
        <v>10</v>
      </c>
      <c r="S70" s="76">
        <v>15</v>
      </c>
      <c r="T70" s="76">
        <v>22.7</v>
      </c>
      <c r="U70" s="76">
        <v>22.7</v>
      </c>
      <c r="V70" s="76">
        <v>22.7</v>
      </c>
      <c r="W70" s="76">
        <v>10.4</v>
      </c>
      <c r="X70" s="76">
        <v>10.4</v>
      </c>
      <c r="Y70" s="46">
        <v>10.4</v>
      </c>
      <c r="Z70" s="46">
        <v>10.4</v>
      </c>
      <c r="AA70" s="46">
        <v>14</v>
      </c>
      <c r="AB70" s="46">
        <v>14</v>
      </c>
      <c r="AC70" s="46">
        <v>14</v>
      </c>
      <c r="AD70" s="46">
        <v>14</v>
      </c>
      <c r="AE70" s="46">
        <v>10</v>
      </c>
      <c r="AF70" s="46">
        <v>10</v>
      </c>
      <c r="AG70" s="66">
        <v>30</v>
      </c>
      <c r="AH70" s="48">
        <f t="shared" si="2"/>
        <v>22.7</v>
      </c>
      <c r="AI70" s="49">
        <f t="shared" si="3"/>
        <v>10</v>
      </c>
      <c r="AK70" s="51"/>
      <c r="AY70" s="1" t="s">
        <v>94</v>
      </c>
      <c r="AZ70" s="82">
        <f>ROUND(C88,0)</f>
        <v>0</v>
      </c>
      <c r="BA70" s="81">
        <f t="shared" si="29"/>
        <v>0</v>
      </c>
      <c r="BB70" s="81">
        <f t="shared" si="29"/>
        <v>0</v>
      </c>
      <c r="BC70" s="81">
        <f t="shared" si="29"/>
        <v>0</v>
      </c>
      <c r="BD70" s="81">
        <f t="shared" si="29"/>
        <v>0</v>
      </c>
      <c r="BE70" s="82">
        <f>I88</f>
        <v>0</v>
      </c>
      <c r="BF70" s="82">
        <f>K88</f>
        <v>110.8</v>
      </c>
      <c r="BG70" s="82">
        <f t="shared" si="30"/>
        <v>119</v>
      </c>
      <c r="BH70" s="82">
        <f t="shared" si="30"/>
        <v>124.7</v>
      </c>
      <c r="BI70" s="82">
        <f t="shared" si="30"/>
        <v>135</v>
      </c>
      <c r="BJ70" s="82">
        <f t="shared" si="30"/>
        <v>141</v>
      </c>
      <c r="BK70" s="82">
        <f t="shared" si="30"/>
        <v>135</v>
      </c>
      <c r="BL70" s="82">
        <f t="shared" si="30"/>
        <v>139</v>
      </c>
      <c r="BM70" s="82">
        <f t="shared" si="30"/>
        <v>126.5</v>
      </c>
      <c r="BN70" s="82">
        <f t="shared" si="30"/>
        <v>61</v>
      </c>
      <c r="BO70" s="82">
        <f t="shared" si="30"/>
        <v>131</v>
      </c>
      <c r="BP70" s="82">
        <f t="shared" si="30"/>
        <v>123.1</v>
      </c>
      <c r="BQ70" s="82">
        <f>X88</f>
        <v>132</v>
      </c>
      <c r="BR70" s="82">
        <f>Z88</f>
        <v>0</v>
      </c>
      <c r="BS70" s="81">
        <f>AB88</f>
        <v>0</v>
      </c>
      <c r="BT70" s="81">
        <f t="shared" si="31"/>
        <v>0</v>
      </c>
      <c r="BU70" s="81">
        <f t="shared" si="31"/>
        <v>0</v>
      </c>
      <c r="BV70" s="81">
        <f t="shared" si="31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0.2</v>
      </c>
      <c r="J71" s="46">
        <v>0.5</v>
      </c>
      <c r="K71" s="46">
        <v>3.3</v>
      </c>
      <c r="L71" s="46">
        <v>4.0999999999999996</v>
      </c>
      <c r="M71" s="46">
        <v>8.1999999999999993</v>
      </c>
      <c r="N71" s="46">
        <v>12.4</v>
      </c>
      <c r="O71" s="46">
        <v>15.9</v>
      </c>
      <c r="P71" s="46">
        <v>17.3</v>
      </c>
      <c r="Q71" s="46">
        <v>18.100000000000001</v>
      </c>
      <c r="R71" s="46">
        <v>17.2</v>
      </c>
      <c r="S71" s="46">
        <v>14.9</v>
      </c>
      <c r="T71" s="46">
        <v>11.2</v>
      </c>
      <c r="U71" s="46">
        <v>7</v>
      </c>
      <c r="V71" s="46">
        <v>3.1</v>
      </c>
      <c r="W71" s="46">
        <v>0</v>
      </c>
      <c r="X71" s="46"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18.100000000000001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2">M94</f>
        <v>0</v>
      </c>
      <c r="BH71" s="82">
        <f t="shared" si="32"/>
        <v>0</v>
      </c>
      <c r="BI71" s="82">
        <f t="shared" si="32"/>
        <v>0</v>
      </c>
      <c r="BJ71" s="82">
        <f t="shared" si="32"/>
        <v>0</v>
      </c>
      <c r="BK71" s="82">
        <f t="shared" si="32"/>
        <v>0</v>
      </c>
      <c r="BL71" s="82">
        <f t="shared" si="32"/>
        <v>0</v>
      </c>
      <c r="BM71" s="82">
        <f t="shared" si="32"/>
        <v>0</v>
      </c>
      <c r="BN71" s="82">
        <f t="shared" si="32"/>
        <v>0</v>
      </c>
      <c r="BO71" s="82">
        <f t="shared" si="32"/>
        <v>0</v>
      </c>
      <c r="BP71" s="82">
        <f t="shared" si="32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</v>
      </c>
      <c r="C72" s="76">
        <v>12</v>
      </c>
      <c r="D72" s="76">
        <v>12</v>
      </c>
      <c r="E72" s="76">
        <v>12</v>
      </c>
      <c r="F72" s="76">
        <v>12</v>
      </c>
      <c r="G72" s="76">
        <v>12</v>
      </c>
      <c r="H72" s="76">
        <v>12</v>
      </c>
      <c r="I72" s="76">
        <v>12</v>
      </c>
      <c r="J72" s="76">
        <v>12</v>
      </c>
      <c r="K72" s="76">
        <v>12</v>
      </c>
      <c r="L72" s="76">
        <v>12</v>
      </c>
      <c r="M72" s="76">
        <v>14.2</v>
      </c>
      <c r="N72" s="76">
        <v>14.2</v>
      </c>
      <c r="O72" s="76">
        <v>14.2</v>
      </c>
      <c r="P72" s="76">
        <v>14.2</v>
      </c>
      <c r="Q72" s="76">
        <v>14.2</v>
      </c>
      <c r="R72" s="76">
        <v>14.2</v>
      </c>
      <c r="S72" s="76">
        <v>14.2</v>
      </c>
      <c r="T72" s="76">
        <v>14.2</v>
      </c>
      <c r="U72" s="76">
        <v>14.2</v>
      </c>
      <c r="V72" s="76">
        <v>14.2</v>
      </c>
      <c r="W72" s="76">
        <v>13.7</v>
      </c>
      <c r="X72" s="76">
        <v>13.7</v>
      </c>
      <c r="Y72" s="76">
        <v>13.7</v>
      </c>
      <c r="Z72" s="76">
        <v>13.7</v>
      </c>
      <c r="AA72" s="76">
        <v>13.7</v>
      </c>
      <c r="AB72" s="76">
        <v>13.7</v>
      </c>
      <c r="AC72" s="76">
        <v>13.7</v>
      </c>
      <c r="AD72" s="76">
        <v>13.7</v>
      </c>
      <c r="AE72" s="76">
        <v>13.4</v>
      </c>
      <c r="AF72" s="76">
        <v>13.4</v>
      </c>
      <c r="AG72" s="66">
        <v>24</v>
      </c>
      <c r="AH72" s="48">
        <f t="shared" si="2"/>
        <v>14.2</v>
      </c>
      <c r="AI72" s="49">
        <f t="shared" si="3"/>
        <v>12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2</v>
      </c>
      <c r="C73" s="76">
        <v>2</v>
      </c>
      <c r="D73" s="76">
        <v>2</v>
      </c>
      <c r="E73" s="76">
        <v>2</v>
      </c>
      <c r="F73" s="76">
        <v>2</v>
      </c>
      <c r="G73" s="76">
        <v>2</v>
      </c>
      <c r="H73" s="76">
        <v>2</v>
      </c>
      <c r="I73" s="76">
        <v>2</v>
      </c>
      <c r="J73" s="76">
        <v>2</v>
      </c>
      <c r="K73" s="76">
        <v>2</v>
      </c>
      <c r="L73" s="76">
        <v>2</v>
      </c>
      <c r="M73" s="76">
        <v>2</v>
      </c>
      <c r="N73" s="76">
        <v>2</v>
      </c>
      <c r="O73" s="76">
        <v>2</v>
      </c>
      <c r="P73" s="76">
        <v>2</v>
      </c>
      <c r="Q73" s="76">
        <v>2</v>
      </c>
      <c r="R73" s="76">
        <v>2</v>
      </c>
      <c r="S73" s="76">
        <v>2</v>
      </c>
      <c r="T73" s="76">
        <v>2</v>
      </c>
      <c r="U73" s="76">
        <v>2</v>
      </c>
      <c r="V73" s="76">
        <v>2</v>
      </c>
      <c r="W73" s="76">
        <v>3.5</v>
      </c>
      <c r="X73" s="76">
        <v>3.5</v>
      </c>
      <c r="Y73" s="76">
        <v>3.5</v>
      </c>
      <c r="Z73" s="76">
        <v>3.5</v>
      </c>
      <c r="AA73" s="76">
        <v>3.5</v>
      </c>
      <c r="AB73" s="76">
        <v>3.5</v>
      </c>
      <c r="AC73" s="76">
        <v>3.5</v>
      </c>
      <c r="AD73" s="76">
        <v>3.5</v>
      </c>
      <c r="AE73" s="76">
        <v>3.5</v>
      </c>
      <c r="AF73" s="76">
        <v>3.5</v>
      </c>
      <c r="AG73" s="66">
        <v>15</v>
      </c>
      <c r="AH73" s="48">
        <f t="shared" si="2"/>
        <v>3.5</v>
      </c>
      <c r="AI73" s="49">
        <f t="shared" si="3"/>
        <v>2</v>
      </c>
      <c r="AK73" s="51"/>
      <c r="AZ73" s="82">
        <f t="shared" ref="AZ73:BW78" si="33">VALUE(AZ66)</f>
        <v>21</v>
      </c>
      <c r="BA73" s="82">
        <f t="shared" si="33"/>
        <v>25</v>
      </c>
      <c r="BB73" s="82">
        <f t="shared" si="33"/>
        <v>9.6</v>
      </c>
      <c r="BC73" s="82">
        <f t="shared" si="33"/>
        <v>9.6999999999999993</v>
      </c>
      <c r="BD73" s="82">
        <f t="shared" si="33"/>
        <v>10.8</v>
      </c>
      <c r="BE73" s="82">
        <f t="shared" si="33"/>
        <v>13.7</v>
      </c>
      <c r="BF73" s="82">
        <f t="shared" si="33"/>
        <v>58.9</v>
      </c>
      <c r="BG73" s="82">
        <f t="shared" si="33"/>
        <v>72</v>
      </c>
      <c r="BH73" s="82">
        <f t="shared" si="33"/>
        <v>64</v>
      </c>
      <c r="BI73" s="82">
        <f t="shared" si="33"/>
        <v>55</v>
      </c>
      <c r="BJ73" s="82">
        <f t="shared" si="33"/>
        <v>44.2</v>
      </c>
      <c r="BK73" s="82">
        <f t="shared" si="33"/>
        <v>63.8</v>
      </c>
      <c r="BL73" s="82">
        <f t="shared" si="33"/>
        <v>64.599999999999994</v>
      </c>
      <c r="BM73" s="82">
        <f t="shared" si="33"/>
        <v>72.599999999999994</v>
      </c>
      <c r="BN73" s="82">
        <f t="shared" si="33"/>
        <v>65.8</v>
      </c>
      <c r="BO73" s="82">
        <f t="shared" si="33"/>
        <v>65</v>
      </c>
      <c r="BP73" s="82">
        <f t="shared" si="33"/>
        <v>63.5</v>
      </c>
      <c r="BQ73" s="82">
        <f t="shared" si="33"/>
        <v>41.5</v>
      </c>
      <c r="BR73" s="82">
        <f t="shared" si="33"/>
        <v>35.5</v>
      </c>
      <c r="BS73" s="82">
        <f t="shared" si="33"/>
        <v>0</v>
      </c>
      <c r="BT73" s="82">
        <f t="shared" si="33"/>
        <v>47.6</v>
      </c>
      <c r="BU73" s="82">
        <f t="shared" si="33"/>
        <v>15</v>
      </c>
      <c r="BV73" s="82">
        <f t="shared" si="33"/>
        <v>13.5</v>
      </c>
      <c r="BW73" s="82">
        <f t="shared" si="33"/>
        <v>30</v>
      </c>
    </row>
    <row r="74" spans="1:75" x14ac:dyDescent="0.25">
      <c r="A74" s="65" t="s">
        <v>91</v>
      </c>
      <c r="B74" s="76">
        <v>9.6</v>
      </c>
      <c r="C74" s="76">
        <v>9.6</v>
      </c>
      <c r="D74" s="76">
        <v>9.6</v>
      </c>
      <c r="E74" s="76">
        <v>9.6</v>
      </c>
      <c r="F74" s="76">
        <v>9.6</v>
      </c>
      <c r="G74" s="76">
        <v>9.6</v>
      </c>
      <c r="H74" s="76">
        <v>9.6</v>
      </c>
      <c r="I74" s="76">
        <v>9.6</v>
      </c>
      <c r="J74" s="76">
        <v>9.6</v>
      </c>
      <c r="K74" s="76">
        <v>9.6</v>
      </c>
      <c r="L74" s="76">
        <v>9.6</v>
      </c>
      <c r="M74" s="76">
        <v>9.6</v>
      </c>
      <c r="N74" s="76">
        <v>9.6</v>
      </c>
      <c r="O74" s="76">
        <v>9.6</v>
      </c>
      <c r="P74" s="76">
        <v>9.6</v>
      </c>
      <c r="Q74" s="76">
        <v>11.6</v>
      </c>
      <c r="R74" s="76">
        <v>11.6</v>
      </c>
      <c r="S74" s="76">
        <v>11.6</v>
      </c>
      <c r="T74" s="76">
        <v>11.6</v>
      </c>
      <c r="U74" s="76">
        <v>11.6</v>
      </c>
      <c r="V74" s="76">
        <v>11.6</v>
      </c>
      <c r="W74" s="76">
        <v>10.9</v>
      </c>
      <c r="X74" s="76">
        <v>10.9</v>
      </c>
      <c r="Y74" s="76">
        <v>11</v>
      </c>
      <c r="Z74" s="76">
        <v>11</v>
      </c>
      <c r="AA74" s="76">
        <v>11</v>
      </c>
      <c r="AB74" s="76">
        <v>11</v>
      </c>
      <c r="AC74" s="76">
        <v>11</v>
      </c>
      <c r="AD74" s="76">
        <v>11</v>
      </c>
      <c r="AE74" s="76">
        <v>10.199999999999999</v>
      </c>
      <c r="AF74" s="76">
        <v>10.199999999999999</v>
      </c>
      <c r="AG74" s="66">
        <v>14.1</v>
      </c>
      <c r="AH74" s="48">
        <f t="shared" si="2"/>
        <v>11.6</v>
      </c>
      <c r="AI74" s="49">
        <f t="shared" si="3"/>
        <v>9.6</v>
      </c>
      <c r="AK74" s="51"/>
      <c r="AZ74" s="82">
        <f t="shared" si="33"/>
        <v>0</v>
      </c>
      <c r="BA74" s="82">
        <f t="shared" si="33"/>
        <v>0</v>
      </c>
      <c r="BB74" s="82">
        <f t="shared" si="33"/>
        <v>0</v>
      </c>
      <c r="BC74" s="82">
        <f t="shared" si="33"/>
        <v>0</v>
      </c>
      <c r="BD74" s="82">
        <f t="shared" si="33"/>
        <v>0</v>
      </c>
      <c r="BE74" s="82">
        <f t="shared" si="33"/>
        <v>0</v>
      </c>
      <c r="BF74" s="82">
        <f t="shared" si="33"/>
        <v>0</v>
      </c>
      <c r="BG74" s="82">
        <f t="shared" si="33"/>
        <v>0</v>
      </c>
      <c r="BH74" s="82">
        <f t="shared" si="33"/>
        <v>0</v>
      </c>
      <c r="BI74" s="82">
        <f t="shared" si="33"/>
        <v>0</v>
      </c>
      <c r="BJ74" s="82">
        <f t="shared" si="33"/>
        <v>0</v>
      </c>
      <c r="BK74" s="82">
        <f t="shared" si="33"/>
        <v>0</v>
      </c>
      <c r="BL74" s="82">
        <f t="shared" si="33"/>
        <v>0</v>
      </c>
      <c r="BM74" s="82">
        <f t="shared" si="33"/>
        <v>0</v>
      </c>
      <c r="BN74" s="82">
        <f t="shared" si="33"/>
        <v>0</v>
      </c>
      <c r="BO74" s="82">
        <f t="shared" si="33"/>
        <v>80.2</v>
      </c>
      <c r="BP74" s="82">
        <f t="shared" si="33"/>
        <v>0</v>
      </c>
      <c r="BQ74" s="82">
        <f t="shared" si="33"/>
        <v>0</v>
      </c>
      <c r="BR74" s="82">
        <f t="shared" si="33"/>
        <v>0</v>
      </c>
      <c r="BS74" s="82">
        <f t="shared" si="33"/>
        <v>0</v>
      </c>
      <c r="BT74" s="82">
        <f t="shared" si="33"/>
        <v>0</v>
      </c>
      <c r="BU74" s="82">
        <f t="shared" si="33"/>
        <v>0</v>
      </c>
      <c r="BV74" s="82">
        <f t="shared" si="33"/>
        <v>0</v>
      </c>
      <c r="BW74" s="82">
        <f t="shared" si="33"/>
        <v>0</v>
      </c>
    </row>
    <row r="75" spans="1:75" x14ac:dyDescent="0.25">
      <c r="A75" s="84" t="s">
        <v>93</v>
      </c>
      <c r="B75" s="76">
        <v>10.4</v>
      </c>
      <c r="C75" s="76">
        <v>10.4</v>
      </c>
      <c r="D75" s="76">
        <v>10.4</v>
      </c>
      <c r="E75" s="76">
        <v>10.4</v>
      </c>
      <c r="F75" s="76">
        <v>10.4</v>
      </c>
      <c r="G75" s="76">
        <v>10.4</v>
      </c>
      <c r="H75" s="76">
        <v>10.4</v>
      </c>
      <c r="I75" s="76">
        <v>10.4</v>
      </c>
      <c r="J75" s="76">
        <v>10.4</v>
      </c>
      <c r="K75" s="76">
        <v>10.4</v>
      </c>
      <c r="L75" s="76">
        <v>10.4</v>
      </c>
      <c r="M75" s="76">
        <v>10.4</v>
      </c>
      <c r="N75" s="76">
        <v>10.4</v>
      </c>
      <c r="O75" s="76">
        <v>7.7</v>
      </c>
      <c r="P75" s="76">
        <v>7.7</v>
      </c>
      <c r="Q75" s="76">
        <v>7.7</v>
      </c>
      <c r="R75" s="76">
        <v>9.4</v>
      </c>
      <c r="S75" s="76">
        <v>9.4</v>
      </c>
      <c r="T75" s="76">
        <v>9.4</v>
      </c>
      <c r="U75" s="76">
        <v>9.4</v>
      </c>
      <c r="V75" s="76">
        <v>9.4</v>
      </c>
      <c r="W75" s="76">
        <v>8.5</v>
      </c>
      <c r="X75" s="76">
        <v>8.5</v>
      </c>
      <c r="Y75" s="76">
        <v>7.9</v>
      </c>
      <c r="Z75" s="76">
        <v>7.9</v>
      </c>
      <c r="AA75" s="76">
        <v>7.9</v>
      </c>
      <c r="AB75" s="76">
        <v>7.9</v>
      </c>
      <c r="AC75" s="76">
        <v>7.9</v>
      </c>
      <c r="AD75" s="76">
        <v>7.9</v>
      </c>
      <c r="AE75" s="76">
        <v>13.6</v>
      </c>
      <c r="AF75" s="76">
        <v>13.6</v>
      </c>
      <c r="AG75" s="66">
        <v>14</v>
      </c>
      <c r="AH75" s="48">
        <f t="shared" ref="AH75:AH126" si="34">MAX(B75:AF75)</f>
        <v>13.6</v>
      </c>
      <c r="AI75" s="49">
        <f t="shared" ref="AI75:AI126" si="35">MIN(B75:AF75)</f>
        <v>7.7</v>
      </c>
      <c r="AK75" s="51"/>
      <c r="AZ75" s="82">
        <f t="shared" si="33"/>
        <v>-95</v>
      </c>
      <c r="BA75" s="82">
        <f t="shared" si="33"/>
        <v>-110</v>
      </c>
      <c r="BB75" s="82">
        <f t="shared" si="33"/>
        <v>-127</v>
      </c>
      <c r="BC75" s="82">
        <f t="shared" si="33"/>
        <v>-104</v>
      </c>
      <c r="BD75" s="82">
        <f t="shared" si="33"/>
        <v>-109.2</v>
      </c>
      <c r="BE75" s="82">
        <f t="shared" si="33"/>
        <v>-119.5</v>
      </c>
      <c r="BF75" s="82">
        <f t="shared" si="33"/>
        <v>86.9</v>
      </c>
      <c r="BG75" s="82">
        <f t="shared" si="33"/>
        <v>79</v>
      </c>
      <c r="BH75" s="82">
        <f t="shared" si="33"/>
        <v>133</v>
      </c>
      <c r="BI75" s="82">
        <f t="shared" si="33"/>
        <v>-108</v>
      </c>
      <c r="BJ75" s="82">
        <f t="shared" si="33"/>
        <v>240</v>
      </c>
      <c r="BK75" s="82">
        <f t="shared" si="33"/>
        <v>238</v>
      </c>
      <c r="BL75" s="82">
        <f t="shared" si="33"/>
        <v>216</v>
      </c>
      <c r="BM75" s="82">
        <f t="shared" si="33"/>
        <v>220</v>
      </c>
      <c r="BN75" s="82">
        <f t="shared" si="33"/>
        <v>120</v>
      </c>
      <c r="BO75" s="82">
        <f t="shared" si="33"/>
        <v>-116</v>
      </c>
      <c r="BP75" s="82">
        <f t="shared" si="33"/>
        <v>198</v>
      </c>
      <c r="BQ75" s="82">
        <f t="shared" si="33"/>
        <v>249</v>
      </c>
      <c r="BR75" s="82">
        <f t="shared" si="33"/>
        <v>-114</v>
      </c>
      <c r="BS75" s="82">
        <f t="shared" si="33"/>
        <v>0</v>
      </c>
      <c r="BT75" s="82">
        <f t="shared" si="33"/>
        <v>-114</v>
      </c>
      <c r="BU75" s="82">
        <f t="shared" si="33"/>
        <v>-126</v>
      </c>
      <c r="BV75" s="82">
        <f t="shared" si="33"/>
        <v>-115</v>
      </c>
      <c r="BW75" s="82">
        <f t="shared" si="33"/>
        <v>-109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34"/>
        <v>8</v>
      </c>
      <c r="AI76" s="49">
        <f t="shared" si="35"/>
        <v>8</v>
      </c>
      <c r="AK76" s="51"/>
      <c r="AZ76" s="82">
        <f t="shared" si="33"/>
        <v>0</v>
      </c>
      <c r="BA76" s="82">
        <f t="shared" si="33"/>
        <v>0</v>
      </c>
      <c r="BB76" s="82">
        <f t="shared" si="33"/>
        <v>0</v>
      </c>
      <c r="BC76" s="82">
        <f t="shared" si="33"/>
        <v>0</v>
      </c>
      <c r="BD76" s="82">
        <f t="shared" si="33"/>
        <v>0</v>
      </c>
      <c r="BE76" s="82">
        <f t="shared" si="33"/>
        <v>0</v>
      </c>
      <c r="BF76" s="82">
        <f t="shared" si="33"/>
        <v>0</v>
      </c>
      <c r="BG76" s="82">
        <f t="shared" si="33"/>
        <v>0</v>
      </c>
      <c r="BH76" s="82">
        <f t="shared" si="33"/>
        <v>45</v>
      </c>
      <c r="BI76" s="82">
        <f t="shared" si="33"/>
        <v>50</v>
      </c>
      <c r="BJ76" s="82">
        <f t="shared" si="33"/>
        <v>51.5</v>
      </c>
      <c r="BK76" s="82">
        <f t="shared" si="33"/>
        <v>46</v>
      </c>
      <c r="BL76" s="82">
        <f t="shared" si="33"/>
        <v>46.4</v>
      </c>
      <c r="BM76" s="82">
        <f t="shared" si="33"/>
        <v>43.2</v>
      </c>
      <c r="BN76" s="82">
        <f t="shared" si="33"/>
        <v>45.5</v>
      </c>
      <c r="BO76" s="82">
        <f t="shared" si="33"/>
        <v>48.7</v>
      </c>
      <c r="BP76" s="82">
        <f t="shared" si="33"/>
        <v>46.1</v>
      </c>
      <c r="BQ76" s="82">
        <f t="shared" si="33"/>
        <v>0</v>
      </c>
      <c r="BR76" s="82">
        <f t="shared" si="33"/>
        <v>0</v>
      </c>
      <c r="BS76" s="82">
        <f t="shared" si="33"/>
        <v>0</v>
      </c>
      <c r="BT76" s="82">
        <f t="shared" si="33"/>
        <v>0</v>
      </c>
      <c r="BU76" s="82">
        <f t="shared" si="33"/>
        <v>0</v>
      </c>
      <c r="BV76" s="82">
        <f t="shared" si="33"/>
        <v>0</v>
      </c>
      <c r="BW76" s="82">
        <f t="shared" si="33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4"/>
        <v>3</v>
      </c>
      <c r="AI77" s="49">
        <f t="shared" si="35"/>
        <v>3</v>
      </c>
      <c r="AK77" s="51"/>
      <c r="AZ77" s="82">
        <f t="shared" si="33"/>
        <v>0</v>
      </c>
      <c r="BA77" s="82">
        <f t="shared" si="33"/>
        <v>0</v>
      </c>
      <c r="BB77" s="82">
        <f t="shared" si="33"/>
        <v>0</v>
      </c>
      <c r="BC77" s="82">
        <f t="shared" si="33"/>
        <v>0</v>
      </c>
      <c r="BD77" s="82">
        <f t="shared" si="33"/>
        <v>0</v>
      </c>
      <c r="BE77" s="82">
        <f t="shared" si="33"/>
        <v>0</v>
      </c>
      <c r="BF77" s="82">
        <f t="shared" si="33"/>
        <v>110.8</v>
      </c>
      <c r="BG77" s="82">
        <f t="shared" si="33"/>
        <v>119</v>
      </c>
      <c r="BH77" s="82">
        <f t="shared" si="33"/>
        <v>124.7</v>
      </c>
      <c r="BI77" s="82">
        <f t="shared" si="33"/>
        <v>135</v>
      </c>
      <c r="BJ77" s="82">
        <f t="shared" si="33"/>
        <v>141</v>
      </c>
      <c r="BK77" s="82">
        <f t="shared" si="33"/>
        <v>135</v>
      </c>
      <c r="BL77" s="82">
        <f t="shared" si="33"/>
        <v>139</v>
      </c>
      <c r="BM77" s="82">
        <f t="shared" si="33"/>
        <v>126.5</v>
      </c>
      <c r="BN77" s="82">
        <f t="shared" si="33"/>
        <v>61</v>
      </c>
      <c r="BO77" s="82">
        <f t="shared" si="33"/>
        <v>131</v>
      </c>
      <c r="BP77" s="82">
        <f t="shared" si="33"/>
        <v>123.1</v>
      </c>
      <c r="BQ77" s="82">
        <f t="shared" si="33"/>
        <v>132</v>
      </c>
      <c r="BR77" s="82">
        <f t="shared" si="33"/>
        <v>0</v>
      </c>
      <c r="BS77" s="82">
        <f t="shared" si="33"/>
        <v>0</v>
      </c>
      <c r="BT77" s="82">
        <f t="shared" si="33"/>
        <v>0</v>
      </c>
      <c r="BU77" s="82">
        <f t="shared" si="33"/>
        <v>0</v>
      </c>
      <c r="BV77" s="82">
        <f t="shared" si="33"/>
        <v>0</v>
      </c>
      <c r="BW77" s="82">
        <f t="shared" si="33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4"/>
        <v>5.5</v>
      </c>
      <c r="AI78" s="49">
        <f t="shared" si="35"/>
        <v>3.5</v>
      </c>
      <c r="AK78" s="51"/>
      <c r="AZ78" s="82">
        <f t="shared" si="33"/>
        <v>0</v>
      </c>
      <c r="BA78" s="82">
        <f t="shared" si="33"/>
        <v>0</v>
      </c>
      <c r="BB78" s="82">
        <f t="shared" si="33"/>
        <v>0</v>
      </c>
      <c r="BC78" s="82">
        <f t="shared" si="33"/>
        <v>0</v>
      </c>
      <c r="BD78" s="82">
        <f t="shared" si="33"/>
        <v>0</v>
      </c>
      <c r="BE78" s="82">
        <f t="shared" si="33"/>
        <v>0</v>
      </c>
      <c r="BF78" s="82">
        <f t="shared" si="33"/>
        <v>0</v>
      </c>
      <c r="BG78" s="82">
        <f t="shared" si="33"/>
        <v>0</v>
      </c>
      <c r="BH78" s="82">
        <f t="shared" si="33"/>
        <v>0</v>
      </c>
      <c r="BI78" s="82">
        <f t="shared" si="33"/>
        <v>0</v>
      </c>
      <c r="BJ78" s="82">
        <f t="shared" si="33"/>
        <v>0</v>
      </c>
      <c r="BK78" s="82">
        <f t="shared" si="33"/>
        <v>0</v>
      </c>
      <c r="BL78" s="82">
        <f t="shared" si="33"/>
        <v>0</v>
      </c>
      <c r="BM78" s="82">
        <f t="shared" si="33"/>
        <v>0</v>
      </c>
      <c r="BN78" s="82">
        <f t="shared" si="33"/>
        <v>0</v>
      </c>
      <c r="BO78" s="82">
        <f t="shared" si="33"/>
        <v>0</v>
      </c>
      <c r="BP78" s="82">
        <f t="shared" si="33"/>
        <v>0</v>
      </c>
      <c r="BQ78" s="82">
        <f t="shared" si="33"/>
        <v>0</v>
      </c>
      <c r="BR78" s="82">
        <f t="shared" si="33"/>
        <v>0</v>
      </c>
      <c r="BS78" s="82">
        <f t="shared" si="33"/>
        <v>0</v>
      </c>
      <c r="BT78" s="82">
        <f t="shared" si="33"/>
        <v>0</v>
      </c>
      <c r="BU78" s="82">
        <f t="shared" si="33"/>
        <v>0</v>
      </c>
      <c r="BV78" s="82">
        <f t="shared" si="33"/>
        <v>0</v>
      </c>
      <c r="BW78" s="82">
        <f t="shared" si="33"/>
        <v>0</v>
      </c>
    </row>
    <row r="79" spans="1:75" ht="15.75" thickBot="1" x14ac:dyDescent="0.3">
      <c r="A79" s="87" t="s">
        <v>99</v>
      </c>
      <c r="B79" s="71">
        <f t="shared" ref="B79" si="36">SUM(B66:B78)</f>
        <v>407.04</v>
      </c>
      <c r="C79" s="71">
        <f t="shared" ref="C79:AG79" si="37">SUM(C66:C78)</f>
        <v>407.04</v>
      </c>
      <c r="D79" s="71">
        <f t="shared" ref="D79" si="38">SUM(D66:D78)</f>
        <v>407.04</v>
      </c>
      <c r="E79" s="71">
        <f t="shared" si="37"/>
        <v>410.44</v>
      </c>
      <c r="F79" s="71">
        <f t="shared" si="37"/>
        <v>410.34000000000003</v>
      </c>
      <c r="G79" s="71">
        <f t="shared" si="37"/>
        <v>411.04</v>
      </c>
      <c r="H79" s="71">
        <f t="shared" si="37"/>
        <v>411.54</v>
      </c>
      <c r="I79" s="71">
        <f t="shared" si="37"/>
        <v>407.54</v>
      </c>
      <c r="J79" s="71">
        <f t="shared" si="37"/>
        <v>405.74</v>
      </c>
      <c r="K79" s="71">
        <f t="shared" si="37"/>
        <v>421.24</v>
      </c>
      <c r="L79" s="71">
        <f t="shared" si="37"/>
        <v>422.04</v>
      </c>
      <c r="M79" s="71">
        <f t="shared" si="37"/>
        <v>420.64</v>
      </c>
      <c r="N79" s="71">
        <f t="shared" si="37"/>
        <v>424.84</v>
      </c>
      <c r="O79" s="71">
        <f t="shared" si="37"/>
        <v>425.64</v>
      </c>
      <c r="P79" s="71">
        <f t="shared" si="37"/>
        <v>427.04</v>
      </c>
      <c r="Q79" s="71">
        <f t="shared" si="37"/>
        <v>424.84000000000003</v>
      </c>
      <c r="R79" s="71">
        <f t="shared" si="37"/>
        <v>425.64</v>
      </c>
      <c r="S79" s="71">
        <f t="shared" si="37"/>
        <v>428.34</v>
      </c>
      <c r="T79" s="71">
        <f t="shared" si="37"/>
        <v>432.34</v>
      </c>
      <c r="U79" s="71">
        <f t="shared" si="37"/>
        <v>428.14</v>
      </c>
      <c r="V79" s="71">
        <f t="shared" si="37"/>
        <v>424.24</v>
      </c>
      <c r="W79" s="71">
        <f t="shared" ref="W79:X79" si="39">SUM(W66:W78)</f>
        <v>309.74</v>
      </c>
      <c r="X79" s="71">
        <f t="shared" si="39"/>
        <v>309.74</v>
      </c>
      <c r="Y79" s="71">
        <f t="shared" si="37"/>
        <v>395.49999999999994</v>
      </c>
      <c r="Z79" s="71">
        <f t="shared" si="37"/>
        <v>397.49999999999994</v>
      </c>
      <c r="AA79" s="71">
        <f t="shared" si="37"/>
        <v>408.03999999999996</v>
      </c>
      <c r="AB79" s="71">
        <f t="shared" si="37"/>
        <v>265.64000000000004</v>
      </c>
      <c r="AC79" s="71">
        <f t="shared" si="37"/>
        <v>265.64000000000004</v>
      </c>
      <c r="AD79" s="71">
        <f t="shared" si="37"/>
        <v>363.14</v>
      </c>
      <c r="AE79" s="71">
        <f t="shared" ref="AE79:AF79" si="40">SUM(AE66:AE78)</f>
        <v>408.53999999999996</v>
      </c>
      <c r="AF79" s="71">
        <f t="shared" si="40"/>
        <v>400.53999999999996</v>
      </c>
      <c r="AG79" s="72">
        <f t="shared" si="37"/>
        <v>489.91</v>
      </c>
      <c r="AH79" s="48">
        <f t="shared" si="34"/>
        <v>432.34</v>
      </c>
      <c r="AI79" s="49">
        <f t="shared" si="35"/>
        <v>265.64000000000004</v>
      </c>
      <c r="AK79" s="51"/>
      <c r="AY79" s="82"/>
    </row>
    <row r="80" spans="1:75" x14ac:dyDescent="0.25">
      <c r="A80" s="45" t="s">
        <v>100</v>
      </c>
      <c r="B80" s="46">
        <v>49.3</v>
      </c>
      <c r="C80" s="46">
        <v>58.2</v>
      </c>
      <c r="D80" s="46">
        <v>50</v>
      </c>
      <c r="E80" s="46">
        <v>59.4</v>
      </c>
      <c r="F80" s="46">
        <v>38.799999999999997</v>
      </c>
      <c r="G80" s="46">
        <v>38.799999999999997</v>
      </c>
      <c r="H80" s="46">
        <v>38.799999999999997</v>
      </c>
      <c r="I80" s="46">
        <v>58.8</v>
      </c>
      <c r="J80" s="46">
        <v>59.4</v>
      </c>
      <c r="K80" s="46">
        <v>59.2</v>
      </c>
      <c r="L80" s="46">
        <v>59.2</v>
      </c>
      <c r="M80" s="46">
        <v>59.2</v>
      </c>
      <c r="N80" s="46">
        <v>59.2</v>
      </c>
      <c r="O80" s="46">
        <v>59.2</v>
      </c>
      <c r="P80" s="46">
        <v>59.2</v>
      </c>
      <c r="Q80" s="46">
        <v>59.2</v>
      </c>
      <c r="R80" s="46">
        <v>59.2</v>
      </c>
      <c r="S80" s="46">
        <v>59.2</v>
      </c>
      <c r="T80" s="46">
        <v>59.1</v>
      </c>
      <c r="U80" s="46">
        <v>59.1</v>
      </c>
      <c r="V80" s="46">
        <v>59.4</v>
      </c>
      <c r="W80" s="46">
        <v>10.4</v>
      </c>
      <c r="X80" s="46">
        <v>10.4</v>
      </c>
      <c r="Y80" s="46">
        <v>59.3</v>
      </c>
      <c r="Z80" s="46">
        <v>59</v>
      </c>
      <c r="AA80" s="46">
        <v>59</v>
      </c>
      <c r="AB80" s="46">
        <v>59</v>
      </c>
      <c r="AC80" s="46">
        <v>59</v>
      </c>
      <c r="AD80" s="46">
        <v>59</v>
      </c>
      <c r="AE80" s="46">
        <v>40</v>
      </c>
      <c r="AF80" s="46">
        <v>30</v>
      </c>
      <c r="AG80" s="61">
        <v>60</v>
      </c>
      <c r="AH80" s="48">
        <f t="shared" si="34"/>
        <v>59.4</v>
      </c>
      <c r="AI80" s="49">
        <f t="shared" si="35"/>
        <v>10.4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23.8</v>
      </c>
      <c r="C81" s="76">
        <v>28.9</v>
      </c>
      <c r="D81" s="76">
        <v>22</v>
      </c>
      <c r="E81" s="76">
        <v>29.3</v>
      </c>
      <c r="F81" s="76">
        <v>15</v>
      </c>
      <c r="G81" s="76">
        <v>16</v>
      </c>
      <c r="H81" s="76">
        <v>16</v>
      </c>
      <c r="I81" s="76">
        <v>17.399999999999999</v>
      </c>
      <c r="J81" s="76">
        <v>29.8</v>
      </c>
      <c r="K81" s="76">
        <v>30.1</v>
      </c>
      <c r="L81" s="76">
        <v>30.1</v>
      </c>
      <c r="M81" s="76">
        <v>30.1</v>
      </c>
      <c r="N81" s="76">
        <v>30.1</v>
      </c>
      <c r="O81" s="76">
        <v>30.1</v>
      </c>
      <c r="P81" s="76">
        <v>30.1</v>
      </c>
      <c r="Q81" s="76">
        <v>30.1</v>
      </c>
      <c r="R81" s="76">
        <v>30.1</v>
      </c>
      <c r="S81" s="76">
        <v>30.1</v>
      </c>
      <c r="T81" s="76">
        <v>29.4</v>
      </c>
      <c r="U81" s="76">
        <v>29.4</v>
      </c>
      <c r="V81" s="76">
        <v>29.3</v>
      </c>
      <c r="W81" s="76">
        <v>3.7</v>
      </c>
      <c r="X81" s="76">
        <v>3.7</v>
      </c>
      <c r="Y81" s="76">
        <v>26.3</v>
      </c>
      <c r="Z81" s="76">
        <v>29.3</v>
      </c>
      <c r="AA81" s="76">
        <v>29.3</v>
      </c>
      <c r="AB81" s="76">
        <v>29.3</v>
      </c>
      <c r="AC81" s="76">
        <v>29.3</v>
      </c>
      <c r="AD81" s="76">
        <v>29.3</v>
      </c>
      <c r="AE81" s="76">
        <v>16.5</v>
      </c>
      <c r="AF81" s="76">
        <v>14.8</v>
      </c>
      <c r="AG81" s="66">
        <v>32</v>
      </c>
      <c r="AH81" s="48">
        <f t="shared" si="34"/>
        <v>30.1</v>
      </c>
      <c r="AI81" s="49">
        <f t="shared" si="35"/>
        <v>3.7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8.6999999999999993</v>
      </c>
      <c r="C82" s="78">
        <v>10.6</v>
      </c>
      <c r="D82" s="78">
        <v>8.1</v>
      </c>
      <c r="E82" s="78">
        <v>10.7</v>
      </c>
      <c r="F82" s="78">
        <v>5.5</v>
      </c>
      <c r="G82" s="78">
        <v>5.9</v>
      </c>
      <c r="H82" s="78">
        <v>5.9</v>
      </c>
      <c r="I82" s="78">
        <v>6.5</v>
      </c>
      <c r="J82" s="78">
        <v>10.9</v>
      </c>
      <c r="K82" s="78">
        <v>11</v>
      </c>
      <c r="L82" s="78">
        <v>11</v>
      </c>
      <c r="M82" s="78">
        <v>11</v>
      </c>
      <c r="N82" s="78">
        <v>11</v>
      </c>
      <c r="O82" s="78">
        <v>11</v>
      </c>
      <c r="P82" s="78">
        <v>11</v>
      </c>
      <c r="Q82" s="78">
        <v>11</v>
      </c>
      <c r="R82" s="78">
        <v>11</v>
      </c>
      <c r="S82" s="78">
        <v>11</v>
      </c>
      <c r="T82" s="78">
        <v>10.7</v>
      </c>
      <c r="U82" s="78">
        <v>10.7</v>
      </c>
      <c r="V82" s="78">
        <v>10.7</v>
      </c>
      <c r="W82" s="78">
        <v>1.3</v>
      </c>
      <c r="X82" s="78">
        <v>1.3</v>
      </c>
      <c r="Y82" s="78">
        <v>9.6</v>
      </c>
      <c r="Z82" s="78">
        <v>10.7</v>
      </c>
      <c r="AA82" s="78">
        <v>10.7</v>
      </c>
      <c r="AB82" s="78">
        <v>10.7</v>
      </c>
      <c r="AC82" s="78">
        <v>10.7</v>
      </c>
      <c r="AD82" s="78">
        <v>10.7</v>
      </c>
      <c r="AE82" s="78">
        <v>6</v>
      </c>
      <c r="AF82" s="78">
        <v>5.4</v>
      </c>
      <c r="AG82" s="79">
        <v>14</v>
      </c>
      <c r="AH82" s="48">
        <f t="shared" si="34"/>
        <v>11</v>
      </c>
      <c r="AI82" s="49">
        <f t="shared" si="35"/>
        <v>1.3</v>
      </c>
      <c r="AK82" s="51"/>
      <c r="AY82" s="82"/>
      <c r="BF82" s="81"/>
      <c r="BG82" s="82">
        <f t="array" ref="BG82:BL105">TRANSPOSE(AZ66:BW71)</f>
        <v>21</v>
      </c>
      <c r="BH82" s="82">
        <v>0</v>
      </c>
      <c r="BI82" s="82">
        <v>-95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J83" si="41">B80+B81+B82</f>
        <v>81.8</v>
      </c>
      <c r="C83" s="71">
        <f t="shared" si="41"/>
        <v>97.699999999999989</v>
      </c>
      <c r="D83" s="71">
        <f t="shared" si="41"/>
        <v>80.099999999999994</v>
      </c>
      <c r="E83" s="71">
        <f t="shared" si="41"/>
        <v>99.4</v>
      </c>
      <c r="F83" s="71">
        <f t="shared" si="41"/>
        <v>59.3</v>
      </c>
      <c r="G83" s="71">
        <f t="shared" si="41"/>
        <v>60.699999999999996</v>
      </c>
      <c r="H83" s="71">
        <f t="shared" si="41"/>
        <v>60.699999999999996</v>
      </c>
      <c r="I83" s="71">
        <f t="shared" si="41"/>
        <v>82.699999999999989</v>
      </c>
      <c r="J83" s="71">
        <f t="shared" si="41"/>
        <v>100.10000000000001</v>
      </c>
      <c r="K83" s="71">
        <f t="shared" ref="K83:AE83" si="42">K80+K81+K82</f>
        <v>100.30000000000001</v>
      </c>
      <c r="L83" s="71">
        <f t="shared" si="42"/>
        <v>100.30000000000001</v>
      </c>
      <c r="M83" s="71">
        <f t="shared" si="42"/>
        <v>100.30000000000001</v>
      </c>
      <c r="N83" s="71">
        <f t="shared" si="42"/>
        <v>100.30000000000001</v>
      </c>
      <c r="O83" s="71">
        <f t="shared" si="42"/>
        <v>100.30000000000001</v>
      </c>
      <c r="P83" s="71">
        <f t="shared" si="42"/>
        <v>100.30000000000001</v>
      </c>
      <c r="Q83" s="71">
        <f t="shared" si="42"/>
        <v>100.30000000000001</v>
      </c>
      <c r="R83" s="71">
        <f t="shared" si="42"/>
        <v>100.30000000000001</v>
      </c>
      <c r="S83" s="71">
        <f t="shared" si="42"/>
        <v>100.30000000000001</v>
      </c>
      <c r="T83" s="71">
        <f t="shared" si="42"/>
        <v>99.2</v>
      </c>
      <c r="U83" s="71">
        <f t="shared" si="42"/>
        <v>99.2</v>
      </c>
      <c r="V83" s="71">
        <f t="shared" si="42"/>
        <v>99.4</v>
      </c>
      <c r="W83" s="71">
        <f t="shared" ref="W83:X83" si="43">W80+W81+W82</f>
        <v>15.400000000000002</v>
      </c>
      <c r="X83" s="71">
        <f t="shared" si="43"/>
        <v>15.400000000000002</v>
      </c>
      <c r="Y83" s="71">
        <f t="shared" si="42"/>
        <v>95.199999999999989</v>
      </c>
      <c r="Z83" s="71">
        <f t="shared" si="42"/>
        <v>99</v>
      </c>
      <c r="AA83" s="71">
        <f t="shared" si="42"/>
        <v>99</v>
      </c>
      <c r="AB83" s="71">
        <f t="shared" si="42"/>
        <v>99</v>
      </c>
      <c r="AC83" s="71">
        <f t="shared" si="42"/>
        <v>99</v>
      </c>
      <c r="AD83" s="71">
        <f t="shared" si="42"/>
        <v>99</v>
      </c>
      <c r="AE83" s="71">
        <f t="shared" si="42"/>
        <v>62.5</v>
      </c>
      <c r="AF83" s="71">
        <f t="shared" ref="AF83" si="44">AF80+AF81+AF82</f>
        <v>50.199999999999996</v>
      </c>
      <c r="AG83" s="72">
        <f>SUM(AG80:AG82)</f>
        <v>106</v>
      </c>
      <c r="AH83" s="48">
        <f t="shared" si="34"/>
        <v>100.30000000000001</v>
      </c>
      <c r="AI83" s="49">
        <f t="shared" si="35"/>
        <v>15.400000000000002</v>
      </c>
      <c r="AK83" s="51"/>
      <c r="AY83" s="82"/>
      <c r="BF83" s="81"/>
      <c r="BG83" s="82">
        <v>25</v>
      </c>
      <c r="BH83" s="82">
        <v>0</v>
      </c>
      <c r="BI83" s="82">
        <v>-110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30</v>
      </c>
      <c r="C84" s="46">
        <v>21</v>
      </c>
      <c r="D84" s="46">
        <v>25</v>
      </c>
      <c r="E84" s="46">
        <v>9.6</v>
      </c>
      <c r="F84" s="46">
        <v>9.6999999999999993</v>
      </c>
      <c r="G84" s="46">
        <v>10.8</v>
      </c>
      <c r="H84" s="46">
        <v>12.6</v>
      </c>
      <c r="I84" s="46">
        <v>13.7</v>
      </c>
      <c r="J84" s="46">
        <v>49.4</v>
      </c>
      <c r="K84" s="46">
        <v>58.9</v>
      </c>
      <c r="L84" s="46">
        <v>57.3</v>
      </c>
      <c r="M84" s="46">
        <v>72</v>
      </c>
      <c r="N84" s="46">
        <v>64</v>
      </c>
      <c r="O84" s="46">
        <v>55</v>
      </c>
      <c r="P84" s="46">
        <v>44.2</v>
      </c>
      <c r="Q84" s="46">
        <v>63.8</v>
      </c>
      <c r="R84" s="46">
        <v>64.599999999999994</v>
      </c>
      <c r="S84" s="46">
        <v>72.599999999999994</v>
      </c>
      <c r="T84" s="46">
        <v>65.8</v>
      </c>
      <c r="U84" s="46">
        <v>65</v>
      </c>
      <c r="V84" s="46">
        <v>63.5</v>
      </c>
      <c r="W84" s="46">
        <v>51</v>
      </c>
      <c r="X84" s="46">
        <v>41.5</v>
      </c>
      <c r="Y84" s="46">
        <v>41</v>
      </c>
      <c r="Z84" s="46">
        <v>35.5</v>
      </c>
      <c r="AA84" s="46">
        <v>31.7</v>
      </c>
      <c r="AB84" s="46"/>
      <c r="AC84" s="46">
        <v>61</v>
      </c>
      <c r="AD84" s="46">
        <v>47.6</v>
      </c>
      <c r="AE84" s="46">
        <v>15</v>
      </c>
      <c r="AF84" s="46">
        <v>13.5</v>
      </c>
      <c r="AG84" s="61"/>
      <c r="AH84" s="48">
        <f t="shared" si="34"/>
        <v>72.599999999999994</v>
      </c>
      <c r="AI84" s="49">
        <f t="shared" si="35"/>
        <v>9.6</v>
      </c>
      <c r="AK84" s="51"/>
      <c r="AY84" s="82"/>
      <c r="BF84" s="81"/>
      <c r="BG84" s="82">
        <v>9.6</v>
      </c>
      <c r="BH84" s="82">
        <v>0</v>
      </c>
      <c r="BI84" s="82">
        <v>-127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>
        <v>0</v>
      </c>
      <c r="U85" s="76">
        <v>80.2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/>
      <c r="AC85" s="76">
        <v>0</v>
      </c>
      <c r="AD85" s="76">
        <v>0</v>
      </c>
      <c r="AE85" s="76">
        <v>0</v>
      </c>
      <c r="AF85" s="76">
        <v>0</v>
      </c>
      <c r="AG85" s="66"/>
      <c r="AH85" s="48">
        <f t="shared" si="34"/>
        <v>80.2</v>
      </c>
      <c r="AI85" s="49">
        <f t="shared" si="35"/>
        <v>0</v>
      </c>
      <c r="AK85" s="51"/>
      <c r="AL85" s="91" t="s">
        <v>111</v>
      </c>
      <c r="AM85" s="91"/>
      <c r="AY85" s="82"/>
      <c r="BF85" s="82"/>
      <c r="BG85" s="82">
        <v>9.6999999999999993</v>
      </c>
      <c r="BH85" s="82">
        <v>0</v>
      </c>
      <c r="BI85" s="82">
        <v>-104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-109</v>
      </c>
      <c r="C86" s="76">
        <v>-95</v>
      </c>
      <c r="D86" s="76">
        <v>-110</v>
      </c>
      <c r="E86" s="76">
        <v>-127</v>
      </c>
      <c r="F86" s="76">
        <v>-104</v>
      </c>
      <c r="G86" s="76">
        <v>-109.2</v>
      </c>
      <c r="H86" s="76">
        <v>-124.4</v>
      </c>
      <c r="I86" s="76">
        <v>-119.5</v>
      </c>
      <c r="J86" s="76">
        <v>-20.6</v>
      </c>
      <c r="K86" s="76">
        <v>86.9</v>
      </c>
      <c r="L86" s="76">
        <v>78</v>
      </c>
      <c r="M86" s="76">
        <v>79</v>
      </c>
      <c r="N86" s="76">
        <v>133</v>
      </c>
      <c r="O86" s="76">
        <v>-108</v>
      </c>
      <c r="P86" s="76">
        <v>240</v>
      </c>
      <c r="Q86" s="76">
        <v>238</v>
      </c>
      <c r="R86" s="76">
        <v>216</v>
      </c>
      <c r="S86" s="76">
        <v>220</v>
      </c>
      <c r="T86" s="76">
        <v>120</v>
      </c>
      <c r="U86" s="76">
        <v>-116</v>
      </c>
      <c r="V86" s="76">
        <v>198</v>
      </c>
      <c r="W86" s="76">
        <v>296</v>
      </c>
      <c r="X86" s="76">
        <v>249</v>
      </c>
      <c r="Y86" s="76">
        <v>-108.7</v>
      </c>
      <c r="Z86" s="76">
        <v>-114</v>
      </c>
      <c r="AA86" s="76">
        <v>-102.8</v>
      </c>
      <c r="AB86" s="76"/>
      <c r="AC86" s="76">
        <v>-110</v>
      </c>
      <c r="AD86" s="76">
        <v>-114</v>
      </c>
      <c r="AE86" s="76">
        <v>-126</v>
      </c>
      <c r="AF86" s="76">
        <v>-115</v>
      </c>
      <c r="AG86" s="88"/>
      <c r="AH86" s="48">
        <f t="shared" si="34"/>
        <v>296</v>
      </c>
      <c r="AI86" s="49">
        <f t="shared" si="35"/>
        <v>-127</v>
      </c>
      <c r="AK86" s="92"/>
      <c r="AL86" s="93"/>
      <c r="AM86" s="93"/>
      <c r="AN86" s="94"/>
      <c r="AY86" s="82"/>
      <c r="BF86" s="82"/>
      <c r="BG86" s="82">
        <v>10.8</v>
      </c>
      <c r="BH86" s="82">
        <v>0</v>
      </c>
      <c r="BI86" s="82">
        <v>-109.2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>
        <v>0</v>
      </c>
      <c r="L87" s="89">
        <v>0</v>
      </c>
      <c r="M87" s="89"/>
      <c r="N87" s="89">
        <v>45</v>
      </c>
      <c r="O87" s="89">
        <v>50</v>
      </c>
      <c r="P87" s="89">
        <v>51.5</v>
      </c>
      <c r="Q87" s="89">
        <v>46</v>
      </c>
      <c r="R87" s="89">
        <v>46.4</v>
      </c>
      <c r="S87" s="89">
        <v>43.2</v>
      </c>
      <c r="T87" s="89">
        <v>45.5</v>
      </c>
      <c r="U87" s="89">
        <v>48.7</v>
      </c>
      <c r="V87" s="89">
        <v>46.1</v>
      </c>
      <c r="W87" s="89">
        <v>46.1</v>
      </c>
      <c r="X87" s="89">
        <v>0</v>
      </c>
      <c r="Y87" s="89">
        <v>0</v>
      </c>
      <c r="Z87" s="89">
        <v>0</v>
      </c>
      <c r="AA87" s="89">
        <v>0</v>
      </c>
      <c r="AB87" s="89"/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34"/>
        <v>51.5</v>
      </c>
      <c r="AI87" s="49">
        <f t="shared" si="35"/>
        <v>0</v>
      </c>
      <c r="AK87" s="95" t="s">
        <v>114</v>
      </c>
      <c r="AL87" s="76"/>
      <c r="AM87" s="89"/>
      <c r="AN87" s="96"/>
      <c r="AY87" s="82"/>
      <c r="BF87" s="82"/>
      <c r="BG87" s="82">
        <v>13.7</v>
      </c>
      <c r="BH87" s="82">
        <v>0</v>
      </c>
      <c r="BI87" s="82">
        <v>-119.5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>
        <v>110.8</v>
      </c>
      <c r="L88" s="46">
        <v>117.4</v>
      </c>
      <c r="M88" s="46">
        <v>119</v>
      </c>
      <c r="N88" s="46">
        <v>124.7</v>
      </c>
      <c r="O88" s="46">
        <v>135</v>
      </c>
      <c r="P88" s="46">
        <v>141</v>
      </c>
      <c r="Q88" s="46">
        <v>135</v>
      </c>
      <c r="R88" s="46">
        <v>139</v>
      </c>
      <c r="S88" s="46">
        <v>126.5</v>
      </c>
      <c r="T88" s="46">
        <v>61</v>
      </c>
      <c r="U88" s="46">
        <v>131</v>
      </c>
      <c r="V88" s="46">
        <v>123.1</v>
      </c>
      <c r="W88" s="46">
        <v>123.1</v>
      </c>
      <c r="X88" s="46">
        <v>132</v>
      </c>
      <c r="Y88" s="46">
        <v>80</v>
      </c>
      <c r="Z88" s="46">
        <v>0</v>
      </c>
      <c r="AA88" s="46">
        <v>0</v>
      </c>
      <c r="AB88" s="46"/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4"/>
        <v>141</v>
      </c>
      <c r="AI88" s="49">
        <f t="shared" si="35"/>
        <v>0</v>
      </c>
      <c r="AK88" s="95" t="s">
        <v>116</v>
      </c>
      <c r="AL88" s="89"/>
      <c r="AM88" s="89"/>
      <c r="AN88" s="96"/>
      <c r="AY88" s="82"/>
      <c r="BF88" s="82"/>
      <c r="BG88" s="82">
        <v>58.9</v>
      </c>
      <c r="BH88" s="82">
        <v>0</v>
      </c>
      <c r="BI88" s="82">
        <v>86.9</v>
      </c>
      <c r="BJ88" s="82">
        <v>0</v>
      </c>
      <c r="BK88" s="82">
        <v>110.8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>
        <v>50</v>
      </c>
      <c r="Q89" s="90">
        <v>53</v>
      </c>
      <c r="R89" s="90">
        <v>53.3</v>
      </c>
      <c r="S89" s="90">
        <v>55.6</v>
      </c>
      <c r="T89" s="90">
        <v>56.3</v>
      </c>
      <c r="U89" s="90">
        <v>56.6</v>
      </c>
      <c r="V89" s="90">
        <v>51.3</v>
      </c>
      <c r="W89" s="90">
        <v>51.3</v>
      </c>
      <c r="X89" s="90">
        <v>39.6</v>
      </c>
      <c r="Y89" s="90">
        <v>40.700000000000003</v>
      </c>
      <c r="Z89" s="90">
        <v>41.1</v>
      </c>
      <c r="AA89" s="90">
        <v>45.5</v>
      </c>
      <c r="AB89" s="90"/>
      <c r="AC89" s="90">
        <v>45</v>
      </c>
      <c r="AD89" s="90">
        <v>45.8</v>
      </c>
      <c r="AE89" s="90">
        <v>44.3</v>
      </c>
      <c r="AF89" s="90">
        <v>45.2</v>
      </c>
      <c r="AG89" s="88"/>
      <c r="AH89" s="48">
        <f>MAX(B89:AF89)</f>
        <v>56.6</v>
      </c>
      <c r="AI89" s="49">
        <f t="shared" si="35"/>
        <v>39.6</v>
      </c>
      <c r="AK89" s="99"/>
      <c r="AL89" s="46"/>
      <c r="AM89" s="46"/>
      <c r="AN89" s="100"/>
      <c r="AY89" s="82"/>
      <c r="BF89" s="82"/>
      <c r="BG89" s="82">
        <v>72</v>
      </c>
      <c r="BH89" s="82">
        <v>0</v>
      </c>
      <c r="BI89" s="82">
        <v>79</v>
      </c>
      <c r="BJ89" s="82">
        <v>0</v>
      </c>
      <c r="BK89" s="82">
        <v>119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4"/>
        <v>0</v>
      </c>
      <c r="AI90" s="49">
        <f t="shared" si="35"/>
        <v>0</v>
      </c>
      <c r="AK90" s="99"/>
      <c r="AL90" s="90"/>
      <c r="AM90" s="102"/>
      <c r="AN90" s="202"/>
      <c r="AY90" s="82"/>
      <c r="BF90" s="82"/>
      <c r="BG90" s="82">
        <v>64</v>
      </c>
      <c r="BH90" s="82">
        <v>0</v>
      </c>
      <c r="BI90" s="82">
        <v>133</v>
      </c>
      <c r="BJ90" s="82">
        <v>45</v>
      </c>
      <c r="BK90" s="82">
        <v>124.7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4"/>
        <v>0</v>
      </c>
      <c r="AI91" s="49">
        <f t="shared" si="35"/>
        <v>0</v>
      </c>
      <c r="AK91" s="99"/>
      <c r="AL91" s="90"/>
      <c r="AM91" s="90"/>
      <c r="AN91" s="203"/>
      <c r="BF91" s="82"/>
      <c r="BG91" s="82">
        <v>55</v>
      </c>
      <c r="BH91" s="82">
        <v>0</v>
      </c>
      <c r="BI91" s="82">
        <v>-108</v>
      </c>
      <c r="BJ91" s="82">
        <v>50</v>
      </c>
      <c r="BK91" s="82">
        <v>135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4"/>
        <v>0</v>
      </c>
      <c r="AI92" s="49">
        <f t="shared" si="35"/>
        <v>0</v>
      </c>
      <c r="AK92" s="104"/>
      <c r="AL92" s="105"/>
      <c r="AM92" s="105"/>
      <c r="AN92" s="106"/>
      <c r="BF92" s="82"/>
      <c r="BG92" s="82">
        <v>44.2</v>
      </c>
      <c r="BH92" s="82">
        <v>0</v>
      </c>
      <c r="BI92" s="82">
        <v>240</v>
      </c>
      <c r="BJ92" s="82">
        <v>51.5</v>
      </c>
      <c r="BK92" s="82">
        <v>141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4"/>
        <v>0</v>
      </c>
      <c r="AI93" s="49">
        <f t="shared" si="35"/>
        <v>0</v>
      </c>
      <c r="BF93" s="82"/>
      <c r="BG93" s="82">
        <v>63.8</v>
      </c>
      <c r="BH93" s="82">
        <v>0</v>
      </c>
      <c r="BI93" s="82">
        <v>238</v>
      </c>
      <c r="BJ93" s="82">
        <v>46</v>
      </c>
      <c r="BK93" s="82">
        <v>135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4"/>
        <v>0</v>
      </c>
      <c r="AI94" s="49">
        <f t="shared" si="35"/>
        <v>0</v>
      </c>
      <c r="BF94" s="82"/>
      <c r="BG94" s="82">
        <v>64.599999999999994</v>
      </c>
      <c r="BH94" s="82">
        <v>0</v>
      </c>
      <c r="BI94" s="82">
        <v>216</v>
      </c>
      <c r="BJ94" s="82">
        <v>46.4</v>
      </c>
      <c r="BK94" s="82">
        <v>139</v>
      </c>
      <c r="BL94" s="82">
        <v>0</v>
      </c>
    </row>
    <row r="95" spans="1:64" ht="15.75" thickBot="1" x14ac:dyDescent="0.3">
      <c r="A95" s="87" t="s">
        <v>118</v>
      </c>
      <c r="B95" s="71">
        <f t="shared" ref="B95" si="45">SUMIF(B84:B94,"&gt;0")</f>
        <v>30</v>
      </c>
      <c r="C95" s="71">
        <f>SUMIF(C84:C94,"&gt;0")</f>
        <v>21</v>
      </c>
      <c r="D95" s="71">
        <f t="shared" ref="D95:AF95" si="46">SUMIF(D84:D94,"&gt;0")</f>
        <v>25</v>
      </c>
      <c r="E95" s="71">
        <f t="shared" si="46"/>
        <v>9.6</v>
      </c>
      <c r="F95" s="71">
        <f t="shared" si="46"/>
        <v>9.6999999999999993</v>
      </c>
      <c r="G95" s="71">
        <f t="shared" si="46"/>
        <v>10.8</v>
      </c>
      <c r="H95" s="71">
        <f t="shared" si="46"/>
        <v>12.6</v>
      </c>
      <c r="I95" s="71">
        <f t="shared" si="46"/>
        <v>13.7</v>
      </c>
      <c r="J95" s="71">
        <f t="shared" si="46"/>
        <v>49.4</v>
      </c>
      <c r="K95" s="71">
        <f t="shared" si="46"/>
        <v>256.60000000000002</v>
      </c>
      <c r="L95" s="71">
        <f t="shared" si="46"/>
        <v>252.70000000000002</v>
      </c>
      <c r="M95" s="71">
        <f t="shared" si="46"/>
        <v>270</v>
      </c>
      <c r="N95" s="71">
        <f t="shared" si="46"/>
        <v>366.7</v>
      </c>
      <c r="O95" s="71">
        <f t="shared" si="46"/>
        <v>240</v>
      </c>
      <c r="P95" s="71">
        <f t="shared" si="46"/>
        <v>526.70000000000005</v>
      </c>
      <c r="Q95" s="71">
        <f t="shared" si="46"/>
        <v>535.79999999999995</v>
      </c>
      <c r="R95" s="71">
        <f t="shared" si="46"/>
        <v>519.29999999999995</v>
      </c>
      <c r="S95" s="71">
        <f t="shared" si="46"/>
        <v>517.9</v>
      </c>
      <c r="T95" s="71">
        <f t="shared" si="46"/>
        <v>348.6</v>
      </c>
      <c r="U95" s="71">
        <f>SUMIF(U84:U94,"&gt;0")</f>
        <v>381.5</v>
      </c>
      <c r="V95" s="71">
        <f t="shared" si="46"/>
        <v>482.00000000000006</v>
      </c>
      <c r="W95" s="71">
        <f t="shared" si="46"/>
        <v>567.5</v>
      </c>
      <c r="X95" s="71">
        <f t="shared" si="46"/>
        <v>462.1</v>
      </c>
      <c r="Y95" s="71">
        <f t="shared" si="46"/>
        <v>161.69999999999999</v>
      </c>
      <c r="Z95" s="71">
        <f t="shared" si="46"/>
        <v>76.599999999999994</v>
      </c>
      <c r="AA95" s="71">
        <f t="shared" si="46"/>
        <v>77.2</v>
      </c>
      <c r="AB95" s="71">
        <f t="shared" si="46"/>
        <v>0</v>
      </c>
      <c r="AC95" s="71">
        <f t="shared" si="46"/>
        <v>106</v>
      </c>
      <c r="AD95" s="71">
        <f t="shared" si="46"/>
        <v>93.4</v>
      </c>
      <c r="AE95" s="71">
        <f t="shared" si="46"/>
        <v>59.3</v>
      </c>
      <c r="AF95" s="71">
        <f t="shared" si="46"/>
        <v>58.7</v>
      </c>
      <c r="AG95" s="101">
        <f>SUM(AG84:AG94)</f>
        <v>0</v>
      </c>
      <c r="AH95" s="48">
        <f t="shared" si="34"/>
        <v>567.5</v>
      </c>
      <c r="AI95" s="49">
        <f t="shared" si="35"/>
        <v>0</v>
      </c>
      <c r="BF95" s="82"/>
      <c r="BG95" s="82">
        <v>72.599999999999994</v>
      </c>
      <c r="BH95" s="82">
        <v>0</v>
      </c>
      <c r="BI95" s="82">
        <v>220</v>
      </c>
      <c r="BJ95" s="82">
        <v>43.2</v>
      </c>
      <c r="BK95" s="82">
        <v>126.5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4"/>
        <v>0</v>
      </c>
      <c r="AI96" s="49">
        <f t="shared" si="35"/>
        <v>0</v>
      </c>
      <c r="BF96" s="82"/>
      <c r="BG96" s="82">
        <v>65.8</v>
      </c>
      <c r="BH96" s="82">
        <v>0</v>
      </c>
      <c r="BI96" s="82">
        <v>120</v>
      </c>
      <c r="BJ96" s="82">
        <v>45.5</v>
      </c>
      <c r="BK96" s="82">
        <v>61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4"/>
        <v>0</v>
      </c>
      <c r="AI97" s="49">
        <f t="shared" si="35"/>
        <v>0</v>
      </c>
      <c r="BF97" s="82"/>
      <c r="BG97" s="82">
        <v>65</v>
      </c>
      <c r="BH97" s="82">
        <v>80.2</v>
      </c>
      <c r="BI97" s="82">
        <v>-116</v>
      </c>
      <c r="BJ97" s="82">
        <v>48.7</v>
      </c>
      <c r="BK97" s="82">
        <v>131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4"/>
        <v>0</v>
      </c>
      <c r="AI98" s="49">
        <f t="shared" si="35"/>
        <v>0</v>
      </c>
      <c r="BF98" s="82"/>
      <c r="BG98" s="82">
        <v>63.5</v>
      </c>
      <c r="BH98" s="82">
        <v>0</v>
      </c>
      <c r="BI98" s="82">
        <v>198</v>
      </c>
      <c r="BJ98" s="82">
        <v>46.1</v>
      </c>
      <c r="BK98" s="82">
        <v>123.1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4"/>
        <v>0</v>
      </c>
      <c r="AI99" s="49">
        <f t="shared" si="35"/>
        <v>0</v>
      </c>
      <c r="BF99" s="81"/>
      <c r="BG99" s="82">
        <v>41.5</v>
      </c>
      <c r="BH99" s="82">
        <v>0</v>
      </c>
      <c r="BI99" s="82">
        <v>249</v>
      </c>
      <c r="BJ99" s="82">
        <v>0</v>
      </c>
      <c r="BK99" s="82">
        <v>132</v>
      </c>
      <c r="BL99" s="82">
        <v>0</v>
      </c>
    </row>
    <row r="100" spans="1:64" ht="15.75" thickBot="1" x14ac:dyDescent="0.3">
      <c r="A100" s="87" t="s">
        <v>123</v>
      </c>
      <c r="B100" s="108">
        <v>1694.54</v>
      </c>
      <c r="C100" s="108">
        <f t="shared" ref="C100:AG100" si="47">C61+C65+C83+C79+C95+C99</f>
        <v>1579.84</v>
      </c>
      <c r="D100" s="108">
        <f t="shared" si="47"/>
        <v>1566.7399999999998</v>
      </c>
      <c r="E100" s="108">
        <f t="shared" si="47"/>
        <v>1575.04</v>
      </c>
      <c r="F100" s="108">
        <f t="shared" si="47"/>
        <v>1533.9399999999998</v>
      </c>
      <c r="G100" s="108">
        <f t="shared" si="47"/>
        <v>1508.1399999999999</v>
      </c>
      <c r="H100" s="108">
        <f t="shared" si="47"/>
        <v>1530.74</v>
      </c>
      <c r="I100" s="108">
        <f t="shared" si="47"/>
        <v>1569.94</v>
      </c>
      <c r="J100" s="108">
        <f t="shared" si="47"/>
        <v>1560.24</v>
      </c>
      <c r="K100" s="108">
        <f t="shared" si="47"/>
        <v>1730.04</v>
      </c>
      <c r="L100" s="108">
        <f t="shared" si="47"/>
        <v>1749.54</v>
      </c>
      <c r="M100" s="108">
        <f t="shared" si="47"/>
        <v>1762.44</v>
      </c>
      <c r="N100" s="108">
        <f t="shared" si="47"/>
        <v>1847.34</v>
      </c>
      <c r="O100" s="108">
        <f t="shared" si="47"/>
        <v>2018.44</v>
      </c>
      <c r="P100" s="108">
        <f t="shared" si="47"/>
        <v>2008.54</v>
      </c>
      <c r="Q100" s="108">
        <f t="shared" si="47"/>
        <v>2015.4399999999998</v>
      </c>
      <c r="R100" s="108">
        <f t="shared" si="47"/>
        <v>2013.74</v>
      </c>
      <c r="S100" s="108">
        <f t="shared" si="47"/>
        <v>2015.04</v>
      </c>
      <c r="T100" s="108">
        <f t="shared" si="47"/>
        <v>1994.3400000000001</v>
      </c>
      <c r="U100" s="108">
        <f t="shared" si="47"/>
        <v>2083.04</v>
      </c>
      <c r="V100" s="108">
        <f t="shared" si="47"/>
        <v>1821.44</v>
      </c>
      <c r="W100" s="108">
        <f t="shared" si="47"/>
        <v>1708.44</v>
      </c>
      <c r="X100" s="108">
        <f t="shared" si="47"/>
        <v>1604.54</v>
      </c>
      <c r="Y100" s="108">
        <f t="shared" si="47"/>
        <v>1696.1000000000001</v>
      </c>
      <c r="Z100" s="108">
        <f t="shared" si="47"/>
        <v>1741.6999999999998</v>
      </c>
      <c r="AA100" s="108">
        <f t="shared" si="47"/>
        <v>1781.34</v>
      </c>
      <c r="AB100" s="108">
        <f t="shared" si="47"/>
        <v>1561.74</v>
      </c>
      <c r="AC100" s="108">
        <f t="shared" si="47"/>
        <v>1667.74</v>
      </c>
      <c r="AD100" s="108">
        <f t="shared" si="47"/>
        <v>1733.2400000000002</v>
      </c>
      <c r="AE100" s="108">
        <f t="shared" si="47"/>
        <v>1666.74</v>
      </c>
      <c r="AF100" s="108">
        <f t="shared" si="47"/>
        <v>1494.94</v>
      </c>
      <c r="AG100" s="72">
        <f t="shared" si="47"/>
        <v>2655.44</v>
      </c>
      <c r="AH100" s="48">
        <f t="shared" si="34"/>
        <v>2083.04</v>
      </c>
      <c r="AI100" s="49">
        <f t="shared" si="35"/>
        <v>1494.94</v>
      </c>
      <c r="BF100" s="81"/>
      <c r="BG100" s="82">
        <v>35.5</v>
      </c>
      <c r="BH100" s="82">
        <v>0</v>
      </c>
      <c r="BI100" s="82">
        <v>-114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120</v>
      </c>
      <c r="C101" s="110">
        <v>120</v>
      </c>
      <c r="D101" s="110">
        <v>120</v>
      </c>
      <c r="E101" s="110">
        <v>120</v>
      </c>
      <c r="F101" s="110">
        <v>120</v>
      </c>
      <c r="G101" s="110">
        <v>120</v>
      </c>
      <c r="H101" s="110">
        <v>120</v>
      </c>
      <c r="I101" s="110">
        <v>100</v>
      </c>
      <c r="J101" s="110">
        <v>50</v>
      </c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>
        <v>100</v>
      </c>
      <c r="Y101" s="110">
        <v>150</v>
      </c>
      <c r="Z101" s="110">
        <v>200</v>
      </c>
      <c r="AA101" s="110">
        <v>200</v>
      </c>
      <c r="AB101" s="110">
        <v>200</v>
      </c>
      <c r="AC101" s="110">
        <v>200</v>
      </c>
      <c r="AD101" s="110">
        <v>200</v>
      </c>
      <c r="AE101" s="110">
        <v>100</v>
      </c>
      <c r="AF101" s="110">
        <v>100</v>
      </c>
      <c r="AG101" s="101"/>
      <c r="AH101" s="48">
        <f t="shared" si="34"/>
        <v>200</v>
      </c>
      <c r="AI101" s="49">
        <f t="shared" si="35"/>
        <v>50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v>1794.54</v>
      </c>
      <c r="C102" s="108">
        <f t="shared" ref="C102:AF102" si="48">C100+C101</f>
        <v>1699.84</v>
      </c>
      <c r="D102" s="108">
        <f t="shared" si="48"/>
        <v>1686.7399999999998</v>
      </c>
      <c r="E102" s="108">
        <f t="shared" si="48"/>
        <v>1695.04</v>
      </c>
      <c r="F102" s="108">
        <f t="shared" si="48"/>
        <v>1653.9399999999998</v>
      </c>
      <c r="G102" s="108">
        <f t="shared" si="48"/>
        <v>1628.1399999999999</v>
      </c>
      <c r="H102" s="108">
        <f t="shared" si="48"/>
        <v>1650.74</v>
      </c>
      <c r="I102" s="108">
        <f t="shared" si="48"/>
        <v>1669.94</v>
      </c>
      <c r="J102" s="108">
        <f t="shared" si="48"/>
        <v>1610.24</v>
      </c>
      <c r="K102" s="108">
        <f t="shared" si="48"/>
        <v>1730.04</v>
      </c>
      <c r="L102" s="108">
        <f t="shared" si="48"/>
        <v>1749.54</v>
      </c>
      <c r="M102" s="108">
        <f t="shared" si="48"/>
        <v>1762.44</v>
      </c>
      <c r="N102" s="108">
        <f t="shared" si="48"/>
        <v>1847.34</v>
      </c>
      <c r="O102" s="108">
        <f t="shared" si="48"/>
        <v>2018.44</v>
      </c>
      <c r="P102" s="108">
        <f t="shared" si="48"/>
        <v>2008.54</v>
      </c>
      <c r="Q102" s="108">
        <f t="shared" si="48"/>
        <v>2015.4399999999998</v>
      </c>
      <c r="R102" s="108">
        <f t="shared" si="48"/>
        <v>2013.74</v>
      </c>
      <c r="S102" s="108">
        <f t="shared" si="48"/>
        <v>2015.04</v>
      </c>
      <c r="T102" s="108">
        <f t="shared" si="48"/>
        <v>1994.3400000000001</v>
      </c>
      <c r="U102" s="108">
        <f t="shared" si="48"/>
        <v>2083.04</v>
      </c>
      <c r="V102" s="108">
        <f t="shared" si="48"/>
        <v>1821.44</v>
      </c>
      <c r="W102" s="108">
        <f t="shared" si="48"/>
        <v>1708.44</v>
      </c>
      <c r="X102" s="108">
        <f t="shared" si="48"/>
        <v>1704.54</v>
      </c>
      <c r="Y102" s="108">
        <f t="shared" si="48"/>
        <v>1846.1000000000001</v>
      </c>
      <c r="Z102" s="108">
        <f t="shared" si="48"/>
        <v>1941.6999999999998</v>
      </c>
      <c r="AA102" s="108">
        <f t="shared" si="48"/>
        <v>1981.34</v>
      </c>
      <c r="AB102" s="108">
        <f t="shared" si="48"/>
        <v>1761.74</v>
      </c>
      <c r="AC102" s="108">
        <f t="shared" si="48"/>
        <v>1867.74</v>
      </c>
      <c r="AD102" s="108">
        <f t="shared" si="48"/>
        <v>1933.2400000000002</v>
      </c>
      <c r="AE102" s="108">
        <f t="shared" si="48"/>
        <v>1766.74</v>
      </c>
      <c r="AF102" s="108">
        <f t="shared" si="48"/>
        <v>1594.94</v>
      </c>
      <c r="AG102" s="101">
        <f>AG99+AG95+AG83+AG79+AG61+AG101</f>
        <v>2117.34</v>
      </c>
      <c r="AH102" s="48">
        <f t="shared" si="34"/>
        <v>2083.04</v>
      </c>
      <c r="AI102" s="49">
        <f t="shared" si="35"/>
        <v>1594.94</v>
      </c>
      <c r="BF102" s="81"/>
      <c r="BG102" s="82">
        <v>47.6</v>
      </c>
      <c r="BH102" s="82">
        <v>0</v>
      </c>
      <c r="BI102" s="82">
        <v>-114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v>1664.54</v>
      </c>
      <c r="C103" s="108">
        <f t="shared" ref="C103:AF103" si="49">C102-(C110)</f>
        <v>1604.84</v>
      </c>
      <c r="D103" s="108">
        <f t="shared" si="49"/>
        <v>1576.7399999999998</v>
      </c>
      <c r="E103" s="108">
        <f t="shared" si="49"/>
        <v>1568.04</v>
      </c>
      <c r="F103" s="108">
        <f t="shared" si="49"/>
        <v>1549.9399999999998</v>
      </c>
      <c r="G103" s="108">
        <f t="shared" si="49"/>
        <v>1518.9399999999998</v>
      </c>
      <c r="H103" s="108">
        <f t="shared" si="49"/>
        <v>1526.34</v>
      </c>
      <c r="I103" s="108">
        <f t="shared" si="49"/>
        <v>1550.44</v>
      </c>
      <c r="J103" s="108">
        <f t="shared" si="49"/>
        <v>1589.64</v>
      </c>
      <c r="K103" s="108">
        <f t="shared" si="49"/>
        <v>1730.04</v>
      </c>
      <c r="L103" s="108">
        <f t="shared" si="49"/>
        <v>1749.54</v>
      </c>
      <c r="M103" s="108">
        <f t="shared" si="49"/>
        <v>1762.44</v>
      </c>
      <c r="N103" s="108">
        <f t="shared" si="49"/>
        <v>1847.34</v>
      </c>
      <c r="O103" s="108">
        <f t="shared" si="49"/>
        <v>1910.44</v>
      </c>
      <c r="P103" s="108">
        <f t="shared" si="49"/>
        <v>2008.54</v>
      </c>
      <c r="Q103" s="108">
        <f t="shared" si="49"/>
        <v>2015.4399999999998</v>
      </c>
      <c r="R103" s="108">
        <f t="shared" si="49"/>
        <v>2013.74</v>
      </c>
      <c r="S103" s="108">
        <f t="shared" si="49"/>
        <v>2015.04</v>
      </c>
      <c r="T103" s="108">
        <f t="shared" si="49"/>
        <v>1994.3400000000001</v>
      </c>
      <c r="U103" s="108">
        <f t="shared" si="49"/>
        <v>1967.04</v>
      </c>
      <c r="V103" s="108">
        <f t="shared" si="49"/>
        <v>1821.44</v>
      </c>
      <c r="W103" s="108">
        <f t="shared" si="49"/>
        <v>1708.44</v>
      </c>
      <c r="X103" s="108">
        <f t="shared" si="49"/>
        <v>1704.54</v>
      </c>
      <c r="Y103" s="108">
        <f t="shared" si="49"/>
        <v>1737.4</v>
      </c>
      <c r="Z103" s="108">
        <f t="shared" si="49"/>
        <v>1827.6999999999998</v>
      </c>
      <c r="AA103" s="108">
        <f t="shared" si="49"/>
        <v>1878.54</v>
      </c>
      <c r="AB103" s="108">
        <f t="shared" si="49"/>
        <v>1761.74</v>
      </c>
      <c r="AC103" s="108">
        <f t="shared" si="49"/>
        <v>1757.74</v>
      </c>
      <c r="AD103" s="108">
        <f t="shared" si="49"/>
        <v>1819.2400000000002</v>
      </c>
      <c r="AE103" s="108">
        <f t="shared" si="49"/>
        <v>1640.74</v>
      </c>
      <c r="AF103" s="108">
        <f t="shared" si="49"/>
        <v>1479.94</v>
      </c>
      <c r="AG103" s="101"/>
      <c r="AH103" s="48">
        <f t="shared" si="34"/>
        <v>2015.4399999999998</v>
      </c>
      <c r="AI103" s="49">
        <f t="shared" si="35"/>
        <v>1479.94</v>
      </c>
      <c r="BF103" s="81"/>
      <c r="BG103" s="82">
        <v>15</v>
      </c>
      <c r="BH103" s="82">
        <v>0</v>
      </c>
      <c r="BI103" s="82">
        <v>-126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v>0</v>
      </c>
      <c r="C104" s="89">
        <f t="shared" ref="C104:AF109" si="50">IF(C84&lt;0,C84*-1,0)</f>
        <v>0</v>
      </c>
      <c r="D104" s="89">
        <f t="shared" si="50"/>
        <v>0</v>
      </c>
      <c r="E104" s="89">
        <f t="shared" si="50"/>
        <v>0</v>
      </c>
      <c r="F104" s="89">
        <f t="shared" si="50"/>
        <v>0</v>
      </c>
      <c r="G104" s="89">
        <f t="shared" si="50"/>
        <v>0</v>
      </c>
      <c r="H104" s="89">
        <f t="shared" si="50"/>
        <v>0</v>
      </c>
      <c r="I104" s="89">
        <f t="shared" si="50"/>
        <v>0</v>
      </c>
      <c r="J104" s="89">
        <f t="shared" si="50"/>
        <v>0</v>
      </c>
      <c r="K104" s="89">
        <f t="shared" si="50"/>
        <v>0</v>
      </c>
      <c r="L104" s="89">
        <f t="shared" si="50"/>
        <v>0</v>
      </c>
      <c r="M104" s="89">
        <f t="shared" si="50"/>
        <v>0</v>
      </c>
      <c r="N104" s="89">
        <f t="shared" si="50"/>
        <v>0</v>
      </c>
      <c r="O104" s="89">
        <f t="shared" si="50"/>
        <v>0</v>
      </c>
      <c r="P104" s="89">
        <f t="shared" si="50"/>
        <v>0</v>
      </c>
      <c r="Q104" s="89">
        <f t="shared" si="50"/>
        <v>0</v>
      </c>
      <c r="R104" s="89">
        <f t="shared" si="50"/>
        <v>0</v>
      </c>
      <c r="S104" s="89">
        <f t="shared" si="50"/>
        <v>0</v>
      </c>
      <c r="T104" s="89">
        <f t="shared" si="50"/>
        <v>0</v>
      </c>
      <c r="U104" s="89">
        <f t="shared" si="50"/>
        <v>0</v>
      </c>
      <c r="V104" s="89">
        <f t="shared" si="50"/>
        <v>0</v>
      </c>
      <c r="W104" s="89">
        <f t="shared" si="50"/>
        <v>0</v>
      </c>
      <c r="X104" s="89">
        <f t="shared" si="50"/>
        <v>0</v>
      </c>
      <c r="Y104" s="89">
        <f t="shared" si="50"/>
        <v>0</v>
      </c>
      <c r="Z104" s="89">
        <f t="shared" si="50"/>
        <v>0</v>
      </c>
      <c r="AA104" s="89">
        <f t="shared" si="50"/>
        <v>0</v>
      </c>
      <c r="AB104" s="89">
        <f t="shared" si="50"/>
        <v>0</v>
      </c>
      <c r="AC104" s="89">
        <f t="shared" si="50"/>
        <v>0</v>
      </c>
      <c r="AD104" s="89">
        <f t="shared" si="50"/>
        <v>0</v>
      </c>
      <c r="AE104" s="89">
        <f t="shared" si="50"/>
        <v>0</v>
      </c>
      <c r="AF104" s="89">
        <f t="shared" si="50"/>
        <v>0</v>
      </c>
      <c r="AG104" s="61"/>
      <c r="AH104" s="48">
        <f t="shared" si="34"/>
        <v>0</v>
      </c>
      <c r="AI104" s="49">
        <f t="shared" si="35"/>
        <v>0</v>
      </c>
      <c r="BG104" s="82">
        <v>13.5</v>
      </c>
      <c r="BH104" s="82">
        <v>0</v>
      </c>
      <c r="BI104" s="82">
        <v>-115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v>0</v>
      </c>
      <c r="C105" s="89">
        <f t="shared" ref="C105:Q105" si="51">IF(C85&lt;0,C85*-1,0)</f>
        <v>0</v>
      </c>
      <c r="D105" s="89">
        <f t="shared" si="51"/>
        <v>0</v>
      </c>
      <c r="E105" s="89">
        <f t="shared" si="51"/>
        <v>0</v>
      </c>
      <c r="F105" s="89">
        <f t="shared" si="51"/>
        <v>0</v>
      </c>
      <c r="G105" s="89">
        <f t="shared" si="51"/>
        <v>0</v>
      </c>
      <c r="H105" s="89">
        <f t="shared" si="51"/>
        <v>0</v>
      </c>
      <c r="I105" s="89">
        <f t="shared" si="51"/>
        <v>0</v>
      </c>
      <c r="J105" s="89">
        <f t="shared" si="51"/>
        <v>0</v>
      </c>
      <c r="K105" s="89">
        <f t="shared" si="51"/>
        <v>0</v>
      </c>
      <c r="L105" s="89">
        <f t="shared" si="51"/>
        <v>0</v>
      </c>
      <c r="M105" s="89">
        <f t="shared" si="51"/>
        <v>0</v>
      </c>
      <c r="N105" s="89">
        <f t="shared" si="51"/>
        <v>0</v>
      </c>
      <c r="O105" s="89">
        <f t="shared" si="51"/>
        <v>0</v>
      </c>
      <c r="P105" s="89">
        <f t="shared" si="51"/>
        <v>0</v>
      </c>
      <c r="Q105" s="89">
        <f t="shared" si="51"/>
        <v>0</v>
      </c>
      <c r="R105" s="89">
        <f t="shared" si="50"/>
        <v>0</v>
      </c>
      <c r="S105" s="89">
        <f t="shared" si="50"/>
        <v>0</v>
      </c>
      <c r="T105" s="89">
        <f t="shared" si="50"/>
        <v>0</v>
      </c>
      <c r="U105" s="89">
        <f t="shared" si="50"/>
        <v>0</v>
      </c>
      <c r="V105" s="89">
        <f t="shared" si="50"/>
        <v>0</v>
      </c>
      <c r="W105" s="89">
        <f t="shared" si="50"/>
        <v>0</v>
      </c>
      <c r="X105" s="89">
        <f t="shared" si="50"/>
        <v>0</v>
      </c>
      <c r="Y105" s="89">
        <f t="shared" si="50"/>
        <v>0</v>
      </c>
      <c r="Z105" s="89">
        <f t="shared" si="50"/>
        <v>0</v>
      </c>
      <c r="AA105" s="89">
        <f t="shared" si="50"/>
        <v>0</v>
      </c>
      <c r="AB105" s="89">
        <f t="shared" si="50"/>
        <v>0</v>
      </c>
      <c r="AC105" s="89">
        <f t="shared" si="50"/>
        <v>0</v>
      </c>
      <c r="AD105" s="89">
        <f t="shared" si="50"/>
        <v>0</v>
      </c>
      <c r="AE105" s="89">
        <f t="shared" si="50"/>
        <v>0</v>
      </c>
      <c r="AF105" s="89">
        <f t="shared" si="50"/>
        <v>0</v>
      </c>
      <c r="AG105" s="66"/>
      <c r="AH105" s="48">
        <f t="shared" si="34"/>
        <v>0</v>
      </c>
      <c r="AI105" s="49">
        <f t="shared" si="35"/>
        <v>0</v>
      </c>
      <c r="AK105" s="51"/>
      <c r="BG105" s="82">
        <v>30</v>
      </c>
      <c r="BH105" s="82">
        <v>0</v>
      </c>
      <c r="BI105" s="82">
        <v>-109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ref="B106" si="52">IF(B86&lt;0,B86*-1,0)</f>
        <v>109</v>
      </c>
      <c r="C106" s="89">
        <f t="shared" si="50"/>
        <v>95</v>
      </c>
      <c r="D106" s="89">
        <f t="shared" si="50"/>
        <v>110</v>
      </c>
      <c r="E106" s="89">
        <f t="shared" si="50"/>
        <v>127</v>
      </c>
      <c r="F106" s="89">
        <f t="shared" si="50"/>
        <v>104</v>
      </c>
      <c r="G106" s="89">
        <f t="shared" si="50"/>
        <v>109.2</v>
      </c>
      <c r="H106" s="89">
        <f t="shared" si="50"/>
        <v>124.4</v>
      </c>
      <c r="I106" s="89">
        <f t="shared" si="50"/>
        <v>119.5</v>
      </c>
      <c r="J106" s="89">
        <f t="shared" si="50"/>
        <v>20.6</v>
      </c>
      <c r="K106" s="89">
        <f t="shared" si="50"/>
        <v>0</v>
      </c>
      <c r="L106" s="89">
        <f t="shared" si="50"/>
        <v>0</v>
      </c>
      <c r="M106" s="89">
        <f t="shared" si="50"/>
        <v>0</v>
      </c>
      <c r="N106" s="89">
        <f t="shared" si="50"/>
        <v>0</v>
      </c>
      <c r="O106" s="89">
        <f t="shared" si="50"/>
        <v>108</v>
      </c>
      <c r="P106" s="89">
        <f t="shared" si="50"/>
        <v>0</v>
      </c>
      <c r="Q106" s="89">
        <f t="shared" si="50"/>
        <v>0</v>
      </c>
      <c r="R106" s="89">
        <f t="shared" si="50"/>
        <v>0</v>
      </c>
      <c r="S106" s="89">
        <f t="shared" si="50"/>
        <v>0</v>
      </c>
      <c r="T106" s="89">
        <f t="shared" si="50"/>
        <v>0</v>
      </c>
      <c r="U106" s="89">
        <f t="shared" si="50"/>
        <v>116</v>
      </c>
      <c r="V106" s="89">
        <f t="shared" si="50"/>
        <v>0</v>
      </c>
      <c r="W106" s="89">
        <f t="shared" si="50"/>
        <v>0</v>
      </c>
      <c r="X106" s="89">
        <f t="shared" si="50"/>
        <v>0</v>
      </c>
      <c r="Y106" s="89">
        <f t="shared" si="50"/>
        <v>108.7</v>
      </c>
      <c r="Z106" s="89">
        <f t="shared" si="50"/>
        <v>114</v>
      </c>
      <c r="AA106" s="89">
        <f t="shared" si="50"/>
        <v>102.8</v>
      </c>
      <c r="AB106" s="89">
        <f t="shared" si="50"/>
        <v>0</v>
      </c>
      <c r="AC106" s="89">
        <f t="shared" si="50"/>
        <v>110</v>
      </c>
      <c r="AD106" s="89">
        <f t="shared" si="50"/>
        <v>114</v>
      </c>
      <c r="AE106" s="89">
        <f t="shared" si="50"/>
        <v>126</v>
      </c>
      <c r="AF106" s="89">
        <f t="shared" si="50"/>
        <v>115</v>
      </c>
      <c r="AG106" s="111"/>
      <c r="AH106" s="48">
        <f t="shared" si="34"/>
        <v>127</v>
      </c>
      <c r="AI106" s="49">
        <f t="shared" si="35"/>
        <v>0</v>
      </c>
    </row>
    <row r="107" spans="1:64" x14ac:dyDescent="0.25">
      <c r="A107" s="97" t="s">
        <v>107</v>
      </c>
      <c r="B107" s="89">
        <v>0</v>
      </c>
      <c r="C107" s="89">
        <f t="shared" si="50"/>
        <v>0</v>
      </c>
      <c r="D107" s="89">
        <f t="shared" si="50"/>
        <v>0</v>
      </c>
      <c r="E107" s="89">
        <f t="shared" si="50"/>
        <v>0</v>
      </c>
      <c r="F107" s="89">
        <f t="shared" si="50"/>
        <v>0</v>
      </c>
      <c r="G107" s="89">
        <f t="shared" si="50"/>
        <v>0</v>
      </c>
      <c r="H107" s="89">
        <f t="shared" si="50"/>
        <v>0</v>
      </c>
      <c r="I107" s="89">
        <f t="shared" si="50"/>
        <v>0</v>
      </c>
      <c r="J107" s="89">
        <f t="shared" si="50"/>
        <v>0</v>
      </c>
      <c r="K107" s="89">
        <f t="shared" si="50"/>
        <v>0</v>
      </c>
      <c r="L107" s="89">
        <f t="shared" si="50"/>
        <v>0</v>
      </c>
      <c r="M107" s="89">
        <f t="shared" si="50"/>
        <v>0</v>
      </c>
      <c r="N107" s="89">
        <f t="shared" si="50"/>
        <v>0</v>
      </c>
      <c r="O107" s="89">
        <f t="shared" si="50"/>
        <v>0</v>
      </c>
      <c r="P107" s="89">
        <f t="shared" si="50"/>
        <v>0</v>
      </c>
      <c r="Q107" s="89">
        <f t="shared" si="50"/>
        <v>0</v>
      </c>
      <c r="R107" s="89">
        <f t="shared" si="50"/>
        <v>0</v>
      </c>
      <c r="S107" s="89">
        <f t="shared" si="50"/>
        <v>0</v>
      </c>
      <c r="T107" s="89">
        <f t="shared" si="50"/>
        <v>0</v>
      </c>
      <c r="U107" s="89">
        <f t="shared" si="50"/>
        <v>0</v>
      </c>
      <c r="V107" s="89">
        <f t="shared" si="50"/>
        <v>0</v>
      </c>
      <c r="W107" s="89">
        <f t="shared" si="50"/>
        <v>0</v>
      </c>
      <c r="X107" s="89">
        <f t="shared" si="50"/>
        <v>0</v>
      </c>
      <c r="Y107" s="89">
        <f t="shared" si="50"/>
        <v>0</v>
      </c>
      <c r="Z107" s="89">
        <f t="shared" si="50"/>
        <v>0</v>
      </c>
      <c r="AA107" s="89">
        <f t="shared" si="50"/>
        <v>0</v>
      </c>
      <c r="AB107" s="89">
        <f t="shared" si="50"/>
        <v>0</v>
      </c>
      <c r="AC107" s="89">
        <f t="shared" si="50"/>
        <v>0</v>
      </c>
      <c r="AD107" s="89">
        <f t="shared" si="50"/>
        <v>0</v>
      </c>
      <c r="AE107" s="89">
        <f t="shared" si="50"/>
        <v>0</v>
      </c>
      <c r="AF107" s="89">
        <f t="shared" si="50"/>
        <v>0</v>
      </c>
      <c r="AG107" s="111"/>
      <c r="AH107" s="48">
        <f t="shared" si="34"/>
        <v>0</v>
      </c>
      <c r="AI107" s="49">
        <f t="shared" si="35"/>
        <v>0</v>
      </c>
    </row>
    <row r="108" spans="1:64" x14ac:dyDescent="0.25">
      <c r="A108" s="97" t="s">
        <v>108</v>
      </c>
      <c r="B108" s="89">
        <v>0</v>
      </c>
      <c r="C108" s="89">
        <f t="shared" si="50"/>
        <v>0</v>
      </c>
      <c r="D108" s="89">
        <f t="shared" si="50"/>
        <v>0</v>
      </c>
      <c r="E108" s="89">
        <f t="shared" si="50"/>
        <v>0</v>
      </c>
      <c r="F108" s="89">
        <f t="shared" si="50"/>
        <v>0</v>
      </c>
      <c r="G108" s="89">
        <f t="shared" si="50"/>
        <v>0</v>
      </c>
      <c r="H108" s="89">
        <f t="shared" si="50"/>
        <v>0</v>
      </c>
      <c r="I108" s="89">
        <f t="shared" si="50"/>
        <v>0</v>
      </c>
      <c r="J108" s="89">
        <f t="shared" si="50"/>
        <v>0</v>
      </c>
      <c r="K108" s="89">
        <f t="shared" si="50"/>
        <v>0</v>
      </c>
      <c r="L108" s="89">
        <f t="shared" si="50"/>
        <v>0</v>
      </c>
      <c r="M108" s="89">
        <f t="shared" si="50"/>
        <v>0</v>
      </c>
      <c r="N108" s="89">
        <f t="shared" si="50"/>
        <v>0</v>
      </c>
      <c r="O108" s="89">
        <f t="shared" si="50"/>
        <v>0</v>
      </c>
      <c r="P108" s="89">
        <f t="shared" si="50"/>
        <v>0</v>
      </c>
      <c r="Q108" s="89">
        <f t="shared" si="50"/>
        <v>0</v>
      </c>
      <c r="R108" s="89">
        <f t="shared" si="50"/>
        <v>0</v>
      </c>
      <c r="S108" s="89">
        <f t="shared" si="50"/>
        <v>0</v>
      </c>
      <c r="T108" s="89">
        <f t="shared" si="50"/>
        <v>0</v>
      </c>
      <c r="U108" s="89">
        <f t="shared" si="50"/>
        <v>0</v>
      </c>
      <c r="V108" s="89">
        <f t="shared" si="50"/>
        <v>0</v>
      </c>
      <c r="W108" s="89">
        <f t="shared" si="50"/>
        <v>0</v>
      </c>
      <c r="X108" s="89">
        <f t="shared" si="50"/>
        <v>0</v>
      </c>
      <c r="Y108" s="89">
        <f t="shared" si="50"/>
        <v>0</v>
      </c>
      <c r="Z108" s="89">
        <f t="shared" si="50"/>
        <v>0</v>
      </c>
      <c r="AA108" s="89">
        <f t="shared" si="50"/>
        <v>0</v>
      </c>
      <c r="AB108" s="89">
        <f t="shared" si="50"/>
        <v>0</v>
      </c>
      <c r="AC108" s="89">
        <f t="shared" si="50"/>
        <v>0</v>
      </c>
      <c r="AD108" s="89">
        <f t="shared" si="50"/>
        <v>0</v>
      </c>
      <c r="AE108" s="89">
        <f t="shared" si="50"/>
        <v>0</v>
      </c>
      <c r="AF108" s="89">
        <f t="shared" si="50"/>
        <v>0</v>
      </c>
      <c r="AG108" s="111"/>
      <c r="AH108" s="48">
        <f t="shared" si="34"/>
        <v>0</v>
      </c>
      <c r="AI108" s="49">
        <f t="shared" si="35"/>
        <v>0</v>
      </c>
    </row>
    <row r="109" spans="1:64" ht="15.75" thickBot="1" x14ac:dyDescent="0.3">
      <c r="A109" s="97" t="s">
        <v>117</v>
      </c>
      <c r="B109" s="89">
        <v>0</v>
      </c>
      <c r="C109" s="89">
        <f t="shared" si="50"/>
        <v>0</v>
      </c>
      <c r="D109" s="89">
        <f t="shared" si="50"/>
        <v>0</v>
      </c>
      <c r="E109" s="89">
        <f t="shared" si="50"/>
        <v>0</v>
      </c>
      <c r="F109" s="89">
        <f t="shared" si="50"/>
        <v>0</v>
      </c>
      <c r="G109" s="89">
        <f t="shared" si="50"/>
        <v>0</v>
      </c>
      <c r="H109" s="89">
        <f t="shared" si="50"/>
        <v>0</v>
      </c>
      <c r="I109" s="89">
        <f t="shared" si="50"/>
        <v>0</v>
      </c>
      <c r="J109" s="89">
        <f t="shared" si="50"/>
        <v>0</v>
      </c>
      <c r="K109" s="89">
        <f t="shared" si="50"/>
        <v>0</v>
      </c>
      <c r="L109" s="89">
        <f t="shared" si="50"/>
        <v>0</v>
      </c>
      <c r="M109" s="89">
        <f t="shared" si="50"/>
        <v>0</v>
      </c>
      <c r="N109" s="89">
        <f t="shared" si="50"/>
        <v>0</v>
      </c>
      <c r="O109" s="89">
        <f t="shared" si="50"/>
        <v>0</v>
      </c>
      <c r="P109" s="89">
        <f t="shared" si="50"/>
        <v>0</v>
      </c>
      <c r="Q109" s="89">
        <f t="shared" si="50"/>
        <v>0</v>
      </c>
      <c r="R109" s="89">
        <f t="shared" si="50"/>
        <v>0</v>
      </c>
      <c r="S109" s="89">
        <f t="shared" si="50"/>
        <v>0</v>
      </c>
      <c r="T109" s="89">
        <f t="shared" si="50"/>
        <v>0</v>
      </c>
      <c r="U109" s="89">
        <f t="shared" si="50"/>
        <v>0</v>
      </c>
      <c r="V109" s="89">
        <f t="shared" si="50"/>
        <v>0</v>
      </c>
      <c r="W109" s="89">
        <f t="shared" si="50"/>
        <v>0</v>
      </c>
      <c r="X109" s="89">
        <f t="shared" si="50"/>
        <v>0</v>
      </c>
      <c r="Y109" s="89">
        <f t="shared" si="50"/>
        <v>0</v>
      </c>
      <c r="Z109" s="89">
        <f t="shared" si="50"/>
        <v>0</v>
      </c>
      <c r="AA109" s="89">
        <f t="shared" si="50"/>
        <v>0</v>
      </c>
      <c r="AB109" s="89">
        <f t="shared" si="50"/>
        <v>0</v>
      </c>
      <c r="AC109" s="89">
        <f t="shared" si="50"/>
        <v>0</v>
      </c>
      <c r="AD109" s="89">
        <f t="shared" si="50"/>
        <v>0</v>
      </c>
      <c r="AE109" s="89">
        <f t="shared" si="50"/>
        <v>0</v>
      </c>
      <c r="AF109" s="89">
        <f t="shared" si="50"/>
        <v>0</v>
      </c>
      <c r="AG109" s="98"/>
      <c r="AH109" s="48">
        <f t="shared" si="34"/>
        <v>0</v>
      </c>
      <c r="AI109" s="49">
        <f t="shared" si="35"/>
        <v>0</v>
      </c>
    </row>
    <row r="110" spans="1:64" ht="15.75" thickBot="1" x14ac:dyDescent="0.3">
      <c r="A110" s="112" t="s">
        <v>130</v>
      </c>
      <c r="B110" s="71">
        <f t="shared" ref="B110" si="53">SUM(B104:B109)</f>
        <v>109</v>
      </c>
      <c r="C110" s="71">
        <f t="shared" ref="C110:AF110" si="54">SUM(C104:C109)</f>
        <v>95</v>
      </c>
      <c r="D110" s="71">
        <f t="shared" si="54"/>
        <v>110</v>
      </c>
      <c r="E110" s="71">
        <f t="shared" si="54"/>
        <v>127</v>
      </c>
      <c r="F110" s="71">
        <f t="shared" si="54"/>
        <v>104</v>
      </c>
      <c r="G110" s="71">
        <f t="shared" si="54"/>
        <v>109.2</v>
      </c>
      <c r="H110" s="71">
        <f t="shared" si="54"/>
        <v>124.4</v>
      </c>
      <c r="I110" s="71">
        <f t="shared" si="54"/>
        <v>119.5</v>
      </c>
      <c r="J110" s="71">
        <f t="shared" si="54"/>
        <v>20.6</v>
      </c>
      <c r="K110" s="71">
        <f t="shared" si="54"/>
        <v>0</v>
      </c>
      <c r="L110" s="71">
        <f t="shared" si="54"/>
        <v>0</v>
      </c>
      <c r="M110" s="71">
        <f t="shared" si="54"/>
        <v>0</v>
      </c>
      <c r="N110" s="71">
        <f t="shared" si="54"/>
        <v>0</v>
      </c>
      <c r="O110" s="71">
        <f t="shared" si="54"/>
        <v>108</v>
      </c>
      <c r="P110" s="71">
        <f t="shared" si="54"/>
        <v>0</v>
      </c>
      <c r="Q110" s="71">
        <f t="shared" si="54"/>
        <v>0</v>
      </c>
      <c r="R110" s="71">
        <f t="shared" si="54"/>
        <v>0</v>
      </c>
      <c r="S110" s="71">
        <f t="shared" si="54"/>
        <v>0</v>
      </c>
      <c r="T110" s="71">
        <f t="shared" si="54"/>
        <v>0</v>
      </c>
      <c r="U110" s="71">
        <f t="shared" si="54"/>
        <v>116</v>
      </c>
      <c r="V110" s="71">
        <f t="shared" si="54"/>
        <v>0</v>
      </c>
      <c r="W110" s="71">
        <f t="shared" si="54"/>
        <v>0</v>
      </c>
      <c r="X110" s="71">
        <f t="shared" si="54"/>
        <v>0</v>
      </c>
      <c r="Y110" s="71">
        <f t="shared" si="54"/>
        <v>108.7</v>
      </c>
      <c r="Z110" s="71">
        <f t="shared" si="54"/>
        <v>114</v>
      </c>
      <c r="AA110" s="71">
        <f t="shared" si="54"/>
        <v>102.8</v>
      </c>
      <c r="AB110" s="71">
        <f t="shared" si="54"/>
        <v>0</v>
      </c>
      <c r="AC110" s="71">
        <f t="shared" si="54"/>
        <v>110</v>
      </c>
      <c r="AD110" s="71">
        <f t="shared" si="54"/>
        <v>114</v>
      </c>
      <c r="AE110" s="71">
        <f t="shared" si="54"/>
        <v>126</v>
      </c>
      <c r="AF110" s="71">
        <f t="shared" si="54"/>
        <v>115</v>
      </c>
      <c r="AG110" s="101"/>
      <c r="AH110" s="48">
        <f t="shared" si="34"/>
        <v>127</v>
      </c>
      <c r="AI110" s="49">
        <f t="shared" si="35"/>
        <v>0</v>
      </c>
    </row>
    <row r="111" spans="1:64" ht="15.75" thickBot="1" x14ac:dyDescent="0.3">
      <c r="A111" s="87" t="s">
        <v>131</v>
      </c>
      <c r="B111" s="71">
        <f t="shared" ref="B111" si="55">B95-B110</f>
        <v>-79</v>
      </c>
      <c r="C111" s="71">
        <f t="shared" ref="C111:AF111" si="56">C95-C110</f>
        <v>-74</v>
      </c>
      <c r="D111" s="71">
        <f t="shared" si="56"/>
        <v>-85</v>
      </c>
      <c r="E111" s="71">
        <f t="shared" si="56"/>
        <v>-117.4</v>
      </c>
      <c r="F111" s="71">
        <f t="shared" si="56"/>
        <v>-94.3</v>
      </c>
      <c r="G111" s="71">
        <f t="shared" si="56"/>
        <v>-98.4</v>
      </c>
      <c r="H111" s="71">
        <f t="shared" si="56"/>
        <v>-111.80000000000001</v>
      </c>
      <c r="I111" s="71">
        <f t="shared" si="56"/>
        <v>-105.8</v>
      </c>
      <c r="J111" s="71">
        <f t="shared" si="56"/>
        <v>28.799999999999997</v>
      </c>
      <c r="K111" s="71">
        <f t="shared" si="56"/>
        <v>256.60000000000002</v>
      </c>
      <c r="L111" s="71">
        <f t="shared" si="56"/>
        <v>252.70000000000002</v>
      </c>
      <c r="M111" s="71">
        <f t="shared" si="56"/>
        <v>270</v>
      </c>
      <c r="N111" s="71">
        <f t="shared" si="56"/>
        <v>366.7</v>
      </c>
      <c r="O111" s="71">
        <f t="shared" si="56"/>
        <v>132</v>
      </c>
      <c r="P111" s="71">
        <f t="shared" si="56"/>
        <v>526.70000000000005</v>
      </c>
      <c r="Q111" s="71">
        <f t="shared" si="56"/>
        <v>535.79999999999995</v>
      </c>
      <c r="R111" s="71">
        <f t="shared" si="56"/>
        <v>519.29999999999995</v>
      </c>
      <c r="S111" s="71">
        <f t="shared" si="56"/>
        <v>517.9</v>
      </c>
      <c r="T111" s="71">
        <f t="shared" si="56"/>
        <v>348.6</v>
      </c>
      <c r="U111" s="71">
        <f t="shared" si="56"/>
        <v>265.5</v>
      </c>
      <c r="V111" s="71">
        <f t="shared" si="56"/>
        <v>482.00000000000006</v>
      </c>
      <c r="W111" s="71">
        <f t="shared" si="56"/>
        <v>567.5</v>
      </c>
      <c r="X111" s="71">
        <f t="shared" si="56"/>
        <v>462.1</v>
      </c>
      <c r="Y111" s="71">
        <f t="shared" si="56"/>
        <v>52.999999999999986</v>
      </c>
      <c r="Z111" s="71">
        <f t="shared" si="56"/>
        <v>-37.400000000000006</v>
      </c>
      <c r="AA111" s="71">
        <f t="shared" si="56"/>
        <v>-25.599999999999994</v>
      </c>
      <c r="AB111" s="71">
        <f t="shared" si="56"/>
        <v>0</v>
      </c>
      <c r="AC111" s="71">
        <f t="shared" si="56"/>
        <v>-4</v>
      </c>
      <c r="AD111" s="71">
        <f t="shared" si="56"/>
        <v>-20.599999999999994</v>
      </c>
      <c r="AE111" s="71">
        <f t="shared" si="56"/>
        <v>-66.7</v>
      </c>
      <c r="AF111" s="71">
        <f t="shared" si="56"/>
        <v>-56.3</v>
      </c>
      <c r="AG111" s="101"/>
      <c r="AH111" s="48">
        <f t="shared" si="34"/>
        <v>567.5</v>
      </c>
      <c r="AI111" s="49">
        <f t="shared" si="35"/>
        <v>-117.4</v>
      </c>
    </row>
    <row r="112" spans="1:64" x14ac:dyDescent="0.25">
      <c r="A112" s="113" t="s">
        <v>132</v>
      </c>
      <c r="B112" s="114">
        <v>50.03</v>
      </c>
      <c r="C112" s="114">
        <v>50.06</v>
      </c>
      <c r="D112" s="114">
        <v>50.03</v>
      </c>
      <c r="E112" s="114">
        <v>50.042000000000002</v>
      </c>
      <c r="F112" s="114">
        <v>50.064</v>
      </c>
      <c r="G112" s="114">
        <v>49.904000000000003</v>
      </c>
      <c r="H112" s="114">
        <v>49.895000000000003</v>
      </c>
      <c r="I112" s="114">
        <v>49.853000000000002</v>
      </c>
      <c r="J112" s="114">
        <v>49.872</v>
      </c>
      <c r="K112" s="114">
        <v>49.872</v>
      </c>
      <c r="L112" s="114">
        <v>49.951000000000001</v>
      </c>
      <c r="M112" s="114">
        <v>50.042000000000002</v>
      </c>
      <c r="N112" s="114">
        <v>50.075000000000003</v>
      </c>
      <c r="O112" s="114">
        <v>49.942</v>
      </c>
      <c r="P112" s="114">
        <v>49.98</v>
      </c>
      <c r="Q112" s="114">
        <v>49.98</v>
      </c>
      <c r="R112" s="114">
        <v>49.823999999999998</v>
      </c>
      <c r="S112" s="114">
        <v>50.048999999999999</v>
      </c>
      <c r="T112" s="114">
        <v>50.067999999999998</v>
      </c>
      <c r="U112" s="114">
        <v>50.021000000000001</v>
      </c>
      <c r="V112" s="114">
        <v>50.052</v>
      </c>
      <c r="W112" s="114">
        <v>50.052</v>
      </c>
      <c r="X112" s="114">
        <v>50.052</v>
      </c>
      <c r="Y112" s="114">
        <v>50.152000000000001</v>
      </c>
      <c r="Z112" s="114">
        <v>50.064</v>
      </c>
      <c r="AA112" s="114">
        <v>50.002000000000002</v>
      </c>
      <c r="AB112" s="114">
        <v>50.002000000000002</v>
      </c>
      <c r="AC112" s="114">
        <v>50.054000000000002</v>
      </c>
      <c r="AD112" s="114">
        <v>49.962000000000003</v>
      </c>
      <c r="AE112" s="114">
        <v>50.046999999999997</v>
      </c>
      <c r="AF112" s="114">
        <v>50.03</v>
      </c>
      <c r="AG112" s="115"/>
      <c r="AH112" s="48">
        <f t="shared" si="34"/>
        <v>50.152000000000001</v>
      </c>
      <c r="AI112" s="49">
        <f t="shared" si="35"/>
        <v>49.823999999999998</v>
      </c>
    </row>
    <row r="113" spans="1:35" x14ac:dyDescent="0.25">
      <c r="A113" s="116" t="s">
        <v>133</v>
      </c>
      <c r="B113" s="76">
        <v>127.2</v>
      </c>
      <c r="C113" s="76">
        <v>128.4</v>
      </c>
      <c r="D113" s="76">
        <v>127.8</v>
      </c>
      <c r="E113" s="76">
        <v>128.30000000000001</v>
      </c>
      <c r="F113" s="76">
        <v>128.5</v>
      </c>
      <c r="G113" s="76">
        <v>128.30000000000001</v>
      </c>
      <c r="H113" s="76">
        <v>127.1</v>
      </c>
      <c r="I113" s="76">
        <v>126.1</v>
      </c>
      <c r="J113" s="76">
        <v>127.7</v>
      </c>
      <c r="K113" s="76">
        <v>127.7</v>
      </c>
      <c r="L113" s="76">
        <v>127.3</v>
      </c>
      <c r="M113" s="76">
        <v>127.3</v>
      </c>
      <c r="N113" s="76">
        <v>126.5</v>
      </c>
      <c r="O113" s="76">
        <v>126.7</v>
      </c>
      <c r="P113" s="76">
        <v>124.1</v>
      </c>
      <c r="Q113" s="76">
        <v>122</v>
      </c>
      <c r="R113" s="76">
        <v>124.2</v>
      </c>
      <c r="S113" s="76">
        <v>124.3</v>
      </c>
      <c r="T113" s="76">
        <v>126.1</v>
      </c>
      <c r="U113" s="76">
        <v>124</v>
      </c>
      <c r="V113" s="76">
        <v>126.3</v>
      </c>
      <c r="W113" s="76">
        <v>126.3</v>
      </c>
      <c r="X113" s="76">
        <v>126.3</v>
      </c>
      <c r="Y113" s="76">
        <v>127.4</v>
      </c>
      <c r="Z113" s="76">
        <v>125.8</v>
      </c>
      <c r="AA113" s="76">
        <v>124.1</v>
      </c>
      <c r="AB113" s="76">
        <v>124.1</v>
      </c>
      <c r="AC113" s="76">
        <v>125.4</v>
      </c>
      <c r="AD113" s="76">
        <v>126</v>
      </c>
      <c r="AE113" s="76">
        <v>125.1</v>
      </c>
      <c r="AF113" s="76">
        <v>125.4</v>
      </c>
      <c r="AG113" s="117"/>
      <c r="AH113" s="48">
        <f t="shared" si="34"/>
        <v>128.5</v>
      </c>
      <c r="AI113" s="49">
        <f t="shared" si="35"/>
        <v>122</v>
      </c>
    </row>
    <row r="114" spans="1:35" x14ac:dyDescent="0.25">
      <c r="A114" s="116" t="s">
        <v>134</v>
      </c>
      <c r="B114" s="76">
        <v>131.1</v>
      </c>
      <c r="C114" s="76">
        <v>131.9</v>
      </c>
      <c r="D114" s="76">
        <v>131.6</v>
      </c>
      <c r="E114" s="76">
        <v>131.9</v>
      </c>
      <c r="F114" s="76">
        <v>132.1</v>
      </c>
      <c r="G114" s="76">
        <v>131.6</v>
      </c>
      <c r="H114" s="76">
        <v>130.19999999999999</v>
      </c>
      <c r="I114" s="76">
        <v>129.4</v>
      </c>
      <c r="J114" s="76">
        <v>129.9</v>
      </c>
      <c r="K114" s="76">
        <v>129.9</v>
      </c>
      <c r="L114" s="76">
        <v>130.19999999999999</v>
      </c>
      <c r="M114" s="76">
        <v>130.4</v>
      </c>
      <c r="N114" s="76">
        <v>130.19999999999999</v>
      </c>
      <c r="O114" s="76">
        <v>130.19999999999999</v>
      </c>
      <c r="P114" s="76">
        <v>130.19999999999999</v>
      </c>
      <c r="Q114" s="76">
        <v>125.6</v>
      </c>
      <c r="R114" s="76">
        <v>127</v>
      </c>
      <c r="S114" s="76">
        <v>127.3</v>
      </c>
      <c r="T114" s="76">
        <v>128.19999999999999</v>
      </c>
      <c r="U114" s="76">
        <v>126.6</v>
      </c>
      <c r="V114" s="76">
        <v>128.69999999999999</v>
      </c>
      <c r="W114" s="76">
        <v>128.69999999999999</v>
      </c>
      <c r="X114" s="76">
        <v>128.69999999999999</v>
      </c>
      <c r="Y114" s="76">
        <v>129.5</v>
      </c>
      <c r="Z114" s="76">
        <v>128.69999999999999</v>
      </c>
      <c r="AA114" s="76">
        <v>127.4</v>
      </c>
      <c r="AB114" s="76">
        <v>127.4</v>
      </c>
      <c r="AC114" s="76">
        <v>128.69999999999999</v>
      </c>
      <c r="AD114" s="76">
        <v>129.4</v>
      </c>
      <c r="AE114" s="76">
        <v>129.30000000000001</v>
      </c>
      <c r="AF114" s="76">
        <v>129.5</v>
      </c>
      <c r="AG114" s="117"/>
      <c r="AH114" s="48">
        <f t="shared" si="34"/>
        <v>132.1</v>
      </c>
      <c r="AI114" s="49">
        <f t="shared" si="35"/>
        <v>125.6</v>
      </c>
    </row>
    <row r="115" spans="1:35" x14ac:dyDescent="0.25">
      <c r="A115" s="116" t="s">
        <v>135</v>
      </c>
      <c r="B115" s="76">
        <v>133</v>
      </c>
      <c r="C115" s="76">
        <v>131.4</v>
      </c>
      <c r="D115" s="76">
        <v>130.9</v>
      </c>
      <c r="E115" s="76">
        <v>132.5</v>
      </c>
      <c r="F115" s="76">
        <v>132</v>
      </c>
      <c r="G115" s="76">
        <v>133.4</v>
      </c>
      <c r="H115" s="76">
        <v>127.7</v>
      </c>
      <c r="I115" s="76">
        <v>130.30000000000001</v>
      </c>
      <c r="J115" s="76">
        <v>128.80000000000001</v>
      </c>
      <c r="K115" s="76">
        <v>128.80000000000001</v>
      </c>
      <c r="L115" s="76">
        <v>126.8</v>
      </c>
      <c r="M115" s="76">
        <v>129.80000000000001</v>
      </c>
      <c r="N115" s="76">
        <v>126.5</v>
      </c>
      <c r="O115" s="76">
        <v>126.1</v>
      </c>
      <c r="P115" s="76">
        <v>126.1</v>
      </c>
      <c r="Q115" s="76">
        <v>127</v>
      </c>
      <c r="R115" s="76">
        <v>125.9</v>
      </c>
      <c r="S115" s="76">
        <v>124.7</v>
      </c>
      <c r="T115" s="76">
        <v>129.5</v>
      </c>
      <c r="U115" s="76">
        <v>128.6</v>
      </c>
      <c r="V115" s="76">
        <v>132.1</v>
      </c>
      <c r="W115" s="76">
        <v>132.1</v>
      </c>
      <c r="X115" s="76">
        <v>132.1</v>
      </c>
      <c r="Y115" s="76">
        <v>133.1</v>
      </c>
      <c r="Z115" s="76">
        <v>128.5</v>
      </c>
      <c r="AA115" s="76">
        <v>128.9</v>
      </c>
      <c r="AB115" s="76">
        <v>128.9</v>
      </c>
      <c r="AC115" s="76">
        <v>127.1</v>
      </c>
      <c r="AD115" s="76">
        <v>128.6</v>
      </c>
      <c r="AE115" s="76">
        <v>128.80000000000001</v>
      </c>
      <c r="AF115" s="76">
        <v>129.69999999999999</v>
      </c>
      <c r="AG115" s="117"/>
      <c r="AH115" s="48">
        <f t="shared" si="34"/>
        <v>133.4</v>
      </c>
      <c r="AI115" s="49">
        <f t="shared" si="35"/>
        <v>124.7</v>
      </c>
    </row>
    <row r="116" spans="1:35" x14ac:dyDescent="0.25">
      <c r="A116" s="118" t="s">
        <v>136</v>
      </c>
      <c r="B116" s="76">
        <v>134</v>
      </c>
      <c r="C116" s="76">
        <v>132.6</v>
      </c>
      <c r="D116" s="76">
        <v>132.4</v>
      </c>
      <c r="E116" s="76">
        <v>133.6</v>
      </c>
      <c r="F116" s="76">
        <v>134.19999999999999</v>
      </c>
      <c r="G116" s="76">
        <v>134.1</v>
      </c>
      <c r="H116" s="76">
        <v>130</v>
      </c>
      <c r="I116" s="76">
        <v>131.30000000000001</v>
      </c>
      <c r="J116" s="76">
        <v>130.19999999999999</v>
      </c>
      <c r="K116" s="76">
        <v>130.19999999999999</v>
      </c>
      <c r="L116" s="76">
        <v>129.1</v>
      </c>
      <c r="M116" s="76">
        <v>130.6</v>
      </c>
      <c r="N116" s="76">
        <v>127.1</v>
      </c>
      <c r="O116" s="76">
        <v>125.4</v>
      </c>
      <c r="P116" s="76">
        <v>125.4</v>
      </c>
      <c r="Q116" s="76">
        <v>128.4</v>
      </c>
      <c r="R116" s="76">
        <v>128</v>
      </c>
      <c r="S116" s="76">
        <v>125.8</v>
      </c>
      <c r="T116" s="76">
        <v>131</v>
      </c>
      <c r="U116" s="76">
        <v>127.4</v>
      </c>
      <c r="V116" s="76">
        <v>132.1</v>
      </c>
      <c r="W116" s="76">
        <v>132.1</v>
      </c>
      <c r="X116" s="76">
        <v>132.1</v>
      </c>
      <c r="Y116" s="76">
        <v>134.1</v>
      </c>
      <c r="Z116" s="76">
        <v>128.19999999999999</v>
      </c>
      <c r="AA116" s="76">
        <v>130.4</v>
      </c>
      <c r="AB116" s="76">
        <v>130.4</v>
      </c>
      <c r="AC116" s="76">
        <v>128.9</v>
      </c>
      <c r="AD116" s="76">
        <v>130.6</v>
      </c>
      <c r="AE116" s="76">
        <v>129.30000000000001</v>
      </c>
      <c r="AF116" s="76">
        <v>130.1</v>
      </c>
      <c r="AG116" s="117"/>
      <c r="AH116" s="48">
        <f t="shared" si="34"/>
        <v>134.19999999999999</v>
      </c>
      <c r="AI116" s="49">
        <f t="shared" si="35"/>
        <v>125.4</v>
      </c>
    </row>
    <row r="117" spans="1:35" x14ac:dyDescent="0.25">
      <c r="A117" s="118" t="s">
        <v>137</v>
      </c>
      <c r="B117" s="119">
        <v>132</v>
      </c>
      <c r="C117" s="119">
        <v>134.30000000000001</v>
      </c>
      <c r="D117" s="119">
        <v>134.6</v>
      </c>
      <c r="E117" s="119">
        <v>132.6</v>
      </c>
      <c r="F117" s="119">
        <v>134.30000000000001</v>
      </c>
      <c r="G117" s="119">
        <v>135.19999999999999</v>
      </c>
      <c r="H117" s="119">
        <v>134.30000000000001</v>
      </c>
      <c r="I117" s="119">
        <v>133</v>
      </c>
      <c r="J117" s="119">
        <v>134.6</v>
      </c>
      <c r="K117" s="119">
        <v>134.6</v>
      </c>
      <c r="L117" s="119">
        <v>132.19999999999999</v>
      </c>
      <c r="M117" s="119">
        <v>136.69999999999999</v>
      </c>
      <c r="N117" s="119">
        <v>134.80000000000001</v>
      </c>
      <c r="O117" s="119">
        <v>136.69999999999999</v>
      </c>
      <c r="P117" s="119">
        <v>136.69999999999999</v>
      </c>
      <c r="Q117" s="119">
        <v>129.19999999999999</v>
      </c>
      <c r="R117" s="119">
        <v>134.30000000000001</v>
      </c>
      <c r="S117" s="119">
        <v>134.19999999999999</v>
      </c>
      <c r="T117" s="119">
        <v>129</v>
      </c>
      <c r="U117" s="119">
        <v>131</v>
      </c>
      <c r="V117" s="119">
        <v>130.6</v>
      </c>
      <c r="W117" s="119">
        <v>130.6</v>
      </c>
      <c r="X117" s="119">
        <v>130.6</v>
      </c>
      <c r="Y117" s="119">
        <v>133.19999999999999</v>
      </c>
      <c r="Z117" s="119">
        <v>133.5</v>
      </c>
      <c r="AA117" s="119">
        <v>130.9</v>
      </c>
      <c r="AB117" s="119">
        <v>130.9</v>
      </c>
      <c r="AC117" s="119">
        <v>131</v>
      </c>
      <c r="AD117" s="119">
        <v>130</v>
      </c>
      <c r="AE117" s="119">
        <v>133.9</v>
      </c>
      <c r="AF117" s="119">
        <v>131.19999999999999</v>
      </c>
      <c r="AG117" s="120"/>
      <c r="AH117" s="48">
        <f t="shared" si="34"/>
        <v>136.69999999999999</v>
      </c>
      <c r="AI117" s="49">
        <f t="shared" si="35"/>
        <v>129</v>
      </c>
    </row>
    <row r="118" spans="1:35" x14ac:dyDescent="0.25">
      <c r="A118" s="116" t="s">
        <v>138</v>
      </c>
      <c r="B118" s="76">
        <v>120</v>
      </c>
      <c r="C118" s="76">
        <v>127</v>
      </c>
      <c r="D118" s="76">
        <v>129.1</v>
      </c>
      <c r="E118" s="76">
        <v>123.2</v>
      </c>
      <c r="F118" s="76">
        <v>128.80000000000001</v>
      </c>
      <c r="G118" s="76">
        <v>131.5</v>
      </c>
      <c r="H118" s="76">
        <v>129.6</v>
      </c>
      <c r="I118" s="76">
        <v>125.6</v>
      </c>
      <c r="J118" s="76">
        <v>125.3</v>
      </c>
      <c r="K118" s="76">
        <v>125.3</v>
      </c>
      <c r="L118" s="76">
        <v>131.4</v>
      </c>
      <c r="M118" s="76">
        <v>127.7</v>
      </c>
      <c r="N118" s="76">
        <v>130.80000000000001</v>
      </c>
      <c r="O118" s="76">
        <v>132</v>
      </c>
      <c r="P118" s="76">
        <v>132</v>
      </c>
      <c r="Q118" s="76">
        <v>129</v>
      </c>
      <c r="R118" s="76">
        <v>131.19999999999999</v>
      </c>
      <c r="S118" s="76">
        <v>133.69999999999999</v>
      </c>
      <c r="T118" s="76">
        <v>114.2</v>
      </c>
      <c r="U118" s="76">
        <v>121.6</v>
      </c>
      <c r="V118" s="76">
        <v>123.5</v>
      </c>
      <c r="W118" s="76">
        <v>123.5</v>
      </c>
      <c r="X118" s="76">
        <v>123.5</v>
      </c>
      <c r="Y118" s="76">
        <v>129.1</v>
      </c>
      <c r="Z118" s="76">
        <v>130.5</v>
      </c>
      <c r="AA118" s="76">
        <v>123.5</v>
      </c>
      <c r="AB118" s="76">
        <v>123.5</v>
      </c>
      <c r="AC118" s="76">
        <v>129.19999999999999</v>
      </c>
      <c r="AD118" s="76">
        <v>132.6</v>
      </c>
      <c r="AE118" s="76">
        <v>128.5</v>
      </c>
      <c r="AF118" s="76">
        <v>130.69999999999999</v>
      </c>
      <c r="AG118" s="117"/>
      <c r="AH118" s="48">
        <f t="shared" si="34"/>
        <v>133.69999999999999</v>
      </c>
      <c r="AI118" s="49">
        <f t="shared" si="35"/>
        <v>114.2</v>
      </c>
    </row>
    <row r="119" spans="1:35" ht="15.75" thickBot="1" x14ac:dyDescent="0.3">
      <c r="A119" s="116" t="s">
        <v>139</v>
      </c>
      <c r="B119" s="105">
        <v>66.3</v>
      </c>
      <c r="C119" s="105">
        <v>66.3</v>
      </c>
      <c r="D119" s="105">
        <v>66.3</v>
      </c>
      <c r="E119" s="105">
        <v>66.400000000000006</v>
      </c>
      <c r="F119" s="105">
        <v>66.599999999999994</v>
      </c>
      <c r="G119" s="105">
        <v>66.3</v>
      </c>
      <c r="H119" s="105">
        <v>65.599999999999994</v>
      </c>
      <c r="I119" s="105">
        <v>65</v>
      </c>
      <c r="J119" s="105">
        <v>65.3</v>
      </c>
      <c r="K119" s="105">
        <v>65.3</v>
      </c>
      <c r="L119" s="105">
        <v>65.400000000000006</v>
      </c>
      <c r="M119" s="105">
        <v>65.400000000000006</v>
      </c>
      <c r="N119" s="105">
        <v>65.2</v>
      </c>
      <c r="O119" s="105">
        <v>65.099999999999994</v>
      </c>
      <c r="P119" s="105">
        <v>65.099999999999994</v>
      </c>
      <c r="Q119" s="105">
        <v>63.1</v>
      </c>
      <c r="R119" s="105">
        <v>63.6</v>
      </c>
      <c r="S119" s="105">
        <v>63.8</v>
      </c>
      <c r="T119" s="105">
        <v>64</v>
      </c>
      <c r="U119" s="105">
        <v>63.6</v>
      </c>
      <c r="V119" s="105">
        <v>64.8</v>
      </c>
      <c r="W119" s="105">
        <v>64.8</v>
      </c>
      <c r="X119" s="105">
        <v>64.8</v>
      </c>
      <c r="Y119" s="105">
        <v>65.3</v>
      </c>
      <c r="Z119" s="105">
        <v>65</v>
      </c>
      <c r="AA119" s="105">
        <v>64.400000000000006</v>
      </c>
      <c r="AB119" s="105">
        <v>64.400000000000006</v>
      </c>
      <c r="AC119" s="105">
        <v>65</v>
      </c>
      <c r="AD119" s="105">
        <v>65.400000000000006</v>
      </c>
      <c r="AE119" s="105">
        <v>65.5</v>
      </c>
      <c r="AF119" s="105">
        <v>65.599999999999994</v>
      </c>
      <c r="AG119" s="121"/>
      <c r="AH119" s="48">
        <f t="shared" si="34"/>
        <v>66.599999999999994</v>
      </c>
      <c r="AI119" s="49">
        <f t="shared" si="35"/>
        <v>63.1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4"/>
        <v>0</v>
      </c>
      <c r="AI120" s="49">
        <f t="shared" si="35"/>
        <v>0</v>
      </c>
    </row>
    <row r="121" spans="1:35" ht="15.75" thickBot="1" x14ac:dyDescent="0.3">
      <c r="A121" s="123" t="s">
        <v>141</v>
      </c>
      <c r="B121" s="124">
        <f t="shared" ref="B121" si="57">SUM(B25,B31,B34:B35,B69,B71:B72,B74,B76,B122:B126,B158,B164,B170,B179,B181,B193,B200,B203:B204,B211,B213,B215,B219:B221,B223:B225,B230,B236:B237,B239:B241,B249,B254)</f>
        <v>133.24</v>
      </c>
      <c r="C121" s="124">
        <f t="shared" ref="C121:O121" si="58">SUM(C25,C31,C34:C35,C69,C71:C72,C74,C76,C122:C126,C158,C164,C170,C179,C181,C193,C200,C203:C204,C211,C213,C215,C219:C221,C223:C225,C230,C236:C237,C239:C241,C249,C254)</f>
        <v>124.83999999999999</v>
      </c>
      <c r="D121" s="124">
        <f t="shared" si="58"/>
        <v>117.43999999999998</v>
      </c>
      <c r="E121" s="124">
        <f t="shared" si="58"/>
        <v>117.74</v>
      </c>
      <c r="F121" s="124">
        <f t="shared" si="58"/>
        <v>114.44</v>
      </c>
      <c r="G121" s="124">
        <f t="shared" si="58"/>
        <v>131.23999999999998</v>
      </c>
      <c r="H121" s="124">
        <f t="shared" si="58"/>
        <v>147.44000000000003</v>
      </c>
      <c r="I121" s="124">
        <f t="shared" si="58"/>
        <v>161.04000000000002</v>
      </c>
      <c r="J121" s="124">
        <f t="shared" si="58"/>
        <v>177.74</v>
      </c>
      <c r="K121" s="124">
        <f t="shared" si="58"/>
        <v>180.54</v>
      </c>
      <c r="L121" s="124">
        <f t="shared" si="58"/>
        <v>317.73999999999995</v>
      </c>
      <c r="M121" s="124">
        <f t="shared" si="58"/>
        <v>155.83999999999997</v>
      </c>
      <c r="N121" s="124">
        <f t="shared" si="58"/>
        <v>165.94000000000003</v>
      </c>
      <c r="O121" s="124">
        <f t="shared" si="58"/>
        <v>187.04000000000002</v>
      </c>
      <c r="P121" s="124">
        <v>42</v>
      </c>
      <c r="Q121" s="124">
        <f t="shared" ref="Q121:X121" si="59">SUM(Q25,Q31,Q34:Q35,Q69,Q71:Q72,Q74,Q76,Q122:Q126,Q158,Q164,Q170,Q179,Q181,Q193,Q200,Q203:Q204,Q211,Q213,Q215,Q219:Q221,Q223:Q225,Q230,Q236:Q237,Q239:Q241,Q249,Q254)</f>
        <v>227.24</v>
      </c>
      <c r="R121" s="124">
        <f t="shared" si="59"/>
        <v>236.44</v>
      </c>
      <c r="S121" s="124">
        <f t="shared" si="59"/>
        <v>196.84000000000003</v>
      </c>
      <c r="T121" s="124">
        <f t="shared" si="59"/>
        <v>185.94</v>
      </c>
      <c r="U121" s="124">
        <f t="shared" si="59"/>
        <v>172.74</v>
      </c>
      <c r="V121" s="124">
        <f t="shared" si="59"/>
        <v>220.64000000000001</v>
      </c>
      <c r="W121" s="124">
        <f t="shared" si="59"/>
        <v>216.34000000000006</v>
      </c>
      <c r="X121" s="124">
        <f t="shared" si="59"/>
        <v>183.64</v>
      </c>
      <c r="Y121" s="124">
        <f>SUM(Y23,Y29,Y40:Y41,Y69,Y71:Y72,Y74,Y76,Y122:Y126,Y151,Y157,Y163,Y172,Y174,Y186,Y193,Y196:Y197,Y204,Y206,Y208,Y212:Y214,Y216:Y218,Y223,Y229:Y230,Y232:Y234,Y242,Y247)</f>
        <v>257.79999999999995</v>
      </c>
      <c r="Z121" s="124">
        <f>SUM(Z23,Z29,Z40:Z41,Z69,Z71:Z72,Z74,Z76,Z122:Z126,Z151,Z157,Z163,Z172,Z174,Z186,Z193,Z196:Z197,Z204,Z206,Z208,Z212:Z214,Z216:Z218,Z223,Z229:Z230,Z232:Z234,Z242,Z247)</f>
        <v>235.29999999999998</v>
      </c>
      <c r="AA121" s="124">
        <f t="shared" ref="AA121:AF121" si="60">SUM(AA25,AA31,AA34:AA35,AA69,AA71:AA72,AA74,AA76,AA122:AA126,AA158,AA164,AA170,AA179,AA181,AA193,AA200,AA203:AA204,AA211,AA213,AA215,AA219:AA221,AA223:AA225,AA230,AA236:AA237,AA239:AA241,AA249,AA254)</f>
        <v>228.43999999999997</v>
      </c>
      <c r="AB121" s="124">
        <f t="shared" si="60"/>
        <v>228.43999999999997</v>
      </c>
      <c r="AC121" s="124">
        <f t="shared" si="60"/>
        <v>229.04000000000002</v>
      </c>
      <c r="AD121" s="124">
        <f t="shared" si="60"/>
        <v>212.54</v>
      </c>
      <c r="AE121" s="124">
        <f t="shared" si="60"/>
        <v>183.34</v>
      </c>
      <c r="AF121" s="124">
        <f t="shared" si="60"/>
        <v>165.44</v>
      </c>
      <c r="AG121" s="125"/>
      <c r="AH121" s="48">
        <f t="shared" si="34"/>
        <v>317.73999999999995</v>
      </c>
      <c r="AI121" s="49">
        <f t="shared" si="35"/>
        <v>42</v>
      </c>
    </row>
    <row r="122" spans="1:35" x14ac:dyDescent="0.25">
      <c r="A122" s="126" t="s">
        <v>142</v>
      </c>
      <c r="B122" s="127">
        <v>47.3</v>
      </c>
      <c r="C122" s="127">
        <v>36.5</v>
      </c>
      <c r="D122" s="127">
        <v>45</v>
      </c>
      <c r="E122" s="127">
        <v>40.9</v>
      </c>
      <c r="F122" s="127">
        <v>48.2</v>
      </c>
      <c r="G122" s="127">
        <v>50.9</v>
      </c>
      <c r="H122" s="127">
        <v>57.6</v>
      </c>
      <c r="I122" s="127">
        <v>51.7</v>
      </c>
      <c r="J122" s="127">
        <v>33.299999999999997</v>
      </c>
      <c r="K122" s="127">
        <v>33.299999999999997</v>
      </c>
      <c r="L122" s="127">
        <v>31.2</v>
      </c>
      <c r="M122" s="127">
        <v>35.1</v>
      </c>
      <c r="N122" s="127">
        <v>38.9</v>
      </c>
      <c r="O122" s="127">
        <v>47</v>
      </c>
      <c r="P122" s="127">
        <v>47</v>
      </c>
      <c r="Q122" s="127">
        <v>44.1</v>
      </c>
      <c r="R122" s="127">
        <v>46</v>
      </c>
      <c r="S122" s="127">
        <v>45.4</v>
      </c>
      <c r="T122" s="127">
        <v>40.6</v>
      </c>
      <c r="U122" s="127">
        <v>51.8</v>
      </c>
      <c r="V122" s="127">
        <v>65.3</v>
      </c>
      <c r="W122" s="127">
        <v>65.3</v>
      </c>
      <c r="X122" s="127">
        <v>27.5</v>
      </c>
      <c r="Y122" s="127">
        <v>64.599999999999994</v>
      </c>
      <c r="Z122" s="127">
        <v>57</v>
      </c>
      <c r="AA122" s="127">
        <v>73.400000000000006</v>
      </c>
      <c r="AB122" s="127">
        <v>73.400000000000006</v>
      </c>
      <c r="AC122" s="127">
        <v>45</v>
      </c>
      <c r="AD122" s="127">
        <v>62.3</v>
      </c>
      <c r="AE122" s="127">
        <v>80.599999999999994</v>
      </c>
      <c r="AF122" s="127">
        <v>82.8</v>
      </c>
      <c r="AG122" s="128">
        <v>75</v>
      </c>
      <c r="AH122" s="48">
        <f t="shared" si="34"/>
        <v>82.8</v>
      </c>
      <c r="AI122" s="49">
        <f t="shared" si="35"/>
        <v>27.5</v>
      </c>
    </row>
    <row r="123" spans="1:35" x14ac:dyDescent="0.25">
      <c r="A123" s="129" t="s">
        <v>143</v>
      </c>
      <c r="B123" s="130">
        <v>68.599999999999994</v>
      </c>
      <c r="C123" s="130">
        <v>53.2</v>
      </c>
      <c r="D123" s="130">
        <v>66.2</v>
      </c>
      <c r="E123" s="130">
        <v>60.1</v>
      </c>
      <c r="F123" s="130">
        <v>69.8</v>
      </c>
      <c r="G123" s="130">
        <v>73.3</v>
      </c>
      <c r="H123" s="130">
        <v>78.5</v>
      </c>
      <c r="I123" s="130">
        <v>71.900000000000006</v>
      </c>
      <c r="J123" s="130">
        <v>47</v>
      </c>
      <c r="K123" s="130">
        <v>47</v>
      </c>
      <c r="L123" s="130">
        <v>45.1</v>
      </c>
      <c r="M123" s="130">
        <v>50.2</v>
      </c>
      <c r="N123" s="130">
        <v>57.1</v>
      </c>
      <c r="O123" s="130">
        <v>66</v>
      </c>
      <c r="P123" s="130">
        <v>66</v>
      </c>
      <c r="Q123" s="130">
        <v>59.4</v>
      </c>
      <c r="R123" s="130">
        <v>61.1</v>
      </c>
      <c r="S123" s="130">
        <v>59.5</v>
      </c>
      <c r="T123" s="130">
        <v>57.1</v>
      </c>
      <c r="U123" s="130">
        <v>69</v>
      </c>
      <c r="V123" s="130">
        <v>89.4</v>
      </c>
      <c r="W123" s="130">
        <v>89.4</v>
      </c>
      <c r="X123" s="130">
        <v>40.200000000000003</v>
      </c>
      <c r="Y123" s="130">
        <v>85.9</v>
      </c>
      <c r="Z123" s="130">
        <v>82.1</v>
      </c>
      <c r="AA123" s="130">
        <v>102.7</v>
      </c>
      <c r="AB123" s="130">
        <v>102.7</v>
      </c>
      <c r="AC123" s="130">
        <v>68</v>
      </c>
      <c r="AD123" s="130">
        <v>91.1</v>
      </c>
      <c r="AE123" s="130">
        <v>116.2</v>
      </c>
      <c r="AF123" s="130">
        <v>118</v>
      </c>
      <c r="AG123" s="128">
        <v>240</v>
      </c>
      <c r="AH123" s="48">
        <f t="shared" si="34"/>
        <v>118</v>
      </c>
      <c r="AI123" s="49">
        <f t="shared" si="35"/>
        <v>40.200000000000003</v>
      </c>
    </row>
    <row r="124" spans="1:35" x14ac:dyDescent="0.25">
      <c r="A124" s="129" t="s">
        <v>144</v>
      </c>
      <c r="B124" s="130">
        <f>-51-62</f>
        <v>-113</v>
      </c>
      <c r="C124" s="130">
        <f>-44-56</f>
        <v>-100</v>
      </c>
      <c r="D124" s="130">
        <f>-55.5-65</f>
        <v>-120.5</v>
      </c>
      <c r="E124" s="130">
        <f>-49.8-62.2</f>
        <v>-112</v>
      </c>
      <c r="F124" s="130">
        <f>-58.8-66.8</f>
        <v>-125.6</v>
      </c>
      <c r="G124" s="130">
        <f>-53.1-62.4</f>
        <v>-115.5</v>
      </c>
      <c r="H124" s="130">
        <f>-50-58.5</f>
        <v>-108.5</v>
      </c>
      <c r="I124" s="130">
        <f>-41.2-52.5</f>
        <v>-93.7</v>
      </c>
      <c r="J124" s="130">
        <f>-16.4-27.7</f>
        <v>-44.099999999999994</v>
      </c>
      <c r="K124" s="130">
        <f>-16.4-27.7</f>
        <v>-44.099999999999994</v>
      </c>
      <c r="L124" s="130">
        <v>-26.9</v>
      </c>
      <c r="M124" s="130">
        <v>-74</v>
      </c>
      <c r="N124" s="130">
        <v>-78</v>
      </c>
      <c r="O124" s="130">
        <v>-83</v>
      </c>
      <c r="P124" s="130">
        <v>-83</v>
      </c>
      <c r="Q124" s="130">
        <v>-39</v>
      </c>
      <c r="R124" s="130">
        <v>-38</v>
      </c>
      <c r="S124" s="130">
        <v>-73</v>
      </c>
      <c r="T124" s="130">
        <v>-73</v>
      </c>
      <c r="U124" s="130">
        <v>-101</v>
      </c>
      <c r="V124" s="130">
        <v>-89.1</v>
      </c>
      <c r="W124" s="130">
        <v>-89.1</v>
      </c>
      <c r="X124" s="130">
        <v>-19.399999999999999</v>
      </c>
      <c r="Y124" s="130">
        <v>-79</v>
      </c>
      <c r="Z124" s="130">
        <v>-89</v>
      </c>
      <c r="AA124" s="130">
        <v>-104.3</v>
      </c>
      <c r="AB124" s="130">
        <v>-104.3</v>
      </c>
      <c r="AC124" s="130">
        <v>-40</v>
      </c>
      <c r="AD124" s="130">
        <v>-90</v>
      </c>
      <c r="AE124" s="130">
        <f>-68.9-73.1</f>
        <v>-142</v>
      </c>
      <c r="AF124" s="130">
        <f>-75-79.3</f>
        <v>-154.30000000000001</v>
      </c>
      <c r="AG124" s="128">
        <v>240</v>
      </c>
      <c r="AH124" s="48">
        <f t="shared" si="34"/>
        <v>-19.399999999999999</v>
      </c>
      <c r="AI124" s="49">
        <f t="shared" si="35"/>
        <v>-154.30000000000001</v>
      </c>
    </row>
    <row r="125" spans="1:35" ht="15.75" thickBot="1" x14ac:dyDescent="0.3">
      <c r="A125" s="129" t="s">
        <v>145</v>
      </c>
      <c r="B125" s="130">
        <v>9.4</v>
      </c>
      <c r="C125" s="130">
        <v>14.2</v>
      </c>
      <c r="D125" s="130">
        <v>5.8</v>
      </c>
      <c r="E125" s="130">
        <v>7.8</v>
      </c>
      <c r="F125" s="130">
        <v>1.1000000000000001</v>
      </c>
      <c r="G125" s="130">
        <v>1.6</v>
      </c>
      <c r="H125" s="130">
        <v>-1.1000000000000001</v>
      </c>
      <c r="I125" s="130">
        <v>10</v>
      </c>
      <c r="J125" s="130">
        <v>20.100000000000001</v>
      </c>
      <c r="K125" s="130">
        <v>20.100000000000001</v>
      </c>
      <c r="L125" s="130">
        <v>12.3</v>
      </c>
      <c r="M125" s="130">
        <v>13.2</v>
      </c>
      <c r="N125" s="130">
        <v>12.4</v>
      </c>
      <c r="O125" s="130">
        <v>18</v>
      </c>
      <c r="P125" s="130">
        <v>18</v>
      </c>
      <c r="Q125" s="130">
        <v>19.5</v>
      </c>
      <c r="R125" s="130">
        <v>25</v>
      </c>
      <c r="S125" s="130">
        <v>24.9</v>
      </c>
      <c r="T125" s="130">
        <v>24.9</v>
      </c>
      <c r="U125" s="130">
        <v>20.8</v>
      </c>
      <c r="V125" s="130">
        <v>26.8</v>
      </c>
      <c r="W125" s="130">
        <v>26.8</v>
      </c>
      <c r="X125" s="130">
        <v>11.4</v>
      </c>
      <c r="Y125" s="130">
        <v>33.5</v>
      </c>
      <c r="Z125" s="130">
        <v>32.4</v>
      </c>
      <c r="AA125" s="130">
        <v>32.6</v>
      </c>
      <c r="AB125" s="130">
        <v>32.6</v>
      </c>
      <c r="AC125" s="130">
        <v>32</v>
      </c>
      <c r="AD125" s="130">
        <v>25.1</v>
      </c>
      <c r="AE125" s="130">
        <v>5.6</v>
      </c>
      <c r="AF125" s="130">
        <v>-4</v>
      </c>
      <c r="AG125" s="128">
        <v>60</v>
      </c>
      <c r="AH125" s="48">
        <f t="shared" si="34"/>
        <v>33.5</v>
      </c>
      <c r="AI125" s="49">
        <f t="shared" si="35"/>
        <v>-4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>
        <v>131</v>
      </c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4"/>
        <v>131</v>
      </c>
      <c r="AI126" s="49">
        <f t="shared" si="35"/>
        <v>131</v>
      </c>
    </row>
    <row r="127" spans="1:35" x14ac:dyDescent="0.25">
      <c r="A127" s="129" t="s">
        <v>147</v>
      </c>
      <c r="B127" s="131">
        <v>37.200000000000003</v>
      </c>
      <c r="C127" s="131">
        <v>36.200000000000003</v>
      </c>
      <c r="D127" s="131">
        <v>34.200000000000003</v>
      </c>
      <c r="E127" s="131">
        <v>31.5</v>
      </c>
      <c r="F127" s="131">
        <v>34.700000000000003</v>
      </c>
      <c r="G127" s="131">
        <v>35.1</v>
      </c>
      <c r="H127" s="131">
        <v>41.8</v>
      </c>
      <c r="I127" s="131">
        <v>46.8</v>
      </c>
      <c r="J127" s="131">
        <v>61.9</v>
      </c>
      <c r="K127" s="131">
        <v>61.9</v>
      </c>
      <c r="L127" s="131">
        <v>100.2</v>
      </c>
      <c r="M127" s="131">
        <v>98</v>
      </c>
      <c r="N127" s="131">
        <v>92.7</v>
      </c>
      <c r="O127" s="131">
        <v>96</v>
      </c>
      <c r="P127" s="131">
        <v>96</v>
      </c>
      <c r="Q127" s="131">
        <v>74.099999999999994</v>
      </c>
      <c r="R127" s="131">
        <v>72</v>
      </c>
      <c r="S127" s="131">
        <v>72.5</v>
      </c>
      <c r="T127" s="131">
        <v>72.5</v>
      </c>
      <c r="U127" s="131">
        <v>76.5</v>
      </c>
      <c r="V127" s="131">
        <v>48.9</v>
      </c>
      <c r="W127" s="131">
        <v>48.9</v>
      </c>
      <c r="X127" s="131">
        <v>81.5</v>
      </c>
      <c r="Y127" s="131">
        <v>57.7</v>
      </c>
      <c r="Z127" s="131">
        <v>70.099999999999994</v>
      </c>
      <c r="AA127" s="131">
        <v>70.5</v>
      </c>
      <c r="AB127" s="131">
        <v>70.5</v>
      </c>
      <c r="AC127" s="131">
        <v>66</v>
      </c>
      <c r="AD127" s="131"/>
      <c r="AE127" s="131">
        <v>36</v>
      </c>
      <c r="AF127" s="131">
        <v>30.9</v>
      </c>
      <c r="AG127" s="132"/>
      <c r="AH127" s="48"/>
      <c r="AI127" s="49"/>
    </row>
    <row r="128" spans="1:35" x14ac:dyDescent="0.25">
      <c r="A128" s="129" t="s">
        <v>148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>
        <v>-24</v>
      </c>
      <c r="T128" s="131">
        <v>-24</v>
      </c>
      <c r="U128" s="131">
        <v>-29</v>
      </c>
      <c r="V128" s="131">
        <v>-76</v>
      </c>
      <c r="W128" s="131">
        <v>-76</v>
      </c>
      <c r="X128" s="131">
        <v>-23.5</v>
      </c>
      <c r="Y128" s="131">
        <v>-79.400000000000006</v>
      </c>
      <c r="Z128" s="131">
        <v>-63.7</v>
      </c>
      <c r="AA128" s="131">
        <v>-77</v>
      </c>
      <c r="AB128" s="131">
        <v>-77</v>
      </c>
      <c r="AC128" s="131">
        <v>-61</v>
      </c>
      <c r="AD128" s="131"/>
      <c r="AE128" s="131">
        <v>-61</v>
      </c>
      <c r="AF128" s="131">
        <v>-44.4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24</v>
      </c>
      <c r="C129" s="131">
        <v>23.1</v>
      </c>
      <c r="D129" s="131">
        <v>23.1</v>
      </c>
      <c r="E129" s="131">
        <v>19.899999999999999</v>
      </c>
      <c r="F129" s="131">
        <v>25.5</v>
      </c>
      <c r="G129" s="131">
        <v>21.9</v>
      </c>
      <c r="H129" s="131">
        <v>27</v>
      </c>
      <c r="I129" s="131">
        <v>49.3</v>
      </c>
      <c r="J129" s="131">
        <v>65.2</v>
      </c>
      <c r="K129" s="131">
        <v>65.2</v>
      </c>
      <c r="L129" s="131">
        <v>42.6</v>
      </c>
      <c r="M129" s="131">
        <v>46.5</v>
      </c>
      <c r="N129" s="131">
        <v>56</v>
      </c>
      <c r="O129" s="131">
        <v>22</v>
      </c>
      <c r="P129" s="131">
        <v>22</v>
      </c>
      <c r="Q129" s="131">
        <v>67.099999999999994</v>
      </c>
      <c r="R129" s="131">
        <v>58.1</v>
      </c>
      <c r="S129" s="131">
        <v>60</v>
      </c>
      <c r="T129" s="131">
        <v>60</v>
      </c>
      <c r="U129" s="131">
        <v>54.8</v>
      </c>
      <c r="V129" s="131">
        <v>34.5</v>
      </c>
      <c r="W129" s="131">
        <v>34.5</v>
      </c>
      <c r="X129" s="131">
        <v>73.7</v>
      </c>
      <c r="Y129" s="131">
        <v>28.5</v>
      </c>
      <c r="Z129" s="131">
        <v>48.9</v>
      </c>
      <c r="AA129" s="131">
        <v>47.8</v>
      </c>
      <c r="AB129" s="131">
        <v>47.8</v>
      </c>
      <c r="AC129" s="131">
        <v>40</v>
      </c>
      <c r="AD129" s="131"/>
      <c r="AE129" s="131">
        <v>16.5</v>
      </c>
      <c r="AF129" s="131">
        <v>25.8</v>
      </c>
      <c r="AG129" s="128"/>
      <c r="AH129" s="48">
        <f>MAX(B129:AF129)</f>
        <v>73.7</v>
      </c>
      <c r="AI129" s="49">
        <f>MIN(B129:AF129)</f>
        <v>16.5</v>
      </c>
    </row>
    <row r="130" spans="1:37" x14ac:dyDescent="0.25">
      <c r="A130" s="126" t="s">
        <v>150</v>
      </c>
      <c r="B130" s="131">
        <v>-177</v>
      </c>
      <c r="C130" s="131">
        <v>-173.9</v>
      </c>
      <c r="D130" s="131">
        <v>-176.5</v>
      </c>
      <c r="E130" s="131">
        <v>-177.1</v>
      </c>
      <c r="F130" s="131">
        <v>-170.7</v>
      </c>
      <c r="G130" s="131">
        <v>-156.80000000000001</v>
      </c>
      <c r="H130" s="131">
        <v>-159.5</v>
      </c>
      <c r="I130" s="131">
        <v>-163.30000000000001</v>
      </c>
      <c r="J130" s="131">
        <v>-131.19999999999999</v>
      </c>
      <c r="K130" s="131">
        <v>-131.19999999999999</v>
      </c>
      <c r="L130" s="131">
        <v>-71.900000000000006</v>
      </c>
      <c r="M130" s="131">
        <v>-65</v>
      </c>
      <c r="N130" s="131">
        <v>-60</v>
      </c>
      <c r="O130" s="131">
        <v>-198</v>
      </c>
      <c r="P130" s="131">
        <v>-198</v>
      </c>
      <c r="Q130" s="131">
        <v>-86</v>
      </c>
      <c r="R130" s="131">
        <v>-90</v>
      </c>
      <c r="S130" s="131">
        <v>-87.4</v>
      </c>
      <c r="T130" s="131">
        <v>-87.4</v>
      </c>
      <c r="U130" s="131">
        <v>-186.4</v>
      </c>
      <c r="V130" s="131">
        <v>-33.799999999999997</v>
      </c>
      <c r="W130" s="131">
        <v>-33.799999999999997</v>
      </c>
      <c r="X130" s="131">
        <v>-24.3</v>
      </c>
      <c r="Y130" s="131">
        <v>-147.19999999999999</v>
      </c>
      <c r="Z130" s="131">
        <v>-191</v>
      </c>
      <c r="AA130" s="131">
        <v>-205.9</v>
      </c>
      <c r="AB130" s="131">
        <v>-205.9</v>
      </c>
      <c r="AC130" s="131">
        <v>-222</v>
      </c>
      <c r="AD130" s="131"/>
      <c r="AE130" s="131">
        <v>-201</v>
      </c>
      <c r="AF130" s="131">
        <v>-150</v>
      </c>
      <c r="AG130" s="128"/>
      <c r="AH130" s="48">
        <f>MAX(B130:AF130)</f>
        <v>-24.3</v>
      </c>
      <c r="AI130" s="49">
        <f>MIN(B130:AF130)</f>
        <v>-222</v>
      </c>
    </row>
    <row r="131" spans="1:37" x14ac:dyDescent="0.25">
      <c r="A131" s="129" t="s">
        <v>151</v>
      </c>
      <c r="B131" s="119">
        <v>30.3</v>
      </c>
      <c r="C131" s="119">
        <v>19.899999999999999</v>
      </c>
      <c r="D131" s="119">
        <v>20.100000000000001</v>
      </c>
      <c r="E131" s="119">
        <v>19.7</v>
      </c>
      <c r="F131" s="119">
        <v>21</v>
      </c>
      <c r="G131" s="119">
        <v>21.7</v>
      </c>
      <c r="H131" s="119">
        <v>21.1</v>
      </c>
      <c r="I131" s="119">
        <v>17.600000000000001</v>
      </c>
      <c r="J131" s="119">
        <v>16.5</v>
      </c>
      <c r="K131" s="119">
        <v>16.5</v>
      </c>
      <c r="L131" s="119">
        <v>3.2</v>
      </c>
      <c r="M131" s="119">
        <v>2.9</v>
      </c>
      <c r="N131" s="119">
        <v>-14.3</v>
      </c>
      <c r="O131" s="119">
        <v>-15.3</v>
      </c>
      <c r="P131" s="119">
        <v>-15.3</v>
      </c>
      <c r="Q131" s="119">
        <v>-10</v>
      </c>
      <c r="R131" s="119">
        <v>-17</v>
      </c>
      <c r="S131" s="119">
        <v>-17.5</v>
      </c>
      <c r="T131" s="119">
        <v>-17.5</v>
      </c>
      <c r="U131" s="119">
        <v>-27.8</v>
      </c>
      <c r="V131" s="119">
        <v>-29.8</v>
      </c>
      <c r="W131" s="119">
        <v>-29.8</v>
      </c>
      <c r="X131" s="119">
        <v>-7.1</v>
      </c>
      <c r="Y131" s="119">
        <v>1.2</v>
      </c>
      <c r="Z131" s="119">
        <v>-16.600000000000001</v>
      </c>
      <c r="AA131" s="119">
        <v>-24.8</v>
      </c>
      <c r="AB131" s="119">
        <v>-24.8</v>
      </c>
      <c r="AC131" s="119">
        <v>-24</v>
      </c>
      <c r="AD131" s="119"/>
      <c r="AE131" s="119">
        <v>-17.8</v>
      </c>
      <c r="AF131" s="119">
        <v>-17.3</v>
      </c>
      <c r="AG131" s="128"/>
      <c r="AH131" s="48">
        <f>MAX(B131:AF131)</f>
        <v>30.3</v>
      </c>
      <c r="AI131" s="49">
        <f>MIN(B131:AF131)</f>
        <v>-29.8</v>
      </c>
    </row>
    <row r="132" spans="1:37" x14ac:dyDescent="0.25">
      <c r="A132" s="129" t="s">
        <v>152</v>
      </c>
      <c r="B132" s="119">
        <v>53.3</v>
      </c>
      <c r="C132" s="119">
        <v>58.9</v>
      </c>
      <c r="D132" s="119">
        <v>60.8</v>
      </c>
      <c r="E132" s="119">
        <v>52.4</v>
      </c>
      <c r="F132" s="119">
        <v>51.9</v>
      </c>
      <c r="G132" s="119">
        <v>39.4</v>
      </c>
      <c r="H132" s="119">
        <v>38.9</v>
      </c>
      <c r="I132" s="119">
        <v>40.299999999999997</v>
      </c>
      <c r="J132" s="119">
        <v>50</v>
      </c>
      <c r="K132" s="119">
        <v>50</v>
      </c>
      <c r="L132" s="119">
        <v>57.6</v>
      </c>
      <c r="M132" s="119">
        <v>61.4</v>
      </c>
      <c r="N132" s="119">
        <v>78</v>
      </c>
      <c r="O132" s="119">
        <v>88</v>
      </c>
      <c r="P132" s="119">
        <v>88</v>
      </c>
      <c r="Q132" s="119">
        <v>103</v>
      </c>
      <c r="R132" s="119">
        <v>107</v>
      </c>
      <c r="S132" s="119">
        <v>112.3</v>
      </c>
      <c r="T132" s="119">
        <v>112.3</v>
      </c>
      <c r="U132" s="119">
        <v>51.7</v>
      </c>
      <c r="V132" s="119">
        <v>56.3</v>
      </c>
      <c r="W132" s="119">
        <v>56.3</v>
      </c>
      <c r="X132" s="119">
        <v>40.4</v>
      </c>
      <c r="Y132" s="119">
        <v>29.6</v>
      </c>
      <c r="Z132" s="119">
        <v>47.6</v>
      </c>
      <c r="AA132" s="119">
        <v>63</v>
      </c>
      <c r="AB132" s="119">
        <v>63</v>
      </c>
      <c r="AC132" s="119">
        <v>63</v>
      </c>
      <c r="AD132" s="119"/>
      <c r="AE132" s="119">
        <v>66</v>
      </c>
      <c r="AF132" s="119">
        <v>62</v>
      </c>
      <c r="AG132" s="128"/>
      <c r="AH132" s="48">
        <f>MAX(B132:AF132)</f>
        <v>112.3</v>
      </c>
      <c r="AI132" s="49">
        <f>MIN(B132:AF132)</f>
        <v>29.6</v>
      </c>
    </row>
    <row r="133" spans="1:37" ht="15.75" thickBot="1" x14ac:dyDescent="0.3">
      <c r="A133" s="129" t="s">
        <v>153</v>
      </c>
      <c r="B133" s="119">
        <v>67</v>
      </c>
      <c r="C133" s="119">
        <v>65.900000000000006</v>
      </c>
      <c r="D133" s="119">
        <v>66.3</v>
      </c>
      <c r="E133" s="119">
        <v>60.6</v>
      </c>
      <c r="F133" s="119">
        <v>55</v>
      </c>
      <c r="G133" s="119">
        <v>46.5</v>
      </c>
      <c r="H133" s="119">
        <v>45.1</v>
      </c>
      <c r="I133" s="119">
        <v>45.2</v>
      </c>
      <c r="J133" s="119">
        <v>56.7</v>
      </c>
      <c r="K133" s="119">
        <v>56.7</v>
      </c>
      <c r="L133" s="119">
        <v>68.400000000000006</v>
      </c>
      <c r="M133" s="119">
        <v>68</v>
      </c>
      <c r="N133" s="119">
        <v>92.2</v>
      </c>
      <c r="O133" s="119">
        <v>108</v>
      </c>
      <c r="P133" s="119">
        <v>108</v>
      </c>
      <c r="Q133" s="119">
        <v>114</v>
      </c>
      <c r="R133" s="119">
        <v>117</v>
      </c>
      <c r="S133" s="119">
        <v>117</v>
      </c>
      <c r="T133" s="119">
        <v>117</v>
      </c>
      <c r="U133" s="119">
        <v>63.2</v>
      </c>
      <c r="V133" s="119">
        <v>67.099999999999994</v>
      </c>
      <c r="W133" s="119">
        <v>67.099999999999994</v>
      </c>
      <c r="X133" s="119">
        <v>46</v>
      </c>
      <c r="Y133" s="119">
        <v>37.6</v>
      </c>
      <c r="Z133" s="119">
        <v>55.4</v>
      </c>
      <c r="AA133" s="119">
        <v>75</v>
      </c>
      <c r="AB133" s="119">
        <v>75</v>
      </c>
      <c r="AC133" s="119">
        <v>78</v>
      </c>
      <c r="AD133" s="119"/>
      <c r="AE133" s="119">
        <v>81.5</v>
      </c>
      <c r="AF133" s="119">
        <v>72</v>
      </c>
      <c r="AG133" s="128"/>
      <c r="AH133" s="48">
        <f>MAX(B133:AF133)</f>
        <v>117</v>
      </c>
      <c r="AI133" s="49">
        <f>MIN(B133:AF133)</f>
        <v>37.6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1983.4</v>
      </c>
      <c r="C135" s="137">
        <v>1983.4</v>
      </c>
      <c r="D135" s="137">
        <v>1983.46</v>
      </c>
      <c r="E135" s="137">
        <v>1983.5</v>
      </c>
      <c r="F135" s="137">
        <v>1983.49</v>
      </c>
      <c r="G135" s="137">
        <v>1983.55</v>
      </c>
      <c r="H135" s="137"/>
      <c r="I135" s="137"/>
      <c r="J135" s="137"/>
      <c r="K135" s="137"/>
      <c r="L135" s="137"/>
      <c r="M135" s="137">
        <v>1983.96</v>
      </c>
      <c r="N135" s="137">
        <v>1984.25</v>
      </c>
      <c r="O135" s="137">
        <v>1984.5</v>
      </c>
      <c r="P135" s="137"/>
      <c r="Q135" s="137">
        <v>1984.32</v>
      </c>
      <c r="R135" s="137">
        <v>1984.58</v>
      </c>
      <c r="S135" s="137">
        <v>1984.89</v>
      </c>
      <c r="T135" s="137">
        <v>1985.2</v>
      </c>
      <c r="U135" s="137">
        <v>1985.1</v>
      </c>
      <c r="V135" s="137">
        <v>1985</v>
      </c>
      <c r="W135" s="137"/>
      <c r="X135" s="137">
        <v>1985.72</v>
      </c>
      <c r="Y135" s="137"/>
      <c r="Z135" s="137">
        <v>1986</v>
      </c>
      <c r="AA135" s="137"/>
      <c r="AB135" s="137">
        <v>1985.7</v>
      </c>
      <c r="AC135" s="137">
        <v>1985.5</v>
      </c>
      <c r="AD135" s="137">
        <v>1985.3</v>
      </c>
      <c r="AE135" s="137">
        <v>1985.02</v>
      </c>
      <c r="AF135" s="138">
        <v>1985.1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>
        <v>520.13</v>
      </c>
      <c r="T136" s="140">
        <v>520.95000000000005</v>
      </c>
      <c r="U136" s="140">
        <v>520.76</v>
      </c>
      <c r="V136" s="140">
        <v>520.53</v>
      </c>
      <c r="W136" s="140"/>
      <c r="X136" s="140">
        <v>520.6</v>
      </c>
      <c r="Y136" s="140"/>
      <c r="Z136" s="140">
        <v>520.53</v>
      </c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>
        <v>624.12</v>
      </c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>
        <v>336.74</v>
      </c>
      <c r="T138" s="140"/>
      <c r="U138" s="140"/>
      <c r="V138" s="140"/>
      <c r="W138" s="140"/>
      <c r="X138" s="140"/>
      <c r="Y138" s="140"/>
      <c r="Z138" s="140">
        <v>336.9</v>
      </c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882.5</v>
      </c>
      <c r="C139" s="140"/>
      <c r="D139" s="140">
        <v>883.4</v>
      </c>
      <c r="E139" s="140"/>
      <c r="F139" s="140">
        <v>883.3</v>
      </c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>
        <v>885.2</v>
      </c>
      <c r="R139" s="140"/>
      <c r="S139" s="140">
        <v>884.9</v>
      </c>
      <c r="T139" s="140">
        <v>994.4</v>
      </c>
      <c r="U139" s="140">
        <v>883.9</v>
      </c>
      <c r="V139" s="140">
        <v>883.4</v>
      </c>
      <c r="W139" s="140"/>
      <c r="X139" s="140">
        <v>882.9</v>
      </c>
      <c r="Y139" s="140"/>
      <c r="Z139" s="140">
        <v>883</v>
      </c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61">SUM(B142:B246)</f>
        <v>0</v>
      </c>
      <c r="C247" s="161">
        <f t="shared" si="61"/>
        <v>0</v>
      </c>
      <c r="D247" s="161">
        <f t="shared" si="61"/>
        <v>0</v>
      </c>
      <c r="E247" s="161">
        <f t="shared" si="61"/>
        <v>0</v>
      </c>
      <c r="F247" s="161">
        <f t="shared" si="61"/>
        <v>0</v>
      </c>
      <c r="G247" s="161">
        <f t="shared" si="61"/>
        <v>0</v>
      </c>
      <c r="H247" s="161">
        <f t="shared" si="61"/>
        <v>0</v>
      </c>
      <c r="I247" s="161">
        <f t="shared" si="61"/>
        <v>0</v>
      </c>
      <c r="J247" s="161">
        <f t="shared" si="61"/>
        <v>0</v>
      </c>
      <c r="K247" s="161">
        <f t="shared" si="61"/>
        <v>0</v>
      </c>
      <c r="L247" s="161">
        <f t="shared" si="61"/>
        <v>0</v>
      </c>
      <c r="M247" s="161">
        <f t="shared" si="61"/>
        <v>0</v>
      </c>
      <c r="N247" s="161">
        <f t="shared" si="61"/>
        <v>0</v>
      </c>
      <c r="O247" s="161">
        <f t="shared" si="61"/>
        <v>0</v>
      </c>
      <c r="P247" s="161">
        <f t="shared" si="61"/>
        <v>0</v>
      </c>
      <c r="Q247" s="161">
        <f t="shared" si="61"/>
        <v>0</v>
      </c>
      <c r="R247" s="161">
        <f t="shared" si="61"/>
        <v>0</v>
      </c>
      <c r="S247" s="161">
        <f t="shared" si="61"/>
        <v>0</v>
      </c>
      <c r="T247" s="161">
        <f t="shared" si="61"/>
        <v>0</v>
      </c>
      <c r="U247" s="161">
        <f t="shared" si="61"/>
        <v>0</v>
      </c>
      <c r="V247" s="161">
        <f t="shared" si="61"/>
        <v>0</v>
      </c>
      <c r="W247" s="161">
        <f t="shared" si="61"/>
        <v>0</v>
      </c>
      <c r="X247" s="161">
        <f t="shared" si="61"/>
        <v>0</v>
      </c>
      <c r="Y247" s="161">
        <f t="shared" si="61"/>
        <v>0</v>
      </c>
      <c r="Z247" s="161">
        <f t="shared" si="61"/>
        <v>0</v>
      </c>
      <c r="AA247" s="161">
        <f t="shared" si="61"/>
        <v>0</v>
      </c>
      <c r="AB247" s="161">
        <f t="shared" si="61"/>
        <v>0</v>
      </c>
      <c r="AC247" s="161">
        <f t="shared" si="61"/>
        <v>0</v>
      </c>
      <c r="AD247" s="161">
        <f t="shared" si="61"/>
        <v>0</v>
      </c>
      <c r="AE247" s="161">
        <f t="shared" si="61"/>
        <v>0</v>
      </c>
      <c r="AF247" s="162">
        <f t="shared" si="61"/>
        <v>0</v>
      </c>
      <c r="AG247" s="163">
        <f t="shared" si="61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62">AF249</f>
        <v>0.3</v>
      </c>
      <c r="C249" s="166">
        <v>0.3</v>
      </c>
      <c r="D249" s="166">
        <f t="shared" ref="D249:S254" si="63">C249</f>
        <v>0.3</v>
      </c>
      <c r="E249" s="166">
        <f t="shared" si="63"/>
        <v>0.3</v>
      </c>
      <c r="F249" s="166">
        <f t="shared" si="63"/>
        <v>0.3</v>
      </c>
      <c r="G249" s="166">
        <f t="shared" si="63"/>
        <v>0.3</v>
      </c>
      <c r="H249" s="166">
        <f t="shared" si="63"/>
        <v>0.3</v>
      </c>
      <c r="I249" s="166">
        <f t="shared" si="63"/>
        <v>0.3</v>
      </c>
      <c r="J249" s="166">
        <f t="shared" si="63"/>
        <v>0.3</v>
      </c>
      <c r="K249" s="166">
        <f t="shared" si="63"/>
        <v>0.3</v>
      </c>
      <c r="L249" s="166">
        <f t="shared" si="63"/>
        <v>0.3</v>
      </c>
      <c r="M249" s="166">
        <f t="shared" si="63"/>
        <v>0.3</v>
      </c>
      <c r="N249" s="166">
        <f t="shared" si="63"/>
        <v>0.3</v>
      </c>
      <c r="O249" s="166">
        <f t="shared" si="63"/>
        <v>0.3</v>
      </c>
      <c r="P249" s="166">
        <f t="shared" si="63"/>
        <v>0.3</v>
      </c>
      <c r="Q249" s="166">
        <f t="shared" si="63"/>
        <v>0.3</v>
      </c>
      <c r="R249" s="166">
        <f t="shared" si="63"/>
        <v>0.3</v>
      </c>
      <c r="S249" s="166">
        <f t="shared" si="63"/>
        <v>0.3</v>
      </c>
      <c r="T249" s="166">
        <f t="shared" ref="T249:AF254" si="64">S249</f>
        <v>0.3</v>
      </c>
      <c r="U249" s="166">
        <f t="shared" si="64"/>
        <v>0.3</v>
      </c>
      <c r="V249" s="166">
        <f t="shared" si="64"/>
        <v>0.3</v>
      </c>
      <c r="W249" s="166">
        <f t="shared" si="64"/>
        <v>0.3</v>
      </c>
      <c r="X249" s="166">
        <f t="shared" si="64"/>
        <v>0.3</v>
      </c>
      <c r="Y249" s="166">
        <f t="shared" si="64"/>
        <v>0.3</v>
      </c>
      <c r="Z249" s="166">
        <f t="shared" si="64"/>
        <v>0.3</v>
      </c>
      <c r="AA249" s="166">
        <f t="shared" si="64"/>
        <v>0.3</v>
      </c>
      <c r="AB249" s="166">
        <f t="shared" si="64"/>
        <v>0.3</v>
      </c>
      <c r="AC249" s="166">
        <f t="shared" si="64"/>
        <v>0.3</v>
      </c>
      <c r="AD249" s="166">
        <f t="shared" si="64"/>
        <v>0.3</v>
      </c>
      <c r="AE249" s="166">
        <f t="shared" si="64"/>
        <v>0.3</v>
      </c>
      <c r="AF249" s="166">
        <f t="shared" si="64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62"/>
        <v>0.4</v>
      </c>
      <c r="C250" s="152">
        <v>0.4</v>
      </c>
      <c r="D250" s="152">
        <f t="shared" si="63"/>
        <v>0.4</v>
      </c>
      <c r="E250" s="152">
        <f t="shared" si="63"/>
        <v>0.4</v>
      </c>
      <c r="F250" s="152">
        <f t="shared" si="63"/>
        <v>0.4</v>
      </c>
      <c r="G250" s="152">
        <f t="shared" si="63"/>
        <v>0.4</v>
      </c>
      <c r="H250" s="152">
        <f t="shared" si="63"/>
        <v>0.4</v>
      </c>
      <c r="I250" s="152">
        <f t="shared" si="63"/>
        <v>0.4</v>
      </c>
      <c r="J250" s="152">
        <f t="shared" si="63"/>
        <v>0.4</v>
      </c>
      <c r="K250" s="152">
        <f t="shared" si="63"/>
        <v>0.4</v>
      </c>
      <c r="L250" s="152">
        <f t="shared" si="63"/>
        <v>0.4</v>
      </c>
      <c r="M250" s="152">
        <f t="shared" si="63"/>
        <v>0.4</v>
      </c>
      <c r="N250" s="152">
        <f t="shared" si="63"/>
        <v>0.4</v>
      </c>
      <c r="O250" s="152">
        <f t="shared" si="63"/>
        <v>0.4</v>
      </c>
      <c r="P250" s="152">
        <f t="shared" si="63"/>
        <v>0.4</v>
      </c>
      <c r="Q250" s="152">
        <f t="shared" si="63"/>
        <v>0.4</v>
      </c>
      <c r="R250" s="152">
        <f t="shared" si="63"/>
        <v>0.4</v>
      </c>
      <c r="S250" s="152">
        <f t="shared" si="63"/>
        <v>0.4</v>
      </c>
      <c r="T250" s="152">
        <f t="shared" si="64"/>
        <v>0.4</v>
      </c>
      <c r="U250" s="152">
        <f t="shared" si="64"/>
        <v>0.4</v>
      </c>
      <c r="V250" s="152">
        <f t="shared" si="64"/>
        <v>0.4</v>
      </c>
      <c r="W250" s="152">
        <f t="shared" si="64"/>
        <v>0.4</v>
      </c>
      <c r="X250" s="152">
        <f t="shared" si="64"/>
        <v>0.4</v>
      </c>
      <c r="Y250" s="152">
        <f t="shared" si="64"/>
        <v>0.4</v>
      </c>
      <c r="Z250" s="152">
        <f t="shared" si="64"/>
        <v>0.4</v>
      </c>
      <c r="AA250" s="152">
        <f t="shared" si="64"/>
        <v>0.4</v>
      </c>
      <c r="AB250" s="152">
        <f t="shared" si="64"/>
        <v>0.4</v>
      </c>
      <c r="AC250" s="152">
        <f t="shared" si="64"/>
        <v>0.4</v>
      </c>
      <c r="AD250" s="152">
        <f t="shared" si="64"/>
        <v>0.4</v>
      </c>
      <c r="AE250" s="152">
        <f t="shared" si="64"/>
        <v>0.4</v>
      </c>
      <c r="AF250" s="152">
        <f t="shared" si="64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62"/>
        <v>1.5</v>
      </c>
      <c r="C251" s="152">
        <v>1.5</v>
      </c>
      <c r="D251" s="152">
        <f t="shared" si="63"/>
        <v>1.5</v>
      </c>
      <c r="E251" s="152">
        <f t="shared" si="63"/>
        <v>1.5</v>
      </c>
      <c r="F251" s="152">
        <f t="shared" si="63"/>
        <v>1.5</v>
      </c>
      <c r="G251" s="152">
        <f t="shared" si="63"/>
        <v>1.5</v>
      </c>
      <c r="H251" s="152">
        <f t="shared" si="63"/>
        <v>1.5</v>
      </c>
      <c r="I251" s="152">
        <f t="shared" si="63"/>
        <v>1.5</v>
      </c>
      <c r="J251" s="152">
        <f t="shared" si="63"/>
        <v>1.5</v>
      </c>
      <c r="K251" s="152">
        <f t="shared" si="63"/>
        <v>1.5</v>
      </c>
      <c r="L251" s="152">
        <f t="shared" si="63"/>
        <v>1.5</v>
      </c>
      <c r="M251" s="152">
        <f t="shared" si="63"/>
        <v>1.5</v>
      </c>
      <c r="N251" s="152">
        <f t="shared" si="63"/>
        <v>1.5</v>
      </c>
      <c r="O251" s="152">
        <f t="shared" si="63"/>
        <v>1.5</v>
      </c>
      <c r="P251" s="152">
        <f t="shared" si="63"/>
        <v>1.5</v>
      </c>
      <c r="Q251" s="152">
        <f t="shared" si="63"/>
        <v>1.5</v>
      </c>
      <c r="R251" s="152">
        <f t="shared" si="63"/>
        <v>1.5</v>
      </c>
      <c r="S251" s="152">
        <f t="shared" si="63"/>
        <v>1.5</v>
      </c>
      <c r="T251" s="152">
        <f t="shared" si="64"/>
        <v>1.5</v>
      </c>
      <c r="U251" s="152">
        <f t="shared" si="64"/>
        <v>1.5</v>
      </c>
      <c r="V251" s="152">
        <f t="shared" si="64"/>
        <v>1.5</v>
      </c>
      <c r="W251" s="152">
        <f t="shared" si="64"/>
        <v>1.5</v>
      </c>
      <c r="X251" s="152">
        <f t="shared" si="64"/>
        <v>1.5</v>
      </c>
      <c r="Y251" s="152">
        <f t="shared" si="64"/>
        <v>1.5</v>
      </c>
      <c r="Z251" s="152">
        <f t="shared" si="64"/>
        <v>1.5</v>
      </c>
      <c r="AA251" s="152">
        <f t="shared" si="64"/>
        <v>1.5</v>
      </c>
      <c r="AB251" s="152">
        <f t="shared" si="64"/>
        <v>1.5</v>
      </c>
      <c r="AC251" s="152">
        <f t="shared" si="64"/>
        <v>1.5</v>
      </c>
      <c r="AD251" s="152">
        <f t="shared" si="64"/>
        <v>1.5</v>
      </c>
      <c r="AE251" s="152">
        <f t="shared" si="64"/>
        <v>1.5</v>
      </c>
      <c r="AF251" s="152">
        <f t="shared" si="64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62"/>
        <v>0.3</v>
      </c>
      <c r="C252" s="152">
        <v>0.3</v>
      </c>
      <c r="D252" s="152">
        <f t="shared" si="63"/>
        <v>0.3</v>
      </c>
      <c r="E252" s="152">
        <f t="shared" si="63"/>
        <v>0.3</v>
      </c>
      <c r="F252" s="152">
        <f t="shared" si="63"/>
        <v>0.3</v>
      </c>
      <c r="G252" s="152">
        <f t="shared" si="63"/>
        <v>0.3</v>
      </c>
      <c r="H252" s="152">
        <f t="shared" si="63"/>
        <v>0.3</v>
      </c>
      <c r="I252" s="152">
        <f t="shared" si="63"/>
        <v>0.3</v>
      </c>
      <c r="J252" s="152">
        <f t="shared" si="63"/>
        <v>0.3</v>
      </c>
      <c r="K252" s="152">
        <f t="shared" si="63"/>
        <v>0.3</v>
      </c>
      <c r="L252" s="152">
        <f t="shared" si="63"/>
        <v>0.3</v>
      </c>
      <c r="M252" s="152">
        <f t="shared" si="63"/>
        <v>0.3</v>
      </c>
      <c r="N252" s="152">
        <f t="shared" si="63"/>
        <v>0.3</v>
      </c>
      <c r="O252" s="152">
        <f t="shared" si="63"/>
        <v>0.3</v>
      </c>
      <c r="P252" s="152">
        <f t="shared" si="63"/>
        <v>0.3</v>
      </c>
      <c r="Q252" s="152">
        <f t="shared" si="63"/>
        <v>0.3</v>
      </c>
      <c r="R252" s="152">
        <f t="shared" si="63"/>
        <v>0.3</v>
      </c>
      <c r="S252" s="152">
        <f t="shared" si="63"/>
        <v>0.3</v>
      </c>
      <c r="T252" s="152">
        <f t="shared" si="64"/>
        <v>0.3</v>
      </c>
      <c r="U252" s="152">
        <f t="shared" si="64"/>
        <v>0.3</v>
      </c>
      <c r="V252" s="152">
        <f t="shared" si="64"/>
        <v>0.3</v>
      </c>
      <c r="W252" s="152">
        <f t="shared" si="64"/>
        <v>0.3</v>
      </c>
      <c r="X252" s="152">
        <f t="shared" si="64"/>
        <v>0.3</v>
      </c>
      <c r="Y252" s="152">
        <f t="shared" si="64"/>
        <v>0.3</v>
      </c>
      <c r="Z252" s="152">
        <f t="shared" si="64"/>
        <v>0.3</v>
      </c>
      <c r="AA252" s="152">
        <f t="shared" si="64"/>
        <v>0.3</v>
      </c>
      <c r="AB252" s="152">
        <f t="shared" si="64"/>
        <v>0.3</v>
      </c>
      <c r="AC252" s="152">
        <f t="shared" si="64"/>
        <v>0.3</v>
      </c>
      <c r="AD252" s="152">
        <f t="shared" si="64"/>
        <v>0.3</v>
      </c>
      <c r="AE252" s="152">
        <f t="shared" si="64"/>
        <v>0.3</v>
      </c>
      <c r="AF252" s="152">
        <f t="shared" si="64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62"/>
        <v>0.4</v>
      </c>
      <c r="C253" s="152">
        <v>0.4</v>
      </c>
      <c r="D253" s="152">
        <f t="shared" si="63"/>
        <v>0.4</v>
      </c>
      <c r="E253" s="152">
        <f t="shared" si="63"/>
        <v>0.4</v>
      </c>
      <c r="F253" s="152">
        <f t="shared" si="63"/>
        <v>0.4</v>
      </c>
      <c r="G253" s="152">
        <f t="shared" si="63"/>
        <v>0.4</v>
      </c>
      <c r="H253" s="152">
        <f t="shared" si="63"/>
        <v>0.4</v>
      </c>
      <c r="I253" s="152">
        <f t="shared" si="63"/>
        <v>0.4</v>
      </c>
      <c r="J253" s="152">
        <f t="shared" si="63"/>
        <v>0.4</v>
      </c>
      <c r="K253" s="152">
        <f t="shared" si="63"/>
        <v>0.4</v>
      </c>
      <c r="L253" s="152">
        <f t="shared" si="63"/>
        <v>0.4</v>
      </c>
      <c r="M253" s="152">
        <f t="shared" si="63"/>
        <v>0.4</v>
      </c>
      <c r="N253" s="152">
        <f t="shared" si="63"/>
        <v>0.4</v>
      </c>
      <c r="O253" s="152">
        <f t="shared" si="63"/>
        <v>0.4</v>
      </c>
      <c r="P253" s="152">
        <f t="shared" si="63"/>
        <v>0.4</v>
      </c>
      <c r="Q253" s="152">
        <f t="shared" si="63"/>
        <v>0.4</v>
      </c>
      <c r="R253" s="152">
        <f t="shared" si="63"/>
        <v>0.4</v>
      </c>
      <c r="S253" s="152">
        <f t="shared" si="63"/>
        <v>0.4</v>
      </c>
      <c r="T253" s="152">
        <f t="shared" si="64"/>
        <v>0.4</v>
      </c>
      <c r="U253" s="152">
        <f t="shared" si="64"/>
        <v>0.4</v>
      </c>
      <c r="V253" s="152">
        <f t="shared" si="64"/>
        <v>0.4</v>
      </c>
      <c r="W253" s="152">
        <f t="shared" si="64"/>
        <v>0.4</v>
      </c>
      <c r="X253" s="152">
        <f t="shared" si="64"/>
        <v>0.4</v>
      </c>
      <c r="Y253" s="152">
        <f t="shared" si="64"/>
        <v>0.4</v>
      </c>
      <c r="Z253" s="152">
        <f t="shared" si="64"/>
        <v>0.4</v>
      </c>
      <c r="AA253" s="152">
        <f t="shared" si="64"/>
        <v>0.4</v>
      </c>
      <c r="AB253" s="152">
        <f t="shared" si="64"/>
        <v>0.4</v>
      </c>
      <c r="AC253" s="152">
        <f t="shared" si="64"/>
        <v>0.4</v>
      </c>
      <c r="AD253" s="152">
        <f t="shared" si="64"/>
        <v>0.4</v>
      </c>
      <c r="AE253" s="152">
        <f t="shared" si="64"/>
        <v>0.4</v>
      </c>
      <c r="AF253" s="152">
        <f t="shared" si="64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62"/>
        <v>0.64</v>
      </c>
      <c r="C254" s="157">
        <v>0.64</v>
      </c>
      <c r="D254" s="157">
        <f t="shared" si="63"/>
        <v>0.64</v>
      </c>
      <c r="E254" s="157">
        <f t="shared" si="63"/>
        <v>0.64</v>
      </c>
      <c r="F254" s="157">
        <f t="shared" si="63"/>
        <v>0.64</v>
      </c>
      <c r="G254" s="157">
        <f t="shared" si="63"/>
        <v>0.64</v>
      </c>
      <c r="H254" s="157">
        <f t="shared" si="63"/>
        <v>0.64</v>
      </c>
      <c r="I254" s="157">
        <f t="shared" si="63"/>
        <v>0.64</v>
      </c>
      <c r="J254" s="157">
        <f t="shared" si="63"/>
        <v>0.64</v>
      </c>
      <c r="K254" s="157">
        <f t="shared" si="63"/>
        <v>0.64</v>
      </c>
      <c r="L254" s="157">
        <f t="shared" si="63"/>
        <v>0.64</v>
      </c>
      <c r="M254" s="157">
        <f t="shared" si="63"/>
        <v>0.64</v>
      </c>
      <c r="N254" s="157">
        <f t="shared" si="63"/>
        <v>0.64</v>
      </c>
      <c r="O254" s="157">
        <f t="shared" si="63"/>
        <v>0.64</v>
      </c>
      <c r="P254" s="157">
        <f t="shared" si="63"/>
        <v>0.64</v>
      </c>
      <c r="Q254" s="157">
        <f t="shared" si="63"/>
        <v>0.64</v>
      </c>
      <c r="R254" s="157">
        <f t="shared" si="63"/>
        <v>0.64</v>
      </c>
      <c r="S254" s="157">
        <f t="shared" si="63"/>
        <v>0.64</v>
      </c>
      <c r="T254" s="157">
        <f t="shared" si="64"/>
        <v>0.64</v>
      </c>
      <c r="U254" s="157">
        <f t="shared" si="64"/>
        <v>0.64</v>
      </c>
      <c r="V254" s="157">
        <f t="shared" si="64"/>
        <v>0.64</v>
      </c>
      <c r="W254" s="157">
        <f t="shared" si="64"/>
        <v>0.64</v>
      </c>
      <c r="X254" s="157">
        <f t="shared" si="64"/>
        <v>0.64</v>
      </c>
      <c r="Y254" s="157">
        <f t="shared" si="64"/>
        <v>0.64</v>
      </c>
      <c r="Z254" s="157">
        <f t="shared" si="64"/>
        <v>0.64</v>
      </c>
      <c r="AA254" s="157">
        <f t="shared" si="64"/>
        <v>0.64</v>
      </c>
      <c r="AB254" s="157">
        <f t="shared" si="64"/>
        <v>0.64</v>
      </c>
      <c r="AC254" s="157">
        <f t="shared" si="64"/>
        <v>0.64</v>
      </c>
      <c r="AD254" s="157">
        <f t="shared" si="64"/>
        <v>0.64</v>
      </c>
      <c r="AE254" s="157">
        <f t="shared" si="64"/>
        <v>0.64</v>
      </c>
      <c r="AF254" s="157">
        <f t="shared" si="64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5">SUM(B249:B254)</f>
        <v>3.54</v>
      </c>
      <c r="C255" s="161">
        <f t="shared" si="65"/>
        <v>3.54</v>
      </c>
      <c r="D255" s="161">
        <f t="shared" si="65"/>
        <v>3.54</v>
      </c>
      <c r="E255" s="161">
        <f t="shared" si="65"/>
        <v>3.54</v>
      </c>
      <c r="F255" s="161">
        <f t="shared" si="65"/>
        <v>3.54</v>
      </c>
      <c r="G255" s="161">
        <f t="shared" si="65"/>
        <v>3.54</v>
      </c>
      <c r="H255" s="161">
        <f t="shared" si="65"/>
        <v>3.54</v>
      </c>
      <c r="I255" s="161">
        <f t="shared" si="65"/>
        <v>3.54</v>
      </c>
      <c r="J255" s="161">
        <f t="shared" si="65"/>
        <v>3.54</v>
      </c>
      <c r="K255" s="161">
        <f t="shared" si="65"/>
        <v>3.54</v>
      </c>
      <c r="L255" s="161">
        <f t="shared" si="65"/>
        <v>3.54</v>
      </c>
      <c r="M255" s="161">
        <f t="shared" si="65"/>
        <v>3.54</v>
      </c>
      <c r="N255" s="161">
        <f t="shared" si="65"/>
        <v>3.54</v>
      </c>
      <c r="O255" s="161">
        <f t="shared" si="65"/>
        <v>3.54</v>
      </c>
      <c r="P255" s="161">
        <f t="shared" si="65"/>
        <v>3.54</v>
      </c>
      <c r="Q255" s="161">
        <f t="shared" si="65"/>
        <v>3.54</v>
      </c>
      <c r="R255" s="161">
        <f t="shared" si="65"/>
        <v>3.54</v>
      </c>
      <c r="S255" s="161">
        <f t="shared" si="65"/>
        <v>3.54</v>
      </c>
      <c r="T255" s="161">
        <f t="shared" si="65"/>
        <v>3.54</v>
      </c>
      <c r="U255" s="161">
        <f t="shared" si="65"/>
        <v>3.54</v>
      </c>
      <c r="V255" s="161">
        <f t="shared" si="65"/>
        <v>3.54</v>
      </c>
      <c r="W255" s="161">
        <f t="shared" si="65"/>
        <v>3.54</v>
      </c>
      <c r="X255" s="161">
        <f t="shared" si="65"/>
        <v>3.54</v>
      </c>
      <c r="Y255" s="161">
        <f t="shared" si="65"/>
        <v>3.54</v>
      </c>
      <c r="Z255" s="161">
        <f t="shared" si="65"/>
        <v>3.54</v>
      </c>
      <c r="AA255" s="161">
        <f t="shared" si="65"/>
        <v>3.54</v>
      </c>
      <c r="AB255" s="161">
        <f t="shared" si="65"/>
        <v>3.54</v>
      </c>
      <c r="AC255" s="161">
        <f t="shared" si="65"/>
        <v>3.54</v>
      </c>
      <c r="AD255" s="161">
        <f t="shared" si="65"/>
        <v>3.54</v>
      </c>
      <c r="AE255" s="161">
        <f t="shared" si="65"/>
        <v>3.54</v>
      </c>
      <c r="AF255" s="161">
        <f t="shared" si="65"/>
        <v>3.54</v>
      </c>
      <c r="AG255" s="171">
        <f t="shared" si="65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1847.34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846" priority="80">
      <formula>$AH11=0</formula>
    </cfRule>
  </conditionalFormatting>
  <conditionalFormatting sqref="A89">
    <cfRule type="expression" dxfId="1845" priority="138">
      <formula>$AH94=0</formula>
    </cfRule>
  </conditionalFormatting>
  <conditionalFormatting sqref="A90:A94">
    <cfRule type="expression" dxfId="1844" priority="81">
      <formula>$AH89=0</formula>
    </cfRule>
  </conditionalFormatting>
  <conditionalFormatting sqref="B8">
    <cfRule type="expression" dxfId="1843" priority="134">
      <formula>AND(C$9&gt;=14/24,C$9&lt;20/24)</formula>
    </cfRule>
    <cfRule type="expression" dxfId="1842" priority="135">
      <formula>AND(C$9&gt;=8/24,C$9&lt;14/24)</formula>
    </cfRule>
    <cfRule type="expression" dxfId="1841" priority="136">
      <formula>C$9&lt;8/24</formula>
    </cfRule>
    <cfRule type="expression" dxfId="1840" priority="137">
      <formula>C$9&gt;=20/24</formula>
    </cfRule>
  </conditionalFormatting>
  <conditionalFormatting sqref="B9:AF57 B62:AF64 B65:AG65 B66:F77 G70:I77 E72:AF77 B80:AF102 B104:AF120 B122:AF140 B247:AF247 B249:B255">
    <cfRule type="expression" dxfId="1839" priority="41">
      <formula>B$9&gt;=20/24</formula>
    </cfRule>
    <cfRule type="expression" dxfId="1838" priority="42">
      <formula>AND(B$9&gt;=14/24,B$9&lt;20/24)</formula>
    </cfRule>
  </conditionalFormatting>
  <conditionalFormatting sqref="B9:AF57 B62:AF65 B66:F77 G70:I77 E72:AF77 B80:AF102 B104:AF120 B122:AF140 B247:AF247 B249:B255">
    <cfRule type="expression" dxfId="1837" priority="43">
      <formula>AND(B$9&gt;=8/24,B$9&lt;14/24)</formula>
    </cfRule>
  </conditionalFormatting>
  <conditionalFormatting sqref="B9:AF60 B62:AF65 B66:F77 G70:I77 E72:AF77 B80:AF102 B104:AF120 B122:AF140 B247:AF247 B249:B255">
    <cfRule type="expression" dxfId="1836" priority="44">
      <formula>B$9&lt;8/24</formula>
    </cfRule>
  </conditionalFormatting>
  <conditionalFormatting sqref="B11:AF83 AG61 AG65 AG83">
    <cfRule type="expression" dxfId="1835" priority="40">
      <formula>B11&gt;$AG11</formula>
    </cfRule>
  </conditionalFormatting>
  <conditionalFormatting sqref="B58:AF60">
    <cfRule type="expression" dxfId="1834" priority="37">
      <formula>B$9&gt;=20/24</formula>
    </cfRule>
    <cfRule type="expression" dxfId="1833" priority="38">
      <formula>AND(B$9&gt;=14/24,B$9&lt;20/24)</formula>
    </cfRule>
    <cfRule type="expression" dxfId="1832" priority="39">
      <formula>AND(B$9&gt;=8/24,B$9&lt;14/24)</formula>
    </cfRule>
  </conditionalFormatting>
  <conditionalFormatting sqref="D249:AF255">
    <cfRule type="expression" dxfId="1831" priority="119">
      <formula>D$9&gt;=20/24</formula>
    </cfRule>
    <cfRule type="expression" dxfId="1830" priority="120">
      <formula>AND(D$9&gt;=14/24,D$9&lt;20/24)</formula>
    </cfRule>
    <cfRule type="expression" dxfId="1829" priority="121">
      <formula>AND(D$9&gt;=8/24,D$9&lt;14/24)</formula>
    </cfRule>
    <cfRule type="expression" dxfId="1828" priority="122">
      <formula>D$9&lt;8/24</formula>
    </cfRule>
  </conditionalFormatting>
  <conditionalFormatting sqref="E66:I70 J67:X70">
    <cfRule type="expression" dxfId="1827" priority="50">
      <formula>E$9&gt;=20/24</formula>
    </cfRule>
    <cfRule type="expression" dxfId="1826" priority="51">
      <formula>AND(E$9&gt;=14/24,E$9&lt;20/24)</formula>
    </cfRule>
    <cfRule type="expression" dxfId="1825" priority="52">
      <formula>AND(E$9&gt;=8/24,E$9&lt;14/24)</formula>
    </cfRule>
    <cfRule type="expression" dxfId="1824" priority="53">
      <formula>E$9&lt;8/24</formula>
    </cfRule>
  </conditionalFormatting>
  <conditionalFormatting sqref="E71:X71">
    <cfRule type="expression" dxfId="1823" priority="45">
      <formula>E$9&gt;=20/24</formula>
    </cfRule>
    <cfRule type="expression" dxfId="1822" priority="46">
      <formula>AND(E$9&gt;=14/24,E$9&lt;20/24)</formula>
    </cfRule>
    <cfRule type="expression" dxfId="1821" priority="47">
      <formula>AND(E$9&gt;=8/24,E$9&lt;14/24)</formula>
    </cfRule>
    <cfRule type="expression" dxfId="1820" priority="48">
      <formula>E$9&lt;8/24</formula>
    </cfRule>
  </conditionalFormatting>
  <conditionalFormatting sqref="F66:X68">
    <cfRule type="expression" dxfId="1819" priority="72">
      <formula>F$9&gt;=20/24</formula>
    </cfRule>
    <cfRule type="expression" dxfId="1818" priority="73">
      <formula>AND(F$9&gt;=14/24,F$9&lt;20/24)</formula>
    </cfRule>
    <cfRule type="expression" dxfId="1817" priority="74">
      <formula>AND(F$9&gt;=8/24,F$9&lt;14/24)</formula>
    </cfRule>
    <cfRule type="expression" dxfId="1816" priority="75">
      <formula>F$9&lt;8/24</formula>
    </cfRule>
  </conditionalFormatting>
  <conditionalFormatting sqref="L71:X71">
    <cfRule type="expression" dxfId="1815" priority="68">
      <formula>L$9&gt;=20/24</formula>
    </cfRule>
    <cfRule type="expression" dxfId="1814" priority="69">
      <formula>AND(L$9&gt;=14/24,L$9&lt;20/24)</formula>
    </cfRule>
    <cfRule type="expression" dxfId="1813" priority="70">
      <formula>AND(L$9&gt;=8/24,L$9&lt;14/24)</formula>
    </cfRule>
    <cfRule type="expression" dxfId="1812" priority="71">
      <formula>L$9&lt;8/24</formula>
    </cfRule>
  </conditionalFormatting>
  <conditionalFormatting sqref="M8 S8 AB8">
    <cfRule type="expression" dxfId="1811" priority="126">
      <formula>AND(N$9&gt;=14/24,N$9&lt;20/24)</formula>
    </cfRule>
    <cfRule type="expression" dxfId="1810" priority="127">
      <formula>AND(N$9&gt;=8/24,N$9&lt;14/24)</formula>
    </cfRule>
    <cfRule type="expression" dxfId="1809" priority="128">
      <formula>N$9&lt;8/24</formula>
    </cfRule>
  </conditionalFormatting>
  <conditionalFormatting sqref="M66:X70">
    <cfRule type="expression" dxfId="1808" priority="76">
      <formula>M$9&gt;=20/24</formula>
    </cfRule>
    <cfRule type="expression" dxfId="1807" priority="77">
      <formula>AND(M$9&gt;=14/24,M$9&lt;20/24)</formula>
    </cfRule>
    <cfRule type="expression" dxfId="1806" priority="78">
      <formula>AND(M$9&gt;=8/24,M$9&lt;14/24)</formula>
    </cfRule>
    <cfRule type="expression" dxfId="1805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804" priority="125">
      <formula>N$9&gt;=20/24</formula>
    </cfRule>
  </conditionalFormatting>
  <conditionalFormatting sqref="S8">
    <cfRule type="expression" dxfId="1803" priority="112">
      <formula>U$9&gt;=20/24</formula>
    </cfRule>
    <cfRule type="expression" dxfId="1802" priority="113">
      <formula>AND(U$9&gt;=14/24,U$9&lt;20/24)</formula>
    </cfRule>
    <cfRule type="expression" dxfId="1801" priority="114">
      <formula>AND(U$9&gt;=8/24,U$9&lt;14/24)</formula>
    </cfRule>
    <cfRule type="expression" dxfId="1800" priority="115">
      <formula>U$9&lt;8/24</formula>
    </cfRule>
  </conditionalFormatting>
  <conditionalFormatting sqref="T66:AF71">
    <cfRule type="expression" dxfId="1799" priority="64">
      <formula>T$9&gt;=20/24</formula>
    </cfRule>
    <cfRule type="expression" dxfId="1798" priority="65">
      <formula>AND(T$9&gt;=14/24,T$9&lt;20/24)</formula>
    </cfRule>
    <cfRule type="expression" dxfId="1797" priority="66">
      <formula>AND(T$9&gt;=8/24,T$9&lt;14/24)</formula>
    </cfRule>
    <cfRule type="expression" dxfId="1796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795" priority="108">
      <formula>AD$9&gt;=20/24</formula>
    </cfRule>
    <cfRule type="expression" dxfId="1794" priority="109">
      <formula>AND(AD$9&gt;=14/24,AD$9&lt;20/24)</formula>
    </cfRule>
    <cfRule type="expression" dxfId="1793" priority="110">
      <formula>AND(AD$9&gt;=8/24,AD$9&lt;14/24)</formula>
    </cfRule>
    <cfRule type="expression" dxfId="1792" priority="111">
      <formula>AD$9&lt;8/24</formula>
    </cfRule>
  </conditionalFormatting>
  <conditionalFormatting sqref="AG65">
    <cfRule type="expression" dxfId="1791" priority="89">
      <formula>AND(AG$9&gt;=8/24,AG$9&lt;14/24)</formula>
    </cfRule>
    <cfRule type="expression" dxfId="1790" priority="90">
      <formula>AG$9&lt;8/24</formula>
    </cfRule>
  </conditionalFormatting>
  <conditionalFormatting sqref="AG78:AG79">
    <cfRule type="expression" dxfId="1789" priority="82">
      <formula>AG78&gt;$AG78</formula>
    </cfRule>
  </conditionalFormatting>
  <conditionalFormatting sqref="AG83">
    <cfRule type="expression" dxfId="1788" priority="83">
      <formula>AG$9&gt;=20/24</formula>
    </cfRule>
    <cfRule type="expression" dxfId="1787" priority="84">
      <formula>AND(AG$9&gt;=14/24,AG$9&lt;20/24)</formula>
    </cfRule>
    <cfRule type="expression" dxfId="1786" priority="85">
      <formula>AND(AG$9&gt;=8/24,AG$9&lt;14/24)</formula>
    </cfRule>
    <cfRule type="expression" dxfId="1785" priority="86">
      <formula>AG$9&lt;8/24</formula>
    </cfRule>
  </conditionalFormatting>
  <conditionalFormatting sqref="AG100">
    <cfRule type="expression" dxfId="1784" priority="104">
      <formula>AG$9&gt;=20/24</formula>
    </cfRule>
    <cfRule type="expression" dxfId="1783" priority="105">
      <formula>AND(AG$9&gt;=14/24,AG$9&lt;20/24)</formula>
    </cfRule>
    <cfRule type="expression" dxfId="1782" priority="106">
      <formula>AND(AG$9&gt;=8/24,AG$9&lt;14/24)</formula>
    </cfRule>
    <cfRule type="expression" dxfId="1781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780" priority="129">
      <formula>AJ$9&gt;=20/24</formula>
    </cfRule>
    <cfRule type="expression" dxfId="1779" priority="130">
      <formula>AND(AJ$9&gt;=14/24,AJ$9&lt;20/24)</formula>
    </cfRule>
    <cfRule type="expression" dxfId="1778" priority="131">
      <formula>AND(AJ$9&gt;=8/24,AJ$9&lt;14/24)</formula>
    </cfRule>
    <cfRule type="expression" dxfId="1777" priority="132">
      <formula>AJ$9&lt;8/24</formula>
    </cfRule>
  </conditionalFormatting>
  <conditionalFormatting sqref="AL86:AN86 AL92:AN92">
    <cfRule type="expression" dxfId="1776" priority="97">
      <formula>AL$9&gt;=20/24</formula>
    </cfRule>
    <cfRule type="expression" dxfId="1775" priority="98">
      <formula>AND(AL$9&gt;=14/24,AL$9&lt;20/24)</formula>
    </cfRule>
    <cfRule type="expression" dxfId="1774" priority="99">
      <formula>AND(AL$9&gt;=8/24,AL$9&lt;14/24)</formula>
    </cfRule>
    <cfRule type="expression" dxfId="1773" priority="100">
      <formula>AL$9&lt;8/24</formula>
    </cfRule>
  </conditionalFormatting>
  <conditionalFormatting sqref="AM15:AM21 AN16:AR21">
    <cfRule type="expression" dxfId="1772" priority="13">
      <formula>AX$9&gt;=20/24</formula>
    </cfRule>
    <cfRule type="expression" dxfId="1771" priority="14">
      <formula>AND(AX$9&gt;=14/24,AX$9&lt;20/24)</formula>
    </cfRule>
    <cfRule type="expression" dxfId="1770" priority="15">
      <formula>AND(AX$9&gt;=8/24,AX$9&lt;14/24)</formula>
    </cfRule>
    <cfRule type="expression" dxfId="1769" priority="16">
      <formula>AX$9&lt;8/24</formula>
    </cfRule>
  </conditionalFormatting>
  <conditionalFormatting sqref="AN87:AN90">
    <cfRule type="expression" dxfId="1768" priority="93">
      <formula>AN$9&gt;=20/24</formula>
    </cfRule>
    <cfRule type="expression" dxfId="1767" priority="94">
      <formula>AND(AN$9&gt;=14/24,AN$9&lt;20/24)</formula>
    </cfRule>
    <cfRule type="expression" dxfId="1766" priority="95">
      <formula>AND(AN$9&gt;=8/24,AN$9&lt;14/24)</formula>
    </cfRule>
    <cfRule type="expression" dxfId="1765" priority="96">
      <formula>AN$9&lt;8/24</formula>
    </cfRule>
  </conditionalFormatting>
  <conditionalFormatting sqref="AN15:AR15">
    <cfRule type="expression" dxfId="1764" priority="1">
      <formula>U$9&gt;=20/24</formula>
    </cfRule>
    <cfRule type="expression" dxfId="1763" priority="2">
      <formula>AND(U$9&gt;=14/24,U$9&lt;20/24)</formula>
    </cfRule>
    <cfRule type="expression" dxfId="1762" priority="3">
      <formula>AND(U$9&gt;=8/24,U$9&lt;14/24)</formula>
    </cfRule>
    <cfRule type="expression" dxfId="1761" priority="4">
      <formula>U$9&lt;8/24</formula>
    </cfRule>
  </conditionalFormatting>
  <conditionalFormatting sqref="AS15">
    <cfRule type="expression" dxfId="1760" priority="9">
      <formula>AA$9&gt;=20/24</formula>
    </cfRule>
    <cfRule type="expression" dxfId="1759" priority="10">
      <formula>AND(AA$9&gt;=14/24,AA$9&lt;20/24)</formula>
    </cfRule>
    <cfRule type="expression" dxfId="1758" priority="11">
      <formula>AND(AA$9&gt;=8/24,AA$9&lt;14/24)</formula>
    </cfRule>
    <cfRule type="expression" dxfId="1757" priority="12">
      <formula>AA$9&lt;8/24</formula>
    </cfRule>
  </conditionalFormatting>
  <conditionalFormatting sqref="AS16:AS21">
    <cfRule type="expression" dxfId="1756" priority="17">
      <formula>BE$9&gt;=20/24</formula>
    </cfRule>
    <cfRule type="expression" dxfId="1755" priority="18">
      <formula>AND(BE$9&gt;=14/24,BE$9&lt;20/24)</formula>
    </cfRule>
    <cfRule type="expression" dxfId="1754" priority="19">
      <formula>AND(BE$9&gt;=8/24,BE$9&lt;14/24)</formula>
    </cfRule>
    <cfRule type="expression" dxfId="1753" priority="20">
      <formula>BE$9&lt;8/24</formula>
    </cfRule>
  </conditionalFormatting>
  <conditionalFormatting sqref="AT15 AX15:BJ15">
    <cfRule type="expression" dxfId="1752" priority="21">
      <formula>AC$9&gt;=20/24</formula>
    </cfRule>
    <cfRule type="expression" dxfId="1751" priority="22">
      <formula>AND(AC$9&gt;=14/24,AC$9&lt;20/24)</formula>
    </cfRule>
    <cfRule type="expression" dxfId="1750" priority="23">
      <formula>AND(AC$9&gt;=8/24,AC$9&lt;14/24)</formula>
    </cfRule>
    <cfRule type="expression" dxfId="1749" priority="24">
      <formula>AC$9&lt;8/24</formula>
    </cfRule>
  </conditionalFormatting>
  <conditionalFormatting sqref="AT16:AT21">
    <cfRule type="expression" dxfId="1748" priority="25">
      <formula>BG$9&gt;=20/24</formula>
    </cfRule>
    <cfRule type="expression" dxfId="1747" priority="26">
      <formula>AND(BG$9&gt;=14/24,BG$9&lt;20/24)</formula>
    </cfRule>
    <cfRule type="expression" dxfId="1746" priority="27">
      <formula>AND(BG$9&gt;=8/24,BG$9&lt;14/24)</formula>
    </cfRule>
    <cfRule type="expression" dxfId="1745" priority="28">
      <formula>BG$9&lt;8/24</formula>
    </cfRule>
  </conditionalFormatting>
  <conditionalFormatting sqref="AU15:AV15">
    <cfRule type="expression" dxfId="1744" priority="29">
      <formula>AE$9&gt;=20/24</formula>
    </cfRule>
    <cfRule type="expression" dxfId="1743" priority="30">
      <formula>AND(AE$9&gt;=14/24,AE$9&lt;20/24)</formula>
    </cfRule>
    <cfRule type="expression" dxfId="1742" priority="31">
      <formula>AND(AE$9&gt;=8/24,AE$9&lt;14/24)</formula>
    </cfRule>
    <cfRule type="expression" dxfId="1741" priority="32">
      <formula>AE$9&lt;8/24</formula>
    </cfRule>
  </conditionalFormatting>
  <conditionalFormatting sqref="AU16:BJ21">
    <cfRule type="expression" dxfId="1740" priority="33">
      <formula>BI$9&gt;=20/24</formula>
    </cfRule>
    <cfRule type="expression" dxfId="1739" priority="34">
      <formula>AND(BI$9&gt;=14/24,BI$9&lt;20/24)</formula>
    </cfRule>
    <cfRule type="expression" dxfId="1738" priority="35">
      <formula>AND(BI$9&gt;=8/24,BI$9&lt;14/24)</formula>
    </cfRule>
    <cfRule type="expression" dxfId="1737" priority="36">
      <formula>BI$9&lt;8/24</formula>
    </cfRule>
  </conditionalFormatting>
  <conditionalFormatting sqref="AW15">
    <cfRule type="expression" dxfId="1736" priority="5">
      <formula>B$9&gt;=20/24</formula>
    </cfRule>
    <cfRule type="expression" dxfId="1735" priority="6">
      <formula>AND(B$9&gt;=14/24,B$9&lt;20/24)</formula>
    </cfRule>
    <cfRule type="expression" dxfId="1734" priority="7">
      <formula>AND(B$9&gt;=8/24,B$9&lt;14/24)</formula>
    </cfRule>
    <cfRule type="expression" dxfId="173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7227-4C1C-48E1-A9AB-0134DDC76139}">
  <sheetPr codeName="Sheet23"/>
  <dimension ref="A1:CJ297"/>
  <sheetViews>
    <sheetView zoomScale="106" workbookViewId="0">
      <pane xSplit="1" ySplit="10" topLeftCell="B5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87" sqref="A87:XFD8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2080/10/22</v>
      </c>
      <c r="C4" s="187"/>
      <c r="D4" s="187"/>
      <c r="E4" s="188" t="str">
        <f ca="1">"2080/"&amp;"10/"&amp;INT(MID(CELL("filename",G6),FIND("]",CELL("filename",G6))+1,200))</f>
        <v>2080/10/22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86.4</v>
      </c>
      <c r="C5" s="30">
        <f t="shared" si="0"/>
        <v>34</v>
      </c>
      <c r="D5" s="30">
        <f t="shared" si="0"/>
        <v>27.8</v>
      </c>
      <c r="E5" s="30">
        <f t="shared" si="0"/>
        <v>25.6</v>
      </c>
      <c r="F5" s="30">
        <f t="shared" si="0"/>
        <v>25.9</v>
      </c>
      <c r="G5" s="30">
        <f t="shared" si="0"/>
        <v>23.9</v>
      </c>
      <c r="H5" s="30">
        <f t="shared" si="0"/>
        <v>10.1</v>
      </c>
      <c r="I5" s="30">
        <f t="shared" si="0"/>
        <v>141</v>
      </c>
      <c r="J5" s="30">
        <f t="shared" si="0"/>
        <v>162.69999999999999</v>
      </c>
      <c r="K5" s="30">
        <f t="shared" si="0"/>
        <v>178.3</v>
      </c>
      <c r="L5" s="30">
        <f t="shared" si="0"/>
        <v>155</v>
      </c>
      <c r="M5" s="30">
        <f t="shared" si="0"/>
        <v>182</v>
      </c>
      <c r="N5" s="30">
        <f t="shared" si="0"/>
        <v>173</v>
      </c>
      <c r="O5" s="30">
        <f t="shared" si="0"/>
        <v>184.8</v>
      </c>
      <c r="P5" s="30">
        <f t="shared" si="0"/>
        <v>210.5</v>
      </c>
      <c r="Q5" s="30">
        <f t="shared" si="0"/>
        <v>255.2</v>
      </c>
      <c r="R5" s="30">
        <f t="shared" si="0"/>
        <v>0</v>
      </c>
      <c r="S5" s="30">
        <f t="shared" si="0"/>
        <v>258.5</v>
      </c>
      <c r="T5" s="30">
        <f t="shared" si="0"/>
        <v>397.1</v>
      </c>
      <c r="U5" s="30">
        <f t="shared" si="0"/>
        <v>365</v>
      </c>
      <c r="V5" s="30">
        <f t="shared" si="0"/>
        <v>299.7</v>
      </c>
      <c r="W5" s="30">
        <f t="shared" si="0"/>
        <v>291</v>
      </c>
      <c r="X5" s="30">
        <f t="shared" si="0"/>
        <v>72.5</v>
      </c>
      <c r="Y5" s="30">
        <f t="shared" si="0"/>
        <v>28.2</v>
      </c>
      <c r="Z5" s="30">
        <f t="shared" si="0"/>
        <v>30.9</v>
      </c>
      <c r="AA5" s="30">
        <f t="shared" si="0"/>
        <v>28</v>
      </c>
      <c r="AB5" s="30">
        <f t="shared" si="0"/>
        <v>26.2</v>
      </c>
      <c r="AC5" s="30">
        <f t="shared" si="0"/>
        <v>30.9</v>
      </c>
      <c r="AD5" s="30">
        <f t="shared" si="0"/>
        <v>29</v>
      </c>
      <c r="AE5" s="30">
        <f t="shared" si="0"/>
        <v>28.6</v>
      </c>
      <c r="AF5" s="30">
        <f>B95</f>
        <v>87.300000000000011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1696MW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Load=1314</v>
      </c>
      <c r="B7" s="35">
        <f t="shared" ref="B7:AF7" si="1">B103</f>
        <v>1505.5400000000002</v>
      </c>
      <c r="C7" s="35">
        <f t="shared" si="1"/>
        <v>1489.6400000000003</v>
      </c>
      <c r="D7" s="35">
        <f t="shared" si="1"/>
        <v>1313.74</v>
      </c>
      <c r="E7" s="35">
        <f t="shared" si="1"/>
        <v>1370.64</v>
      </c>
      <c r="F7" s="35">
        <f t="shared" si="1"/>
        <v>1365.44</v>
      </c>
      <c r="G7" s="35">
        <f t="shared" si="1"/>
        <v>1398.7400000000002</v>
      </c>
      <c r="H7" s="35">
        <f t="shared" si="1"/>
        <v>1439.7400000000002</v>
      </c>
      <c r="I7" s="35">
        <f t="shared" si="1"/>
        <v>1450.94</v>
      </c>
      <c r="J7" s="35">
        <f t="shared" si="1"/>
        <v>1488.0400000000002</v>
      </c>
      <c r="K7" s="35">
        <f t="shared" si="1"/>
        <v>1516.8400000000001</v>
      </c>
      <c r="L7" s="35">
        <f t="shared" si="1"/>
        <v>1577.64</v>
      </c>
      <c r="M7" s="35">
        <f t="shared" si="1"/>
        <v>1529.0400000000002</v>
      </c>
      <c r="N7" s="35">
        <f t="shared" si="1"/>
        <v>1590.0400000000002</v>
      </c>
      <c r="O7" s="35">
        <f t="shared" si="1"/>
        <v>1493.8400000000001</v>
      </c>
      <c r="P7" s="35">
        <f t="shared" si="1"/>
        <v>1479.64</v>
      </c>
      <c r="Q7" s="35">
        <f t="shared" si="1"/>
        <v>1553.5400000000002</v>
      </c>
      <c r="R7" s="35">
        <f t="shared" si="1"/>
        <v>1669.2400000000002</v>
      </c>
      <c r="S7" s="35">
        <f t="shared" si="1"/>
        <v>1409.44</v>
      </c>
      <c r="T7" s="35">
        <f t="shared" si="1"/>
        <v>1736.14</v>
      </c>
      <c r="U7" s="35">
        <f t="shared" si="1"/>
        <v>1799.7400000000002</v>
      </c>
      <c r="V7" s="35">
        <f t="shared" si="1"/>
        <v>1735.44</v>
      </c>
      <c r="W7" s="35">
        <f t="shared" si="1"/>
        <v>1519.73</v>
      </c>
      <c r="X7" s="35">
        <f t="shared" si="1"/>
        <v>1512.54</v>
      </c>
      <c r="Y7" s="35">
        <f t="shared" si="1"/>
        <v>1503</v>
      </c>
      <c r="Z7" s="35">
        <f t="shared" si="1"/>
        <v>1617.7</v>
      </c>
      <c r="AA7" s="35">
        <f t="shared" si="1"/>
        <v>1802.24</v>
      </c>
      <c r="AB7" s="35">
        <f t="shared" si="1"/>
        <v>1714.7399999999998</v>
      </c>
      <c r="AC7" s="35">
        <f t="shared" si="1"/>
        <v>1712.04</v>
      </c>
      <c r="AD7" s="35">
        <f t="shared" si="1"/>
        <v>1715.6399999999999</v>
      </c>
      <c r="AE7" s="35">
        <f t="shared" si="1"/>
        <v>1622.64</v>
      </c>
      <c r="AF7" s="35">
        <f t="shared" si="1"/>
        <v>1602.54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1855.84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1799.74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23.4</v>
      </c>
      <c r="C11" s="46">
        <v>22.7</v>
      </c>
      <c r="D11" s="46">
        <v>22.7</v>
      </c>
      <c r="E11" s="46">
        <v>22.7</v>
      </c>
      <c r="F11" s="46">
        <v>22.7</v>
      </c>
      <c r="G11" s="46">
        <v>22.7</v>
      </c>
      <c r="H11" s="46">
        <v>22.7</v>
      </c>
      <c r="I11" s="46">
        <v>22.7</v>
      </c>
      <c r="J11" s="46">
        <v>22.7</v>
      </c>
      <c r="K11" s="46">
        <v>22.7</v>
      </c>
      <c r="L11" s="46">
        <v>22.7</v>
      </c>
      <c r="M11" s="46">
        <v>22.7</v>
      </c>
      <c r="N11" s="46">
        <v>22.7</v>
      </c>
      <c r="O11" s="46">
        <v>22.7</v>
      </c>
      <c r="P11" s="46">
        <v>22.7</v>
      </c>
      <c r="Q11" s="46">
        <v>22.7</v>
      </c>
      <c r="R11" s="46">
        <v>22.7</v>
      </c>
      <c r="S11" s="46">
        <v>23.4</v>
      </c>
      <c r="T11" s="46">
        <v>22</v>
      </c>
      <c r="U11" s="46">
        <v>24</v>
      </c>
      <c r="V11" s="46">
        <v>24</v>
      </c>
      <c r="W11" s="46">
        <v>25.39</v>
      </c>
      <c r="X11" s="46">
        <v>24.9</v>
      </c>
      <c r="Y11" s="46">
        <v>24.9</v>
      </c>
      <c r="Z11" s="46">
        <v>24.9</v>
      </c>
      <c r="AA11" s="46">
        <v>24.9</v>
      </c>
      <c r="AB11" s="46">
        <v>24.9</v>
      </c>
      <c r="AC11" s="46">
        <v>24.9</v>
      </c>
      <c r="AD11" s="46">
        <v>24.9</v>
      </c>
      <c r="AE11" s="46">
        <v>24.2</v>
      </c>
      <c r="AF11" s="46">
        <v>24.2</v>
      </c>
      <c r="AG11" s="47">
        <v>86</v>
      </c>
      <c r="AH11" s="48">
        <f t="shared" ref="AH11:AH74" si="2">MAX(B11:AF11)</f>
        <v>25.39</v>
      </c>
      <c r="AI11" s="49">
        <f t="shared" ref="AI11:AI74" si="3">MIN(B11:AF11)</f>
        <v>22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23.8</v>
      </c>
      <c r="C12" s="46">
        <v>23.8</v>
      </c>
      <c r="D12" s="46">
        <v>23.8</v>
      </c>
      <c r="E12" s="46">
        <v>23.8</v>
      </c>
      <c r="F12" s="46">
        <v>23.8</v>
      </c>
      <c r="G12" s="46">
        <v>23.8</v>
      </c>
      <c r="H12" s="46">
        <v>23.8</v>
      </c>
      <c r="I12" s="46">
        <v>23.8</v>
      </c>
      <c r="J12" s="46">
        <v>23.8</v>
      </c>
      <c r="K12" s="46">
        <v>23.8</v>
      </c>
      <c r="L12" s="46">
        <v>23.8</v>
      </c>
      <c r="M12" s="46">
        <v>23.8</v>
      </c>
      <c r="N12" s="46">
        <v>23.8</v>
      </c>
      <c r="O12" s="46">
        <v>23.8</v>
      </c>
      <c r="P12" s="46">
        <v>23.8</v>
      </c>
      <c r="Q12" s="46">
        <v>23.8</v>
      </c>
      <c r="R12" s="46">
        <v>23.8</v>
      </c>
      <c r="S12" s="46">
        <v>21</v>
      </c>
      <c r="T12" s="46">
        <v>25</v>
      </c>
      <c r="U12" s="46">
        <v>26</v>
      </c>
      <c r="V12" s="46">
        <v>26</v>
      </c>
      <c r="W12" s="46">
        <v>26</v>
      </c>
      <c r="X12" s="46">
        <v>28.5</v>
      </c>
      <c r="Y12" s="46">
        <v>28.5</v>
      </c>
      <c r="Z12" s="46">
        <v>28.5</v>
      </c>
      <c r="AA12" s="46">
        <v>28.5</v>
      </c>
      <c r="AB12" s="46">
        <v>28.5</v>
      </c>
      <c r="AC12" s="46">
        <v>28.5</v>
      </c>
      <c r="AD12" s="46">
        <v>28.5</v>
      </c>
      <c r="AE12" s="46">
        <v>28.5</v>
      </c>
      <c r="AF12" s="46">
        <v>28.5</v>
      </c>
      <c r="AG12" s="50">
        <v>77</v>
      </c>
      <c r="AH12" s="48">
        <f t="shared" si="2"/>
        <v>28.5</v>
      </c>
      <c r="AI12" s="49">
        <f t="shared" si="3"/>
        <v>21</v>
      </c>
      <c r="AK12" s="51"/>
      <c r="AL12" s="52" t="str">
        <f ca="1">MID(CELL("filename",C7),FIND("]",CELL("filename",C7))+1,600)</f>
        <v>22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70.3</v>
      </c>
      <c r="C13" s="46">
        <v>70.3</v>
      </c>
      <c r="D13" s="46">
        <v>70.3</v>
      </c>
      <c r="E13" s="46">
        <v>70.3</v>
      </c>
      <c r="F13" s="46">
        <v>70.3</v>
      </c>
      <c r="G13" s="46">
        <v>70.3</v>
      </c>
      <c r="H13" s="46">
        <v>70.3</v>
      </c>
      <c r="I13" s="46">
        <v>70.3</v>
      </c>
      <c r="J13" s="46">
        <v>70.3</v>
      </c>
      <c r="K13" s="46">
        <v>70.3</v>
      </c>
      <c r="L13" s="46">
        <v>70.3</v>
      </c>
      <c r="M13" s="46">
        <v>70.3</v>
      </c>
      <c r="N13" s="46">
        <v>70.3</v>
      </c>
      <c r="O13" s="46">
        <v>70.3</v>
      </c>
      <c r="P13" s="46">
        <v>70.3</v>
      </c>
      <c r="Q13" s="46">
        <v>70.3</v>
      </c>
      <c r="R13" s="46">
        <v>70.3</v>
      </c>
      <c r="S13" s="46">
        <v>68</v>
      </c>
      <c r="T13" s="46">
        <v>68</v>
      </c>
      <c r="U13" s="46">
        <v>68</v>
      </c>
      <c r="V13" s="46">
        <v>70.7</v>
      </c>
      <c r="W13" s="46">
        <v>70.2</v>
      </c>
      <c r="X13" s="46">
        <v>70.2</v>
      </c>
      <c r="Y13" s="46">
        <v>70.2</v>
      </c>
      <c r="Z13" s="46">
        <v>70.2</v>
      </c>
      <c r="AA13" s="46">
        <v>70.2</v>
      </c>
      <c r="AB13" s="46">
        <v>70.2</v>
      </c>
      <c r="AC13" s="46">
        <v>70.2</v>
      </c>
      <c r="AD13" s="46">
        <v>70.2</v>
      </c>
      <c r="AE13" s="46">
        <v>70.2</v>
      </c>
      <c r="AF13" s="46">
        <v>70.2</v>
      </c>
      <c r="AG13" s="50">
        <v>73</v>
      </c>
      <c r="AH13" s="48">
        <f t="shared" si="2"/>
        <v>70.7</v>
      </c>
      <c r="AI13" s="49">
        <f t="shared" si="3"/>
        <v>68</v>
      </c>
      <c r="AK13" s="51"/>
      <c r="AL13" s="52" t="str">
        <f ca="1">"Daily Load Curve(Excluding of Export) of Nepal ("&amp;A4&amp;" "&amp;B4&amp;")"</f>
        <v>Daily Load Curve(Excluding of Export) of Nepal (Nepali Date: 2080/10/22)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20.5</v>
      </c>
      <c r="C14" s="46">
        <v>20.5</v>
      </c>
      <c r="D14" s="46">
        <v>20.5</v>
      </c>
      <c r="E14" s="46">
        <v>36.5</v>
      </c>
      <c r="F14" s="46">
        <v>36.5</v>
      </c>
      <c r="G14" s="46">
        <v>36.5</v>
      </c>
      <c r="H14" s="46">
        <v>36.5</v>
      </c>
      <c r="I14" s="46">
        <v>36.5</v>
      </c>
      <c r="J14" s="46">
        <v>36.5</v>
      </c>
      <c r="K14" s="46">
        <v>36.5</v>
      </c>
      <c r="L14" s="46">
        <v>36.5</v>
      </c>
      <c r="M14" s="46">
        <v>36.5</v>
      </c>
      <c r="N14" s="46">
        <v>36.5</v>
      </c>
      <c r="O14" s="46">
        <v>36.5</v>
      </c>
      <c r="P14" s="46">
        <v>36.5</v>
      </c>
      <c r="Q14" s="46">
        <v>36.5</v>
      </c>
      <c r="R14" s="46">
        <v>36.5</v>
      </c>
      <c r="S14" s="46">
        <v>35.6</v>
      </c>
      <c r="T14" s="46">
        <v>35.6</v>
      </c>
      <c r="U14" s="46">
        <v>35.6</v>
      </c>
      <c r="V14" s="46">
        <v>36.1</v>
      </c>
      <c r="W14" s="46">
        <v>36.4</v>
      </c>
      <c r="X14" s="46">
        <v>36.4</v>
      </c>
      <c r="Y14" s="46">
        <v>36.4</v>
      </c>
      <c r="Z14" s="46">
        <v>36.4</v>
      </c>
      <c r="AA14" s="46">
        <v>36.4</v>
      </c>
      <c r="AB14" s="46">
        <v>36.4</v>
      </c>
      <c r="AC14" s="46">
        <v>36.4</v>
      </c>
      <c r="AD14" s="46">
        <v>36.4</v>
      </c>
      <c r="AE14" s="46">
        <v>36.4</v>
      </c>
      <c r="AF14" s="46">
        <v>36.4</v>
      </c>
      <c r="AG14" s="50">
        <v>71</v>
      </c>
      <c r="AH14" s="48">
        <f t="shared" si="2"/>
        <v>36.5</v>
      </c>
      <c r="AI14" s="49">
        <f t="shared" si="3"/>
        <v>20.5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16.2</v>
      </c>
      <c r="C15" s="46">
        <v>16.2</v>
      </c>
      <c r="D15" s="46">
        <v>16.2</v>
      </c>
      <c r="E15" s="46">
        <v>16.2</v>
      </c>
      <c r="F15" s="46">
        <v>16.2</v>
      </c>
      <c r="G15" s="46">
        <v>16.2</v>
      </c>
      <c r="H15" s="46">
        <v>16.2</v>
      </c>
      <c r="I15" s="46">
        <v>16.2</v>
      </c>
      <c r="J15" s="46">
        <v>16.2</v>
      </c>
      <c r="K15" s="46">
        <v>16.2</v>
      </c>
      <c r="L15" s="46">
        <v>16.2</v>
      </c>
      <c r="M15" s="46">
        <v>16.2</v>
      </c>
      <c r="N15" s="46">
        <v>16.2</v>
      </c>
      <c r="O15" s="46">
        <v>16.2</v>
      </c>
      <c r="P15" s="46">
        <v>16.2</v>
      </c>
      <c r="Q15" s="46">
        <v>16.2</v>
      </c>
      <c r="R15" s="46">
        <v>16.2</v>
      </c>
      <c r="S15" s="46">
        <v>16.2</v>
      </c>
      <c r="T15" s="46">
        <v>16.2</v>
      </c>
      <c r="U15" s="46">
        <v>16.2</v>
      </c>
      <c r="V15" s="46">
        <v>16.2</v>
      </c>
      <c r="W15" s="46">
        <v>16.5</v>
      </c>
      <c r="X15" s="46">
        <v>16.5</v>
      </c>
      <c r="Y15" s="46">
        <v>16.5</v>
      </c>
      <c r="Z15" s="46">
        <v>16.5</v>
      </c>
      <c r="AA15" s="46">
        <v>16.5</v>
      </c>
      <c r="AB15" s="46">
        <v>16.5</v>
      </c>
      <c r="AC15" s="46">
        <v>16.5</v>
      </c>
      <c r="AD15" s="46">
        <v>16.5</v>
      </c>
      <c r="AE15" s="46">
        <v>16.5</v>
      </c>
      <c r="AF15" s="46">
        <v>16.5</v>
      </c>
      <c r="AG15" s="50">
        <v>54</v>
      </c>
      <c r="AH15" s="48">
        <f t="shared" si="2"/>
        <v>16.5</v>
      </c>
      <c r="AI15" s="49">
        <f t="shared" si="3"/>
        <v>16.2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24</v>
      </c>
      <c r="C16" s="46">
        <v>24</v>
      </c>
      <c r="D16" s="46">
        <v>24</v>
      </c>
      <c r="E16" s="46">
        <v>24</v>
      </c>
      <c r="F16" s="46">
        <v>24</v>
      </c>
      <c r="G16" s="46">
        <v>24</v>
      </c>
      <c r="H16" s="46">
        <v>24</v>
      </c>
      <c r="I16" s="46">
        <v>24</v>
      </c>
      <c r="J16" s="46">
        <v>24</v>
      </c>
      <c r="K16" s="46">
        <v>24</v>
      </c>
      <c r="L16" s="46">
        <v>24</v>
      </c>
      <c r="M16" s="46">
        <v>24</v>
      </c>
      <c r="N16" s="46">
        <v>24</v>
      </c>
      <c r="O16" s="46">
        <v>24</v>
      </c>
      <c r="P16" s="46">
        <v>24</v>
      </c>
      <c r="Q16" s="46">
        <v>24</v>
      </c>
      <c r="R16" s="46">
        <v>24</v>
      </c>
      <c r="S16" s="46">
        <v>24</v>
      </c>
      <c r="T16" s="46">
        <v>24</v>
      </c>
      <c r="U16" s="46">
        <v>24</v>
      </c>
      <c r="V16" s="46">
        <v>24</v>
      </c>
      <c r="W16" s="46">
        <v>26.8</v>
      </c>
      <c r="X16" s="46">
        <v>26.8</v>
      </c>
      <c r="Y16" s="46">
        <v>26.8</v>
      </c>
      <c r="Z16" s="46">
        <v>26.8</v>
      </c>
      <c r="AA16" s="46">
        <v>26.8</v>
      </c>
      <c r="AB16" s="46">
        <v>26.8</v>
      </c>
      <c r="AC16" s="46">
        <v>26.8</v>
      </c>
      <c r="AD16" s="46">
        <v>26.8</v>
      </c>
      <c r="AE16" s="46">
        <v>26.8</v>
      </c>
      <c r="AF16" s="46">
        <v>26.8</v>
      </c>
      <c r="AG16" s="50">
        <v>54</v>
      </c>
      <c r="AH16" s="48">
        <f t="shared" si="2"/>
        <v>26.8</v>
      </c>
      <c r="AI16" s="49">
        <f t="shared" si="3"/>
        <v>24</v>
      </c>
      <c r="AK16" s="51"/>
      <c r="AL16" s="54" t="s">
        <v>7</v>
      </c>
      <c r="AM16" s="59">
        <f t="shared" ref="AM16:AR16" si="4">B61</f>
        <v>747.40000000000009</v>
      </c>
      <c r="AN16" s="59">
        <f t="shared" si="4"/>
        <v>746.7</v>
      </c>
      <c r="AO16" s="59">
        <f t="shared" si="4"/>
        <v>746.7</v>
      </c>
      <c r="AP16" s="59">
        <f t="shared" si="4"/>
        <v>761.80000000000007</v>
      </c>
      <c r="AQ16" s="59">
        <f t="shared" si="4"/>
        <v>761.80000000000007</v>
      </c>
      <c r="AR16" s="59">
        <f t="shared" si="4"/>
        <v>769.80000000000007</v>
      </c>
      <c r="AS16" s="59">
        <f>I61</f>
        <v>773.80000000000007</v>
      </c>
      <c r="AT16" s="59">
        <f>K61</f>
        <v>773.80000000000007</v>
      </c>
      <c r="AU16" s="59">
        <f t="shared" ref="AU16:BD16" si="5">M61</f>
        <v>773.80000000000007</v>
      </c>
      <c r="AV16" s="59">
        <f t="shared" si="5"/>
        <v>773.80000000000007</v>
      </c>
      <c r="AW16" s="59">
        <f t="shared" si="5"/>
        <v>773.80000000000007</v>
      </c>
      <c r="AX16" s="59">
        <f t="shared" si="5"/>
        <v>773.80000000000007</v>
      </c>
      <c r="AY16" s="59">
        <f t="shared" si="5"/>
        <v>773.80000000000007</v>
      </c>
      <c r="AZ16" s="59">
        <f t="shared" si="5"/>
        <v>773.80000000000007</v>
      </c>
      <c r="BA16" s="59">
        <f t="shared" si="5"/>
        <v>764.5</v>
      </c>
      <c r="BB16" s="59">
        <f t="shared" si="5"/>
        <v>767.10000000000014</v>
      </c>
      <c r="BC16" s="59">
        <f t="shared" si="5"/>
        <v>770.10000000000014</v>
      </c>
      <c r="BD16" s="59">
        <f t="shared" si="5"/>
        <v>773.30000000000007</v>
      </c>
      <c r="BE16" s="60">
        <f>X61</f>
        <v>778</v>
      </c>
      <c r="BF16" s="60">
        <f>Z61</f>
        <v>778</v>
      </c>
      <c r="BG16" s="60">
        <f>AB61</f>
        <v>774</v>
      </c>
      <c r="BH16" s="60">
        <f>AD61</f>
        <v>774</v>
      </c>
      <c r="BI16" s="60">
        <f>AE61</f>
        <v>773.3</v>
      </c>
      <c r="BJ16" s="60">
        <f>AF61</f>
        <v>773.3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21.1</v>
      </c>
      <c r="C17" s="46">
        <v>21.1</v>
      </c>
      <c r="D17" s="46">
        <v>21.1</v>
      </c>
      <c r="E17" s="46">
        <v>21.1</v>
      </c>
      <c r="F17" s="46">
        <v>21.1</v>
      </c>
      <c r="G17" s="46">
        <v>21.1</v>
      </c>
      <c r="H17" s="46">
        <v>21.1</v>
      </c>
      <c r="I17" s="46">
        <v>21.1</v>
      </c>
      <c r="J17" s="46">
        <v>21.1</v>
      </c>
      <c r="K17" s="46">
        <v>21.1</v>
      </c>
      <c r="L17" s="46">
        <v>21.1</v>
      </c>
      <c r="M17" s="46">
        <v>21.1</v>
      </c>
      <c r="N17" s="46">
        <v>21.1</v>
      </c>
      <c r="O17" s="46">
        <v>21.1</v>
      </c>
      <c r="P17" s="46">
        <v>21.1</v>
      </c>
      <c r="Q17" s="46">
        <v>21.1</v>
      </c>
      <c r="R17" s="46">
        <v>21.1</v>
      </c>
      <c r="S17" s="46">
        <v>21.1</v>
      </c>
      <c r="T17" s="46">
        <v>21.1</v>
      </c>
      <c r="U17" s="46">
        <v>21.1</v>
      </c>
      <c r="V17" s="46">
        <v>21.1</v>
      </c>
      <c r="W17" s="46">
        <v>19.5</v>
      </c>
      <c r="X17" s="46">
        <v>19.5</v>
      </c>
      <c r="Y17" s="46">
        <v>19.5</v>
      </c>
      <c r="Z17" s="46">
        <v>19.5</v>
      </c>
      <c r="AA17" s="46">
        <v>19.5</v>
      </c>
      <c r="AB17" s="46">
        <v>19.5</v>
      </c>
      <c r="AC17" s="46">
        <v>19.5</v>
      </c>
      <c r="AD17" s="46">
        <v>19.5</v>
      </c>
      <c r="AE17" s="46">
        <v>19.5</v>
      </c>
      <c r="AF17" s="46">
        <v>19.5</v>
      </c>
      <c r="AG17" s="47">
        <v>52.4</v>
      </c>
      <c r="AH17" s="48">
        <f t="shared" si="2"/>
        <v>21.1</v>
      </c>
      <c r="AI17" s="49">
        <f t="shared" si="3"/>
        <v>19.5</v>
      </c>
      <c r="AK17" s="51"/>
      <c r="AL17" s="54" t="s">
        <v>27</v>
      </c>
      <c r="AM17" s="59">
        <f t="shared" ref="AM17:AR17" si="6">B65</f>
        <v>222.5</v>
      </c>
      <c r="AN17" s="59">
        <f t="shared" si="6"/>
        <v>372.5</v>
      </c>
      <c r="AO17" s="59">
        <f t="shared" si="6"/>
        <v>282.5</v>
      </c>
      <c r="AP17" s="59">
        <f t="shared" si="6"/>
        <v>323.5</v>
      </c>
      <c r="AQ17" s="59">
        <f t="shared" si="6"/>
        <v>332.5</v>
      </c>
      <c r="AR17" s="59">
        <f t="shared" si="6"/>
        <v>342.5</v>
      </c>
      <c r="AS17" s="59">
        <f>I65</f>
        <v>272.5</v>
      </c>
      <c r="AT17" s="59">
        <f>K65</f>
        <v>324.5</v>
      </c>
      <c r="AU17" s="59">
        <f t="shared" ref="AU17:BD17" si="7">M65</f>
        <v>362.5</v>
      </c>
      <c r="AV17" s="59">
        <f t="shared" si="7"/>
        <v>373.5</v>
      </c>
      <c r="AW17" s="59">
        <f t="shared" si="7"/>
        <v>298.5</v>
      </c>
      <c r="AX17" s="59">
        <f t="shared" si="7"/>
        <v>282.5</v>
      </c>
      <c r="AY17" s="59">
        <f t="shared" si="7"/>
        <v>278.5</v>
      </c>
      <c r="AZ17" s="59">
        <f t="shared" si="7"/>
        <v>318.5</v>
      </c>
      <c r="BA17" s="59">
        <f t="shared" si="7"/>
        <v>318.5</v>
      </c>
      <c r="BB17" s="59">
        <f t="shared" si="7"/>
        <v>344.1</v>
      </c>
      <c r="BC17" s="59">
        <f t="shared" si="7"/>
        <v>163</v>
      </c>
      <c r="BD17" s="59">
        <f t="shared" si="7"/>
        <v>92.7</v>
      </c>
      <c r="BE17" s="60">
        <f>X65</f>
        <v>59.5</v>
      </c>
      <c r="BF17" s="60">
        <f>Z65</f>
        <v>320.60000000000002</v>
      </c>
      <c r="BG17" s="60">
        <f>AB65</f>
        <v>385.6</v>
      </c>
      <c r="BH17" s="60">
        <f>AD65</f>
        <v>438.6</v>
      </c>
      <c r="BI17" s="60">
        <f>AE65</f>
        <v>324.60000000000002</v>
      </c>
      <c r="BJ17" s="60">
        <f>AF65</f>
        <v>342.6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53">
        <v>50.4</v>
      </c>
      <c r="X18" s="53">
        <v>50.4</v>
      </c>
      <c r="Y18" s="53">
        <v>50.4</v>
      </c>
      <c r="Z18" s="53">
        <v>50.4</v>
      </c>
      <c r="AA18" s="53">
        <v>50.4</v>
      </c>
      <c r="AB18" s="53">
        <v>50.4</v>
      </c>
      <c r="AC18" s="53">
        <v>50.4</v>
      </c>
      <c r="AD18" s="53">
        <v>50.4</v>
      </c>
      <c r="AE18" s="53">
        <v>50.4</v>
      </c>
      <c r="AF18" s="53">
        <v>50.4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407.14</v>
      </c>
      <c r="AN18" s="59">
        <f t="shared" si="8"/>
        <v>405.14</v>
      </c>
      <c r="AO18" s="59">
        <f t="shared" si="8"/>
        <v>410.53999999999996</v>
      </c>
      <c r="AP18" s="59">
        <f t="shared" si="8"/>
        <v>410.53999999999996</v>
      </c>
      <c r="AQ18" s="59">
        <f t="shared" si="8"/>
        <v>410.53999999999996</v>
      </c>
      <c r="AR18" s="59">
        <f t="shared" si="8"/>
        <v>410.53999999999996</v>
      </c>
      <c r="AS18" s="59">
        <f>I79</f>
        <v>405.53999999999996</v>
      </c>
      <c r="AT18" s="59">
        <f>K79</f>
        <v>366.84</v>
      </c>
      <c r="AU18" s="59">
        <f t="shared" ref="AU18:BD18" si="9">M79</f>
        <v>347.74</v>
      </c>
      <c r="AV18" s="59">
        <f t="shared" si="9"/>
        <v>347.74</v>
      </c>
      <c r="AW18" s="59">
        <f t="shared" si="9"/>
        <v>356.54</v>
      </c>
      <c r="AX18" s="59">
        <f t="shared" si="9"/>
        <v>356.54</v>
      </c>
      <c r="AY18" s="59">
        <f t="shared" si="9"/>
        <v>410.74</v>
      </c>
      <c r="AZ18" s="59">
        <f t="shared" si="9"/>
        <v>428.74</v>
      </c>
      <c r="BA18" s="59">
        <f t="shared" si="9"/>
        <v>438.44</v>
      </c>
      <c r="BB18" s="59">
        <f t="shared" si="9"/>
        <v>437.14</v>
      </c>
      <c r="BC18" s="59">
        <f t="shared" si="9"/>
        <v>435.14</v>
      </c>
      <c r="BD18" s="59">
        <f t="shared" si="9"/>
        <v>433.14</v>
      </c>
      <c r="BE18" s="60">
        <f>X79</f>
        <v>315.74</v>
      </c>
      <c r="BF18" s="60">
        <f>Z79</f>
        <v>401.29999999999995</v>
      </c>
      <c r="BG18" s="60">
        <f>AB79</f>
        <v>424.54</v>
      </c>
      <c r="BH18" s="60">
        <f>AD79</f>
        <v>424.54</v>
      </c>
      <c r="BI18" s="60">
        <f>AE79</f>
        <v>424.54</v>
      </c>
      <c r="BJ18" s="60">
        <f>AF79</f>
        <v>424.54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25</v>
      </c>
      <c r="C19" s="46">
        <v>25</v>
      </c>
      <c r="D19" s="46">
        <v>25</v>
      </c>
      <c r="E19" s="46">
        <v>25</v>
      </c>
      <c r="F19" s="46">
        <v>25</v>
      </c>
      <c r="G19" s="46">
        <v>25</v>
      </c>
      <c r="H19" s="46">
        <v>25</v>
      </c>
      <c r="I19" s="46">
        <v>25</v>
      </c>
      <c r="J19" s="46">
        <v>25</v>
      </c>
      <c r="K19" s="46">
        <v>25</v>
      </c>
      <c r="L19" s="46">
        <v>25</v>
      </c>
      <c r="M19" s="46">
        <v>25</v>
      </c>
      <c r="N19" s="46">
        <v>25</v>
      </c>
      <c r="O19" s="46">
        <v>25</v>
      </c>
      <c r="P19" s="46">
        <v>25</v>
      </c>
      <c r="Q19" s="46">
        <v>25</v>
      </c>
      <c r="R19" s="46">
        <v>25</v>
      </c>
      <c r="S19" s="46">
        <v>25</v>
      </c>
      <c r="T19" s="46">
        <v>25</v>
      </c>
      <c r="U19" s="46">
        <v>25</v>
      </c>
      <c r="V19" s="46">
        <v>25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25</v>
      </c>
      <c r="AK19" s="51"/>
      <c r="AL19" s="54" t="s">
        <v>31</v>
      </c>
      <c r="AM19" s="59">
        <f t="shared" ref="AM19:AR19" si="10">B95</f>
        <v>87.300000000000011</v>
      </c>
      <c r="AN19" s="59">
        <f t="shared" si="10"/>
        <v>86.4</v>
      </c>
      <c r="AO19" s="59">
        <f t="shared" si="10"/>
        <v>34</v>
      </c>
      <c r="AP19" s="59">
        <f t="shared" si="10"/>
        <v>27.8</v>
      </c>
      <c r="AQ19" s="59">
        <f t="shared" si="10"/>
        <v>25.6</v>
      </c>
      <c r="AR19" s="59">
        <f t="shared" si="10"/>
        <v>25.9</v>
      </c>
      <c r="AS19" s="59">
        <f>I95</f>
        <v>10.1</v>
      </c>
      <c r="AT19" s="59">
        <f>K95</f>
        <v>162.69999999999999</v>
      </c>
      <c r="AU19" s="59">
        <f t="shared" ref="AU19:BD19" si="11">M95</f>
        <v>155</v>
      </c>
      <c r="AV19" s="59">
        <f t="shared" si="11"/>
        <v>182</v>
      </c>
      <c r="AW19" s="59">
        <f t="shared" si="11"/>
        <v>173</v>
      </c>
      <c r="AX19" s="59">
        <f t="shared" si="11"/>
        <v>184.8</v>
      </c>
      <c r="AY19" s="59">
        <f t="shared" si="11"/>
        <v>210.5</v>
      </c>
      <c r="AZ19" s="59">
        <f t="shared" si="11"/>
        <v>255.2</v>
      </c>
      <c r="BA19" s="59">
        <f t="shared" si="11"/>
        <v>0</v>
      </c>
      <c r="BB19" s="59">
        <f t="shared" si="11"/>
        <v>258.5</v>
      </c>
      <c r="BC19" s="59">
        <f t="shared" si="11"/>
        <v>397.1</v>
      </c>
      <c r="BD19" s="59">
        <f t="shared" si="11"/>
        <v>365</v>
      </c>
      <c r="BE19" s="60">
        <f>X95</f>
        <v>291</v>
      </c>
      <c r="BF19" s="60">
        <f>Z95</f>
        <v>28.2</v>
      </c>
      <c r="BG19" s="60">
        <f>AB95</f>
        <v>28</v>
      </c>
      <c r="BH19" s="60">
        <f>AD95</f>
        <v>30.9</v>
      </c>
      <c r="BI19" s="60">
        <f>AE95</f>
        <v>29</v>
      </c>
      <c r="BJ19" s="60">
        <f>AF95</f>
        <v>28.6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29.4</v>
      </c>
      <c r="C20" s="46">
        <v>29.4</v>
      </c>
      <c r="D20" s="46">
        <v>29.4</v>
      </c>
      <c r="E20" s="46">
        <v>29.4</v>
      </c>
      <c r="F20" s="46">
        <v>29.4</v>
      </c>
      <c r="G20" s="46">
        <v>29.4</v>
      </c>
      <c r="H20" s="46">
        <v>29.4</v>
      </c>
      <c r="I20" s="46">
        <v>29.4</v>
      </c>
      <c r="J20" s="46">
        <v>29.4</v>
      </c>
      <c r="K20" s="46">
        <v>29.4</v>
      </c>
      <c r="L20" s="46">
        <v>29.4</v>
      </c>
      <c r="M20" s="46">
        <v>29.4</v>
      </c>
      <c r="N20" s="46">
        <v>29.4</v>
      </c>
      <c r="O20" s="46">
        <v>29.4</v>
      </c>
      <c r="P20" s="46">
        <v>29.4</v>
      </c>
      <c r="Q20" s="46">
        <v>29.4</v>
      </c>
      <c r="R20" s="46">
        <v>29.4</v>
      </c>
      <c r="S20" s="46">
        <v>29.4</v>
      </c>
      <c r="T20" s="46">
        <v>29.4</v>
      </c>
      <c r="U20" s="46">
        <v>29.4</v>
      </c>
      <c r="V20" s="46">
        <v>29.4</v>
      </c>
      <c r="W20" s="46">
        <v>29.8</v>
      </c>
      <c r="X20" s="46">
        <v>29.8</v>
      </c>
      <c r="Y20" s="46">
        <v>29.8</v>
      </c>
      <c r="Z20" s="46">
        <v>29.8</v>
      </c>
      <c r="AA20" s="46">
        <v>29.8</v>
      </c>
      <c r="AB20" s="46">
        <v>29.8</v>
      </c>
      <c r="AC20" s="46">
        <v>29.8</v>
      </c>
      <c r="AD20" s="46">
        <v>29.8</v>
      </c>
      <c r="AE20" s="46">
        <v>29.8</v>
      </c>
      <c r="AF20" s="46">
        <v>29.8</v>
      </c>
      <c r="AG20" s="50">
        <v>44</v>
      </c>
      <c r="AH20" s="48">
        <f t="shared" si="2"/>
        <v>29.8</v>
      </c>
      <c r="AI20" s="49">
        <f t="shared" si="3"/>
        <v>29.4</v>
      </c>
      <c r="AK20" s="51"/>
      <c r="AL20" s="54" t="s">
        <v>33</v>
      </c>
      <c r="AM20" s="59">
        <f t="shared" ref="AM20:AR20" si="12">B83</f>
        <v>50.199999999999996</v>
      </c>
      <c r="AN20" s="59">
        <f t="shared" si="12"/>
        <v>33.9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49</v>
      </c>
      <c r="BC20" s="59">
        <f t="shared" si="13"/>
        <v>34.4</v>
      </c>
      <c r="BD20" s="59">
        <f t="shared" si="13"/>
        <v>71.3</v>
      </c>
      <c r="BE20" s="60">
        <f>X83</f>
        <v>68.3</v>
      </c>
      <c r="BF20" s="60">
        <f>Z83</f>
        <v>59.199999999999996</v>
      </c>
      <c r="BG20" s="60">
        <f>AB83</f>
        <v>61.6</v>
      </c>
      <c r="BH20" s="60">
        <f>AD83</f>
        <v>21.599999999999998</v>
      </c>
      <c r="BI20" s="60">
        <f>AE83</f>
        <v>48.2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100</v>
      </c>
      <c r="AP21" s="59">
        <f t="shared" si="14"/>
        <v>100</v>
      </c>
      <c r="AQ21" s="59">
        <f t="shared" si="14"/>
        <v>100</v>
      </c>
      <c r="AR21" s="59">
        <f t="shared" si="14"/>
        <v>100</v>
      </c>
      <c r="AS21" s="59">
        <f>I101</f>
        <v>100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150</v>
      </c>
      <c r="BG21" s="60">
        <f>AB101</f>
        <v>150</v>
      </c>
      <c r="BH21" s="60">
        <f>AD101</f>
        <v>150</v>
      </c>
      <c r="BI21" s="60">
        <f>AE101</f>
        <v>150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27.6</v>
      </c>
      <c r="C22" s="46">
        <v>27.6</v>
      </c>
      <c r="D22" s="46">
        <v>27.6</v>
      </c>
      <c r="E22" s="46">
        <v>27.6</v>
      </c>
      <c r="F22" s="46">
        <v>27.6</v>
      </c>
      <c r="G22" s="46">
        <v>27.6</v>
      </c>
      <c r="H22" s="46">
        <v>27.6</v>
      </c>
      <c r="I22" s="46">
        <v>27.6</v>
      </c>
      <c r="J22" s="46">
        <v>27.6</v>
      </c>
      <c r="K22" s="46">
        <v>27.6</v>
      </c>
      <c r="L22" s="46">
        <v>27.6</v>
      </c>
      <c r="M22" s="46">
        <v>27.6</v>
      </c>
      <c r="N22" s="46">
        <v>27.6</v>
      </c>
      <c r="O22" s="46">
        <v>27.6</v>
      </c>
      <c r="P22" s="46">
        <v>27.6</v>
      </c>
      <c r="Q22" s="46">
        <v>27.6</v>
      </c>
      <c r="R22" s="46">
        <v>27.6</v>
      </c>
      <c r="S22" s="46">
        <v>27.6</v>
      </c>
      <c r="T22" s="46">
        <v>27.6</v>
      </c>
      <c r="U22" s="46">
        <v>27.6</v>
      </c>
      <c r="V22" s="46">
        <v>27.6</v>
      </c>
      <c r="W22" s="46">
        <v>20.2</v>
      </c>
      <c r="X22" s="46">
        <v>20.2</v>
      </c>
      <c r="Y22" s="46">
        <v>20.2</v>
      </c>
      <c r="Z22" s="46">
        <v>20.2</v>
      </c>
      <c r="AA22" s="46">
        <v>20.2</v>
      </c>
      <c r="AB22" s="46">
        <v>20.2</v>
      </c>
      <c r="AC22" s="46">
        <v>20.2</v>
      </c>
      <c r="AD22" s="46">
        <v>20.2</v>
      </c>
      <c r="AE22" s="46">
        <v>20.2</v>
      </c>
      <c r="AF22" s="46">
        <v>20.2</v>
      </c>
      <c r="AG22" s="50">
        <v>38.46</v>
      </c>
      <c r="AH22" s="48">
        <f t="shared" si="2"/>
        <v>27.6</v>
      </c>
      <c r="AI22" s="49">
        <f t="shared" si="3"/>
        <v>20.2</v>
      </c>
      <c r="AK22" s="51"/>
      <c r="AL22" s="62" t="s">
        <v>37</v>
      </c>
      <c r="AM22" s="63">
        <f t="shared" ref="AM22:BJ22" si="16">SUM(AM16:AM21)</f>
        <v>1614.54</v>
      </c>
      <c r="AN22" s="63">
        <f t="shared" si="16"/>
        <v>1744.6400000000003</v>
      </c>
      <c r="AO22" s="63">
        <f t="shared" si="16"/>
        <v>1573.74</v>
      </c>
      <c r="AP22" s="63">
        <f t="shared" si="16"/>
        <v>1623.64</v>
      </c>
      <c r="AQ22" s="63">
        <f t="shared" si="16"/>
        <v>1630.44</v>
      </c>
      <c r="AR22" s="63">
        <f t="shared" si="16"/>
        <v>1648.7400000000002</v>
      </c>
      <c r="AS22" s="63">
        <f t="shared" si="16"/>
        <v>1561.94</v>
      </c>
      <c r="AT22" s="63">
        <f t="shared" si="16"/>
        <v>1627.8400000000001</v>
      </c>
      <c r="AU22" s="63">
        <f t="shared" si="16"/>
        <v>1639.0400000000002</v>
      </c>
      <c r="AV22" s="63">
        <f t="shared" si="16"/>
        <v>1677.0400000000002</v>
      </c>
      <c r="AW22" s="63">
        <f t="shared" si="16"/>
        <v>1601.8400000000001</v>
      </c>
      <c r="AX22" s="63">
        <f t="shared" si="16"/>
        <v>1597.64</v>
      </c>
      <c r="AY22" s="63">
        <f t="shared" si="16"/>
        <v>1673.5400000000002</v>
      </c>
      <c r="AZ22" s="63">
        <f t="shared" si="16"/>
        <v>1776.2400000000002</v>
      </c>
      <c r="BA22" s="63">
        <f t="shared" si="16"/>
        <v>1521.44</v>
      </c>
      <c r="BB22" s="63">
        <f t="shared" si="16"/>
        <v>1855.8400000000001</v>
      </c>
      <c r="BC22" s="63">
        <f t="shared" si="16"/>
        <v>1799.7400000000002</v>
      </c>
      <c r="BD22" s="63">
        <f t="shared" si="16"/>
        <v>1735.44</v>
      </c>
      <c r="BE22" s="63">
        <f t="shared" si="16"/>
        <v>1512.54</v>
      </c>
      <c r="BF22" s="63">
        <f t="shared" si="16"/>
        <v>1737.3</v>
      </c>
      <c r="BG22" s="63">
        <f t="shared" si="16"/>
        <v>1823.7399999999998</v>
      </c>
      <c r="BH22" s="63">
        <f t="shared" si="16"/>
        <v>1839.6399999999999</v>
      </c>
      <c r="BI22" s="63">
        <f t="shared" si="16"/>
        <v>1749.64</v>
      </c>
      <c r="BJ22" s="63">
        <f t="shared" si="16"/>
        <v>1719.04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19</v>
      </c>
      <c r="C23" s="46">
        <v>19</v>
      </c>
      <c r="D23" s="46">
        <v>19</v>
      </c>
      <c r="E23" s="46">
        <v>19</v>
      </c>
      <c r="F23" s="46">
        <v>19</v>
      </c>
      <c r="G23" s="46">
        <v>19</v>
      </c>
      <c r="H23" s="46">
        <v>19</v>
      </c>
      <c r="I23" s="46">
        <v>19</v>
      </c>
      <c r="J23" s="46">
        <v>19</v>
      </c>
      <c r="K23" s="46">
        <v>19</v>
      </c>
      <c r="L23" s="46">
        <v>19</v>
      </c>
      <c r="M23" s="46">
        <v>19</v>
      </c>
      <c r="N23" s="46">
        <v>19</v>
      </c>
      <c r="O23" s="46">
        <v>19</v>
      </c>
      <c r="P23" s="46">
        <v>19</v>
      </c>
      <c r="Q23" s="46">
        <v>19</v>
      </c>
      <c r="R23" s="46">
        <v>19</v>
      </c>
      <c r="S23" s="46">
        <v>15</v>
      </c>
      <c r="T23" s="46">
        <v>15</v>
      </c>
      <c r="U23" s="46">
        <v>15</v>
      </c>
      <c r="V23" s="46">
        <v>15</v>
      </c>
      <c r="W23" s="46">
        <v>15.7</v>
      </c>
      <c r="X23" s="46">
        <v>15.7</v>
      </c>
      <c r="Y23" s="46">
        <v>15.7</v>
      </c>
      <c r="Z23" s="46">
        <v>15.7</v>
      </c>
      <c r="AA23" s="46">
        <v>15.7</v>
      </c>
      <c r="AB23" s="46">
        <v>15.7</v>
      </c>
      <c r="AC23" s="46">
        <v>15.7</v>
      </c>
      <c r="AD23" s="46">
        <v>15.7</v>
      </c>
      <c r="AE23" s="46">
        <v>15.7</v>
      </c>
      <c r="AF23" s="46">
        <v>15.7</v>
      </c>
      <c r="AG23" s="50">
        <v>38.46</v>
      </c>
      <c r="AH23" s="48">
        <f t="shared" si="2"/>
        <v>19</v>
      </c>
      <c r="AI23" s="49">
        <f t="shared" si="3"/>
        <v>15</v>
      </c>
      <c r="AK23" s="51"/>
      <c r="AL23" s="62" t="s">
        <v>39</v>
      </c>
      <c r="AM23" s="63">
        <f t="shared" ref="AM23:AR23" si="17">B110*-1</f>
        <v>-109</v>
      </c>
      <c r="AN23" s="63">
        <f t="shared" si="17"/>
        <v>-255</v>
      </c>
      <c r="AO23" s="63">
        <f t="shared" si="17"/>
        <v>-260</v>
      </c>
      <c r="AP23" s="63">
        <f t="shared" si="17"/>
        <v>-253</v>
      </c>
      <c r="AQ23" s="63">
        <f t="shared" si="17"/>
        <v>-265</v>
      </c>
      <c r="AR23" s="63">
        <f t="shared" si="17"/>
        <v>-250</v>
      </c>
      <c r="AS23" s="63">
        <f>I110*-1</f>
        <v>-111</v>
      </c>
      <c r="AT23" s="63">
        <f>K110*-1</f>
        <v>-111</v>
      </c>
      <c r="AU23" s="63">
        <f t="shared" ref="AU23:BD23" si="18">M110*-1</f>
        <v>-110</v>
      </c>
      <c r="AV23" s="63">
        <f t="shared" si="18"/>
        <v>-87</v>
      </c>
      <c r="AW23" s="63">
        <f t="shared" si="18"/>
        <v>-108</v>
      </c>
      <c r="AX23" s="63">
        <f t="shared" si="18"/>
        <v>-118</v>
      </c>
      <c r="AY23" s="63">
        <f t="shared" si="18"/>
        <v>-120</v>
      </c>
      <c r="AZ23" s="63">
        <f t="shared" si="18"/>
        <v>-107</v>
      </c>
      <c r="BA23" s="63">
        <f t="shared" si="18"/>
        <v>-112</v>
      </c>
      <c r="BB23" s="63">
        <f t="shared" si="18"/>
        <v>-119.7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-119.6</v>
      </c>
      <c r="BG23" s="63">
        <f>AB110*-1</f>
        <v>-109</v>
      </c>
      <c r="BH23" s="63">
        <f>AD110*-1</f>
        <v>-124</v>
      </c>
      <c r="BI23" s="63">
        <f>AE110*-1</f>
        <v>-127</v>
      </c>
      <c r="BJ23" s="63">
        <f>AF110*-1</f>
        <v>-116.5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1505.54</v>
      </c>
      <c r="AN24" s="63">
        <f t="shared" si="19"/>
        <v>1489.6400000000003</v>
      </c>
      <c r="AO24" s="63">
        <f t="shared" si="19"/>
        <v>1313.74</v>
      </c>
      <c r="AP24" s="63">
        <f t="shared" si="19"/>
        <v>1370.64</v>
      </c>
      <c r="AQ24" s="63">
        <f t="shared" si="19"/>
        <v>1365.44</v>
      </c>
      <c r="AR24" s="63">
        <f t="shared" si="19"/>
        <v>1398.7400000000002</v>
      </c>
      <c r="AS24" s="63">
        <f t="shared" si="19"/>
        <v>1450.94</v>
      </c>
      <c r="AT24" s="63">
        <f t="shared" si="19"/>
        <v>1516.8400000000001</v>
      </c>
      <c r="AU24" s="63">
        <f t="shared" si="19"/>
        <v>1529.0400000000002</v>
      </c>
      <c r="AV24" s="63">
        <f t="shared" si="19"/>
        <v>1590.0400000000002</v>
      </c>
      <c r="AW24" s="63">
        <f t="shared" si="19"/>
        <v>1493.8400000000001</v>
      </c>
      <c r="AX24" s="63">
        <f t="shared" si="19"/>
        <v>1479.64</v>
      </c>
      <c r="AY24" s="63">
        <f t="shared" si="19"/>
        <v>1553.5400000000002</v>
      </c>
      <c r="AZ24" s="63">
        <f t="shared" si="19"/>
        <v>1669.2400000000002</v>
      </c>
      <c r="BA24" s="63">
        <f t="shared" si="19"/>
        <v>1409.44</v>
      </c>
      <c r="BB24" s="63">
        <f t="shared" si="19"/>
        <v>1736.14</v>
      </c>
      <c r="BC24" s="63">
        <f t="shared" si="19"/>
        <v>1799.7400000000002</v>
      </c>
      <c r="BD24" s="63">
        <f t="shared" si="19"/>
        <v>1735.44</v>
      </c>
      <c r="BE24" s="63">
        <f t="shared" si="19"/>
        <v>1512.54</v>
      </c>
      <c r="BF24" s="63">
        <f t="shared" si="19"/>
        <v>1617.7</v>
      </c>
      <c r="BG24" s="63">
        <f t="shared" si="19"/>
        <v>1714.7399999999998</v>
      </c>
      <c r="BH24" s="63">
        <f t="shared" si="19"/>
        <v>1715.6399999999999</v>
      </c>
      <c r="BI24" s="63">
        <f t="shared" si="19"/>
        <v>1622.64</v>
      </c>
      <c r="BJ24" s="63">
        <f t="shared" si="19"/>
        <v>1602.54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13</v>
      </c>
      <c r="C25" s="46">
        <v>13</v>
      </c>
      <c r="D25" s="46">
        <v>13</v>
      </c>
      <c r="E25" s="46">
        <v>13</v>
      </c>
      <c r="F25" s="46">
        <v>13</v>
      </c>
      <c r="G25" s="46">
        <v>13</v>
      </c>
      <c r="H25" s="46">
        <v>13</v>
      </c>
      <c r="I25" s="46">
        <v>13</v>
      </c>
      <c r="J25" s="46">
        <v>13</v>
      </c>
      <c r="K25" s="46">
        <v>13</v>
      </c>
      <c r="L25" s="46">
        <v>13</v>
      </c>
      <c r="M25" s="46">
        <v>13</v>
      </c>
      <c r="N25" s="46">
        <v>13</v>
      </c>
      <c r="O25" s="46">
        <v>13</v>
      </c>
      <c r="P25" s="46">
        <v>13</v>
      </c>
      <c r="Q25" s="46">
        <v>13</v>
      </c>
      <c r="R25" s="46">
        <v>13</v>
      </c>
      <c r="S25" s="46">
        <v>13</v>
      </c>
      <c r="T25" s="46">
        <v>13</v>
      </c>
      <c r="U25" s="46">
        <v>13</v>
      </c>
      <c r="V25" s="46">
        <v>13</v>
      </c>
      <c r="W25" s="46">
        <v>13</v>
      </c>
      <c r="X25" s="46">
        <v>13</v>
      </c>
      <c r="Y25" s="46">
        <v>13</v>
      </c>
      <c r="Z25" s="46">
        <v>13</v>
      </c>
      <c r="AA25" s="46">
        <v>13</v>
      </c>
      <c r="AB25" s="46">
        <v>13</v>
      </c>
      <c r="AC25" s="46">
        <v>13</v>
      </c>
      <c r="AD25" s="46">
        <v>13</v>
      </c>
      <c r="AE25" s="46">
        <v>13</v>
      </c>
      <c r="AF25" s="46">
        <v>13</v>
      </c>
      <c r="AG25" s="61">
        <v>30</v>
      </c>
      <c r="AH25" s="48">
        <f t="shared" si="2"/>
        <v>13</v>
      </c>
      <c r="AI25" s="49">
        <f t="shared" si="3"/>
        <v>13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>
        <v>11.5</v>
      </c>
      <c r="X26" s="46">
        <v>11.5</v>
      </c>
      <c r="Y26" s="46">
        <v>11.5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11.1</v>
      </c>
      <c r="C27" s="46">
        <v>11.1</v>
      </c>
      <c r="D27" s="46">
        <v>11.1</v>
      </c>
      <c r="E27" s="46">
        <v>11.1</v>
      </c>
      <c r="F27" s="46">
        <v>11.1</v>
      </c>
      <c r="G27" s="46">
        <v>11.1</v>
      </c>
      <c r="H27" s="46">
        <v>11.1</v>
      </c>
      <c r="I27" s="46">
        <v>11.1</v>
      </c>
      <c r="J27" s="46">
        <v>11.1</v>
      </c>
      <c r="K27" s="46">
        <v>11.1</v>
      </c>
      <c r="L27" s="46">
        <v>11.1</v>
      </c>
      <c r="M27" s="46">
        <v>11.1</v>
      </c>
      <c r="N27" s="46">
        <v>11.1</v>
      </c>
      <c r="O27" s="46">
        <v>11.1</v>
      </c>
      <c r="P27" s="46">
        <v>11.1</v>
      </c>
      <c r="Q27" s="46">
        <v>11.1</v>
      </c>
      <c r="R27" s="46">
        <v>11.1</v>
      </c>
      <c r="S27" s="46">
        <v>11.1</v>
      </c>
      <c r="T27" s="46">
        <v>11.1</v>
      </c>
      <c r="U27" s="46">
        <v>11.1</v>
      </c>
      <c r="V27" s="46">
        <v>11.1</v>
      </c>
      <c r="W27" s="46">
        <v>11.2</v>
      </c>
      <c r="X27" s="46">
        <v>11.2</v>
      </c>
      <c r="Y27" s="46">
        <v>11.2</v>
      </c>
      <c r="Z27" s="46">
        <v>11.2</v>
      </c>
      <c r="AA27" s="46">
        <v>11.2</v>
      </c>
      <c r="AB27" s="46">
        <v>11.2</v>
      </c>
      <c r="AC27" s="46">
        <v>11.2</v>
      </c>
      <c r="AD27" s="46">
        <v>11.2</v>
      </c>
      <c r="AE27" s="46">
        <v>11.2</v>
      </c>
      <c r="AF27" s="46">
        <v>11.2</v>
      </c>
      <c r="AG27" s="50">
        <v>28</v>
      </c>
      <c r="AH27" s="48">
        <f t="shared" si="2"/>
        <v>11.2</v>
      </c>
      <c r="AI27" s="49">
        <f t="shared" si="3"/>
        <v>11.1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11.3</v>
      </c>
      <c r="C28" s="46">
        <v>11.3</v>
      </c>
      <c r="D28" s="46">
        <v>11.3</v>
      </c>
      <c r="E28" s="46">
        <v>11.3</v>
      </c>
      <c r="F28" s="46">
        <v>11.3</v>
      </c>
      <c r="G28" s="46">
        <v>11.3</v>
      </c>
      <c r="H28" s="46">
        <v>11.3</v>
      </c>
      <c r="I28" s="46">
        <v>11.3</v>
      </c>
      <c r="J28" s="46">
        <v>11.3</v>
      </c>
      <c r="K28" s="46">
        <v>11.3</v>
      </c>
      <c r="L28" s="46">
        <v>11.3</v>
      </c>
      <c r="M28" s="46">
        <v>11.3</v>
      </c>
      <c r="N28" s="46">
        <v>11.3</v>
      </c>
      <c r="O28" s="46">
        <v>11.3</v>
      </c>
      <c r="P28" s="46">
        <v>11.3</v>
      </c>
      <c r="Q28" s="46">
        <v>11.3</v>
      </c>
      <c r="R28" s="46">
        <v>11.3</v>
      </c>
      <c r="S28" s="46">
        <v>11.3</v>
      </c>
      <c r="T28" s="46">
        <v>11.3</v>
      </c>
      <c r="U28" s="46">
        <v>11.3</v>
      </c>
      <c r="V28" s="46">
        <v>11.3</v>
      </c>
      <c r="W28" s="46">
        <v>11.3</v>
      </c>
      <c r="X28" s="46">
        <v>11.3</v>
      </c>
      <c r="Y28" s="46">
        <v>11.3</v>
      </c>
      <c r="Z28" s="46">
        <v>11.3</v>
      </c>
      <c r="AA28" s="46">
        <v>11.3</v>
      </c>
      <c r="AB28" s="46">
        <v>11.3</v>
      </c>
      <c r="AC28" s="46">
        <v>11.3</v>
      </c>
      <c r="AD28" s="46">
        <v>11.3</v>
      </c>
      <c r="AE28" s="46">
        <v>11.3</v>
      </c>
      <c r="AF28" s="46">
        <v>11.3</v>
      </c>
      <c r="AG28" s="61">
        <v>30</v>
      </c>
      <c r="AH28" s="48">
        <f t="shared" si="2"/>
        <v>11.3</v>
      </c>
      <c r="AI28" s="49">
        <f t="shared" si="3"/>
        <v>11.3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16.8</v>
      </c>
      <c r="C29" s="46">
        <v>16.8</v>
      </c>
      <c r="D29" s="46">
        <v>16.8</v>
      </c>
      <c r="E29" s="46">
        <v>16.8</v>
      </c>
      <c r="F29" s="46">
        <v>16.8</v>
      </c>
      <c r="G29" s="46">
        <v>16.8</v>
      </c>
      <c r="H29" s="46">
        <v>16.8</v>
      </c>
      <c r="I29" s="46">
        <v>16.8</v>
      </c>
      <c r="J29" s="46">
        <v>16.8</v>
      </c>
      <c r="K29" s="46">
        <v>16.8</v>
      </c>
      <c r="L29" s="46">
        <v>16.8</v>
      </c>
      <c r="M29" s="46">
        <v>16.8</v>
      </c>
      <c r="N29" s="46">
        <v>16.8</v>
      </c>
      <c r="O29" s="46">
        <v>16.8</v>
      </c>
      <c r="P29" s="46">
        <v>16.8</v>
      </c>
      <c r="Q29" s="46">
        <v>16.8</v>
      </c>
      <c r="R29" s="46">
        <v>16.8</v>
      </c>
      <c r="S29" s="46">
        <v>16.8</v>
      </c>
      <c r="T29" s="46">
        <v>16.8</v>
      </c>
      <c r="U29" s="46">
        <v>16.8</v>
      </c>
      <c r="V29" s="46">
        <v>16.8</v>
      </c>
      <c r="W29" s="46">
        <v>20.9</v>
      </c>
      <c r="X29" s="46">
        <v>20.9</v>
      </c>
      <c r="Y29" s="46">
        <v>20.9</v>
      </c>
      <c r="Z29" s="46">
        <v>20.9</v>
      </c>
      <c r="AA29" s="46">
        <v>20.9</v>
      </c>
      <c r="AB29" s="46">
        <v>20.9</v>
      </c>
      <c r="AC29" s="46">
        <v>20.9</v>
      </c>
      <c r="AD29" s="46">
        <v>20.9</v>
      </c>
      <c r="AE29" s="46">
        <v>20.9</v>
      </c>
      <c r="AF29" s="46">
        <v>20.9</v>
      </c>
      <c r="AG29" s="50">
        <v>25</v>
      </c>
      <c r="AH29" s="48">
        <f t="shared" si="2"/>
        <v>20.9</v>
      </c>
      <c r="AI29" s="49">
        <f t="shared" si="3"/>
        <v>16.8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7.8</v>
      </c>
      <c r="C30" s="46">
        <v>7.8</v>
      </c>
      <c r="D30" s="46">
        <v>7.8</v>
      </c>
      <c r="E30" s="46">
        <v>7.8</v>
      </c>
      <c r="F30" s="46">
        <v>7.8</v>
      </c>
      <c r="G30" s="46">
        <v>7.8</v>
      </c>
      <c r="H30" s="46">
        <v>7.8</v>
      </c>
      <c r="I30" s="46">
        <v>7.8</v>
      </c>
      <c r="J30" s="46">
        <v>7.8</v>
      </c>
      <c r="K30" s="46">
        <v>7.8</v>
      </c>
      <c r="L30" s="46">
        <v>7.8</v>
      </c>
      <c r="M30" s="46">
        <v>7.8</v>
      </c>
      <c r="N30" s="46">
        <v>7.8</v>
      </c>
      <c r="O30" s="46">
        <v>7.8</v>
      </c>
      <c r="P30" s="46">
        <v>7.8</v>
      </c>
      <c r="Q30" s="46">
        <v>7.8</v>
      </c>
      <c r="R30" s="46">
        <v>7.8</v>
      </c>
      <c r="S30" s="46">
        <v>7.8</v>
      </c>
      <c r="T30" s="46">
        <v>7.8</v>
      </c>
      <c r="U30" s="46">
        <v>7.8</v>
      </c>
      <c r="V30" s="46">
        <v>7.8</v>
      </c>
      <c r="W30" s="46">
        <v>7.8</v>
      </c>
      <c r="X30" s="46">
        <v>7.8</v>
      </c>
      <c r="Y30" s="46">
        <v>7.8</v>
      </c>
      <c r="Z30" s="46">
        <v>7.8</v>
      </c>
      <c r="AA30" s="46">
        <v>7.8</v>
      </c>
      <c r="AB30" s="46">
        <v>7.8</v>
      </c>
      <c r="AC30" s="46">
        <v>7.8</v>
      </c>
      <c r="AD30" s="46">
        <v>7.8</v>
      </c>
      <c r="AE30" s="46">
        <v>7.8</v>
      </c>
      <c r="AF30" s="46">
        <v>7.8</v>
      </c>
      <c r="AG30" s="50">
        <v>25</v>
      </c>
      <c r="AH30" s="48">
        <f t="shared" si="2"/>
        <v>7.8</v>
      </c>
      <c r="AI30" s="49">
        <f t="shared" si="3"/>
        <v>7.8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14.3</v>
      </c>
      <c r="C32" s="46">
        <v>14.3</v>
      </c>
      <c r="D32" s="46">
        <v>14.3</v>
      </c>
      <c r="E32" s="46">
        <v>14.3</v>
      </c>
      <c r="F32" s="46">
        <v>14.3</v>
      </c>
      <c r="G32" s="46">
        <v>14.3</v>
      </c>
      <c r="H32" s="46">
        <v>14.3</v>
      </c>
      <c r="I32" s="46">
        <v>14.3</v>
      </c>
      <c r="J32" s="46">
        <v>14.3</v>
      </c>
      <c r="K32" s="46">
        <v>14.3</v>
      </c>
      <c r="L32" s="46">
        <v>14.3</v>
      </c>
      <c r="M32" s="46">
        <v>14.3</v>
      </c>
      <c r="N32" s="46">
        <v>14.3</v>
      </c>
      <c r="O32" s="46">
        <v>14.3</v>
      </c>
      <c r="P32" s="46">
        <v>14.3</v>
      </c>
      <c r="Q32" s="46">
        <v>14.3</v>
      </c>
      <c r="R32" s="46">
        <v>14.3</v>
      </c>
      <c r="S32" s="46">
        <v>14.3</v>
      </c>
      <c r="T32" s="46">
        <v>14.3</v>
      </c>
      <c r="U32" s="46">
        <v>14.3</v>
      </c>
      <c r="V32" s="46">
        <v>14.3</v>
      </c>
      <c r="W32" s="46">
        <v>14.3</v>
      </c>
      <c r="X32" s="46">
        <v>14.3</v>
      </c>
      <c r="Y32" s="46">
        <v>14.3</v>
      </c>
      <c r="Z32" s="46">
        <v>14.3</v>
      </c>
      <c r="AA32" s="46">
        <v>14.3</v>
      </c>
      <c r="AB32" s="46">
        <v>14.3</v>
      </c>
      <c r="AC32" s="46">
        <v>14.3</v>
      </c>
      <c r="AD32" s="46">
        <v>14.3</v>
      </c>
      <c r="AE32" s="46">
        <v>14.3</v>
      </c>
      <c r="AF32" s="46">
        <v>14.3</v>
      </c>
      <c r="AG32" s="50">
        <v>25</v>
      </c>
      <c r="AH32" s="48">
        <f t="shared" si="2"/>
        <v>14.3</v>
      </c>
      <c r="AI32" s="49">
        <f t="shared" si="3"/>
        <v>14.3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</v>
      </c>
      <c r="C33" s="46">
        <v>7</v>
      </c>
      <c r="D33" s="46">
        <v>7</v>
      </c>
      <c r="E33" s="46">
        <v>7</v>
      </c>
      <c r="F33" s="46">
        <v>7</v>
      </c>
      <c r="G33" s="46">
        <v>7</v>
      </c>
      <c r="H33" s="46">
        <v>7</v>
      </c>
      <c r="I33" s="46">
        <v>7</v>
      </c>
      <c r="J33" s="46">
        <v>7</v>
      </c>
      <c r="K33" s="46">
        <v>7</v>
      </c>
      <c r="L33" s="46">
        <v>7</v>
      </c>
      <c r="M33" s="46">
        <v>7</v>
      </c>
      <c r="N33" s="46">
        <v>7</v>
      </c>
      <c r="O33" s="46">
        <v>7</v>
      </c>
      <c r="P33" s="46">
        <v>7</v>
      </c>
      <c r="Q33" s="46">
        <v>7</v>
      </c>
      <c r="R33" s="46">
        <v>7</v>
      </c>
      <c r="S33" s="46">
        <v>7</v>
      </c>
      <c r="T33" s="46">
        <v>7</v>
      </c>
      <c r="U33" s="46">
        <v>7</v>
      </c>
      <c r="V33" s="46">
        <v>7</v>
      </c>
      <c r="W33" s="46">
        <v>7</v>
      </c>
      <c r="X33" s="46">
        <v>7</v>
      </c>
      <c r="Y33" s="46">
        <v>7</v>
      </c>
      <c r="Z33" s="46">
        <v>7</v>
      </c>
      <c r="AA33" s="46">
        <v>7</v>
      </c>
      <c r="AB33" s="46">
        <v>7</v>
      </c>
      <c r="AC33" s="46">
        <v>7</v>
      </c>
      <c r="AD33" s="46">
        <v>7</v>
      </c>
      <c r="AE33" s="46">
        <v>7</v>
      </c>
      <c r="AF33" s="46">
        <v>7</v>
      </c>
      <c r="AG33" s="50">
        <v>23.5</v>
      </c>
      <c r="AH33" s="48">
        <f t="shared" si="2"/>
        <v>7</v>
      </c>
      <c r="AI33" s="49">
        <f t="shared" si="3"/>
        <v>7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9.5</v>
      </c>
      <c r="C37" s="46">
        <v>9.5</v>
      </c>
      <c r="D37" s="46">
        <v>9.5</v>
      </c>
      <c r="E37" s="46">
        <v>8.6</v>
      </c>
      <c r="F37" s="46">
        <v>8.6</v>
      </c>
      <c r="G37" s="46">
        <v>8.6</v>
      </c>
      <c r="H37" s="46">
        <v>8.6</v>
      </c>
      <c r="I37" s="46">
        <v>8.6</v>
      </c>
      <c r="J37" s="46">
        <v>8.6</v>
      </c>
      <c r="K37" s="46">
        <v>8.6</v>
      </c>
      <c r="L37" s="46">
        <v>8.6</v>
      </c>
      <c r="M37" s="46">
        <v>8.6</v>
      </c>
      <c r="N37" s="46">
        <v>8.6</v>
      </c>
      <c r="O37" s="46">
        <v>8.6</v>
      </c>
      <c r="P37" s="46">
        <v>8.6</v>
      </c>
      <c r="Q37" s="46">
        <v>8.6</v>
      </c>
      <c r="R37" s="46">
        <v>8.6</v>
      </c>
      <c r="S37" s="46">
        <v>8.6</v>
      </c>
      <c r="T37" s="46">
        <v>8.6</v>
      </c>
      <c r="U37" s="46">
        <v>8.6</v>
      </c>
      <c r="V37" s="46">
        <v>8.6</v>
      </c>
      <c r="W37" s="46">
        <v>8.6</v>
      </c>
      <c r="X37" s="46">
        <v>8.6</v>
      </c>
      <c r="Y37" s="46">
        <v>8.6</v>
      </c>
      <c r="Z37" s="46">
        <v>8.6</v>
      </c>
      <c r="AA37" s="46">
        <v>8.6</v>
      </c>
      <c r="AB37" s="46">
        <v>8.6</v>
      </c>
      <c r="AC37" s="46">
        <v>8.6</v>
      </c>
      <c r="AD37" s="46">
        <v>8.6</v>
      </c>
      <c r="AE37" s="46">
        <v>8.6</v>
      </c>
      <c r="AF37" s="46">
        <v>8.6</v>
      </c>
      <c r="AG37" s="50">
        <v>22</v>
      </c>
      <c r="AH37" s="48">
        <f t="shared" si="2"/>
        <v>9.5</v>
      </c>
      <c r="AI37" s="49">
        <f t="shared" si="3"/>
        <v>8.6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15</v>
      </c>
      <c r="C38" s="46">
        <v>15</v>
      </c>
      <c r="D38" s="46">
        <v>15</v>
      </c>
      <c r="E38" s="46">
        <v>15</v>
      </c>
      <c r="F38" s="46">
        <v>15</v>
      </c>
      <c r="G38" s="46">
        <v>15</v>
      </c>
      <c r="H38" s="46">
        <v>15</v>
      </c>
      <c r="I38" s="46">
        <v>15</v>
      </c>
      <c r="J38" s="46">
        <v>15</v>
      </c>
      <c r="K38" s="46">
        <v>15</v>
      </c>
      <c r="L38" s="46">
        <v>15</v>
      </c>
      <c r="M38" s="46">
        <v>15</v>
      </c>
      <c r="N38" s="46">
        <v>15</v>
      </c>
      <c r="O38" s="46">
        <v>15</v>
      </c>
      <c r="P38" s="46">
        <v>15</v>
      </c>
      <c r="Q38" s="46">
        <v>15</v>
      </c>
      <c r="R38" s="46">
        <v>15</v>
      </c>
      <c r="S38" s="46">
        <v>15</v>
      </c>
      <c r="T38" s="46">
        <v>15</v>
      </c>
      <c r="U38" s="46">
        <v>15</v>
      </c>
      <c r="V38" s="46">
        <v>15</v>
      </c>
      <c r="W38" s="46">
        <v>15</v>
      </c>
      <c r="X38" s="46">
        <v>15</v>
      </c>
      <c r="Y38" s="46">
        <v>15</v>
      </c>
      <c r="Z38" s="46">
        <v>15</v>
      </c>
      <c r="AA38" s="46">
        <v>11</v>
      </c>
      <c r="AB38" s="46">
        <v>11</v>
      </c>
      <c r="AC38" s="46">
        <v>11</v>
      </c>
      <c r="AD38" s="46">
        <v>11</v>
      </c>
      <c r="AE38" s="46">
        <v>11</v>
      </c>
      <c r="AF38" s="46">
        <v>11</v>
      </c>
      <c r="AG38" s="50">
        <v>20</v>
      </c>
      <c r="AH38" s="48">
        <f t="shared" si="2"/>
        <v>15</v>
      </c>
      <c r="AI38" s="49">
        <f t="shared" si="3"/>
        <v>11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11.9</v>
      </c>
      <c r="C40" s="46">
        <v>11.9</v>
      </c>
      <c r="D40" s="46">
        <v>11.9</v>
      </c>
      <c r="E40" s="46">
        <v>11.9</v>
      </c>
      <c r="F40" s="46">
        <v>11.9</v>
      </c>
      <c r="G40" s="46">
        <v>11.9</v>
      </c>
      <c r="H40" s="46">
        <v>11.9</v>
      </c>
      <c r="I40" s="46">
        <v>11.9</v>
      </c>
      <c r="J40" s="46">
        <v>11.9</v>
      </c>
      <c r="K40" s="46">
        <v>11.9</v>
      </c>
      <c r="L40" s="46">
        <v>11.9</v>
      </c>
      <c r="M40" s="46">
        <v>11.9</v>
      </c>
      <c r="N40" s="46">
        <v>11.9</v>
      </c>
      <c r="O40" s="46">
        <v>11.9</v>
      </c>
      <c r="P40" s="46">
        <v>11.9</v>
      </c>
      <c r="Q40" s="46">
        <v>11.9</v>
      </c>
      <c r="R40" s="46">
        <v>11.9</v>
      </c>
      <c r="S40" s="46">
        <v>11.9</v>
      </c>
      <c r="T40" s="46">
        <v>11.9</v>
      </c>
      <c r="U40" s="46">
        <v>11.9</v>
      </c>
      <c r="V40" s="46">
        <v>11.9</v>
      </c>
      <c r="W40" s="46">
        <v>11.9</v>
      </c>
      <c r="X40" s="46">
        <v>11.9</v>
      </c>
      <c r="Y40" s="46">
        <v>11.9</v>
      </c>
      <c r="Z40" s="46">
        <v>11.9</v>
      </c>
      <c r="AA40" s="46">
        <v>11.9</v>
      </c>
      <c r="AB40" s="46">
        <v>11.9</v>
      </c>
      <c r="AC40" s="46">
        <v>11.9</v>
      </c>
      <c r="AD40" s="46">
        <v>11.9</v>
      </c>
      <c r="AE40" s="46">
        <v>11.9</v>
      </c>
      <c r="AF40" s="46">
        <v>11.9</v>
      </c>
      <c r="AG40" s="50">
        <v>18</v>
      </c>
      <c r="AH40" s="48">
        <f t="shared" si="2"/>
        <v>11.9</v>
      </c>
      <c r="AI40" s="49">
        <f t="shared" si="3"/>
        <v>11.9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4</v>
      </c>
      <c r="AA41" s="46">
        <v>4</v>
      </c>
      <c r="AB41" s="46">
        <v>4</v>
      </c>
      <c r="AC41" s="46">
        <v>4</v>
      </c>
      <c r="AD41" s="46">
        <v>4</v>
      </c>
      <c r="AE41" s="46">
        <v>4</v>
      </c>
      <c r="AF41" s="46">
        <v>4</v>
      </c>
      <c r="AG41" s="50">
        <v>15.33</v>
      </c>
      <c r="AH41" s="48">
        <f t="shared" si="2"/>
        <v>4</v>
      </c>
      <c r="AI41" s="49">
        <f t="shared" si="3"/>
        <v>4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3.2</v>
      </c>
      <c r="C46" s="46">
        <v>3.2</v>
      </c>
      <c r="D46" s="46">
        <v>3.2</v>
      </c>
      <c r="E46" s="46">
        <v>3.2</v>
      </c>
      <c r="F46" s="46">
        <v>3.2</v>
      </c>
      <c r="G46" s="46">
        <v>3.2</v>
      </c>
      <c r="H46" s="46">
        <v>3.2</v>
      </c>
      <c r="I46" s="46">
        <v>3.2</v>
      </c>
      <c r="J46" s="46">
        <v>3.2</v>
      </c>
      <c r="K46" s="46">
        <v>3.2</v>
      </c>
      <c r="L46" s="46">
        <v>3.2</v>
      </c>
      <c r="M46" s="46">
        <v>3.2</v>
      </c>
      <c r="N46" s="46">
        <v>3.2</v>
      </c>
      <c r="O46" s="46">
        <v>3.2</v>
      </c>
      <c r="P46" s="46">
        <v>3.2</v>
      </c>
      <c r="Q46" s="46">
        <v>3.2</v>
      </c>
      <c r="R46" s="46">
        <v>3.2</v>
      </c>
      <c r="S46" s="46">
        <v>3.2</v>
      </c>
      <c r="T46" s="46">
        <v>3.2</v>
      </c>
      <c r="U46" s="46">
        <v>3.2</v>
      </c>
      <c r="V46" s="46">
        <v>3.2</v>
      </c>
      <c r="W46" s="46">
        <v>3.2</v>
      </c>
      <c r="X46" s="46">
        <v>3.2</v>
      </c>
      <c r="Y46" s="46">
        <v>3.2</v>
      </c>
      <c r="Z46" s="46">
        <v>3.2</v>
      </c>
      <c r="AA46" s="46">
        <v>3.2</v>
      </c>
      <c r="AB46" s="46">
        <v>3.2</v>
      </c>
      <c r="AC46" s="46">
        <v>3.2</v>
      </c>
      <c r="AD46" s="46">
        <v>3.2</v>
      </c>
      <c r="AE46" s="46">
        <v>3.2</v>
      </c>
      <c r="AF46" s="46">
        <v>3.2</v>
      </c>
      <c r="AG46" s="50">
        <v>14</v>
      </c>
      <c r="AH46" s="48">
        <f t="shared" si="2"/>
        <v>3.2</v>
      </c>
      <c r="AI46" s="49">
        <f t="shared" si="3"/>
        <v>3.2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8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6</v>
      </c>
      <c r="C55" s="46">
        <v>6</v>
      </c>
      <c r="D55" s="46">
        <v>6</v>
      </c>
      <c r="E55" s="46">
        <v>6</v>
      </c>
      <c r="F55" s="46">
        <v>6</v>
      </c>
      <c r="G55" s="46">
        <v>6</v>
      </c>
      <c r="H55" s="46">
        <v>6</v>
      </c>
      <c r="I55" s="46">
        <v>6</v>
      </c>
      <c r="J55" s="46">
        <v>6</v>
      </c>
      <c r="K55" s="46">
        <v>6</v>
      </c>
      <c r="L55" s="46">
        <v>6</v>
      </c>
      <c r="M55" s="46">
        <v>6</v>
      </c>
      <c r="N55" s="46">
        <v>6</v>
      </c>
      <c r="O55" s="46">
        <v>6</v>
      </c>
      <c r="P55" s="46">
        <v>6</v>
      </c>
      <c r="Q55" s="46">
        <v>6</v>
      </c>
      <c r="R55" s="46">
        <v>6</v>
      </c>
      <c r="S55" s="46">
        <v>6</v>
      </c>
      <c r="T55" s="46">
        <v>6</v>
      </c>
      <c r="U55" s="46">
        <v>6</v>
      </c>
      <c r="V55" s="46">
        <v>6</v>
      </c>
      <c r="W55" s="46">
        <v>6</v>
      </c>
      <c r="X55" s="46">
        <v>6</v>
      </c>
      <c r="Y55" s="46">
        <v>6</v>
      </c>
      <c r="Z55" s="46">
        <v>6</v>
      </c>
      <c r="AA55" s="46">
        <v>6</v>
      </c>
      <c r="AB55" s="46">
        <v>6</v>
      </c>
      <c r="AC55" s="46">
        <v>6</v>
      </c>
      <c r="AD55" s="46">
        <v>6</v>
      </c>
      <c r="AE55" s="46">
        <v>6</v>
      </c>
      <c r="AF55" s="46">
        <v>6</v>
      </c>
      <c r="AG55" s="66">
        <v>11</v>
      </c>
      <c r="AH55" s="48">
        <f t="shared" si="2"/>
        <v>6</v>
      </c>
      <c r="AI55" s="49">
        <f t="shared" si="3"/>
        <v>6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5</v>
      </c>
      <c r="AB58" s="46">
        <v>5</v>
      </c>
      <c r="AC58" s="46">
        <v>5</v>
      </c>
      <c r="AD58" s="46">
        <v>5</v>
      </c>
      <c r="AE58" s="46">
        <v>5</v>
      </c>
      <c r="AF58" s="46">
        <v>5</v>
      </c>
      <c r="AG58" s="66">
        <v>10</v>
      </c>
      <c r="AH58" s="48">
        <f t="shared" si="2"/>
        <v>5</v>
      </c>
      <c r="AI58" s="49">
        <f t="shared" si="3"/>
        <v>5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53">
        <f>20.7+31.4</f>
        <v>52.099999999999994</v>
      </c>
      <c r="C60" s="53">
        <f>22.6+32.9</f>
        <v>55.5</v>
      </c>
      <c r="D60" s="53">
        <f>21.5+31.9</f>
        <v>53.4</v>
      </c>
      <c r="E60" s="53">
        <f>21.5+31.9</f>
        <v>53.4</v>
      </c>
      <c r="F60" s="53">
        <v>59.4</v>
      </c>
      <c r="G60" s="53">
        <v>59.4</v>
      </c>
      <c r="H60" s="53">
        <v>52.3</v>
      </c>
      <c r="I60" s="53">
        <v>52.3</v>
      </c>
      <c r="J60" s="53">
        <v>52.3</v>
      </c>
      <c r="K60" s="53">
        <v>56.3</v>
      </c>
      <c r="L60" s="53">
        <v>46</v>
      </c>
      <c r="M60" s="53">
        <v>46</v>
      </c>
      <c r="N60" s="53">
        <v>46</v>
      </c>
      <c r="O60" s="53">
        <v>46</v>
      </c>
      <c r="P60" s="53">
        <v>46</v>
      </c>
      <c r="Q60" s="53">
        <v>46</v>
      </c>
      <c r="R60" s="53">
        <v>46</v>
      </c>
      <c r="S60" s="53">
        <v>46</v>
      </c>
      <c r="T60" s="53">
        <v>46</v>
      </c>
      <c r="U60" s="53">
        <v>46</v>
      </c>
      <c r="V60" s="53">
        <v>46</v>
      </c>
      <c r="W60" s="53">
        <v>39.1</v>
      </c>
      <c r="X60" s="53">
        <v>43.2</v>
      </c>
      <c r="Y60" s="53">
        <v>43.2</v>
      </c>
      <c r="Z60" s="53">
        <v>43.2</v>
      </c>
      <c r="AA60" s="53">
        <v>43.2</v>
      </c>
      <c r="AB60" s="53">
        <v>43.2</v>
      </c>
      <c r="AC60" s="53">
        <v>64</v>
      </c>
      <c r="AD60" s="53">
        <f>38+56</f>
        <v>94</v>
      </c>
      <c r="AE60" s="53">
        <v>99</v>
      </c>
      <c r="AF60" s="53">
        <v>99</v>
      </c>
      <c r="AG60" s="66">
        <v>240</v>
      </c>
      <c r="AH60" s="48">
        <f t="shared" si="2"/>
        <v>99</v>
      </c>
      <c r="AI60" s="49">
        <f t="shared" si="3"/>
        <v>39.1</v>
      </c>
      <c r="AK60" s="51"/>
    </row>
    <row r="61" spans="1:88" ht="15.75" thickBot="1" x14ac:dyDescent="0.3">
      <c r="A61" s="70" t="s">
        <v>75</v>
      </c>
      <c r="B61" s="71">
        <f t="shared" ref="B61:C61" si="20">SUM(B11:B59)</f>
        <v>747.40000000000009</v>
      </c>
      <c r="C61" s="71">
        <f t="shared" si="20"/>
        <v>746.7</v>
      </c>
      <c r="D61" s="71">
        <f t="shared" ref="D61" si="21">SUM(D11:D59)</f>
        <v>746.7</v>
      </c>
      <c r="E61" s="71">
        <f t="shared" ref="E61:AG61" si="22">SUM(E11:E59)</f>
        <v>761.80000000000007</v>
      </c>
      <c r="F61" s="71">
        <f t="shared" si="22"/>
        <v>761.80000000000007</v>
      </c>
      <c r="G61" s="71">
        <f t="shared" si="22"/>
        <v>769.80000000000007</v>
      </c>
      <c r="H61" s="71">
        <f t="shared" si="22"/>
        <v>773.80000000000007</v>
      </c>
      <c r="I61" s="71">
        <f t="shared" si="22"/>
        <v>773.80000000000007</v>
      </c>
      <c r="J61" s="71">
        <f t="shared" si="22"/>
        <v>773.80000000000007</v>
      </c>
      <c r="K61" s="71">
        <f t="shared" si="22"/>
        <v>773.80000000000007</v>
      </c>
      <c r="L61" s="71">
        <f t="shared" si="22"/>
        <v>773.80000000000007</v>
      </c>
      <c r="M61" s="71">
        <f t="shared" si="22"/>
        <v>773.80000000000007</v>
      </c>
      <c r="N61" s="71">
        <f t="shared" si="22"/>
        <v>773.80000000000007</v>
      </c>
      <c r="O61" s="71">
        <f t="shared" si="22"/>
        <v>773.80000000000007</v>
      </c>
      <c r="P61" s="71">
        <f t="shared" si="22"/>
        <v>773.80000000000007</v>
      </c>
      <c r="Q61" s="71">
        <f t="shared" si="22"/>
        <v>773.80000000000007</v>
      </c>
      <c r="R61" s="71">
        <f t="shared" si="22"/>
        <v>773.80000000000007</v>
      </c>
      <c r="S61" s="71">
        <f t="shared" si="22"/>
        <v>764.5</v>
      </c>
      <c r="T61" s="71">
        <f t="shared" si="22"/>
        <v>767.10000000000014</v>
      </c>
      <c r="U61" s="71">
        <f t="shared" si="22"/>
        <v>770.10000000000014</v>
      </c>
      <c r="V61" s="71">
        <f t="shared" si="22"/>
        <v>773.30000000000007</v>
      </c>
      <c r="W61" s="71">
        <f t="shared" si="22"/>
        <v>775.99</v>
      </c>
      <c r="X61" s="71">
        <f t="shared" si="22"/>
        <v>778</v>
      </c>
      <c r="Y61" s="71">
        <f t="shared" si="22"/>
        <v>778</v>
      </c>
      <c r="Z61" s="71">
        <f t="shared" si="22"/>
        <v>778</v>
      </c>
      <c r="AA61" s="71">
        <f t="shared" si="22"/>
        <v>774</v>
      </c>
      <c r="AB61" s="71">
        <f t="shared" si="22"/>
        <v>774</v>
      </c>
      <c r="AC61" s="71">
        <f t="shared" si="22"/>
        <v>774</v>
      </c>
      <c r="AD61" s="71">
        <f t="shared" si="22"/>
        <v>774</v>
      </c>
      <c r="AE61" s="71">
        <f t="shared" si="22"/>
        <v>773.3</v>
      </c>
      <c r="AF61" s="71">
        <f t="shared" si="22"/>
        <v>773.3</v>
      </c>
      <c r="AG61" s="71">
        <f t="shared" si="22"/>
        <v>1466.0300000000002</v>
      </c>
      <c r="AH61" s="48">
        <f t="shared" si="2"/>
        <v>778</v>
      </c>
      <c r="AI61" s="49">
        <f t="shared" si="3"/>
        <v>746.7</v>
      </c>
      <c r="AK61" s="51"/>
    </row>
    <row r="62" spans="1:88" x14ac:dyDescent="0.25">
      <c r="A62" s="73" t="s">
        <v>76</v>
      </c>
      <c r="B62" s="46">
        <v>160</v>
      </c>
      <c r="C62" s="46">
        <v>310</v>
      </c>
      <c r="D62" s="46">
        <v>220</v>
      </c>
      <c r="E62" s="46">
        <v>261</v>
      </c>
      <c r="F62" s="46">
        <v>270</v>
      </c>
      <c r="G62" s="46">
        <v>280</v>
      </c>
      <c r="H62" s="46">
        <v>180</v>
      </c>
      <c r="I62" s="46">
        <v>210</v>
      </c>
      <c r="J62" s="46">
        <v>220</v>
      </c>
      <c r="K62" s="46">
        <v>262</v>
      </c>
      <c r="L62" s="46">
        <v>312</v>
      </c>
      <c r="M62" s="46">
        <v>300</v>
      </c>
      <c r="N62" s="46">
        <v>311</v>
      </c>
      <c r="O62" s="46">
        <v>236</v>
      </c>
      <c r="P62" s="46">
        <v>220</v>
      </c>
      <c r="Q62" s="46">
        <v>216</v>
      </c>
      <c r="R62" s="46">
        <v>256</v>
      </c>
      <c r="S62" s="46">
        <v>256</v>
      </c>
      <c r="T62" s="74">
        <v>281.60000000000002</v>
      </c>
      <c r="U62" s="74">
        <v>100.5</v>
      </c>
      <c r="V62" s="74">
        <v>30.2</v>
      </c>
      <c r="W62" s="46">
        <v>0</v>
      </c>
      <c r="X62" s="46">
        <v>0</v>
      </c>
      <c r="Y62" s="46">
        <v>150</v>
      </c>
      <c r="Z62" s="46">
        <v>261</v>
      </c>
      <c r="AA62" s="46">
        <v>373.8</v>
      </c>
      <c r="AB62" s="46">
        <v>326</v>
      </c>
      <c r="AC62" s="46">
        <v>326</v>
      </c>
      <c r="AD62" s="46">
        <v>356</v>
      </c>
      <c r="AE62" s="46">
        <v>242</v>
      </c>
      <c r="AF62" s="46">
        <v>260</v>
      </c>
      <c r="AG62" s="61">
        <v>456</v>
      </c>
      <c r="AH62" s="48">
        <f t="shared" si="2"/>
        <v>373.8</v>
      </c>
      <c r="AI62" s="49">
        <f t="shared" si="3"/>
        <v>0</v>
      </c>
      <c r="AK62" s="51"/>
    </row>
    <row r="63" spans="1:88" x14ac:dyDescent="0.25">
      <c r="A63" s="75" t="s">
        <v>77</v>
      </c>
      <c r="B63" s="76">
        <v>40</v>
      </c>
      <c r="C63" s="76">
        <v>40</v>
      </c>
      <c r="D63" s="76">
        <v>40</v>
      </c>
      <c r="E63" s="76">
        <v>40</v>
      </c>
      <c r="F63" s="76">
        <v>40</v>
      </c>
      <c r="G63" s="76">
        <v>40</v>
      </c>
      <c r="H63" s="76">
        <v>40</v>
      </c>
      <c r="I63" s="76">
        <v>40</v>
      </c>
      <c r="J63" s="76">
        <v>40</v>
      </c>
      <c r="K63" s="76">
        <v>40</v>
      </c>
      <c r="L63" s="76">
        <v>40</v>
      </c>
      <c r="M63" s="76">
        <v>40</v>
      </c>
      <c r="N63" s="76">
        <v>40</v>
      </c>
      <c r="O63" s="76">
        <v>40</v>
      </c>
      <c r="P63" s="76">
        <v>40</v>
      </c>
      <c r="Q63" s="76">
        <v>40</v>
      </c>
      <c r="R63" s="76">
        <v>40</v>
      </c>
      <c r="S63" s="76">
        <v>40</v>
      </c>
      <c r="T63" s="76">
        <v>40</v>
      </c>
      <c r="U63" s="76">
        <v>40</v>
      </c>
      <c r="V63" s="76">
        <v>40</v>
      </c>
      <c r="W63" s="76">
        <v>37</v>
      </c>
      <c r="X63" s="76">
        <v>37</v>
      </c>
      <c r="Y63" s="76">
        <v>37</v>
      </c>
      <c r="Z63" s="76">
        <v>37</v>
      </c>
      <c r="AA63" s="76">
        <v>37</v>
      </c>
      <c r="AB63" s="76">
        <v>37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37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C65" si="23">SUM(B62:B64)</f>
        <v>222.5</v>
      </c>
      <c r="C65" s="71">
        <f t="shared" si="23"/>
        <v>372.5</v>
      </c>
      <c r="D65" s="71">
        <f t="shared" ref="D65" si="24">SUM(D62:D64)</f>
        <v>282.5</v>
      </c>
      <c r="E65" s="71">
        <f t="shared" ref="E65:AG65" si="25">SUM(E62:E64)</f>
        <v>323.5</v>
      </c>
      <c r="F65" s="71">
        <f t="shared" si="25"/>
        <v>332.5</v>
      </c>
      <c r="G65" s="71">
        <f t="shared" si="25"/>
        <v>342.5</v>
      </c>
      <c r="H65" s="71">
        <f t="shared" si="25"/>
        <v>242.5</v>
      </c>
      <c r="I65" s="71">
        <f t="shared" si="25"/>
        <v>272.5</v>
      </c>
      <c r="J65" s="71">
        <f t="shared" si="25"/>
        <v>282.5</v>
      </c>
      <c r="K65" s="71">
        <f t="shared" si="25"/>
        <v>324.5</v>
      </c>
      <c r="L65" s="71">
        <f t="shared" si="25"/>
        <v>374.5</v>
      </c>
      <c r="M65" s="71">
        <f t="shared" si="25"/>
        <v>362.5</v>
      </c>
      <c r="N65" s="71">
        <f t="shared" si="25"/>
        <v>373.5</v>
      </c>
      <c r="O65" s="71">
        <f t="shared" si="25"/>
        <v>298.5</v>
      </c>
      <c r="P65" s="71">
        <f t="shared" si="25"/>
        <v>282.5</v>
      </c>
      <c r="Q65" s="71">
        <f t="shared" si="25"/>
        <v>278.5</v>
      </c>
      <c r="R65" s="71">
        <f t="shared" si="25"/>
        <v>318.5</v>
      </c>
      <c r="S65" s="71">
        <f t="shared" si="25"/>
        <v>318.5</v>
      </c>
      <c r="T65" s="71">
        <f t="shared" si="25"/>
        <v>344.1</v>
      </c>
      <c r="U65" s="71">
        <f>SUM(U62:U64)</f>
        <v>163</v>
      </c>
      <c r="V65" s="71">
        <f t="shared" si="25"/>
        <v>92.7</v>
      </c>
      <c r="W65" s="71">
        <f t="shared" si="25"/>
        <v>59.5</v>
      </c>
      <c r="X65" s="71">
        <f t="shared" si="25"/>
        <v>59.5</v>
      </c>
      <c r="Y65" s="71">
        <f t="shared" si="25"/>
        <v>209.6</v>
      </c>
      <c r="Z65" s="71">
        <f t="shared" si="25"/>
        <v>320.60000000000002</v>
      </c>
      <c r="AA65" s="71">
        <f t="shared" si="25"/>
        <v>433.40000000000003</v>
      </c>
      <c r="AB65" s="71">
        <f t="shared" si="25"/>
        <v>385.6</v>
      </c>
      <c r="AC65" s="71">
        <f t="shared" si="25"/>
        <v>408.6</v>
      </c>
      <c r="AD65" s="71">
        <f t="shared" si="25"/>
        <v>438.6</v>
      </c>
      <c r="AE65" s="71">
        <f t="shared" si="25"/>
        <v>324.60000000000002</v>
      </c>
      <c r="AF65" s="71">
        <f t="shared" si="25"/>
        <v>342.6</v>
      </c>
      <c r="AG65" s="72">
        <f t="shared" si="25"/>
        <v>538.1</v>
      </c>
      <c r="AH65" s="48">
        <f t="shared" si="2"/>
        <v>438.6</v>
      </c>
      <c r="AI65" s="49">
        <f t="shared" si="3"/>
        <v>59.5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141.6</v>
      </c>
      <c r="C66" s="46">
        <v>141.6</v>
      </c>
      <c r="D66" s="46">
        <v>141.6</v>
      </c>
      <c r="E66" s="46">
        <v>141.6</v>
      </c>
      <c r="F66" s="46">
        <v>141.6</v>
      </c>
      <c r="G66" s="46">
        <v>141.6</v>
      </c>
      <c r="H66" s="46">
        <v>141.6</v>
      </c>
      <c r="I66" s="46">
        <v>141.6</v>
      </c>
      <c r="J66" s="46">
        <v>141.6</v>
      </c>
      <c r="K66" s="46">
        <v>110</v>
      </c>
      <c r="L66" s="46">
        <v>110</v>
      </c>
      <c r="M66" s="46">
        <v>91</v>
      </c>
      <c r="N66" s="46">
        <v>91</v>
      </c>
      <c r="O66" s="46">
        <v>90.8</v>
      </c>
      <c r="P66" s="46">
        <v>90.8</v>
      </c>
      <c r="Q66" s="46">
        <v>132</v>
      </c>
      <c r="R66" s="46">
        <v>143</v>
      </c>
      <c r="S66" s="46">
        <v>144.5</v>
      </c>
      <c r="T66" s="46">
        <v>144.5</v>
      </c>
      <c r="U66" s="46">
        <v>144.5</v>
      </c>
      <c r="V66" s="46">
        <v>144.5</v>
      </c>
      <c r="W66" s="46">
        <v>90.6</v>
      </c>
      <c r="X66" s="46">
        <v>91.1</v>
      </c>
      <c r="Y66" s="46">
        <v>111</v>
      </c>
      <c r="Z66" s="46">
        <v>131.6</v>
      </c>
      <c r="AA66" s="46">
        <v>142.80000000000001</v>
      </c>
      <c r="AB66" s="46">
        <v>142.80000000000001</v>
      </c>
      <c r="AC66" s="46">
        <v>142.80000000000001</v>
      </c>
      <c r="AD66" s="46">
        <v>142.80000000000001</v>
      </c>
      <c r="AE66" s="46">
        <v>142.80000000000001</v>
      </c>
      <c r="AF66" s="46">
        <v>142.80000000000001</v>
      </c>
      <c r="AG66" s="61">
        <v>144</v>
      </c>
      <c r="AH66" s="48">
        <f t="shared" si="2"/>
        <v>144.5</v>
      </c>
      <c r="AI66" s="49">
        <f t="shared" si="3"/>
        <v>90.6</v>
      </c>
      <c r="AK66" s="51"/>
      <c r="AY66" s="1" t="s">
        <v>86</v>
      </c>
      <c r="AZ66" s="82">
        <f>ROUND(C84,0)</f>
        <v>40</v>
      </c>
      <c r="BA66" s="81">
        <f t="shared" ref="BA66:BD70" si="26">D84</f>
        <v>34</v>
      </c>
      <c r="BB66" s="81">
        <f t="shared" si="26"/>
        <v>27.8</v>
      </c>
      <c r="BC66" s="81">
        <f t="shared" si="26"/>
        <v>25.6</v>
      </c>
      <c r="BD66" s="81">
        <f t="shared" si="26"/>
        <v>25.9</v>
      </c>
      <c r="BE66" s="82">
        <f>I84</f>
        <v>10.1</v>
      </c>
      <c r="BF66" s="82">
        <f>K84</f>
        <v>50.4</v>
      </c>
      <c r="BG66" s="82">
        <f t="shared" ref="BG66:BP70" si="27">M84</f>
        <v>39</v>
      </c>
      <c r="BH66" s="82">
        <f t="shared" si="27"/>
        <v>67</v>
      </c>
      <c r="BI66" s="82">
        <f t="shared" si="27"/>
        <v>69</v>
      </c>
      <c r="BJ66" s="82">
        <f t="shared" si="27"/>
        <v>70.8</v>
      </c>
      <c r="BK66" s="82">
        <f t="shared" si="27"/>
        <v>70</v>
      </c>
      <c r="BL66" s="82">
        <f t="shared" si="27"/>
        <v>63.6</v>
      </c>
      <c r="BM66" s="82">
        <f t="shared" si="27"/>
        <v>0</v>
      </c>
      <c r="BN66" s="82">
        <f t="shared" si="27"/>
        <v>57.9</v>
      </c>
      <c r="BO66" s="82">
        <f t="shared" si="27"/>
        <v>59.8</v>
      </c>
      <c r="BP66" s="82">
        <f t="shared" si="27"/>
        <v>64.7</v>
      </c>
      <c r="BQ66" s="82">
        <f>X84</f>
        <v>41.2</v>
      </c>
      <c r="BR66" s="82">
        <f>Z84</f>
        <v>28.2</v>
      </c>
      <c r="BS66" s="81">
        <f>AB84</f>
        <v>28</v>
      </c>
      <c r="BT66" s="81">
        <f t="shared" ref="BT66:BV70" si="28">AD84</f>
        <v>30.9</v>
      </c>
      <c r="BU66" s="81">
        <f t="shared" si="28"/>
        <v>29</v>
      </c>
      <c r="BV66" s="81">
        <f t="shared" si="28"/>
        <v>28.6</v>
      </c>
      <c r="BW66" s="81">
        <f>B84</f>
        <v>40.200000000000003</v>
      </c>
    </row>
    <row r="67" spans="1:75" x14ac:dyDescent="0.25">
      <c r="A67" s="65" t="s">
        <v>81</v>
      </c>
      <c r="B67" s="46">
        <v>69</v>
      </c>
      <c r="C67" s="46">
        <v>69</v>
      </c>
      <c r="D67" s="46">
        <v>69</v>
      </c>
      <c r="E67" s="46">
        <v>69</v>
      </c>
      <c r="F67" s="46">
        <v>69</v>
      </c>
      <c r="G67" s="46">
        <v>69</v>
      </c>
      <c r="H67" s="46">
        <v>69</v>
      </c>
      <c r="I67" s="46">
        <v>69</v>
      </c>
      <c r="J67" s="46">
        <v>69</v>
      </c>
      <c r="K67" s="46">
        <v>69</v>
      </c>
      <c r="L67" s="46">
        <v>69</v>
      </c>
      <c r="M67" s="46">
        <v>69</v>
      </c>
      <c r="N67" s="46">
        <v>69</v>
      </c>
      <c r="O67" s="46">
        <v>69</v>
      </c>
      <c r="P67" s="46">
        <v>69</v>
      </c>
      <c r="Q67" s="46">
        <v>69</v>
      </c>
      <c r="R67" s="46">
        <v>69</v>
      </c>
      <c r="S67" s="76">
        <v>71</v>
      </c>
      <c r="T67" s="76">
        <v>71</v>
      </c>
      <c r="U67" s="76">
        <v>71</v>
      </c>
      <c r="V67" s="76">
        <v>71</v>
      </c>
      <c r="W67" s="46">
        <v>45.3</v>
      </c>
      <c r="X67" s="46">
        <v>45.3</v>
      </c>
      <c r="Y67" s="46">
        <v>69.900000000000006</v>
      </c>
      <c r="Z67" s="46">
        <v>69.900000000000006</v>
      </c>
      <c r="AA67" s="46">
        <v>69.900000000000006</v>
      </c>
      <c r="AB67" s="46">
        <v>69.900000000000006</v>
      </c>
      <c r="AC67" s="46">
        <v>69.900000000000006</v>
      </c>
      <c r="AD67" s="46">
        <v>69.900000000000006</v>
      </c>
      <c r="AE67" s="46">
        <v>69.900000000000006</v>
      </c>
      <c r="AF67" s="46">
        <v>69.900000000000006</v>
      </c>
      <c r="AG67" s="66">
        <v>70</v>
      </c>
      <c r="AH67" s="48">
        <f t="shared" si="2"/>
        <v>71</v>
      </c>
      <c r="AI67" s="49">
        <f t="shared" si="3"/>
        <v>45.3</v>
      </c>
      <c r="AK67" s="51"/>
      <c r="AY67" s="1" t="s">
        <v>88</v>
      </c>
      <c r="AZ67" s="82">
        <f>ROUND(C85,0)</f>
        <v>0</v>
      </c>
      <c r="BA67" s="81">
        <f t="shared" si="26"/>
        <v>0</v>
      </c>
      <c r="BB67" s="81">
        <f t="shared" si="26"/>
        <v>0</v>
      </c>
      <c r="BC67" s="81">
        <f t="shared" si="26"/>
        <v>0</v>
      </c>
      <c r="BD67" s="81">
        <f t="shared" si="26"/>
        <v>0</v>
      </c>
      <c r="BE67" s="82">
        <f>I85</f>
        <v>0</v>
      </c>
      <c r="BF67" s="82">
        <f>K85</f>
        <v>0</v>
      </c>
      <c r="BG67" s="82">
        <f t="shared" si="27"/>
        <v>0</v>
      </c>
      <c r="BH67" s="82">
        <f t="shared" si="27"/>
        <v>0</v>
      </c>
      <c r="BI67" s="82">
        <f t="shared" si="27"/>
        <v>0</v>
      </c>
      <c r="BJ67" s="82">
        <f t="shared" si="27"/>
        <v>0</v>
      </c>
      <c r="BK67" s="82">
        <f t="shared" si="27"/>
        <v>0</v>
      </c>
      <c r="BL67" s="82">
        <f t="shared" si="27"/>
        <v>0</v>
      </c>
      <c r="BM67" s="82">
        <f t="shared" si="27"/>
        <v>0</v>
      </c>
      <c r="BN67" s="82">
        <f t="shared" si="27"/>
        <v>0</v>
      </c>
      <c r="BO67" s="82">
        <f t="shared" si="27"/>
        <v>0</v>
      </c>
      <c r="BP67" s="82">
        <f t="shared" si="2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8"/>
        <v>0</v>
      </c>
      <c r="BU67" s="81">
        <f t="shared" si="28"/>
        <v>0</v>
      </c>
      <c r="BV67" s="81">
        <f t="shared" si="28"/>
        <v>0</v>
      </c>
      <c r="BW67" s="81">
        <f>B85</f>
        <v>0</v>
      </c>
    </row>
    <row r="68" spans="1:75" x14ac:dyDescent="0.25">
      <c r="A68" s="65" t="s">
        <v>82</v>
      </c>
      <c r="B68" s="46">
        <v>69.900000000000006</v>
      </c>
      <c r="C68" s="46">
        <v>69.900000000000006</v>
      </c>
      <c r="D68" s="46">
        <v>69.900000000000006</v>
      </c>
      <c r="E68" s="46">
        <v>69.900000000000006</v>
      </c>
      <c r="F68" s="46">
        <v>69.900000000000006</v>
      </c>
      <c r="G68" s="46">
        <v>69.900000000000006</v>
      </c>
      <c r="H68" s="46">
        <v>69.900000000000006</v>
      </c>
      <c r="I68" s="46">
        <v>69.900000000000006</v>
      </c>
      <c r="J68" s="46">
        <v>69.900000000000006</v>
      </c>
      <c r="K68" s="46">
        <v>69.900000000000006</v>
      </c>
      <c r="L68" s="46">
        <v>69.900000000000006</v>
      </c>
      <c r="M68" s="46">
        <v>68</v>
      </c>
      <c r="N68" s="46">
        <v>68</v>
      </c>
      <c r="O68" s="46">
        <v>62</v>
      </c>
      <c r="P68" s="46">
        <v>62</v>
      </c>
      <c r="Q68" s="46">
        <v>62</v>
      </c>
      <c r="R68" s="46">
        <v>69</v>
      </c>
      <c r="S68" s="76">
        <v>70</v>
      </c>
      <c r="T68" s="76">
        <v>70</v>
      </c>
      <c r="U68" s="76">
        <v>70</v>
      </c>
      <c r="V68" s="76">
        <v>70</v>
      </c>
      <c r="W68" s="46">
        <v>49</v>
      </c>
      <c r="X68" s="46">
        <v>50.1</v>
      </c>
      <c r="Y68" s="46">
        <v>69.400000000000006</v>
      </c>
      <c r="Z68" s="46">
        <v>69.400000000000006</v>
      </c>
      <c r="AA68" s="46">
        <v>69.400000000000006</v>
      </c>
      <c r="AB68" s="46">
        <v>69.400000000000006</v>
      </c>
      <c r="AC68" s="46">
        <v>69.400000000000006</v>
      </c>
      <c r="AD68" s="46">
        <v>69.400000000000006</v>
      </c>
      <c r="AE68" s="46">
        <v>69.400000000000006</v>
      </c>
      <c r="AF68" s="46">
        <v>69.400000000000006</v>
      </c>
      <c r="AG68" s="66">
        <v>69</v>
      </c>
      <c r="AH68" s="48">
        <f t="shared" si="2"/>
        <v>70</v>
      </c>
      <c r="AI68" s="49">
        <f t="shared" si="3"/>
        <v>49</v>
      </c>
      <c r="AK68" s="51"/>
      <c r="AL68" s="83"/>
      <c r="AO68" s="83"/>
      <c r="AY68" s="1" t="s">
        <v>90</v>
      </c>
      <c r="AZ68" s="82">
        <f>ROUND(C86,0)</f>
        <v>-255</v>
      </c>
      <c r="BA68" s="81">
        <f t="shared" si="26"/>
        <v>-260</v>
      </c>
      <c r="BB68" s="81">
        <f t="shared" si="26"/>
        <v>-253</v>
      </c>
      <c r="BC68" s="81">
        <f t="shared" si="26"/>
        <v>-265</v>
      </c>
      <c r="BD68" s="81">
        <f t="shared" si="26"/>
        <v>-250</v>
      </c>
      <c r="BE68" s="82">
        <f>I86</f>
        <v>-111</v>
      </c>
      <c r="BF68" s="82">
        <f>K86</f>
        <v>-111</v>
      </c>
      <c r="BG68" s="82">
        <f t="shared" si="27"/>
        <v>-110</v>
      </c>
      <c r="BH68" s="82">
        <f t="shared" si="27"/>
        <v>-87</v>
      </c>
      <c r="BI68" s="82">
        <f t="shared" si="27"/>
        <v>-108</v>
      </c>
      <c r="BJ68" s="82">
        <f t="shared" si="27"/>
        <v>-118</v>
      </c>
      <c r="BK68" s="82">
        <f t="shared" si="27"/>
        <v>-120</v>
      </c>
      <c r="BL68" s="82">
        <f t="shared" si="27"/>
        <v>-107</v>
      </c>
      <c r="BM68" s="82">
        <f t="shared" si="27"/>
        <v>-112</v>
      </c>
      <c r="BN68" s="82">
        <f t="shared" si="27"/>
        <v>-119.7</v>
      </c>
      <c r="BO68" s="82">
        <f t="shared" si="27"/>
        <v>154</v>
      </c>
      <c r="BP68" s="82">
        <f t="shared" si="27"/>
        <v>119.4</v>
      </c>
      <c r="BQ68" s="82">
        <f>X86</f>
        <v>85.2</v>
      </c>
      <c r="BR68" s="82">
        <f>Z86</f>
        <v>-119.6</v>
      </c>
      <c r="BS68" s="81">
        <f>AB86</f>
        <v>-109</v>
      </c>
      <c r="BT68" s="81">
        <f t="shared" si="28"/>
        <v>-124</v>
      </c>
      <c r="BU68" s="81">
        <f t="shared" si="28"/>
        <v>-127</v>
      </c>
      <c r="BV68" s="81">
        <f t="shared" si="28"/>
        <v>-116.5</v>
      </c>
      <c r="BW68" s="81">
        <f>B86</f>
        <v>-109</v>
      </c>
    </row>
    <row r="69" spans="1:75" s="83" customFormat="1" x14ac:dyDescent="0.25">
      <c r="A69" s="65" t="s">
        <v>83</v>
      </c>
      <c r="B69" s="46">
        <v>61.4</v>
      </c>
      <c r="C69" s="46">
        <v>61.4</v>
      </c>
      <c r="D69" s="46">
        <v>61.4</v>
      </c>
      <c r="E69" s="46">
        <v>61.4</v>
      </c>
      <c r="F69" s="46">
        <v>61.4</v>
      </c>
      <c r="G69" s="46">
        <v>61.4</v>
      </c>
      <c r="H69" s="46">
        <v>61.4</v>
      </c>
      <c r="I69" s="46">
        <v>61.4</v>
      </c>
      <c r="J69" s="46">
        <v>61.4</v>
      </c>
      <c r="K69" s="46">
        <v>61.4</v>
      </c>
      <c r="L69" s="46">
        <v>61.4</v>
      </c>
      <c r="M69" s="46">
        <v>61</v>
      </c>
      <c r="N69" s="46">
        <v>61</v>
      </c>
      <c r="O69" s="46">
        <v>61</v>
      </c>
      <c r="P69" s="46">
        <v>61</v>
      </c>
      <c r="Q69" s="46">
        <v>61</v>
      </c>
      <c r="R69" s="46">
        <v>61</v>
      </c>
      <c r="S69" s="76">
        <v>61.4</v>
      </c>
      <c r="T69" s="76">
        <v>61.4</v>
      </c>
      <c r="U69" s="76">
        <v>61.4</v>
      </c>
      <c r="V69" s="76">
        <v>61.4</v>
      </c>
      <c r="W69" s="46">
        <v>61.2</v>
      </c>
      <c r="X69" s="46">
        <v>61.5</v>
      </c>
      <c r="Y69" s="46">
        <v>61.5</v>
      </c>
      <c r="Z69" s="46">
        <v>61.5</v>
      </c>
      <c r="AA69" s="46">
        <v>61.5</v>
      </c>
      <c r="AB69" s="46">
        <v>61.5</v>
      </c>
      <c r="AC69" s="46">
        <v>61.5</v>
      </c>
      <c r="AD69" s="46">
        <v>61.5</v>
      </c>
      <c r="AE69" s="46">
        <v>61.5</v>
      </c>
      <c r="AF69" s="46">
        <v>61.5</v>
      </c>
      <c r="AG69" s="66">
        <v>60</v>
      </c>
      <c r="AH69" s="48">
        <f t="shared" si="2"/>
        <v>61.5</v>
      </c>
      <c r="AI69" s="49">
        <f t="shared" si="3"/>
        <v>61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6"/>
        <v>0</v>
      </c>
      <c r="BB69" s="81">
        <f t="shared" si="26"/>
        <v>0</v>
      </c>
      <c r="BC69" s="81">
        <f t="shared" si="26"/>
        <v>0</v>
      </c>
      <c r="BD69" s="81">
        <f t="shared" si="26"/>
        <v>0</v>
      </c>
      <c r="BE69" s="82">
        <f>I87</f>
        <v>0</v>
      </c>
      <c r="BF69" s="82">
        <f>K87</f>
        <v>0</v>
      </c>
      <c r="BG69" s="82">
        <f t="shared" si="27"/>
        <v>0</v>
      </c>
      <c r="BH69" s="82">
        <f t="shared" si="27"/>
        <v>0</v>
      </c>
      <c r="BI69" s="82">
        <f t="shared" si="27"/>
        <v>0</v>
      </c>
      <c r="BJ69" s="82">
        <f t="shared" si="27"/>
        <v>0</v>
      </c>
      <c r="BK69" s="82">
        <f t="shared" si="27"/>
        <v>20.5</v>
      </c>
      <c r="BL69" s="82">
        <f t="shared" si="27"/>
        <v>23.6</v>
      </c>
      <c r="BM69" s="82">
        <f t="shared" si="27"/>
        <v>0</v>
      </c>
      <c r="BN69" s="82">
        <f t="shared" si="27"/>
        <v>25.7</v>
      </c>
      <c r="BO69" s="82">
        <f t="shared" si="27"/>
        <v>28.8</v>
      </c>
      <c r="BP69" s="82">
        <f t="shared" si="27"/>
        <v>26.4</v>
      </c>
      <c r="BQ69" s="82">
        <f>X87</f>
        <v>26.9</v>
      </c>
      <c r="BR69" s="82">
        <f>Z87</f>
        <v>0</v>
      </c>
      <c r="BS69" s="81">
        <f>AB87</f>
        <v>0</v>
      </c>
      <c r="BT69" s="81">
        <f t="shared" si="28"/>
        <v>0</v>
      </c>
      <c r="BU69" s="81">
        <f t="shared" si="28"/>
        <v>0</v>
      </c>
      <c r="BV69" s="81">
        <f t="shared" si="28"/>
        <v>0</v>
      </c>
      <c r="BW69" s="81">
        <f>B87</f>
        <v>0</v>
      </c>
    </row>
    <row r="70" spans="1:75" x14ac:dyDescent="0.25">
      <c r="A70" s="65" t="s">
        <v>84</v>
      </c>
      <c r="B70" s="46">
        <v>10</v>
      </c>
      <c r="C70" s="46">
        <v>10</v>
      </c>
      <c r="D70" s="46">
        <v>15</v>
      </c>
      <c r="E70" s="46">
        <v>15</v>
      </c>
      <c r="F70" s="46">
        <v>15</v>
      </c>
      <c r="G70" s="46">
        <v>15</v>
      </c>
      <c r="H70" s="46">
        <v>15</v>
      </c>
      <c r="I70" s="46">
        <v>10</v>
      </c>
      <c r="J70" s="46">
        <v>10</v>
      </c>
      <c r="K70" s="46">
        <v>0</v>
      </c>
      <c r="L70" s="46">
        <v>0</v>
      </c>
      <c r="M70" s="46">
        <v>0</v>
      </c>
      <c r="N70" s="46">
        <v>0</v>
      </c>
      <c r="O70" s="46">
        <v>15</v>
      </c>
      <c r="P70" s="46">
        <v>15</v>
      </c>
      <c r="Q70" s="46">
        <v>28</v>
      </c>
      <c r="R70" s="46">
        <v>28</v>
      </c>
      <c r="S70" s="76">
        <v>28</v>
      </c>
      <c r="T70" s="76">
        <v>28</v>
      </c>
      <c r="U70" s="76">
        <v>28</v>
      </c>
      <c r="V70" s="76">
        <v>28</v>
      </c>
      <c r="W70" s="46">
        <v>14</v>
      </c>
      <c r="X70" s="46">
        <v>10</v>
      </c>
      <c r="Y70" s="46">
        <v>10</v>
      </c>
      <c r="Z70" s="46">
        <v>10</v>
      </c>
      <c r="AA70" s="46">
        <v>14.5</v>
      </c>
      <c r="AB70" s="46">
        <v>24</v>
      </c>
      <c r="AC70" s="46">
        <v>24</v>
      </c>
      <c r="AD70" s="46">
        <v>24</v>
      </c>
      <c r="AE70" s="46">
        <v>24</v>
      </c>
      <c r="AF70" s="46">
        <v>24</v>
      </c>
      <c r="AG70" s="66">
        <v>30</v>
      </c>
      <c r="AH70" s="48">
        <f t="shared" si="2"/>
        <v>28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6"/>
        <v>0</v>
      </c>
      <c r="BB70" s="81">
        <f t="shared" si="26"/>
        <v>0</v>
      </c>
      <c r="BC70" s="81">
        <f t="shared" si="26"/>
        <v>0</v>
      </c>
      <c r="BD70" s="81">
        <f t="shared" si="26"/>
        <v>0</v>
      </c>
      <c r="BE70" s="82">
        <f>I88</f>
        <v>0</v>
      </c>
      <c r="BF70" s="82">
        <f>K88</f>
        <v>112.3</v>
      </c>
      <c r="BG70" s="82">
        <f t="shared" si="27"/>
        <v>116</v>
      </c>
      <c r="BH70" s="82">
        <f t="shared" si="27"/>
        <v>115</v>
      </c>
      <c r="BI70" s="82">
        <f t="shared" si="27"/>
        <v>104</v>
      </c>
      <c r="BJ70" s="82">
        <f t="shared" si="27"/>
        <v>114</v>
      </c>
      <c r="BK70" s="82">
        <f t="shared" si="27"/>
        <v>120</v>
      </c>
      <c r="BL70" s="82">
        <f t="shared" si="27"/>
        <v>122</v>
      </c>
      <c r="BM70" s="82">
        <f t="shared" si="27"/>
        <v>0</v>
      </c>
      <c r="BN70" s="82">
        <f t="shared" si="27"/>
        <v>124.8</v>
      </c>
      <c r="BO70" s="82">
        <f t="shared" si="27"/>
        <v>104.2</v>
      </c>
      <c r="BP70" s="82">
        <f t="shared" si="27"/>
        <v>104</v>
      </c>
      <c r="BQ70" s="82">
        <f>X88</f>
        <v>83.9</v>
      </c>
      <c r="BR70" s="82">
        <f>Z88</f>
        <v>0</v>
      </c>
      <c r="BS70" s="81">
        <f>AB88</f>
        <v>0</v>
      </c>
      <c r="BT70" s="81">
        <f t="shared" si="28"/>
        <v>0</v>
      </c>
      <c r="BU70" s="81">
        <f t="shared" si="28"/>
        <v>0</v>
      </c>
      <c r="BV70" s="81">
        <f t="shared" si="2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2.2000000000000002</v>
      </c>
      <c r="K71" s="46">
        <v>2.9</v>
      </c>
      <c r="L71" s="46">
        <v>5.0999999999999996</v>
      </c>
      <c r="M71" s="46">
        <v>5.0999999999999996</v>
      </c>
      <c r="N71" s="46">
        <v>5.0999999999999996</v>
      </c>
      <c r="O71" s="46">
        <v>5.0999999999999996</v>
      </c>
      <c r="P71" s="46">
        <v>5.0999999999999996</v>
      </c>
      <c r="Q71" s="46">
        <v>5.0999999999999996</v>
      </c>
      <c r="R71" s="46">
        <v>5.0999999999999996</v>
      </c>
      <c r="S71" s="76">
        <v>8.3000000000000007</v>
      </c>
      <c r="T71" s="76">
        <v>7</v>
      </c>
      <c r="U71" s="76">
        <v>5</v>
      </c>
      <c r="V71" s="76">
        <v>3</v>
      </c>
      <c r="W71" s="76">
        <v>1.2</v>
      </c>
      <c r="X71" s="46">
        <v>0.8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8.3000000000000007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9">M94</f>
        <v>0</v>
      </c>
      <c r="BH71" s="82">
        <f t="shared" si="29"/>
        <v>0</v>
      </c>
      <c r="BI71" s="82">
        <f t="shared" si="29"/>
        <v>0</v>
      </c>
      <c r="BJ71" s="82">
        <f t="shared" si="29"/>
        <v>0</v>
      </c>
      <c r="BK71" s="82">
        <f t="shared" si="29"/>
        <v>0</v>
      </c>
      <c r="BL71" s="82">
        <f t="shared" si="29"/>
        <v>0</v>
      </c>
      <c r="BM71" s="82">
        <f t="shared" si="29"/>
        <v>0</v>
      </c>
      <c r="BN71" s="82">
        <f t="shared" si="29"/>
        <v>0</v>
      </c>
      <c r="BO71" s="82">
        <f t="shared" si="29"/>
        <v>0</v>
      </c>
      <c r="BP71" s="82">
        <f t="shared" si="2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13.4</v>
      </c>
      <c r="C72" s="76">
        <v>13.4</v>
      </c>
      <c r="D72" s="76">
        <v>13.4</v>
      </c>
      <c r="E72" s="76">
        <v>13.4</v>
      </c>
      <c r="F72" s="76">
        <v>13.4</v>
      </c>
      <c r="G72" s="76">
        <v>13.4</v>
      </c>
      <c r="H72" s="76">
        <v>13.4</v>
      </c>
      <c r="I72" s="76">
        <v>13.4</v>
      </c>
      <c r="J72" s="76">
        <v>13.4</v>
      </c>
      <c r="K72" s="76">
        <v>13.4</v>
      </c>
      <c r="L72" s="76">
        <v>13.4</v>
      </c>
      <c r="M72" s="76">
        <v>13.4</v>
      </c>
      <c r="N72" s="76">
        <v>13.4</v>
      </c>
      <c r="O72" s="76">
        <v>13.4</v>
      </c>
      <c r="P72" s="76">
        <v>13.4</v>
      </c>
      <c r="Q72" s="76">
        <v>13.4</v>
      </c>
      <c r="R72" s="76">
        <v>13.4</v>
      </c>
      <c r="S72" s="76">
        <v>15.5</v>
      </c>
      <c r="T72" s="76">
        <v>15.5</v>
      </c>
      <c r="U72" s="76">
        <v>15.5</v>
      </c>
      <c r="V72" s="76">
        <v>15.5</v>
      </c>
      <c r="W72" s="76">
        <v>15.5</v>
      </c>
      <c r="X72" s="76">
        <v>14.1</v>
      </c>
      <c r="Y72" s="76">
        <v>14.1</v>
      </c>
      <c r="Z72" s="76">
        <v>14.1</v>
      </c>
      <c r="AA72" s="76">
        <v>14.1</v>
      </c>
      <c r="AB72" s="76">
        <v>14.1</v>
      </c>
      <c r="AC72" s="76">
        <v>14.1</v>
      </c>
      <c r="AD72" s="76">
        <v>14.1</v>
      </c>
      <c r="AE72" s="76">
        <v>14.1</v>
      </c>
      <c r="AF72" s="76">
        <v>14.1</v>
      </c>
      <c r="AG72" s="66">
        <v>24</v>
      </c>
      <c r="AH72" s="48">
        <f t="shared" si="2"/>
        <v>15.5</v>
      </c>
      <c r="AI72" s="49">
        <f t="shared" si="3"/>
        <v>13.4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3.5</v>
      </c>
      <c r="C73" s="76">
        <v>3.5</v>
      </c>
      <c r="D73" s="76">
        <v>3.5</v>
      </c>
      <c r="E73" s="76">
        <v>3.5</v>
      </c>
      <c r="F73" s="76">
        <v>3.5</v>
      </c>
      <c r="G73" s="76">
        <v>3.5</v>
      </c>
      <c r="H73" s="76">
        <v>3.5</v>
      </c>
      <c r="I73" s="76">
        <v>3.5</v>
      </c>
      <c r="J73" s="76">
        <v>3.5</v>
      </c>
      <c r="K73" s="76">
        <v>3.5</v>
      </c>
      <c r="L73" s="76">
        <v>3.5</v>
      </c>
      <c r="M73" s="76">
        <v>3.5</v>
      </c>
      <c r="N73" s="76">
        <v>3.5</v>
      </c>
      <c r="O73" s="76">
        <v>3.5</v>
      </c>
      <c r="P73" s="76">
        <v>3.5</v>
      </c>
      <c r="Q73" s="76">
        <v>3.5</v>
      </c>
      <c r="R73" s="76">
        <v>3.5</v>
      </c>
      <c r="S73" s="76">
        <v>3.5</v>
      </c>
      <c r="T73" s="76">
        <v>3.5</v>
      </c>
      <c r="U73" s="76">
        <v>3.5</v>
      </c>
      <c r="V73" s="76">
        <v>3.5</v>
      </c>
      <c r="W73" s="76">
        <v>3.5</v>
      </c>
      <c r="X73" s="76">
        <v>3.5</v>
      </c>
      <c r="Y73" s="76">
        <v>3.5</v>
      </c>
      <c r="Z73" s="76">
        <v>3.5</v>
      </c>
      <c r="AA73" s="76">
        <v>3.5</v>
      </c>
      <c r="AB73" s="76">
        <v>3.5</v>
      </c>
      <c r="AC73" s="76">
        <v>3.5</v>
      </c>
      <c r="AD73" s="76">
        <v>3.5</v>
      </c>
      <c r="AE73" s="76">
        <v>3.5</v>
      </c>
      <c r="AF73" s="76">
        <v>3.5</v>
      </c>
      <c r="AG73" s="66">
        <v>15</v>
      </c>
      <c r="AH73" s="48">
        <f t="shared" si="2"/>
        <v>3.5</v>
      </c>
      <c r="AI73" s="49">
        <f t="shared" si="3"/>
        <v>3.5</v>
      </c>
      <c r="AK73" s="51"/>
      <c r="AZ73" s="82">
        <f t="shared" ref="AZ73:BW78" si="30">VALUE(AZ66)</f>
        <v>40</v>
      </c>
      <c r="BA73" s="82">
        <f t="shared" si="30"/>
        <v>34</v>
      </c>
      <c r="BB73" s="82">
        <f t="shared" si="30"/>
        <v>27.8</v>
      </c>
      <c r="BC73" s="82">
        <f t="shared" si="30"/>
        <v>25.6</v>
      </c>
      <c r="BD73" s="82">
        <f t="shared" si="30"/>
        <v>25.9</v>
      </c>
      <c r="BE73" s="82">
        <f t="shared" si="30"/>
        <v>10.1</v>
      </c>
      <c r="BF73" s="82">
        <f t="shared" si="30"/>
        <v>50.4</v>
      </c>
      <c r="BG73" s="82">
        <f t="shared" si="30"/>
        <v>39</v>
      </c>
      <c r="BH73" s="82">
        <f t="shared" si="30"/>
        <v>67</v>
      </c>
      <c r="BI73" s="82">
        <f t="shared" si="30"/>
        <v>69</v>
      </c>
      <c r="BJ73" s="82">
        <f t="shared" si="30"/>
        <v>70.8</v>
      </c>
      <c r="BK73" s="82">
        <f t="shared" si="30"/>
        <v>70</v>
      </c>
      <c r="BL73" s="82">
        <f t="shared" si="30"/>
        <v>63.6</v>
      </c>
      <c r="BM73" s="82">
        <f t="shared" si="30"/>
        <v>0</v>
      </c>
      <c r="BN73" s="82">
        <f t="shared" si="30"/>
        <v>57.9</v>
      </c>
      <c r="BO73" s="82">
        <f t="shared" si="30"/>
        <v>59.8</v>
      </c>
      <c r="BP73" s="82">
        <f t="shared" si="30"/>
        <v>64.7</v>
      </c>
      <c r="BQ73" s="82">
        <f t="shared" si="30"/>
        <v>41.2</v>
      </c>
      <c r="BR73" s="82">
        <f t="shared" si="30"/>
        <v>28.2</v>
      </c>
      <c r="BS73" s="82">
        <f t="shared" si="30"/>
        <v>28</v>
      </c>
      <c r="BT73" s="82">
        <f t="shared" si="30"/>
        <v>30.9</v>
      </c>
      <c r="BU73" s="82">
        <f t="shared" si="30"/>
        <v>29</v>
      </c>
      <c r="BV73" s="82">
        <f t="shared" si="30"/>
        <v>28.6</v>
      </c>
      <c r="BW73" s="82">
        <f t="shared" si="30"/>
        <v>40.200000000000003</v>
      </c>
    </row>
    <row r="74" spans="1:75" x14ac:dyDescent="0.25">
      <c r="A74" s="65" t="s">
        <v>91</v>
      </c>
      <c r="B74" s="76">
        <v>10.199999999999999</v>
      </c>
      <c r="C74" s="76">
        <v>10.199999999999999</v>
      </c>
      <c r="D74" s="76">
        <v>10.199999999999999</v>
      </c>
      <c r="E74" s="76">
        <v>10.199999999999999</v>
      </c>
      <c r="F74" s="76">
        <v>10.199999999999999</v>
      </c>
      <c r="G74" s="76">
        <v>10.199999999999999</v>
      </c>
      <c r="H74" s="76">
        <v>10.199999999999999</v>
      </c>
      <c r="I74" s="76">
        <v>10.199999999999999</v>
      </c>
      <c r="J74" s="76">
        <v>10.199999999999999</v>
      </c>
      <c r="K74" s="76">
        <v>10.199999999999999</v>
      </c>
      <c r="L74" s="76">
        <v>10.199999999999999</v>
      </c>
      <c r="M74" s="76">
        <v>10.199999999999999</v>
      </c>
      <c r="N74" s="76">
        <v>10.199999999999999</v>
      </c>
      <c r="O74" s="76">
        <v>10.199999999999999</v>
      </c>
      <c r="P74" s="76">
        <v>10.199999999999999</v>
      </c>
      <c r="Q74" s="76">
        <v>10.199999999999999</v>
      </c>
      <c r="R74" s="76">
        <v>10.199999999999999</v>
      </c>
      <c r="S74" s="76">
        <v>9.6999999999999993</v>
      </c>
      <c r="T74" s="76">
        <v>9.6999999999999993</v>
      </c>
      <c r="U74" s="76">
        <v>9.6999999999999993</v>
      </c>
      <c r="V74" s="76">
        <v>9.6999999999999993</v>
      </c>
      <c r="W74" s="76">
        <v>9.6999999999999993</v>
      </c>
      <c r="X74" s="76">
        <v>12.4</v>
      </c>
      <c r="Y74" s="76">
        <v>12.4</v>
      </c>
      <c r="Z74" s="76">
        <v>12.4</v>
      </c>
      <c r="AA74" s="76">
        <v>12.4</v>
      </c>
      <c r="AB74" s="76">
        <v>12.4</v>
      </c>
      <c r="AC74" s="76">
        <v>12.4</v>
      </c>
      <c r="AD74" s="76">
        <v>12.4</v>
      </c>
      <c r="AE74" s="76">
        <v>12.4</v>
      </c>
      <c r="AF74" s="76">
        <v>12.4</v>
      </c>
      <c r="AG74" s="66">
        <v>14.1</v>
      </c>
      <c r="AH74" s="48">
        <f t="shared" si="2"/>
        <v>12.4</v>
      </c>
      <c r="AI74" s="49">
        <f t="shared" si="3"/>
        <v>9.6999999999999993</v>
      </c>
      <c r="AK74" s="51"/>
      <c r="AZ74" s="82">
        <f t="shared" si="30"/>
        <v>0</v>
      </c>
      <c r="BA74" s="82">
        <f t="shared" si="30"/>
        <v>0</v>
      </c>
      <c r="BB74" s="82">
        <f t="shared" si="30"/>
        <v>0</v>
      </c>
      <c r="BC74" s="82">
        <f t="shared" si="30"/>
        <v>0</v>
      </c>
      <c r="BD74" s="82">
        <f t="shared" si="30"/>
        <v>0</v>
      </c>
      <c r="BE74" s="82">
        <f t="shared" si="30"/>
        <v>0</v>
      </c>
      <c r="BF74" s="82">
        <f t="shared" si="30"/>
        <v>0</v>
      </c>
      <c r="BG74" s="82">
        <f t="shared" si="30"/>
        <v>0</v>
      </c>
      <c r="BH74" s="82">
        <f t="shared" si="30"/>
        <v>0</v>
      </c>
      <c r="BI74" s="82">
        <f t="shared" si="30"/>
        <v>0</v>
      </c>
      <c r="BJ74" s="82">
        <f t="shared" si="30"/>
        <v>0</v>
      </c>
      <c r="BK74" s="82">
        <f t="shared" si="30"/>
        <v>0</v>
      </c>
      <c r="BL74" s="82">
        <f t="shared" si="30"/>
        <v>0</v>
      </c>
      <c r="BM74" s="82">
        <f t="shared" si="30"/>
        <v>0</v>
      </c>
      <c r="BN74" s="82">
        <f t="shared" si="30"/>
        <v>0</v>
      </c>
      <c r="BO74" s="82">
        <f t="shared" si="30"/>
        <v>0</v>
      </c>
      <c r="BP74" s="82">
        <f t="shared" si="30"/>
        <v>0</v>
      </c>
      <c r="BQ74" s="82">
        <f t="shared" si="30"/>
        <v>0</v>
      </c>
      <c r="BR74" s="82">
        <f t="shared" si="30"/>
        <v>0</v>
      </c>
      <c r="BS74" s="82">
        <f t="shared" si="30"/>
        <v>0</v>
      </c>
      <c r="BT74" s="82">
        <f t="shared" si="30"/>
        <v>0</v>
      </c>
      <c r="BU74" s="82">
        <f t="shared" si="30"/>
        <v>0</v>
      </c>
      <c r="BV74" s="82">
        <f t="shared" si="30"/>
        <v>0</v>
      </c>
      <c r="BW74" s="82">
        <f t="shared" si="30"/>
        <v>0</v>
      </c>
    </row>
    <row r="75" spans="1:75" x14ac:dyDescent="0.25">
      <c r="A75" s="84" t="s">
        <v>93</v>
      </c>
      <c r="B75" s="76">
        <v>13.6</v>
      </c>
      <c r="C75" s="76">
        <v>11.6</v>
      </c>
      <c r="D75" s="76">
        <v>12</v>
      </c>
      <c r="E75" s="76">
        <v>12</v>
      </c>
      <c r="F75" s="76">
        <v>12</v>
      </c>
      <c r="G75" s="76">
        <v>12</v>
      </c>
      <c r="H75" s="76">
        <v>12</v>
      </c>
      <c r="I75" s="76">
        <v>12</v>
      </c>
      <c r="J75" s="76">
        <v>12</v>
      </c>
      <c r="K75" s="76">
        <v>12</v>
      </c>
      <c r="L75" s="76">
        <v>12</v>
      </c>
      <c r="M75" s="76">
        <v>12</v>
      </c>
      <c r="N75" s="76">
        <v>12</v>
      </c>
      <c r="O75" s="76">
        <v>12</v>
      </c>
      <c r="P75" s="76">
        <v>12</v>
      </c>
      <c r="Q75" s="76">
        <v>12</v>
      </c>
      <c r="R75" s="76">
        <v>12</v>
      </c>
      <c r="S75" s="76">
        <v>12</v>
      </c>
      <c r="T75" s="76">
        <v>12</v>
      </c>
      <c r="U75" s="76">
        <v>12</v>
      </c>
      <c r="V75" s="76">
        <v>12</v>
      </c>
      <c r="W75" s="76">
        <v>12</v>
      </c>
      <c r="X75" s="76">
        <v>12.4</v>
      </c>
      <c r="Y75" s="76">
        <v>12.4</v>
      </c>
      <c r="Z75" s="76">
        <v>12.4</v>
      </c>
      <c r="AA75" s="76">
        <v>12.4</v>
      </c>
      <c r="AB75" s="76">
        <v>12.4</v>
      </c>
      <c r="AC75" s="76">
        <v>12.4</v>
      </c>
      <c r="AD75" s="76">
        <v>12.4</v>
      </c>
      <c r="AE75" s="76">
        <v>12.4</v>
      </c>
      <c r="AF75" s="76">
        <v>12.4</v>
      </c>
      <c r="AG75" s="66">
        <v>14</v>
      </c>
      <c r="AH75" s="48">
        <f t="shared" ref="AH75:AH126" si="31">MAX(B75:AF75)</f>
        <v>13.6</v>
      </c>
      <c r="AI75" s="49">
        <f t="shared" ref="AI75:AI126" si="32">MIN(B75:AF75)</f>
        <v>11.6</v>
      </c>
      <c r="AK75" s="51"/>
      <c r="AZ75" s="82">
        <f t="shared" si="30"/>
        <v>-255</v>
      </c>
      <c r="BA75" s="82">
        <f t="shared" si="30"/>
        <v>-260</v>
      </c>
      <c r="BB75" s="82">
        <f t="shared" si="30"/>
        <v>-253</v>
      </c>
      <c r="BC75" s="82">
        <f t="shared" si="30"/>
        <v>-265</v>
      </c>
      <c r="BD75" s="82">
        <f t="shared" si="30"/>
        <v>-250</v>
      </c>
      <c r="BE75" s="82">
        <f t="shared" si="30"/>
        <v>-111</v>
      </c>
      <c r="BF75" s="82">
        <f t="shared" si="30"/>
        <v>-111</v>
      </c>
      <c r="BG75" s="82">
        <f t="shared" si="30"/>
        <v>-110</v>
      </c>
      <c r="BH75" s="82">
        <f t="shared" si="30"/>
        <v>-87</v>
      </c>
      <c r="BI75" s="82">
        <f t="shared" si="30"/>
        <v>-108</v>
      </c>
      <c r="BJ75" s="82">
        <f t="shared" si="30"/>
        <v>-118</v>
      </c>
      <c r="BK75" s="82">
        <f t="shared" si="30"/>
        <v>-120</v>
      </c>
      <c r="BL75" s="82">
        <f t="shared" si="30"/>
        <v>-107</v>
      </c>
      <c r="BM75" s="82">
        <f t="shared" si="30"/>
        <v>-112</v>
      </c>
      <c r="BN75" s="82">
        <f t="shared" si="30"/>
        <v>-119.7</v>
      </c>
      <c r="BO75" s="82">
        <f t="shared" si="30"/>
        <v>154</v>
      </c>
      <c r="BP75" s="82">
        <f t="shared" si="30"/>
        <v>119.4</v>
      </c>
      <c r="BQ75" s="82">
        <f t="shared" si="30"/>
        <v>85.2</v>
      </c>
      <c r="BR75" s="82">
        <f t="shared" si="30"/>
        <v>-119.6</v>
      </c>
      <c r="BS75" s="82">
        <f t="shared" si="30"/>
        <v>-109</v>
      </c>
      <c r="BT75" s="82">
        <f t="shared" si="30"/>
        <v>-124</v>
      </c>
      <c r="BU75" s="82">
        <f t="shared" si="30"/>
        <v>-127</v>
      </c>
      <c r="BV75" s="82">
        <f t="shared" si="30"/>
        <v>-116.5</v>
      </c>
      <c r="BW75" s="82">
        <f t="shared" si="30"/>
        <v>-109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31"/>
        <v>8</v>
      </c>
      <c r="AI76" s="49">
        <f t="shared" si="32"/>
        <v>8</v>
      </c>
      <c r="AK76" s="51"/>
      <c r="AZ76" s="82">
        <f t="shared" si="30"/>
        <v>0</v>
      </c>
      <c r="BA76" s="82">
        <f t="shared" si="30"/>
        <v>0</v>
      </c>
      <c r="BB76" s="82">
        <f t="shared" si="30"/>
        <v>0</v>
      </c>
      <c r="BC76" s="82">
        <f t="shared" si="30"/>
        <v>0</v>
      </c>
      <c r="BD76" s="82">
        <f t="shared" si="30"/>
        <v>0</v>
      </c>
      <c r="BE76" s="82">
        <f t="shared" si="30"/>
        <v>0</v>
      </c>
      <c r="BF76" s="82">
        <f t="shared" si="30"/>
        <v>0</v>
      </c>
      <c r="BG76" s="82">
        <f t="shared" si="30"/>
        <v>0</v>
      </c>
      <c r="BH76" s="82">
        <f t="shared" si="30"/>
        <v>0</v>
      </c>
      <c r="BI76" s="82">
        <f t="shared" si="30"/>
        <v>0</v>
      </c>
      <c r="BJ76" s="82">
        <f t="shared" si="30"/>
        <v>0</v>
      </c>
      <c r="BK76" s="82">
        <f t="shared" si="30"/>
        <v>20.5</v>
      </c>
      <c r="BL76" s="82">
        <f t="shared" si="30"/>
        <v>23.6</v>
      </c>
      <c r="BM76" s="82">
        <f t="shared" si="30"/>
        <v>0</v>
      </c>
      <c r="BN76" s="82">
        <f t="shared" si="30"/>
        <v>25.7</v>
      </c>
      <c r="BO76" s="82">
        <f t="shared" si="30"/>
        <v>28.8</v>
      </c>
      <c r="BP76" s="82">
        <f t="shared" si="30"/>
        <v>26.4</v>
      </c>
      <c r="BQ76" s="82">
        <f t="shared" si="30"/>
        <v>26.9</v>
      </c>
      <c r="BR76" s="82">
        <f t="shared" si="30"/>
        <v>0</v>
      </c>
      <c r="BS76" s="82">
        <f t="shared" si="30"/>
        <v>0</v>
      </c>
      <c r="BT76" s="82">
        <f t="shared" si="30"/>
        <v>0</v>
      </c>
      <c r="BU76" s="82">
        <f t="shared" si="30"/>
        <v>0</v>
      </c>
      <c r="BV76" s="82">
        <f t="shared" si="30"/>
        <v>0</v>
      </c>
      <c r="BW76" s="82">
        <f t="shared" si="30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1"/>
        <v>3</v>
      </c>
      <c r="AI77" s="49">
        <f t="shared" si="32"/>
        <v>3</v>
      </c>
      <c r="AK77" s="51"/>
      <c r="AZ77" s="82">
        <f t="shared" si="30"/>
        <v>0</v>
      </c>
      <c r="BA77" s="82">
        <f t="shared" si="30"/>
        <v>0</v>
      </c>
      <c r="BB77" s="82">
        <f t="shared" si="30"/>
        <v>0</v>
      </c>
      <c r="BC77" s="82">
        <f t="shared" si="30"/>
        <v>0</v>
      </c>
      <c r="BD77" s="82">
        <f t="shared" si="30"/>
        <v>0</v>
      </c>
      <c r="BE77" s="82">
        <f t="shared" si="30"/>
        <v>0</v>
      </c>
      <c r="BF77" s="82">
        <f t="shared" si="30"/>
        <v>112.3</v>
      </c>
      <c r="BG77" s="82">
        <f t="shared" si="30"/>
        <v>116</v>
      </c>
      <c r="BH77" s="82">
        <f t="shared" si="30"/>
        <v>115</v>
      </c>
      <c r="BI77" s="82">
        <f t="shared" si="30"/>
        <v>104</v>
      </c>
      <c r="BJ77" s="82">
        <f t="shared" si="30"/>
        <v>114</v>
      </c>
      <c r="BK77" s="82">
        <f t="shared" si="30"/>
        <v>120</v>
      </c>
      <c r="BL77" s="82">
        <f t="shared" si="30"/>
        <v>122</v>
      </c>
      <c r="BM77" s="82">
        <f t="shared" si="30"/>
        <v>0</v>
      </c>
      <c r="BN77" s="82">
        <f t="shared" si="30"/>
        <v>124.8</v>
      </c>
      <c r="BO77" s="82">
        <f t="shared" si="30"/>
        <v>104.2</v>
      </c>
      <c r="BP77" s="82">
        <f t="shared" si="30"/>
        <v>104</v>
      </c>
      <c r="BQ77" s="82">
        <f t="shared" si="30"/>
        <v>83.9</v>
      </c>
      <c r="BR77" s="82">
        <f t="shared" si="30"/>
        <v>0</v>
      </c>
      <c r="BS77" s="82">
        <f t="shared" si="30"/>
        <v>0</v>
      </c>
      <c r="BT77" s="82">
        <f t="shared" si="30"/>
        <v>0</v>
      </c>
      <c r="BU77" s="82">
        <f t="shared" si="30"/>
        <v>0</v>
      </c>
      <c r="BV77" s="82">
        <f t="shared" si="30"/>
        <v>0</v>
      </c>
      <c r="BW77" s="82">
        <f t="shared" si="3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1"/>
        <v>5.5</v>
      </c>
      <c r="AI78" s="49">
        <f t="shared" si="32"/>
        <v>3.5</v>
      </c>
      <c r="AK78" s="51"/>
      <c r="AZ78" s="82">
        <f t="shared" si="30"/>
        <v>0</v>
      </c>
      <c r="BA78" s="82">
        <f t="shared" si="30"/>
        <v>0</v>
      </c>
      <c r="BB78" s="82">
        <f t="shared" si="30"/>
        <v>0</v>
      </c>
      <c r="BC78" s="82">
        <f t="shared" si="30"/>
        <v>0</v>
      </c>
      <c r="BD78" s="82">
        <f t="shared" si="30"/>
        <v>0</v>
      </c>
      <c r="BE78" s="82">
        <f t="shared" si="30"/>
        <v>0</v>
      </c>
      <c r="BF78" s="82">
        <f t="shared" si="30"/>
        <v>0</v>
      </c>
      <c r="BG78" s="82">
        <f t="shared" si="30"/>
        <v>0</v>
      </c>
      <c r="BH78" s="82">
        <f t="shared" si="30"/>
        <v>0</v>
      </c>
      <c r="BI78" s="82">
        <f t="shared" si="30"/>
        <v>0</v>
      </c>
      <c r="BJ78" s="82">
        <f t="shared" si="30"/>
        <v>0</v>
      </c>
      <c r="BK78" s="82">
        <f t="shared" si="30"/>
        <v>0</v>
      </c>
      <c r="BL78" s="82">
        <f t="shared" si="30"/>
        <v>0</v>
      </c>
      <c r="BM78" s="82">
        <f t="shared" si="30"/>
        <v>0</v>
      </c>
      <c r="BN78" s="82">
        <f t="shared" si="30"/>
        <v>0</v>
      </c>
      <c r="BO78" s="82">
        <f t="shared" si="30"/>
        <v>0</v>
      </c>
      <c r="BP78" s="82">
        <f t="shared" si="30"/>
        <v>0</v>
      </c>
      <c r="BQ78" s="82">
        <f t="shared" si="30"/>
        <v>0</v>
      </c>
      <c r="BR78" s="82">
        <f t="shared" si="30"/>
        <v>0</v>
      </c>
      <c r="BS78" s="82">
        <f t="shared" si="30"/>
        <v>0</v>
      </c>
      <c r="BT78" s="82">
        <f t="shared" si="30"/>
        <v>0</v>
      </c>
      <c r="BU78" s="82">
        <f t="shared" si="30"/>
        <v>0</v>
      </c>
      <c r="BV78" s="82">
        <f t="shared" si="30"/>
        <v>0</v>
      </c>
      <c r="BW78" s="82">
        <f t="shared" si="30"/>
        <v>0</v>
      </c>
    </row>
    <row r="79" spans="1:75" ht="15.75" thickBot="1" x14ac:dyDescent="0.3">
      <c r="A79" s="87" t="s">
        <v>99</v>
      </c>
      <c r="B79" s="71">
        <f t="shared" ref="B79:C79" si="33">SUM(B66:B78)</f>
        <v>407.14</v>
      </c>
      <c r="C79" s="71">
        <f t="shared" si="33"/>
        <v>405.14</v>
      </c>
      <c r="D79" s="71">
        <f t="shared" ref="D79:AG79" si="34">SUM(D66:D78)</f>
        <v>410.53999999999996</v>
      </c>
      <c r="E79" s="71">
        <f t="shared" si="34"/>
        <v>410.53999999999996</v>
      </c>
      <c r="F79" s="71">
        <f t="shared" si="34"/>
        <v>410.53999999999996</v>
      </c>
      <c r="G79" s="71">
        <f t="shared" si="34"/>
        <v>410.53999999999996</v>
      </c>
      <c r="H79" s="71">
        <f t="shared" si="34"/>
        <v>410.53999999999996</v>
      </c>
      <c r="I79" s="71">
        <f t="shared" si="34"/>
        <v>405.53999999999996</v>
      </c>
      <c r="J79" s="71">
        <f t="shared" si="34"/>
        <v>407.73999999999995</v>
      </c>
      <c r="K79" s="71">
        <f t="shared" si="34"/>
        <v>366.84</v>
      </c>
      <c r="L79" s="71">
        <f t="shared" si="34"/>
        <v>369.04</v>
      </c>
      <c r="M79" s="71">
        <f t="shared" si="34"/>
        <v>347.74</v>
      </c>
      <c r="N79" s="71">
        <f t="shared" si="34"/>
        <v>347.74</v>
      </c>
      <c r="O79" s="71">
        <f t="shared" si="34"/>
        <v>356.54</v>
      </c>
      <c r="P79" s="71">
        <f t="shared" si="34"/>
        <v>356.54</v>
      </c>
      <c r="Q79" s="71">
        <f t="shared" si="34"/>
        <v>410.74</v>
      </c>
      <c r="R79" s="71">
        <f t="shared" si="34"/>
        <v>428.74</v>
      </c>
      <c r="S79" s="71">
        <f t="shared" si="34"/>
        <v>438.44</v>
      </c>
      <c r="T79" s="71">
        <f t="shared" si="34"/>
        <v>437.14</v>
      </c>
      <c r="U79" s="71">
        <f t="shared" si="34"/>
        <v>435.14</v>
      </c>
      <c r="V79" s="71">
        <f t="shared" si="34"/>
        <v>433.14</v>
      </c>
      <c r="W79" s="71">
        <f t="shared" si="34"/>
        <v>316.53999999999996</v>
      </c>
      <c r="X79" s="71">
        <f t="shared" si="34"/>
        <v>315.74</v>
      </c>
      <c r="Y79" s="71">
        <f t="shared" si="34"/>
        <v>378.7</v>
      </c>
      <c r="Z79" s="71">
        <f t="shared" si="34"/>
        <v>401.29999999999995</v>
      </c>
      <c r="AA79" s="71">
        <f t="shared" si="34"/>
        <v>415.04</v>
      </c>
      <c r="AB79" s="71">
        <f t="shared" si="34"/>
        <v>424.54</v>
      </c>
      <c r="AC79" s="71">
        <f t="shared" si="34"/>
        <v>424.54</v>
      </c>
      <c r="AD79" s="71">
        <f t="shared" si="34"/>
        <v>424.54</v>
      </c>
      <c r="AE79" s="71">
        <f t="shared" si="34"/>
        <v>424.54</v>
      </c>
      <c r="AF79" s="71">
        <f t="shared" si="34"/>
        <v>424.54</v>
      </c>
      <c r="AG79" s="72">
        <f t="shared" si="34"/>
        <v>489.91</v>
      </c>
      <c r="AH79" s="48">
        <f t="shared" si="31"/>
        <v>438.44</v>
      </c>
      <c r="AI79" s="49">
        <f t="shared" si="32"/>
        <v>315.74</v>
      </c>
      <c r="AK79" s="51"/>
      <c r="AY79" s="82"/>
    </row>
    <row r="80" spans="1:75" x14ac:dyDescent="0.25">
      <c r="A80" s="45" t="s">
        <v>100</v>
      </c>
      <c r="B80" s="46">
        <v>30</v>
      </c>
      <c r="C80" s="46">
        <v>14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/>
      <c r="P80" s="46"/>
      <c r="Q80" s="46"/>
      <c r="R80" s="46"/>
      <c r="S80" s="46"/>
      <c r="T80" s="46">
        <v>29.4</v>
      </c>
      <c r="U80" s="46">
        <v>13.8</v>
      </c>
      <c r="V80" s="46">
        <v>43</v>
      </c>
      <c r="W80" s="46">
        <v>42.9</v>
      </c>
      <c r="X80" s="46">
        <v>43</v>
      </c>
      <c r="Y80" s="46">
        <v>28.6</v>
      </c>
      <c r="Z80" s="46">
        <v>39.4</v>
      </c>
      <c r="AA80" s="46">
        <v>49.7</v>
      </c>
      <c r="AB80" s="46">
        <v>39</v>
      </c>
      <c r="AC80" s="46">
        <v>29.7</v>
      </c>
      <c r="AD80" s="46">
        <v>13.4</v>
      </c>
      <c r="AE80" s="46">
        <v>29</v>
      </c>
      <c r="AF80" s="46">
        <v>0</v>
      </c>
      <c r="AG80" s="61">
        <v>60</v>
      </c>
      <c r="AH80" s="48">
        <f t="shared" si="31"/>
        <v>49.7</v>
      </c>
      <c r="AI80" s="49">
        <f t="shared" si="3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14.8</v>
      </c>
      <c r="C81" s="76">
        <v>14.6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/>
      <c r="P81" s="76"/>
      <c r="Q81" s="76"/>
      <c r="R81" s="76"/>
      <c r="S81" s="76"/>
      <c r="T81" s="76">
        <v>14.4</v>
      </c>
      <c r="U81" s="76">
        <v>15.1</v>
      </c>
      <c r="V81" s="76">
        <v>20.7</v>
      </c>
      <c r="W81" s="76">
        <v>18.399999999999999</v>
      </c>
      <c r="X81" s="76">
        <v>18.5</v>
      </c>
      <c r="Y81" s="76">
        <v>7.8</v>
      </c>
      <c r="Z81" s="76">
        <v>14.5</v>
      </c>
      <c r="AA81" s="76">
        <v>22.4</v>
      </c>
      <c r="AB81" s="76">
        <v>16.600000000000001</v>
      </c>
      <c r="AC81" s="76">
        <v>14.7</v>
      </c>
      <c r="AD81" s="76">
        <v>6</v>
      </c>
      <c r="AE81" s="76">
        <v>14</v>
      </c>
      <c r="AF81" s="76">
        <v>0</v>
      </c>
      <c r="AG81" s="66">
        <v>32</v>
      </c>
      <c r="AH81" s="48">
        <f t="shared" si="31"/>
        <v>22.4</v>
      </c>
      <c r="AI81" s="49">
        <f t="shared" si="3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5.4</v>
      </c>
      <c r="C82" s="78">
        <v>5.3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/>
      <c r="P82" s="78"/>
      <c r="Q82" s="78"/>
      <c r="R82" s="78"/>
      <c r="S82" s="78"/>
      <c r="T82" s="78">
        <v>5.2</v>
      </c>
      <c r="U82" s="78">
        <v>5.5</v>
      </c>
      <c r="V82" s="78">
        <v>7.6</v>
      </c>
      <c r="W82" s="78">
        <v>6.7</v>
      </c>
      <c r="X82" s="78">
        <v>6.8</v>
      </c>
      <c r="Y82" s="78">
        <v>2.8</v>
      </c>
      <c r="Z82" s="78">
        <v>5.3</v>
      </c>
      <c r="AA82" s="78">
        <v>8.1999999999999993</v>
      </c>
      <c r="AB82" s="78">
        <v>6</v>
      </c>
      <c r="AC82" s="78">
        <v>5.3</v>
      </c>
      <c r="AD82" s="78">
        <v>2.2000000000000002</v>
      </c>
      <c r="AE82" s="78">
        <v>5.2</v>
      </c>
      <c r="AF82" s="78">
        <v>0</v>
      </c>
      <c r="AG82" s="79">
        <v>14</v>
      </c>
      <c r="AH82" s="48">
        <f t="shared" si="31"/>
        <v>8.1999999999999993</v>
      </c>
      <c r="AI82" s="49">
        <f t="shared" si="32"/>
        <v>0</v>
      </c>
      <c r="AK82" s="51"/>
      <c r="AY82" s="82"/>
      <c r="BF82" s="81"/>
      <c r="BG82" s="82">
        <f t="array" ref="BG82:BL105">TRANSPOSE(AZ66:BW71)</f>
        <v>40</v>
      </c>
      <c r="BH82" s="82">
        <v>0</v>
      </c>
      <c r="BI82" s="82">
        <v>-255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35">B80+B81+B82</f>
        <v>50.199999999999996</v>
      </c>
      <c r="C83" s="71">
        <f t="shared" si="35"/>
        <v>33.9</v>
      </c>
      <c r="D83" s="71">
        <f t="shared" ref="D83:AF83" si="36">D80+D81+D82</f>
        <v>0</v>
      </c>
      <c r="E83" s="71">
        <f t="shared" si="36"/>
        <v>0</v>
      </c>
      <c r="F83" s="71">
        <f t="shared" si="36"/>
        <v>0</v>
      </c>
      <c r="G83" s="71">
        <f t="shared" si="36"/>
        <v>0</v>
      </c>
      <c r="H83" s="71">
        <f t="shared" si="36"/>
        <v>0</v>
      </c>
      <c r="I83" s="71">
        <f t="shared" si="36"/>
        <v>0</v>
      </c>
      <c r="J83" s="71">
        <f t="shared" si="36"/>
        <v>0</v>
      </c>
      <c r="K83" s="71">
        <f t="shared" si="36"/>
        <v>0</v>
      </c>
      <c r="L83" s="71">
        <f t="shared" si="36"/>
        <v>0</v>
      </c>
      <c r="M83" s="71">
        <f t="shared" si="36"/>
        <v>0</v>
      </c>
      <c r="N83" s="71">
        <f t="shared" si="36"/>
        <v>0</v>
      </c>
      <c r="O83" s="71">
        <f t="shared" si="36"/>
        <v>0</v>
      </c>
      <c r="P83" s="71">
        <f t="shared" si="36"/>
        <v>0</v>
      </c>
      <c r="Q83" s="71">
        <f t="shared" si="36"/>
        <v>0</v>
      </c>
      <c r="R83" s="71">
        <f t="shared" si="36"/>
        <v>0</v>
      </c>
      <c r="S83" s="71">
        <f t="shared" si="36"/>
        <v>0</v>
      </c>
      <c r="T83" s="71">
        <f t="shared" si="36"/>
        <v>49</v>
      </c>
      <c r="U83" s="71">
        <f t="shared" si="36"/>
        <v>34.4</v>
      </c>
      <c r="V83" s="71">
        <f t="shared" si="36"/>
        <v>71.3</v>
      </c>
      <c r="W83" s="71">
        <f t="shared" si="36"/>
        <v>68</v>
      </c>
      <c r="X83" s="71">
        <f t="shared" si="36"/>
        <v>68.3</v>
      </c>
      <c r="Y83" s="71">
        <f t="shared" si="36"/>
        <v>39.199999999999996</v>
      </c>
      <c r="Z83" s="71">
        <f t="shared" si="36"/>
        <v>59.199999999999996</v>
      </c>
      <c r="AA83" s="71">
        <f t="shared" si="36"/>
        <v>80.3</v>
      </c>
      <c r="AB83" s="71">
        <f t="shared" si="36"/>
        <v>61.6</v>
      </c>
      <c r="AC83" s="71">
        <f t="shared" si="36"/>
        <v>49.699999999999996</v>
      </c>
      <c r="AD83" s="71">
        <f t="shared" si="36"/>
        <v>21.599999999999998</v>
      </c>
      <c r="AE83" s="71">
        <f t="shared" si="36"/>
        <v>48.2</v>
      </c>
      <c r="AF83" s="71">
        <f t="shared" si="36"/>
        <v>0</v>
      </c>
      <c r="AG83" s="72">
        <f>SUM(AG80:AG82)</f>
        <v>106</v>
      </c>
      <c r="AH83" s="48">
        <f t="shared" si="31"/>
        <v>80.3</v>
      </c>
      <c r="AI83" s="49">
        <f t="shared" si="32"/>
        <v>0</v>
      </c>
      <c r="AK83" s="51"/>
      <c r="AY83" s="82"/>
      <c r="BF83" s="81"/>
      <c r="BG83" s="82">
        <v>34</v>
      </c>
      <c r="BH83" s="82">
        <v>0</v>
      </c>
      <c r="BI83" s="82">
        <v>-260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40.200000000000003</v>
      </c>
      <c r="C84" s="46">
        <v>40.200000000000003</v>
      </c>
      <c r="D84" s="46">
        <v>34</v>
      </c>
      <c r="E84" s="46">
        <v>27.8</v>
      </c>
      <c r="F84" s="46">
        <v>25.6</v>
      </c>
      <c r="G84" s="46">
        <v>25.9</v>
      </c>
      <c r="H84" s="46">
        <v>23.9</v>
      </c>
      <c r="I84" s="46">
        <v>10.1</v>
      </c>
      <c r="J84" s="46">
        <v>36</v>
      </c>
      <c r="K84" s="46">
        <v>50.4</v>
      </c>
      <c r="L84" s="46">
        <v>56</v>
      </c>
      <c r="M84" s="46">
        <v>39</v>
      </c>
      <c r="N84" s="46">
        <v>67</v>
      </c>
      <c r="O84" s="46">
        <v>69</v>
      </c>
      <c r="P84" s="46">
        <v>70.8</v>
      </c>
      <c r="Q84" s="46">
        <v>70</v>
      </c>
      <c r="R84" s="46">
        <v>63.6</v>
      </c>
      <c r="S84" s="46"/>
      <c r="T84" s="46">
        <v>57.9</v>
      </c>
      <c r="U84" s="46">
        <v>59.8</v>
      </c>
      <c r="V84" s="46">
        <v>64.7</v>
      </c>
      <c r="W84" s="46" t="s">
        <v>322</v>
      </c>
      <c r="X84" s="46">
        <v>41.2</v>
      </c>
      <c r="Y84" s="46">
        <v>27.4</v>
      </c>
      <c r="Z84" s="46">
        <v>28.2</v>
      </c>
      <c r="AA84" s="46">
        <v>30.9</v>
      </c>
      <c r="AB84" s="46">
        <v>28</v>
      </c>
      <c r="AC84" s="46">
        <v>26.2</v>
      </c>
      <c r="AD84" s="46">
        <v>30.9</v>
      </c>
      <c r="AE84" s="46">
        <v>29</v>
      </c>
      <c r="AF84" s="46">
        <v>28.6</v>
      </c>
      <c r="AG84" s="61"/>
      <c r="AH84" s="48">
        <f t="shared" si="31"/>
        <v>70.8</v>
      </c>
      <c r="AI84" s="49">
        <f t="shared" si="32"/>
        <v>10.1</v>
      </c>
      <c r="AK84" s="51"/>
      <c r="AY84" s="82"/>
      <c r="BF84" s="81"/>
      <c r="BG84" s="82">
        <v>27.8</v>
      </c>
      <c r="BH84" s="82">
        <v>0</v>
      </c>
      <c r="BI84" s="82">
        <v>-253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/>
      <c r="P85" s="76"/>
      <c r="Q85" s="76"/>
      <c r="R85" s="76"/>
      <c r="S85" s="76"/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66"/>
      <c r="AH85" s="48">
        <f t="shared" si="31"/>
        <v>0</v>
      </c>
      <c r="AI85" s="49">
        <f t="shared" si="32"/>
        <v>0</v>
      </c>
      <c r="AK85" s="51"/>
      <c r="AL85" s="91" t="s">
        <v>111</v>
      </c>
      <c r="AM85" s="91"/>
      <c r="AY85" s="82"/>
      <c r="BF85" s="82"/>
      <c r="BG85" s="82">
        <v>25.6</v>
      </c>
      <c r="BH85" s="82">
        <v>0</v>
      </c>
      <c r="BI85" s="82">
        <v>-265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-109</v>
      </c>
      <c r="C86" s="76">
        <v>-255</v>
      </c>
      <c r="D86" s="76">
        <v>-260</v>
      </c>
      <c r="E86" s="76">
        <v>-253</v>
      </c>
      <c r="F86" s="76">
        <v>-265</v>
      </c>
      <c r="G86" s="76">
        <v>-250</v>
      </c>
      <c r="H86" s="76">
        <v>-111</v>
      </c>
      <c r="I86" s="76">
        <v>-111</v>
      </c>
      <c r="J86" s="76">
        <v>-117</v>
      </c>
      <c r="K86" s="76">
        <v>-111</v>
      </c>
      <c r="L86" s="76">
        <v>-118</v>
      </c>
      <c r="M86" s="76">
        <v>-110</v>
      </c>
      <c r="N86" s="76">
        <v>-87</v>
      </c>
      <c r="O86" s="76">
        <v>-108</v>
      </c>
      <c r="P86" s="76">
        <v>-118</v>
      </c>
      <c r="Q86" s="76">
        <v>-120</v>
      </c>
      <c r="R86" s="76">
        <v>-107</v>
      </c>
      <c r="S86" s="76">
        <v>-112</v>
      </c>
      <c r="T86" s="76">
        <v>-119.7</v>
      </c>
      <c r="U86" s="76">
        <v>154</v>
      </c>
      <c r="V86" s="76">
        <v>119.4</v>
      </c>
      <c r="W86" s="76">
        <v>130.6</v>
      </c>
      <c r="X86" s="76">
        <v>85.2</v>
      </c>
      <c r="Y86" s="76">
        <v>-125</v>
      </c>
      <c r="Z86" s="76">
        <v>-119.6</v>
      </c>
      <c r="AA86" s="76">
        <v>-81.400000000000006</v>
      </c>
      <c r="AB86" s="76">
        <v>-109</v>
      </c>
      <c r="AC86" s="76">
        <v>-121</v>
      </c>
      <c r="AD86" s="76">
        <v>-124</v>
      </c>
      <c r="AE86" s="76">
        <v>-127</v>
      </c>
      <c r="AF86" s="76">
        <v>-116.5</v>
      </c>
      <c r="AG86" s="88"/>
      <c r="AH86" s="48">
        <f t="shared" si="31"/>
        <v>154</v>
      </c>
      <c r="AI86" s="49">
        <f t="shared" si="32"/>
        <v>-265</v>
      </c>
      <c r="AK86" s="92"/>
      <c r="AL86" s="93"/>
      <c r="AM86" s="93"/>
      <c r="AN86" s="94"/>
      <c r="AY86" s="82"/>
      <c r="BF86" s="82"/>
      <c r="BG86" s="82">
        <v>25.9</v>
      </c>
      <c r="BH86" s="82">
        <v>0</v>
      </c>
      <c r="BI86" s="82">
        <v>-250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>
        <v>0</v>
      </c>
      <c r="C87" s="89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89">
        <v>0</v>
      </c>
      <c r="L87" s="89">
        <v>0</v>
      </c>
      <c r="M87" s="89">
        <v>0</v>
      </c>
      <c r="N87" s="89"/>
      <c r="O87" s="89"/>
      <c r="P87" s="89"/>
      <c r="Q87" s="89">
        <v>20.5</v>
      </c>
      <c r="R87" s="89">
        <v>23.6</v>
      </c>
      <c r="S87" s="89"/>
      <c r="T87" s="89">
        <v>25.7</v>
      </c>
      <c r="U87" s="89">
        <v>28.8</v>
      </c>
      <c r="V87" s="89">
        <v>26.4</v>
      </c>
      <c r="W87" s="89">
        <v>28</v>
      </c>
      <c r="X87" s="89">
        <v>26.9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31"/>
        <v>28.8</v>
      </c>
      <c r="AI87" s="49">
        <f t="shared" si="32"/>
        <v>0</v>
      </c>
      <c r="AK87" s="95" t="s">
        <v>114</v>
      </c>
      <c r="AL87" s="76"/>
      <c r="AM87" s="89"/>
      <c r="AN87" s="96"/>
      <c r="AY87" s="82"/>
      <c r="BF87" s="82"/>
      <c r="BG87" s="82">
        <v>10.1</v>
      </c>
      <c r="BH87" s="82">
        <v>0</v>
      </c>
      <c r="BI87" s="82">
        <v>-111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105</v>
      </c>
      <c r="K88" s="46">
        <v>112.3</v>
      </c>
      <c r="L88" s="46">
        <v>122.3</v>
      </c>
      <c r="M88" s="46">
        <v>116</v>
      </c>
      <c r="N88" s="46">
        <v>115</v>
      </c>
      <c r="O88" s="46">
        <v>104</v>
      </c>
      <c r="P88" s="46">
        <v>114</v>
      </c>
      <c r="Q88" s="46">
        <v>120</v>
      </c>
      <c r="R88" s="46">
        <v>122</v>
      </c>
      <c r="S88" s="46"/>
      <c r="T88" s="46">
        <v>124.8</v>
      </c>
      <c r="U88" s="46">
        <v>104.2</v>
      </c>
      <c r="V88" s="46">
        <v>104</v>
      </c>
      <c r="W88" s="46">
        <v>93.1</v>
      </c>
      <c r="X88" s="46">
        <v>83.9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1"/>
        <v>124.8</v>
      </c>
      <c r="AI88" s="49">
        <f t="shared" si="32"/>
        <v>0</v>
      </c>
      <c r="AK88" s="95" t="s">
        <v>116</v>
      </c>
      <c r="AL88" s="89"/>
      <c r="AM88" s="89"/>
      <c r="AN88" s="96"/>
      <c r="AY88" s="82"/>
      <c r="BF88" s="82"/>
      <c r="BG88" s="82">
        <v>50.4</v>
      </c>
      <c r="BH88" s="82">
        <v>0</v>
      </c>
      <c r="BI88" s="82">
        <v>-111</v>
      </c>
      <c r="BJ88" s="82">
        <v>0</v>
      </c>
      <c r="BK88" s="82">
        <v>112.3</v>
      </c>
      <c r="BL88" s="82">
        <v>0</v>
      </c>
    </row>
    <row r="89" spans="1:64" ht="15.75" thickBot="1" x14ac:dyDescent="0.3">
      <c r="A89" s="97" t="s">
        <v>117</v>
      </c>
      <c r="B89" s="90">
        <v>47.1</v>
      </c>
      <c r="C89" s="90">
        <v>46.2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/>
      <c r="O89" s="90"/>
      <c r="P89" s="90"/>
      <c r="Q89" s="90"/>
      <c r="R89" s="90">
        <v>46</v>
      </c>
      <c r="S89" s="90"/>
      <c r="T89" s="90">
        <v>50.1</v>
      </c>
      <c r="U89" s="90">
        <v>50.3</v>
      </c>
      <c r="V89" s="90">
        <v>50.5</v>
      </c>
      <c r="W89" s="90">
        <v>48</v>
      </c>
      <c r="X89" s="90">
        <v>53.8</v>
      </c>
      <c r="Y89" s="90">
        <v>45.1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88"/>
      <c r="AH89" s="48">
        <f>MAX(B89:AF89)</f>
        <v>53.8</v>
      </c>
      <c r="AI89" s="49">
        <f t="shared" si="32"/>
        <v>0</v>
      </c>
      <c r="AK89" s="99"/>
      <c r="AL89" s="46"/>
      <c r="AM89" s="46"/>
      <c r="AN89" s="100"/>
      <c r="AY89" s="82"/>
      <c r="BF89" s="82"/>
      <c r="BG89" s="82">
        <v>39</v>
      </c>
      <c r="BH89" s="82">
        <v>0</v>
      </c>
      <c r="BI89" s="82">
        <v>-110</v>
      </c>
      <c r="BJ89" s="82">
        <v>0</v>
      </c>
      <c r="BK89" s="82">
        <v>116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1"/>
        <v>0</v>
      </c>
      <c r="AI90" s="49">
        <f t="shared" si="32"/>
        <v>0</v>
      </c>
      <c r="AK90" s="99"/>
      <c r="AL90" s="90"/>
      <c r="AM90" s="102"/>
      <c r="AN90" s="202"/>
      <c r="AY90" s="82"/>
      <c r="BF90" s="82"/>
      <c r="BG90" s="82">
        <v>67</v>
      </c>
      <c r="BH90" s="82">
        <v>0</v>
      </c>
      <c r="BI90" s="82">
        <v>-87</v>
      </c>
      <c r="BJ90" s="82">
        <v>0</v>
      </c>
      <c r="BK90" s="82">
        <v>115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1"/>
        <v>0</v>
      </c>
      <c r="AI91" s="49">
        <f t="shared" si="32"/>
        <v>0</v>
      </c>
      <c r="AK91" s="99"/>
      <c r="AL91" s="90"/>
      <c r="AM91" s="90"/>
      <c r="AN91" s="203"/>
      <c r="BF91" s="82"/>
      <c r="BG91" s="82">
        <v>69</v>
      </c>
      <c r="BH91" s="82">
        <v>0</v>
      </c>
      <c r="BI91" s="82">
        <v>-108</v>
      </c>
      <c r="BJ91" s="82">
        <v>0</v>
      </c>
      <c r="BK91" s="82">
        <v>104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1"/>
        <v>0</v>
      </c>
      <c r="AI92" s="49">
        <f t="shared" si="32"/>
        <v>0</v>
      </c>
      <c r="AK92" s="104"/>
      <c r="AL92" s="105"/>
      <c r="AM92" s="105"/>
      <c r="AN92" s="106"/>
      <c r="BF92" s="82"/>
      <c r="BG92" s="82">
        <v>70.8</v>
      </c>
      <c r="BH92" s="82">
        <v>0</v>
      </c>
      <c r="BI92" s="82">
        <v>-118</v>
      </c>
      <c r="BJ92" s="82">
        <v>0</v>
      </c>
      <c r="BK92" s="82">
        <v>114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1"/>
        <v>0</v>
      </c>
      <c r="AI93" s="49">
        <f t="shared" si="32"/>
        <v>0</v>
      </c>
      <c r="BF93" s="82"/>
      <c r="BG93" s="82">
        <v>70</v>
      </c>
      <c r="BH93" s="82">
        <v>0</v>
      </c>
      <c r="BI93" s="82">
        <v>-120</v>
      </c>
      <c r="BJ93" s="82">
        <v>20.5</v>
      </c>
      <c r="BK93" s="82">
        <v>120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1"/>
        <v>0</v>
      </c>
      <c r="AI94" s="49">
        <f t="shared" si="32"/>
        <v>0</v>
      </c>
      <c r="BF94" s="82"/>
      <c r="BG94" s="82">
        <v>63.6</v>
      </c>
      <c r="BH94" s="82">
        <v>0</v>
      </c>
      <c r="BI94" s="82">
        <v>-107</v>
      </c>
      <c r="BJ94" s="82">
        <v>23.6</v>
      </c>
      <c r="BK94" s="82">
        <v>122</v>
      </c>
      <c r="BL94" s="82">
        <v>0</v>
      </c>
    </row>
    <row r="95" spans="1:64" ht="15.75" thickBot="1" x14ac:dyDescent="0.3">
      <c r="A95" s="87" t="s">
        <v>118</v>
      </c>
      <c r="B95" s="71">
        <f t="shared" ref="B95" si="37">SUMIF(B84:B94,"&gt;0")</f>
        <v>87.300000000000011</v>
      </c>
      <c r="C95" s="71">
        <f>SUMIF(C84:C94,"&gt;0")</f>
        <v>86.4</v>
      </c>
      <c r="D95" s="71">
        <f t="shared" ref="D95:AF95" si="38">SUMIF(D84:D94,"&gt;0")</f>
        <v>34</v>
      </c>
      <c r="E95" s="71">
        <f t="shared" si="38"/>
        <v>27.8</v>
      </c>
      <c r="F95" s="71">
        <f t="shared" si="38"/>
        <v>25.6</v>
      </c>
      <c r="G95" s="71">
        <f t="shared" si="38"/>
        <v>25.9</v>
      </c>
      <c r="H95" s="71">
        <f t="shared" si="38"/>
        <v>23.9</v>
      </c>
      <c r="I95" s="71">
        <f t="shared" si="38"/>
        <v>10.1</v>
      </c>
      <c r="J95" s="71">
        <f t="shared" si="38"/>
        <v>141</v>
      </c>
      <c r="K95" s="71">
        <f t="shared" si="38"/>
        <v>162.69999999999999</v>
      </c>
      <c r="L95" s="71">
        <f t="shared" si="38"/>
        <v>178.3</v>
      </c>
      <c r="M95" s="71">
        <f t="shared" si="38"/>
        <v>155</v>
      </c>
      <c r="N95" s="71">
        <f t="shared" si="38"/>
        <v>182</v>
      </c>
      <c r="O95" s="71">
        <f t="shared" si="38"/>
        <v>173</v>
      </c>
      <c r="P95" s="71">
        <f t="shared" si="38"/>
        <v>184.8</v>
      </c>
      <c r="Q95" s="71">
        <f t="shared" si="38"/>
        <v>210.5</v>
      </c>
      <c r="R95" s="71">
        <f t="shared" si="38"/>
        <v>255.2</v>
      </c>
      <c r="S95" s="71">
        <f t="shared" si="38"/>
        <v>0</v>
      </c>
      <c r="T95" s="71">
        <f t="shared" si="38"/>
        <v>258.5</v>
      </c>
      <c r="U95" s="71">
        <f>SUMIF(U84:U94,"&gt;0")</f>
        <v>397.1</v>
      </c>
      <c r="V95" s="71">
        <f t="shared" si="38"/>
        <v>365</v>
      </c>
      <c r="W95" s="71">
        <f t="shared" si="38"/>
        <v>299.7</v>
      </c>
      <c r="X95" s="71">
        <f t="shared" si="38"/>
        <v>291</v>
      </c>
      <c r="Y95" s="71">
        <f t="shared" si="38"/>
        <v>72.5</v>
      </c>
      <c r="Z95" s="71">
        <f t="shared" si="38"/>
        <v>28.2</v>
      </c>
      <c r="AA95" s="71">
        <f t="shared" si="38"/>
        <v>30.9</v>
      </c>
      <c r="AB95" s="71">
        <f t="shared" si="38"/>
        <v>28</v>
      </c>
      <c r="AC95" s="71">
        <f t="shared" si="38"/>
        <v>26.2</v>
      </c>
      <c r="AD95" s="71">
        <f t="shared" si="38"/>
        <v>30.9</v>
      </c>
      <c r="AE95" s="71">
        <f t="shared" si="38"/>
        <v>29</v>
      </c>
      <c r="AF95" s="71">
        <f t="shared" si="38"/>
        <v>28.6</v>
      </c>
      <c r="AG95" s="101">
        <f>SUM(AG84:AG94)</f>
        <v>0</v>
      </c>
      <c r="AH95" s="48">
        <f t="shared" si="31"/>
        <v>397.1</v>
      </c>
      <c r="AI95" s="49">
        <f t="shared" si="32"/>
        <v>0</v>
      </c>
      <c r="BF95" s="82"/>
      <c r="BG95" s="82">
        <v>0</v>
      </c>
      <c r="BH95" s="82">
        <v>0</v>
      </c>
      <c r="BI95" s="82">
        <v>-112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1"/>
        <v>0</v>
      </c>
      <c r="AI96" s="49">
        <f t="shared" si="32"/>
        <v>0</v>
      </c>
      <c r="BF96" s="82"/>
      <c r="BG96" s="82">
        <v>57.9</v>
      </c>
      <c r="BH96" s="82">
        <v>0</v>
      </c>
      <c r="BI96" s="82">
        <v>-119.7</v>
      </c>
      <c r="BJ96" s="82">
        <v>25.7</v>
      </c>
      <c r="BK96" s="82">
        <v>124.8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1"/>
        <v>0</v>
      </c>
      <c r="AI97" s="49">
        <f t="shared" si="32"/>
        <v>0</v>
      </c>
      <c r="BF97" s="82"/>
      <c r="BG97" s="82">
        <v>59.8</v>
      </c>
      <c r="BH97" s="82">
        <v>0</v>
      </c>
      <c r="BI97" s="82">
        <v>154</v>
      </c>
      <c r="BJ97" s="82">
        <v>28.8</v>
      </c>
      <c r="BK97" s="82">
        <v>104.2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1"/>
        <v>0</v>
      </c>
      <c r="AI98" s="49">
        <f t="shared" si="32"/>
        <v>0</v>
      </c>
      <c r="BF98" s="82"/>
      <c r="BG98" s="82">
        <v>64.7</v>
      </c>
      <c r="BH98" s="82">
        <v>0</v>
      </c>
      <c r="BI98" s="82">
        <v>119.4</v>
      </c>
      <c r="BJ98" s="82">
        <v>26.4</v>
      </c>
      <c r="BK98" s="82">
        <v>104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1"/>
        <v>0</v>
      </c>
      <c r="AI99" s="49">
        <f t="shared" si="32"/>
        <v>0</v>
      </c>
      <c r="BF99" s="81"/>
      <c r="BG99" s="82">
        <v>41.2</v>
      </c>
      <c r="BH99" s="82">
        <v>0</v>
      </c>
      <c r="BI99" s="82">
        <v>85.2</v>
      </c>
      <c r="BJ99" s="82">
        <v>26.9</v>
      </c>
      <c r="BK99" s="82">
        <v>83.9</v>
      </c>
      <c r="BL99" s="82">
        <v>0</v>
      </c>
    </row>
    <row r="100" spans="1:64" ht="15.75" thickBot="1" x14ac:dyDescent="0.3">
      <c r="A100" s="87" t="s">
        <v>123</v>
      </c>
      <c r="B100" s="108">
        <f t="shared" ref="B100" si="39">B61+B65+B83+B79+B95+B99</f>
        <v>1514.5400000000002</v>
      </c>
      <c r="C100" s="108">
        <f t="shared" ref="C100:AG100" si="40">C61+C65+C83+C79+C95+C99</f>
        <v>1644.6400000000003</v>
      </c>
      <c r="D100" s="108">
        <f t="shared" si="40"/>
        <v>1473.74</v>
      </c>
      <c r="E100" s="108">
        <f t="shared" si="40"/>
        <v>1523.64</v>
      </c>
      <c r="F100" s="108">
        <f t="shared" si="40"/>
        <v>1530.44</v>
      </c>
      <c r="G100" s="108">
        <f t="shared" si="40"/>
        <v>1548.7400000000002</v>
      </c>
      <c r="H100" s="108">
        <f t="shared" si="40"/>
        <v>1450.7400000000002</v>
      </c>
      <c r="I100" s="108">
        <f t="shared" si="40"/>
        <v>1461.94</v>
      </c>
      <c r="J100" s="108">
        <f t="shared" si="40"/>
        <v>1605.0400000000002</v>
      </c>
      <c r="K100" s="108">
        <f t="shared" si="40"/>
        <v>1627.8400000000001</v>
      </c>
      <c r="L100" s="108">
        <f t="shared" si="40"/>
        <v>1695.64</v>
      </c>
      <c r="M100" s="108">
        <f t="shared" si="40"/>
        <v>1639.0400000000002</v>
      </c>
      <c r="N100" s="108">
        <f t="shared" si="40"/>
        <v>1677.0400000000002</v>
      </c>
      <c r="O100" s="108">
        <f t="shared" si="40"/>
        <v>1601.8400000000001</v>
      </c>
      <c r="P100" s="108">
        <f t="shared" si="40"/>
        <v>1597.64</v>
      </c>
      <c r="Q100" s="108">
        <f t="shared" si="40"/>
        <v>1673.5400000000002</v>
      </c>
      <c r="R100" s="108">
        <f t="shared" si="40"/>
        <v>1776.2400000000002</v>
      </c>
      <c r="S100" s="108">
        <f t="shared" si="40"/>
        <v>1521.44</v>
      </c>
      <c r="T100" s="108">
        <f t="shared" si="40"/>
        <v>1855.8400000000001</v>
      </c>
      <c r="U100" s="108">
        <f t="shared" si="40"/>
        <v>1799.7400000000002</v>
      </c>
      <c r="V100" s="108">
        <f t="shared" si="40"/>
        <v>1735.44</v>
      </c>
      <c r="W100" s="108">
        <f t="shared" si="40"/>
        <v>1519.73</v>
      </c>
      <c r="X100" s="108">
        <f t="shared" si="40"/>
        <v>1512.54</v>
      </c>
      <c r="Y100" s="108">
        <f t="shared" si="40"/>
        <v>1478</v>
      </c>
      <c r="Z100" s="108">
        <f t="shared" si="40"/>
        <v>1587.3</v>
      </c>
      <c r="AA100" s="108">
        <f t="shared" si="40"/>
        <v>1733.64</v>
      </c>
      <c r="AB100" s="108">
        <f t="shared" si="40"/>
        <v>1673.7399999999998</v>
      </c>
      <c r="AC100" s="108">
        <f t="shared" si="40"/>
        <v>1683.04</v>
      </c>
      <c r="AD100" s="108">
        <f t="shared" si="40"/>
        <v>1689.6399999999999</v>
      </c>
      <c r="AE100" s="108">
        <f t="shared" si="40"/>
        <v>1599.64</v>
      </c>
      <c r="AF100" s="108">
        <f t="shared" si="40"/>
        <v>1569.04</v>
      </c>
      <c r="AG100" s="72">
        <f t="shared" si="40"/>
        <v>2655.44</v>
      </c>
      <c r="AH100" s="48">
        <f t="shared" si="31"/>
        <v>1855.8400000000001</v>
      </c>
      <c r="AI100" s="49">
        <f t="shared" si="32"/>
        <v>1450.7400000000002</v>
      </c>
      <c r="BF100" s="81"/>
      <c r="BG100" s="82">
        <v>28.2</v>
      </c>
      <c r="BH100" s="82">
        <v>0</v>
      </c>
      <c r="BI100" s="82">
        <v>-119.6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100</v>
      </c>
      <c r="E101" s="110">
        <v>100</v>
      </c>
      <c r="F101" s="110">
        <v>100</v>
      </c>
      <c r="G101" s="110">
        <v>100</v>
      </c>
      <c r="H101" s="110">
        <v>100</v>
      </c>
      <c r="I101" s="110">
        <v>100</v>
      </c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150</v>
      </c>
      <c r="Z101" s="110">
        <v>150</v>
      </c>
      <c r="AA101" s="110">
        <v>150</v>
      </c>
      <c r="AB101" s="110">
        <v>150</v>
      </c>
      <c r="AC101" s="110">
        <v>150</v>
      </c>
      <c r="AD101" s="110">
        <v>150</v>
      </c>
      <c r="AE101" s="110">
        <v>150</v>
      </c>
      <c r="AF101" s="110">
        <v>150</v>
      </c>
      <c r="AG101" s="101"/>
      <c r="AH101" s="48">
        <f t="shared" si="31"/>
        <v>150</v>
      </c>
      <c r="AI101" s="49">
        <f t="shared" si="32"/>
        <v>100</v>
      </c>
      <c r="BF101" s="81"/>
      <c r="BG101" s="82">
        <v>28</v>
      </c>
      <c r="BH101" s="82">
        <v>0</v>
      </c>
      <c r="BI101" s="82">
        <v>-109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" si="41">B100+B101</f>
        <v>1614.5400000000002</v>
      </c>
      <c r="C102" s="108">
        <f t="shared" ref="C102:AF102" si="42">C100+C101</f>
        <v>1744.6400000000003</v>
      </c>
      <c r="D102" s="108">
        <f t="shared" si="42"/>
        <v>1573.74</v>
      </c>
      <c r="E102" s="108">
        <f t="shared" si="42"/>
        <v>1623.64</v>
      </c>
      <c r="F102" s="108">
        <f t="shared" si="42"/>
        <v>1630.44</v>
      </c>
      <c r="G102" s="108">
        <f t="shared" si="42"/>
        <v>1648.7400000000002</v>
      </c>
      <c r="H102" s="108">
        <f t="shared" si="42"/>
        <v>1550.7400000000002</v>
      </c>
      <c r="I102" s="108">
        <f t="shared" si="42"/>
        <v>1561.94</v>
      </c>
      <c r="J102" s="108">
        <f t="shared" si="42"/>
        <v>1605.0400000000002</v>
      </c>
      <c r="K102" s="108">
        <f t="shared" si="42"/>
        <v>1627.8400000000001</v>
      </c>
      <c r="L102" s="108">
        <f t="shared" si="42"/>
        <v>1695.64</v>
      </c>
      <c r="M102" s="108">
        <f t="shared" si="42"/>
        <v>1639.0400000000002</v>
      </c>
      <c r="N102" s="108">
        <f t="shared" si="42"/>
        <v>1677.0400000000002</v>
      </c>
      <c r="O102" s="108">
        <f t="shared" si="42"/>
        <v>1601.8400000000001</v>
      </c>
      <c r="P102" s="108">
        <f t="shared" si="42"/>
        <v>1597.64</v>
      </c>
      <c r="Q102" s="108">
        <f t="shared" si="42"/>
        <v>1673.5400000000002</v>
      </c>
      <c r="R102" s="108">
        <f t="shared" si="42"/>
        <v>1776.2400000000002</v>
      </c>
      <c r="S102" s="108">
        <f t="shared" si="42"/>
        <v>1521.44</v>
      </c>
      <c r="T102" s="108">
        <f t="shared" si="42"/>
        <v>1855.8400000000001</v>
      </c>
      <c r="U102" s="108">
        <f t="shared" si="42"/>
        <v>1799.7400000000002</v>
      </c>
      <c r="V102" s="108">
        <f t="shared" si="42"/>
        <v>1735.44</v>
      </c>
      <c r="W102" s="108">
        <f t="shared" si="42"/>
        <v>1519.73</v>
      </c>
      <c r="X102" s="108">
        <f t="shared" si="42"/>
        <v>1512.54</v>
      </c>
      <c r="Y102" s="108">
        <f t="shared" si="42"/>
        <v>1628</v>
      </c>
      <c r="Z102" s="108">
        <f t="shared" si="42"/>
        <v>1737.3</v>
      </c>
      <c r="AA102" s="108">
        <f t="shared" si="42"/>
        <v>1883.64</v>
      </c>
      <c r="AB102" s="108">
        <f t="shared" si="42"/>
        <v>1823.7399999999998</v>
      </c>
      <c r="AC102" s="108">
        <f t="shared" si="42"/>
        <v>1833.04</v>
      </c>
      <c r="AD102" s="108">
        <f t="shared" si="42"/>
        <v>1839.6399999999999</v>
      </c>
      <c r="AE102" s="108">
        <f t="shared" si="42"/>
        <v>1749.64</v>
      </c>
      <c r="AF102" s="108">
        <f t="shared" si="42"/>
        <v>1719.04</v>
      </c>
      <c r="AG102" s="101">
        <f>AG99+AG95+AG83+AG79+AG61+AG101</f>
        <v>2117.34</v>
      </c>
      <c r="AH102" s="48">
        <f t="shared" si="31"/>
        <v>1883.64</v>
      </c>
      <c r="AI102" s="49">
        <f t="shared" si="32"/>
        <v>1512.54</v>
      </c>
      <c r="BF102" s="81"/>
      <c r="BG102" s="82">
        <v>30.9</v>
      </c>
      <c r="BH102" s="82">
        <v>0</v>
      </c>
      <c r="BI102" s="82">
        <v>-124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" si="43">B102-(B110)</f>
        <v>1505.5400000000002</v>
      </c>
      <c r="C103" s="108">
        <f t="shared" ref="C103:AF103" si="44">C102-(C110)</f>
        <v>1489.6400000000003</v>
      </c>
      <c r="D103" s="108">
        <f t="shared" si="44"/>
        <v>1313.74</v>
      </c>
      <c r="E103" s="108">
        <f t="shared" si="44"/>
        <v>1370.64</v>
      </c>
      <c r="F103" s="108">
        <f t="shared" si="44"/>
        <v>1365.44</v>
      </c>
      <c r="G103" s="108">
        <f t="shared" si="44"/>
        <v>1398.7400000000002</v>
      </c>
      <c r="H103" s="108">
        <f t="shared" si="44"/>
        <v>1439.7400000000002</v>
      </c>
      <c r="I103" s="108">
        <f t="shared" si="44"/>
        <v>1450.94</v>
      </c>
      <c r="J103" s="108">
        <f t="shared" si="44"/>
        <v>1488.0400000000002</v>
      </c>
      <c r="K103" s="108">
        <f t="shared" si="44"/>
        <v>1516.8400000000001</v>
      </c>
      <c r="L103" s="108">
        <f t="shared" si="44"/>
        <v>1577.64</v>
      </c>
      <c r="M103" s="108">
        <f t="shared" si="44"/>
        <v>1529.0400000000002</v>
      </c>
      <c r="N103" s="108">
        <f t="shared" si="44"/>
        <v>1590.0400000000002</v>
      </c>
      <c r="O103" s="108">
        <f t="shared" si="44"/>
        <v>1493.8400000000001</v>
      </c>
      <c r="P103" s="108">
        <f t="shared" si="44"/>
        <v>1479.64</v>
      </c>
      <c r="Q103" s="108">
        <f t="shared" si="44"/>
        <v>1553.5400000000002</v>
      </c>
      <c r="R103" s="108">
        <f t="shared" si="44"/>
        <v>1669.2400000000002</v>
      </c>
      <c r="S103" s="108">
        <f t="shared" si="44"/>
        <v>1409.44</v>
      </c>
      <c r="T103" s="108">
        <f t="shared" si="44"/>
        <v>1736.14</v>
      </c>
      <c r="U103" s="108">
        <f t="shared" si="44"/>
        <v>1799.7400000000002</v>
      </c>
      <c r="V103" s="108">
        <f t="shared" si="44"/>
        <v>1735.44</v>
      </c>
      <c r="W103" s="108">
        <f t="shared" si="44"/>
        <v>1519.73</v>
      </c>
      <c r="X103" s="108">
        <f t="shared" si="44"/>
        <v>1512.54</v>
      </c>
      <c r="Y103" s="108">
        <f t="shared" si="44"/>
        <v>1503</v>
      </c>
      <c r="Z103" s="108">
        <f t="shared" si="44"/>
        <v>1617.7</v>
      </c>
      <c r="AA103" s="108">
        <f t="shared" si="44"/>
        <v>1802.24</v>
      </c>
      <c r="AB103" s="108">
        <f t="shared" si="44"/>
        <v>1714.7399999999998</v>
      </c>
      <c r="AC103" s="108">
        <f t="shared" si="44"/>
        <v>1712.04</v>
      </c>
      <c r="AD103" s="108">
        <f t="shared" si="44"/>
        <v>1715.6399999999999</v>
      </c>
      <c r="AE103" s="108">
        <f t="shared" si="44"/>
        <v>1622.64</v>
      </c>
      <c r="AF103" s="108">
        <f t="shared" si="44"/>
        <v>1602.54</v>
      </c>
      <c r="AG103" s="101"/>
      <c r="AH103" s="48">
        <f t="shared" si="31"/>
        <v>1802.24</v>
      </c>
      <c r="AI103" s="49">
        <f t="shared" si="32"/>
        <v>1313.74</v>
      </c>
      <c r="BF103" s="81"/>
      <c r="BG103" s="82">
        <v>29</v>
      </c>
      <c r="BH103" s="82">
        <v>0</v>
      </c>
      <c r="BI103" s="82">
        <v>-127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45">IF(B84&lt;0,B84*-1,0)</f>
        <v>0</v>
      </c>
      <c r="C104" s="89">
        <f t="shared" ref="C104:AF109" si="46">IF(C84&lt;0,C84*-1,0)</f>
        <v>0</v>
      </c>
      <c r="D104" s="89">
        <f t="shared" si="46"/>
        <v>0</v>
      </c>
      <c r="E104" s="89">
        <f t="shared" si="46"/>
        <v>0</v>
      </c>
      <c r="F104" s="89">
        <f t="shared" si="46"/>
        <v>0</v>
      </c>
      <c r="G104" s="89">
        <f t="shared" si="46"/>
        <v>0</v>
      </c>
      <c r="H104" s="89">
        <f t="shared" si="46"/>
        <v>0</v>
      </c>
      <c r="I104" s="89">
        <f t="shared" si="46"/>
        <v>0</v>
      </c>
      <c r="J104" s="89">
        <f t="shared" si="46"/>
        <v>0</v>
      </c>
      <c r="K104" s="89">
        <f t="shared" si="46"/>
        <v>0</v>
      </c>
      <c r="L104" s="89">
        <f t="shared" si="46"/>
        <v>0</v>
      </c>
      <c r="M104" s="89">
        <f t="shared" si="46"/>
        <v>0</v>
      </c>
      <c r="N104" s="89">
        <f t="shared" si="46"/>
        <v>0</v>
      </c>
      <c r="O104" s="89">
        <f t="shared" si="46"/>
        <v>0</v>
      </c>
      <c r="P104" s="89">
        <f t="shared" si="46"/>
        <v>0</v>
      </c>
      <c r="Q104" s="89">
        <f t="shared" si="46"/>
        <v>0</v>
      </c>
      <c r="R104" s="89">
        <f t="shared" si="46"/>
        <v>0</v>
      </c>
      <c r="S104" s="89">
        <f t="shared" si="46"/>
        <v>0</v>
      </c>
      <c r="T104" s="89">
        <f t="shared" si="46"/>
        <v>0</v>
      </c>
      <c r="U104" s="89">
        <f t="shared" si="46"/>
        <v>0</v>
      </c>
      <c r="V104" s="89">
        <f t="shared" si="46"/>
        <v>0</v>
      </c>
      <c r="W104" s="89">
        <f t="shared" si="46"/>
        <v>0</v>
      </c>
      <c r="X104" s="89">
        <f t="shared" si="46"/>
        <v>0</v>
      </c>
      <c r="Y104" s="89">
        <f t="shared" si="46"/>
        <v>0</v>
      </c>
      <c r="Z104" s="89">
        <f t="shared" si="46"/>
        <v>0</v>
      </c>
      <c r="AA104" s="89">
        <f t="shared" si="46"/>
        <v>0</v>
      </c>
      <c r="AB104" s="89">
        <f t="shared" si="46"/>
        <v>0</v>
      </c>
      <c r="AC104" s="89">
        <f t="shared" si="46"/>
        <v>0</v>
      </c>
      <c r="AD104" s="89">
        <f t="shared" si="46"/>
        <v>0</v>
      </c>
      <c r="AE104" s="89">
        <f t="shared" si="46"/>
        <v>0</v>
      </c>
      <c r="AF104" s="89">
        <f t="shared" si="46"/>
        <v>0</v>
      </c>
      <c r="AG104" s="61"/>
      <c r="AH104" s="48">
        <f t="shared" si="31"/>
        <v>0</v>
      </c>
      <c r="AI104" s="49">
        <f t="shared" si="32"/>
        <v>0</v>
      </c>
      <c r="BG104" s="82">
        <v>28.6</v>
      </c>
      <c r="BH104" s="82">
        <v>0</v>
      </c>
      <c r="BI104" s="82">
        <v>-116.5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45"/>
        <v>0</v>
      </c>
      <c r="C105" s="89">
        <f t="shared" ref="C105:Q105" si="47">IF(C85&lt;0,C85*-1,0)</f>
        <v>0</v>
      </c>
      <c r="D105" s="89">
        <f t="shared" si="47"/>
        <v>0</v>
      </c>
      <c r="E105" s="89">
        <f t="shared" si="47"/>
        <v>0</v>
      </c>
      <c r="F105" s="89">
        <f t="shared" si="47"/>
        <v>0</v>
      </c>
      <c r="G105" s="89">
        <f t="shared" si="47"/>
        <v>0</v>
      </c>
      <c r="H105" s="89">
        <f t="shared" si="47"/>
        <v>0</v>
      </c>
      <c r="I105" s="89">
        <f t="shared" si="47"/>
        <v>0</v>
      </c>
      <c r="J105" s="89">
        <f t="shared" si="47"/>
        <v>0</v>
      </c>
      <c r="K105" s="89">
        <f t="shared" si="47"/>
        <v>0</v>
      </c>
      <c r="L105" s="89">
        <f t="shared" si="47"/>
        <v>0</v>
      </c>
      <c r="M105" s="89">
        <f t="shared" si="47"/>
        <v>0</v>
      </c>
      <c r="N105" s="89">
        <f t="shared" si="47"/>
        <v>0</v>
      </c>
      <c r="O105" s="89">
        <f t="shared" si="47"/>
        <v>0</v>
      </c>
      <c r="P105" s="89">
        <f t="shared" si="47"/>
        <v>0</v>
      </c>
      <c r="Q105" s="89">
        <f t="shared" si="47"/>
        <v>0</v>
      </c>
      <c r="R105" s="89">
        <f t="shared" si="46"/>
        <v>0</v>
      </c>
      <c r="S105" s="89">
        <f t="shared" si="46"/>
        <v>0</v>
      </c>
      <c r="T105" s="89">
        <f t="shared" si="46"/>
        <v>0</v>
      </c>
      <c r="U105" s="89">
        <f t="shared" si="46"/>
        <v>0</v>
      </c>
      <c r="V105" s="89">
        <f t="shared" si="46"/>
        <v>0</v>
      </c>
      <c r="W105" s="89">
        <f t="shared" si="46"/>
        <v>0</v>
      </c>
      <c r="X105" s="89">
        <f t="shared" si="46"/>
        <v>0</v>
      </c>
      <c r="Y105" s="89">
        <f t="shared" si="46"/>
        <v>0</v>
      </c>
      <c r="Z105" s="89">
        <f t="shared" si="46"/>
        <v>0</v>
      </c>
      <c r="AA105" s="89">
        <f t="shared" si="46"/>
        <v>0</v>
      </c>
      <c r="AB105" s="89">
        <f t="shared" si="46"/>
        <v>0</v>
      </c>
      <c r="AC105" s="89">
        <f t="shared" si="46"/>
        <v>0</v>
      </c>
      <c r="AD105" s="89">
        <f t="shared" si="46"/>
        <v>0</v>
      </c>
      <c r="AE105" s="89">
        <f t="shared" si="46"/>
        <v>0</v>
      </c>
      <c r="AF105" s="89">
        <f t="shared" si="46"/>
        <v>0</v>
      </c>
      <c r="AG105" s="66"/>
      <c r="AH105" s="48">
        <f t="shared" si="31"/>
        <v>0</v>
      </c>
      <c r="AI105" s="49">
        <f t="shared" si="32"/>
        <v>0</v>
      </c>
      <c r="AK105" s="51"/>
      <c r="BG105" s="82">
        <v>40.200000000000003</v>
      </c>
      <c r="BH105" s="82">
        <v>0</v>
      </c>
      <c r="BI105" s="82">
        <v>-109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45"/>
        <v>109</v>
      </c>
      <c r="C106" s="89">
        <f t="shared" si="46"/>
        <v>255</v>
      </c>
      <c r="D106" s="89">
        <f t="shared" si="46"/>
        <v>260</v>
      </c>
      <c r="E106" s="89">
        <f t="shared" si="46"/>
        <v>253</v>
      </c>
      <c r="F106" s="89">
        <f t="shared" si="46"/>
        <v>265</v>
      </c>
      <c r="G106" s="89">
        <f t="shared" si="46"/>
        <v>250</v>
      </c>
      <c r="H106" s="89">
        <f t="shared" si="46"/>
        <v>111</v>
      </c>
      <c r="I106" s="89">
        <f t="shared" si="46"/>
        <v>111</v>
      </c>
      <c r="J106" s="89">
        <f t="shared" si="46"/>
        <v>117</v>
      </c>
      <c r="K106" s="89">
        <f t="shared" si="46"/>
        <v>111</v>
      </c>
      <c r="L106" s="89">
        <f t="shared" si="46"/>
        <v>118</v>
      </c>
      <c r="M106" s="89">
        <f t="shared" si="46"/>
        <v>110</v>
      </c>
      <c r="N106" s="89">
        <f t="shared" si="46"/>
        <v>87</v>
      </c>
      <c r="O106" s="89">
        <f t="shared" si="46"/>
        <v>108</v>
      </c>
      <c r="P106" s="89">
        <f t="shared" si="46"/>
        <v>118</v>
      </c>
      <c r="Q106" s="89">
        <f t="shared" si="46"/>
        <v>120</v>
      </c>
      <c r="R106" s="89">
        <f t="shared" si="46"/>
        <v>107</v>
      </c>
      <c r="S106" s="89">
        <f t="shared" si="46"/>
        <v>112</v>
      </c>
      <c r="T106" s="89">
        <f t="shared" si="46"/>
        <v>119.7</v>
      </c>
      <c r="U106" s="89">
        <f t="shared" si="46"/>
        <v>0</v>
      </c>
      <c r="V106" s="89">
        <f t="shared" si="46"/>
        <v>0</v>
      </c>
      <c r="W106" s="89">
        <f t="shared" si="46"/>
        <v>0</v>
      </c>
      <c r="X106" s="89">
        <f t="shared" si="46"/>
        <v>0</v>
      </c>
      <c r="Y106" s="89">
        <f t="shared" si="46"/>
        <v>125</v>
      </c>
      <c r="Z106" s="89">
        <f t="shared" si="46"/>
        <v>119.6</v>
      </c>
      <c r="AA106" s="89">
        <f t="shared" si="46"/>
        <v>81.400000000000006</v>
      </c>
      <c r="AB106" s="89">
        <f t="shared" si="46"/>
        <v>109</v>
      </c>
      <c r="AC106" s="89">
        <f t="shared" si="46"/>
        <v>121</v>
      </c>
      <c r="AD106" s="89">
        <f t="shared" si="46"/>
        <v>124</v>
      </c>
      <c r="AE106" s="89">
        <f t="shared" si="46"/>
        <v>127</v>
      </c>
      <c r="AF106" s="89">
        <f t="shared" si="46"/>
        <v>116.5</v>
      </c>
      <c r="AG106" s="111"/>
      <c r="AH106" s="48">
        <f t="shared" si="31"/>
        <v>265</v>
      </c>
      <c r="AI106" s="49">
        <f t="shared" si="32"/>
        <v>0</v>
      </c>
    </row>
    <row r="107" spans="1:64" x14ac:dyDescent="0.25">
      <c r="A107" s="97" t="s">
        <v>107</v>
      </c>
      <c r="B107" s="89">
        <f t="shared" si="45"/>
        <v>0</v>
      </c>
      <c r="C107" s="89">
        <f t="shared" si="46"/>
        <v>0</v>
      </c>
      <c r="D107" s="89">
        <f t="shared" si="46"/>
        <v>0</v>
      </c>
      <c r="E107" s="89">
        <f t="shared" si="46"/>
        <v>0</v>
      </c>
      <c r="F107" s="89">
        <f t="shared" si="46"/>
        <v>0</v>
      </c>
      <c r="G107" s="89">
        <f t="shared" si="46"/>
        <v>0</v>
      </c>
      <c r="H107" s="89">
        <f t="shared" si="46"/>
        <v>0</v>
      </c>
      <c r="I107" s="89">
        <f t="shared" si="46"/>
        <v>0</v>
      </c>
      <c r="J107" s="89">
        <f t="shared" si="46"/>
        <v>0</v>
      </c>
      <c r="K107" s="89">
        <f t="shared" si="46"/>
        <v>0</v>
      </c>
      <c r="L107" s="89">
        <f t="shared" si="46"/>
        <v>0</v>
      </c>
      <c r="M107" s="89">
        <f t="shared" si="46"/>
        <v>0</v>
      </c>
      <c r="N107" s="89">
        <f t="shared" si="46"/>
        <v>0</v>
      </c>
      <c r="O107" s="89">
        <f t="shared" si="46"/>
        <v>0</v>
      </c>
      <c r="P107" s="89">
        <f t="shared" si="46"/>
        <v>0</v>
      </c>
      <c r="Q107" s="89">
        <f t="shared" si="46"/>
        <v>0</v>
      </c>
      <c r="R107" s="89">
        <f t="shared" si="46"/>
        <v>0</v>
      </c>
      <c r="S107" s="89">
        <f t="shared" si="46"/>
        <v>0</v>
      </c>
      <c r="T107" s="89">
        <f t="shared" si="46"/>
        <v>0</v>
      </c>
      <c r="U107" s="89">
        <f t="shared" si="46"/>
        <v>0</v>
      </c>
      <c r="V107" s="89">
        <f t="shared" si="46"/>
        <v>0</v>
      </c>
      <c r="W107" s="89">
        <f t="shared" si="46"/>
        <v>0</v>
      </c>
      <c r="X107" s="89">
        <f t="shared" si="46"/>
        <v>0</v>
      </c>
      <c r="Y107" s="89">
        <f t="shared" si="46"/>
        <v>0</v>
      </c>
      <c r="Z107" s="89">
        <f t="shared" si="46"/>
        <v>0</v>
      </c>
      <c r="AA107" s="89">
        <f t="shared" si="46"/>
        <v>0</v>
      </c>
      <c r="AB107" s="89">
        <f t="shared" si="46"/>
        <v>0</v>
      </c>
      <c r="AC107" s="89">
        <f t="shared" si="46"/>
        <v>0</v>
      </c>
      <c r="AD107" s="89">
        <f t="shared" si="46"/>
        <v>0</v>
      </c>
      <c r="AE107" s="89">
        <f t="shared" si="46"/>
        <v>0</v>
      </c>
      <c r="AF107" s="89">
        <f t="shared" si="46"/>
        <v>0</v>
      </c>
      <c r="AG107" s="111"/>
      <c r="AH107" s="48">
        <f t="shared" si="31"/>
        <v>0</v>
      </c>
      <c r="AI107" s="49">
        <f t="shared" si="32"/>
        <v>0</v>
      </c>
    </row>
    <row r="108" spans="1:64" x14ac:dyDescent="0.25">
      <c r="A108" s="97" t="s">
        <v>108</v>
      </c>
      <c r="B108" s="89">
        <f t="shared" si="45"/>
        <v>0</v>
      </c>
      <c r="C108" s="89">
        <f t="shared" si="46"/>
        <v>0</v>
      </c>
      <c r="D108" s="89">
        <f t="shared" si="46"/>
        <v>0</v>
      </c>
      <c r="E108" s="89">
        <f t="shared" si="46"/>
        <v>0</v>
      </c>
      <c r="F108" s="89">
        <f t="shared" si="46"/>
        <v>0</v>
      </c>
      <c r="G108" s="89">
        <f t="shared" si="46"/>
        <v>0</v>
      </c>
      <c r="H108" s="89">
        <f t="shared" si="46"/>
        <v>0</v>
      </c>
      <c r="I108" s="89">
        <f t="shared" si="46"/>
        <v>0</v>
      </c>
      <c r="J108" s="89">
        <f t="shared" si="46"/>
        <v>0</v>
      </c>
      <c r="K108" s="89">
        <f t="shared" si="46"/>
        <v>0</v>
      </c>
      <c r="L108" s="89">
        <f t="shared" si="46"/>
        <v>0</v>
      </c>
      <c r="M108" s="89">
        <f t="shared" si="46"/>
        <v>0</v>
      </c>
      <c r="N108" s="89">
        <f t="shared" si="46"/>
        <v>0</v>
      </c>
      <c r="O108" s="89">
        <f t="shared" si="46"/>
        <v>0</v>
      </c>
      <c r="P108" s="89">
        <f t="shared" si="46"/>
        <v>0</v>
      </c>
      <c r="Q108" s="89">
        <f t="shared" si="46"/>
        <v>0</v>
      </c>
      <c r="R108" s="89">
        <f t="shared" si="46"/>
        <v>0</v>
      </c>
      <c r="S108" s="89">
        <f t="shared" si="46"/>
        <v>0</v>
      </c>
      <c r="T108" s="89">
        <f t="shared" si="46"/>
        <v>0</v>
      </c>
      <c r="U108" s="89">
        <f t="shared" si="46"/>
        <v>0</v>
      </c>
      <c r="V108" s="89">
        <f t="shared" si="46"/>
        <v>0</v>
      </c>
      <c r="W108" s="89">
        <f t="shared" si="46"/>
        <v>0</v>
      </c>
      <c r="X108" s="89">
        <f t="shared" si="46"/>
        <v>0</v>
      </c>
      <c r="Y108" s="89">
        <f t="shared" si="46"/>
        <v>0</v>
      </c>
      <c r="Z108" s="89">
        <f t="shared" si="46"/>
        <v>0</v>
      </c>
      <c r="AA108" s="89">
        <f t="shared" si="46"/>
        <v>0</v>
      </c>
      <c r="AB108" s="89">
        <f t="shared" si="46"/>
        <v>0</v>
      </c>
      <c r="AC108" s="89">
        <f t="shared" si="46"/>
        <v>0</v>
      </c>
      <c r="AD108" s="89">
        <f t="shared" si="46"/>
        <v>0</v>
      </c>
      <c r="AE108" s="89">
        <f t="shared" si="46"/>
        <v>0</v>
      </c>
      <c r="AF108" s="89">
        <f t="shared" si="46"/>
        <v>0</v>
      </c>
      <c r="AG108" s="111"/>
      <c r="AH108" s="48">
        <f t="shared" si="31"/>
        <v>0</v>
      </c>
      <c r="AI108" s="49">
        <f t="shared" si="32"/>
        <v>0</v>
      </c>
    </row>
    <row r="109" spans="1:64" ht="15.75" thickBot="1" x14ac:dyDescent="0.3">
      <c r="A109" s="97" t="s">
        <v>117</v>
      </c>
      <c r="B109" s="89">
        <f t="shared" si="45"/>
        <v>0</v>
      </c>
      <c r="C109" s="89">
        <f t="shared" si="46"/>
        <v>0</v>
      </c>
      <c r="D109" s="89">
        <f t="shared" si="46"/>
        <v>0</v>
      </c>
      <c r="E109" s="89">
        <f t="shared" si="46"/>
        <v>0</v>
      </c>
      <c r="F109" s="89">
        <f t="shared" si="46"/>
        <v>0</v>
      </c>
      <c r="G109" s="89">
        <f t="shared" si="46"/>
        <v>0</v>
      </c>
      <c r="H109" s="89">
        <f t="shared" si="46"/>
        <v>0</v>
      </c>
      <c r="I109" s="89">
        <f t="shared" si="46"/>
        <v>0</v>
      </c>
      <c r="J109" s="89">
        <f t="shared" si="46"/>
        <v>0</v>
      </c>
      <c r="K109" s="89">
        <f t="shared" si="46"/>
        <v>0</v>
      </c>
      <c r="L109" s="89">
        <f t="shared" si="46"/>
        <v>0</v>
      </c>
      <c r="M109" s="89">
        <f t="shared" si="46"/>
        <v>0</v>
      </c>
      <c r="N109" s="89">
        <f t="shared" si="46"/>
        <v>0</v>
      </c>
      <c r="O109" s="89">
        <f t="shared" si="46"/>
        <v>0</v>
      </c>
      <c r="P109" s="89">
        <f t="shared" si="46"/>
        <v>0</v>
      </c>
      <c r="Q109" s="89">
        <f t="shared" si="46"/>
        <v>0</v>
      </c>
      <c r="R109" s="89">
        <f t="shared" si="46"/>
        <v>0</v>
      </c>
      <c r="S109" s="89">
        <f t="shared" si="46"/>
        <v>0</v>
      </c>
      <c r="T109" s="89">
        <f t="shared" si="46"/>
        <v>0</v>
      </c>
      <c r="U109" s="89">
        <f t="shared" si="46"/>
        <v>0</v>
      </c>
      <c r="V109" s="89">
        <f t="shared" si="46"/>
        <v>0</v>
      </c>
      <c r="W109" s="89">
        <f t="shared" si="46"/>
        <v>0</v>
      </c>
      <c r="X109" s="89">
        <f t="shared" si="46"/>
        <v>0</v>
      </c>
      <c r="Y109" s="89">
        <f t="shared" si="46"/>
        <v>0</v>
      </c>
      <c r="Z109" s="89">
        <f t="shared" si="46"/>
        <v>0</v>
      </c>
      <c r="AA109" s="89">
        <f t="shared" si="46"/>
        <v>0</v>
      </c>
      <c r="AB109" s="89">
        <f t="shared" si="46"/>
        <v>0</v>
      </c>
      <c r="AC109" s="89">
        <f t="shared" si="46"/>
        <v>0</v>
      </c>
      <c r="AD109" s="89">
        <f t="shared" si="46"/>
        <v>0</v>
      </c>
      <c r="AE109" s="89">
        <f t="shared" si="46"/>
        <v>0</v>
      </c>
      <c r="AF109" s="89">
        <f t="shared" si="46"/>
        <v>0</v>
      </c>
      <c r="AG109" s="98"/>
      <c r="AH109" s="48">
        <f t="shared" si="31"/>
        <v>0</v>
      </c>
      <c r="AI109" s="49">
        <f t="shared" si="32"/>
        <v>0</v>
      </c>
    </row>
    <row r="110" spans="1:64" ht="15.75" thickBot="1" x14ac:dyDescent="0.3">
      <c r="A110" s="112" t="s">
        <v>130</v>
      </c>
      <c r="B110" s="71">
        <f t="shared" ref="B110" si="48">SUM(B104:B109)</f>
        <v>109</v>
      </c>
      <c r="C110" s="71">
        <f t="shared" ref="C110:AF110" si="49">SUM(C104:C109)</f>
        <v>255</v>
      </c>
      <c r="D110" s="71">
        <f t="shared" si="49"/>
        <v>260</v>
      </c>
      <c r="E110" s="71">
        <f t="shared" si="49"/>
        <v>253</v>
      </c>
      <c r="F110" s="71">
        <f t="shared" si="49"/>
        <v>265</v>
      </c>
      <c r="G110" s="71">
        <f t="shared" si="49"/>
        <v>250</v>
      </c>
      <c r="H110" s="71">
        <f t="shared" si="49"/>
        <v>111</v>
      </c>
      <c r="I110" s="71">
        <f t="shared" si="49"/>
        <v>111</v>
      </c>
      <c r="J110" s="71">
        <f t="shared" si="49"/>
        <v>117</v>
      </c>
      <c r="K110" s="71">
        <f t="shared" si="49"/>
        <v>111</v>
      </c>
      <c r="L110" s="71">
        <f t="shared" si="49"/>
        <v>118</v>
      </c>
      <c r="M110" s="71">
        <f t="shared" si="49"/>
        <v>110</v>
      </c>
      <c r="N110" s="71">
        <f t="shared" si="49"/>
        <v>87</v>
      </c>
      <c r="O110" s="71">
        <f t="shared" si="49"/>
        <v>108</v>
      </c>
      <c r="P110" s="71">
        <f t="shared" si="49"/>
        <v>118</v>
      </c>
      <c r="Q110" s="71">
        <f t="shared" si="49"/>
        <v>120</v>
      </c>
      <c r="R110" s="71">
        <f t="shared" si="49"/>
        <v>107</v>
      </c>
      <c r="S110" s="71">
        <f t="shared" si="49"/>
        <v>112</v>
      </c>
      <c r="T110" s="71">
        <f t="shared" si="49"/>
        <v>119.7</v>
      </c>
      <c r="U110" s="71">
        <f t="shared" si="49"/>
        <v>0</v>
      </c>
      <c r="V110" s="71">
        <f t="shared" si="49"/>
        <v>0</v>
      </c>
      <c r="W110" s="71">
        <f t="shared" si="49"/>
        <v>0</v>
      </c>
      <c r="X110" s="71">
        <f t="shared" si="49"/>
        <v>0</v>
      </c>
      <c r="Y110" s="71">
        <f t="shared" si="49"/>
        <v>125</v>
      </c>
      <c r="Z110" s="71">
        <f t="shared" si="49"/>
        <v>119.6</v>
      </c>
      <c r="AA110" s="71">
        <f t="shared" si="49"/>
        <v>81.400000000000006</v>
      </c>
      <c r="AB110" s="71">
        <f t="shared" si="49"/>
        <v>109</v>
      </c>
      <c r="AC110" s="71">
        <f t="shared" si="49"/>
        <v>121</v>
      </c>
      <c r="AD110" s="71">
        <f t="shared" si="49"/>
        <v>124</v>
      </c>
      <c r="AE110" s="71">
        <f t="shared" si="49"/>
        <v>127</v>
      </c>
      <c r="AF110" s="71">
        <f t="shared" si="49"/>
        <v>116.5</v>
      </c>
      <c r="AG110" s="101"/>
      <c r="AH110" s="48">
        <f t="shared" si="31"/>
        <v>265</v>
      </c>
      <c r="AI110" s="49">
        <f t="shared" si="32"/>
        <v>0</v>
      </c>
    </row>
    <row r="111" spans="1:64" ht="15.75" thickBot="1" x14ac:dyDescent="0.3">
      <c r="A111" s="87" t="s">
        <v>131</v>
      </c>
      <c r="B111" s="71">
        <f t="shared" ref="B111" si="50">B95-B110</f>
        <v>-21.699999999999989</v>
      </c>
      <c r="C111" s="71">
        <f t="shared" ref="C111:AF111" si="51">C95-C110</f>
        <v>-168.6</v>
      </c>
      <c r="D111" s="71">
        <f t="shared" si="51"/>
        <v>-226</v>
      </c>
      <c r="E111" s="71">
        <f t="shared" si="51"/>
        <v>-225.2</v>
      </c>
      <c r="F111" s="71">
        <f t="shared" si="51"/>
        <v>-239.4</v>
      </c>
      <c r="G111" s="71">
        <f t="shared" si="51"/>
        <v>-224.1</v>
      </c>
      <c r="H111" s="71">
        <f t="shared" si="51"/>
        <v>-87.1</v>
      </c>
      <c r="I111" s="71">
        <f t="shared" si="51"/>
        <v>-100.9</v>
      </c>
      <c r="J111" s="71">
        <f t="shared" si="51"/>
        <v>24</v>
      </c>
      <c r="K111" s="71">
        <f t="shared" si="51"/>
        <v>51.699999999999989</v>
      </c>
      <c r="L111" s="71">
        <f t="shared" si="51"/>
        <v>60.300000000000011</v>
      </c>
      <c r="M111" s="71">
        <f t="shared" si="51"/>
        <v>45</v>
      </c>
      <c r="N111" s="71">
        <f t="shared" si="51"/>
        <v>95</v>
      </c>
      <c r="O111" s="71">
        <f t="shared" si="51"/>
        <v>65</v>
      </c>
      <c r="P111" s="71">
        <f t="shared" si="51"/>
        <v>66.800000000000011</v>
      </c>
      <c r="Q111" s="71">
        <f t="shared" si="51"/>
        <v>90.5</v>
      </c>
      <c r="R111" s="71">
        <f t="shared" si="51"/>
        <v>148.19999999999999</v>
      </c>
      <c r="S111" s="71">
        <f t="shared" si="51"/>
        <v>-112</v>
      </c>
      <c r="T111" s="71">
        <f t="shared" si="51"/>
        <v>138.80000000000001</v>
      </c>
      <c r="U111" s="71">
        <f t="shared" si="51"/>
        <v>397.1</v>
      </c>
      <c r="V111" s="71">
        <f t="shared" si="51"/>
        <v>365</v>
      </c>
      <c r="W111" s="71">
        <f t="shared" si="51"/>
        <v>299.7</v>
      </c>
      <c r="X111" s="71">
        <f t="shared" si="51"/>
        <v>291</v>
      </c>
      <c r="Y111" s="71">
        <f t="shared" si="51"/>
        <v>-52.5</v>
      </c>
      <c r="Z111" s="71">
        <f t="shared" si="51"/>
        <v>-91.399999999999991</v>
      </c>
      <c r="AA111" s="71">
        <f t="shared" si="51"/>
        <v>-50.500000000000007</v>
      </c>
      <c r="AB111" s="71">
        <f t="shared" si="51"/>
        <v>-81</v>
      </c>
      <c r="AC111" s="71">
        <f t="shared" si="51"/>
        <v>-94.8</v>
      </c>
      <c r="AD111" s="71">
        <f t="shared" si="51"/>
        <v>-93.1</v>
      </c>
      <c r="AE111" s="71">
        <f t="shared" si="51"/>
        <v>-98</v>
      </c>
      <c r="AF111" s="71">
        <f t="shared" si="51"/>
        <v>-87.9</v>
      </c>
      <c r="AG111" s="101"/>
      <c r="AH111" s="48">
        <f t="shared" si="31"/>
        <v>397.1</v>
      </c>
      <c r="AI111" s="49">
        <f t="shared" si="32"/>
        <v>-239.4</v>
      </c>
    </row>
    <row r="112" spans="1:64" x14ac:dyDescent="0.25">
      <c r="A112" s="113" t="s">
        <v>132</v>
      </c>
      <c r="B112" s="114">
        <v>49.94</v>
      </c>
      <c r="C112" s="114">
        <v>49.97</v>
      </c>
      <c r="D112" s="114">
        <v>50.04</v>
      </c>
      <c r="E112" s="114">
        <v>50.07</v>
      </c>
      <c r="F112" s="114">
        <v>49.988999999999997</v>
      </c>
      <c r="G112" s="114">
        <v>50.002000000000002</v>
      </c>
      <c r="H112" s="114">
        <v>50.045000000000002</v>
      </c>
      <c r="I112" s="114">
        <v>50.045000000000002</v>
      </c>
      <c r="J112" s="114">
        <v>49.994999999999997</v>
      </c>
      <c r="K112" s="114">
        <v>50.01</v>
      </c>
      <c r="L112" s="114">
        <v>49.997</v>
      </c>
      <c r="M112" s="114">
        <v>50.003999999999998</v>
      </c>
      <c r="N112" s="114">
        <v>50.002000000000002</v>
      </c>
      <c r="O112" s="114">
        <v>49.993000000000002</v>
      </c>
      <c r="P112" s="114">
        <v>49.993000000000002</v>
      </c>
      <c r="Q112" s="114">
        <v>49.951000000000001</v>
      </c>
      <c r="R112" s="114">
        <v>49.878</v>
      </c>
      <c r="S112" s="114">
        <v>50.029000000000003</v>
      </c>
      <c r="T112" s="114">
        <v>50.018000000000001</v>
      </c>
      <c r="U112" s="114">
        <v>49.981000000000002</v>
      </c>
      <c r="V112" s="114">
        <v>50.058999999999997</v>
      </c>
      <c r="W112" s="114">
        <v>50.079000000000001</v>
      </c>
      <c r="X112" s="114">
        <v>50.042999999999999</v>
      </c>
      <c r="Y112" s="114">
        <v>50.069000000000003</v>
      </c>
      <c r="Z112" s="114">
        <v>50.023000000000003</v>
      </c>
      <c r="AA112" s="114">
        <v>50.000999999999998</v>
      </c>
      <c r="AB112" s="114">
        <v>50</v>
      </c>
      <c r="AC112" s="114">
        <v>49.959000000000003</v>
      </c>
      <c r="AD112" s="114">
        <v>49.963000000000001</v>
      </c>
      <c r="AE112" s="114">
        <v>50</v>
      </c>
      <c r="AF112" s="114">
        <v>49.960999999999999</v>
      </c>
      <c r="AG112" s="115"/>
      <c r="AH112" s="48">
        <f t="shared" si="31"/>
        <v>50.079000000000001</v>
      </c>
      <c r="AI112" s="49">
        <f t="shared" si="32"/>
        <v>49.878</v>
      </c>
    </row>
    <row r="113" spans="1:35" x14ac:dyDescent="0.25">
      <c r="A113" s="116" t="s">
        <v>133</v>
      </c>
      <c r="B113" s="76">
        <v>124.1</v>
      </c>
      <c r="C113" s="76">
        <v>125.2</v>
      </c>
      <c r="D113" s="76">
        <v>125.3</v>
      </c>
      <c r="E113" s="76">
        <v>123.1</v>
      </c>
      <c r="F113" s="76">
        <v>124.6</v>
      </c>
      <c r="G113" s="76">
        <v>124.5</v>
      </c>
      <c r="H113" s="76">
        <v>123.2</v>
      </c>
      <c r="I113" s="76">
        <v>123.2</v>
      </c>
      <c r="J113" s="76">
        <v>125.1</v>
      </c>
      <c r="K113" s="76">
        <v>124.2</v>
      </c>
      <c r="L113" s="76">
        <v>124.2</v>
      </c>
      <c r="M113" s="76">
        <v>122</v>
      </c>
      <c r="N113" s="76">
        <v>122</v>
      </c>
      <c r="O113" s="76">
        <v>126.9</v>
      </c>
      <c r="P113" s="76">
        <v>126.9</v>
      </c>
      <c r="Q113" s="76">
        <v>125.1</v>
      </c>
      <c r="R113" s="76">
        <v>123.2</v>
      </c>
      <c r="S113" s="76">
        <v>123.4</v>
      </c>
      <c r="T113" s="76">
        <v>124.4</v>
      </c>
      <c r="U113" s="76">
        <v>122.9</v>
      </c>
      <c r="V113" s="76">
        <v>127.3</v>
      </c>
      <c r="W113" s="76">
        <v>128</v>
      </c>
      <c r="X113" s="76">
        <v>128.6</v>
      </c>
      <c r="Y113" s="76">
        <v>126.9</v>
      </c>
      <c r="Z113" s="76">
        <v>127.5</v>
      </c>
      <c r="AA113" s="76">
        <v>126.6</v>
      </c>
      <c r="AB113" s="76">
        <v>127.5</v>
      </c>
      <c r="AC113" s="76">
        <v>126.3</v>
      </c>
      <c r="AD113" s="76">
        <v>125.8</v>
      </c>
      <c r="AE113" s="76">
        <v>125.8</v>
      </c>
      <c r="AF113" s="76">
        <v>125.8</v>
      </c>
      <c r="AG113" s="117"/>
      <c r="AH113" s="48">
        <f t="shared" si="31"/>
        <v>128.6</v>
      </c>
      <c r="AI113" s="49">
        <f t="shared" si="32"/>
        <v>122</v>
      </c>
    </row>
    <row r="114" spans="1:35" x14ac:dyDescent="0.25">
      <c r="A114" s="116" t="s">
        <v>134</v>
      </c>
      <c r="B114" s="76">
        <v>128.69999999999999</v>
      </c>
      <c r="C114" s="76">
        <v>129.5</v>
      </c>
      <c r="D114" s="76">
        <v>129.6</v>
      </c>
      <c r="E114" s="76">
        <v>128.69999999999999</v>
      </c>
      <c r="F114" s="76">
        <v>129.6</v>
      </c>
      <c r="G114" s="76">
        <v>129</v>
      </c>
      <c r="H114" s="76">
        <v>127.9</v>
      </c>
      <c r="I114" s="76">
        <v>127.9</v>
      </c>
      <c r="J114" s="76">
        <v>127.9</v>
      </c>
      <c r="K114" s="76">
        <v>126.9</v>
      </c>
      <c r="L114" s="76">
        <v>126.5</v>
      </c>
      <c r="M114" s="76">
        <v>125</v>
      </c>
      <c r="N114" s="76">
        <v>125</v>
      </c>
      <c r="O114" s="76">
        <v>128.30000000000001</v>
      </c>
      <c r="P114" s="76">
        <v>128.30000000000001</v>
      </c>
      <c r="Q114" s="76">
        <v>127.9</v>
      </c>
      <c r="R114" s="76">
        <v>126.4</v>
      </c>
      <c r="S114" s="76">
        <v>126.5</v>
      </c>
      <c r="T114" s="76">
        <v>127</v>
      </c>
      <c r="U114" s="76">
        <v>125.1</v>
      </c>
      <c r="V114" s="76">
        <v>129</v>
      </c>
      <c r="W114" s="76">
        <v>129.80000000000001</v>
      </c>
      <c r="X114" s="76">
        <v>130.4</v>
      </c>
      <c r="Y114" s="76">
        <v>128</v>
      </c>
      <c r="Z114" s="76">
        <v>128.5</v>
      </c>
      <c r="AA114" s="76">
        <v>128</v>
      </c>
      <c r="AB114" s="76">
        <v>130</v>
      </c>
      <c r="AC114" s="76">
        <v>129.19999999999999</v>
      </c>
      <c r="AD114" s="76">
        <v>129</v>
      </c>
      <c r="AE114" s="76">
        <v>129</v>
      </c>
      <c r="AF114" s="76">
        <v>129</v>
      </c>
      <c r="AG114" s="117"/>
      <c r="AH114" s="48">
        <f t="shared" si="31"/>
        <v>130.4</v>
      </c>
      <c r="AI114" s="49">
        <f t="shared" si="32"/>
        <v>125</v>
      </c>
    </row>
    <row r="115" spans="1:35" x14ac:dyDescent="0.25">
      <c r="A115" s="116" t="s">
        <v>135</v>
      </c>
      <c r="B115" s="76">
        <v>130</v>
      </c>
      <c r="C115" s="76">
        <v>131.69999999999999</v>
      </c>
      <c r="D115" s="76">
        <v>133.6</v>
      </c>
      <c r="E115" s="76">
        <v>129.69999999999999</v>
      </c>
      <c r="F115" s="76">
        <v>132.4</v>
      </c>
      <c r="G115" s="76">
        <v>130.6</v>
      </c>
      <c r="H115" s="76">
        <v>129.69999999999999</v>
      </c>
      <c r="I115" s="76">
        <v>129.69999999999999</v>
      </c>
      <c r="J115" s="76">
        <v>130.6</v>
      </c>
      <c r="K115" s="76">
        <v>129.4</v>
      </c>
      <c r="L115" s="76">
        <v>128.30000000000001</v>
      </c>
      <c r="M115" s="76">
        <v>130.30000000000001</v>
      </c>
      <c r="N115" s="76">
        <v>128.9</v>
      </c>
      <c r="O115" s="76">
        <v>129.1</v>
      </c>
      <c r="P115" s="76">
        <v>129.1</v>
      </c>
      <c r="Q115" s="76">
        <v>129.1</v>
      </c>
      <c r="R115" s="76">
        <v>130.1</v>
      </c>
      <c r="S115" s="76"/>
      <c r="T115" s="76">
        <v>129.9</v>
      </c>
      <c r="U115" s="76">
        <v>128.9</v>
      </c>
      <c r="V115" s="76">
        <v>130.30000000000001</v>
      </c>
      <c r="W115" s="76">
        <v>128.4</v>
      </c>
      <c r="X115" s="76">
        <v>131</v>
      </c>
      <c r="Y115" s="76">
        <v>131.5</v>
      </c>
      <c r="Z115" s="76">
        <v>129.69999999999999</v>
      </c>
      <c r="AA115" s="76">
        <v>127.8</v>
      </c>
      <c r="AB115" s="76">
        <v>130.5</v>
      </c>
      <c r="AC115" s="76">
        <v>129.1</v>
      </c>
      <c r="AD115" s="76">
        <v>130.6</v>
      </c>
      <c r="AE115" s="76">
        <v>130.6</v>
      </c>
      <c r="AF115" s="76">
        <v>130.6</v>
      </c>
      <c r="AG115" s="117"/>
      <c r="AH115" s="48">
        <f t="shared" si="31"/>
        <v>133.6</v>
      </c>
      <c r="AI115" s="49">
        <f t="shared" si="32"/>
        <v>127.8</v>
      </c>
    </row>
    <row r="116" spans="1:35" x14ac:dyDescent="0.25">
      <c r="A116" s="118" t="s">
        <v>136</v>
      </c>
      <c r="B116" s="76">
        <v>129.1</v>
      </c>
      <c r="C116" s="76">
        <v>131.1</v>
      </c>
      <c r="D116" s="76">
        <v>131.9</v>
      </c>
      <c r="E116" s="76">
        <v>129.5</v>
      </c>
      <c r="F116" s="76">
        <v>132.69999999999999</v>
      </c>
      <c r="G116" s="76">
        <v>130.19999999999999</v>
      </c>
      <c r="H116" s="76">
        <v>130.30000000000001</v>
      </c>
      <c r="I116" s="76">
        <v>130.30000000000001</v>
      </c>
      <c r="J116" s="76">
        <v>128.80000000000001</v>
      </c>
      <c r="K116" s="76">
        <v>131.6</v>
      </c>
      <c r="L116" s="76">
        <v>130.9</v>
      </c>
      <c r="M116" s="76">
        <v>132.80000000000001</v>
      </c>
      <c r="N116" s="76">
        <v>130.69999999999999</v>
      </c>
      <c r="O116" s="76">
        <v>130.6</v>
      </c>
      <c r="P116" s="76">
        <v>130.6</v>
      </c>
      <c r="Q116" s="76">
        <v>129.69999999999999</v>
      </c>
      <c r="R116" s="76">
        <v>130.69999999999999</v>
      </c>
      <c r="S116" s="76"/>
      <c r="T116" s="76">
        <v>129.9</v>
      </c>
      <c r="U116" s="76">
        <v>131.9</v>
      </c>
      <c r="V116" s="76">
        <v>130.6</v>
      </c>
      <c r="W116" s="76">
        <v>129</v>
      </c>
      <c r="X116" s="76">
        <v>131.69999999999999</v>
      </c>
      <c r="Y116" s="76">
        <v>133</v>
      </c>
      <c r="Z116" s="76">
        <v>130.69999999999999</v>
      </c>
      <c r="AA116" s="76">
        <v>128.1</v>
      </c>
      <c r="AB116" s="76">
        <v>133</v>
      </c>
      <c r="AC116" s="76">
        <v>131.19999999999999</v>
      </c>
      <c r="AD116" s="76">
        <v>133.30000000000001</v>
      </c>
      <c r="AE116" s="76">
        <v>133.30000000000001</v>
      </c>
      <c r="AF116" s="76">
        <v>133.30000000000001</v>
      </c>
      <c r="AG116" s="117"/>
      <c r="AH116" s="48">
        <f t="shared" si="31"/>
        <v>133.30000000000001</v>
      </c>
      <c r="AI116" s="49">
        <f t="shared" si="32"/>
        <v>128.1</v>
      </c>
    </row>
    <row r="117" spans="1:35" x14ac:dyDescent="0.25">
      <c r="A117" s="118" t="s">
        <v>137</v>
      </c>
      <c r="B117" s="119">
        <v>133.80000000000001</v>
      </c>
      <c r="C117" s="119">
        <v>133.1</v>
      </c>
      <c r="D117" s="119">
        <v>136.4</v>
      </c>
      <c r="E117" s="119">
        <v>132.4</v>
      </c>
      <c r="F117" s="119">
        <v>133.4</v>
      </c>
      <c r="G117" s="119">
        <v>132.5</v>
      </c>
      <c r="H117" s="119">
        <v>132.19999999999999</v>
      </c>
      <c r="I117" s="119">
        <v>132.19999999999999</v>
      </c>
      <c r="J117" s="119">
        <v>131.9</v>
      </c>
      <c r="K117" s="119">
        <v>129.5</v>
      </c>
      <c r="L117" s="119">
        <v>133.5</v>
      </c>
      <c r="M117" s="119"/>
      <c r="N117" s="119">
        <v>134.6</v>
      </c>
      <c r="O117" s="119">
        <v>133.5</v>
      </c>
      <c r="P117" s="119">
        <v>133.5</v>
      </c>
      <c r="Q117" s="119">
        <v>133.5</v>
      </c>
      <c r="R117" s="119">
        <v>131</v>
      </c>
      <c r="S117" s="119"/>
      <c r="T117" s="119">
        <v>132.30000000000001</v>
      </c>
      <c r="U117" s="119">
        <v>131.80000000000001</v>
      </c>
      <c r="V117" s="119">
        <v>132.80000000000001</v>
      </c>
      <c r="W117" s="119">
        <v>132.1</v>
      </c>
      <c r="X117" s="119">
        <v>132.6</v>
      </c>
      <c r="Y117" s="119">
        <v>132.1</v>
      </c>
      <c r="Z117" s="119">
        <v>133.19999999999999</v>
      </c>
      <c r="AA117" s="119">
        <v>131.80000000000001</v>
      </c>
      <c r="AB117" s="119">
        <v>136.5</v>
      </c>
      <c r="AC117" s="119">
        <v>131.6</v>
      </c>
      <c r="AD117" s="119">
        <v>131.69999999999999</v>
      </c>
      <c r="AE117" s="119">
        <v>131.69999999999999</v>
      </c>
      <c r="AF117" s="119">
        <v>131.69999999999999</v>
      </c>
      <c r="AG117" s="120"/>
      <c r="AH117" s="48">
        <f t="shared" si="31"/>
        <v>136.5</v>
      </c>
      <c r="AI117" s="49">
        <f t="shared" si="32"/>
        <v>129.5</v>
      </c>
    </row>
    <row r="118" spans="1:35" x14ac:dyDescent="0.25">
      <c r="A118" s="116" t="s">
        <v>138</v>
      </c>
      <c r="B118" s="76">
        <v>131.4</v>
      </c>
      <c r="C118" s="76">
        <v>130</v>
      </c>
      <c r="D118" s="76">
        <v>132.19999999999999</v>
      </c>
      <c r="E118" s="76">
        <v>133.80000000000001</v>
      </c>
      <c r="F118" s="76">
        <v>132.30000000000001</v>
      </c>
      <c r="G118" s="76">
        <v>132.1</v>
      </c>
      <c r="H118" s="76">
        <v>131.80000000000001</v>
      </c>
      <c r="I118" s="76">
        <v>131.80000000000001</v>
      </c>
      <c r="J118" s="76">
        <v>133</v>
      </c>
      <c r="K118" s="76">
        <v>130.6</v>
      </c>
      <c r="L118" s="76">
        <v>125.8</v>
      </c>
      <c r="M118" s="76">
        <v>123.5</v>
      </c>
      <c r="N118" s="76">
        <v>127.8</v>
      </c>
      <c r="O118" s="76">
        <v>126.7</v>
      </c>
      <c r="P118" s="76">
        <v>126.7</v>
      </c>
      <c r="Q118" s="76">
        <v>127</v>
      </c>
      <c r="R118" s="76">
        <v>122.5</v>
      </c>
      <c r="S118" s="76"/>
      <c r="T118" s="76">
        <v>121.2</v>
      </c>
      <c r="U118" s="76">
        <v>122.7</v>
      </c>
      <c r="V118" s="76">
        <v>119.5</v>
      </c>
      <c r="W118" s="76">
        <v>124</v>
      </c>
      <c r="X118" s="76">
        <v>124.4</v>
      </c>
      <c r="Y118" s="76">
        <v>123.8</v>
      </c>
      <c r="Z118" s="76">
        <v>126.6</v>
      </c>
      <c r="AA118" s="76">
        <v>124.8</v>
      </c>
      <c r="AB118" s="76">
        <v>130.69999999999999</v>
      </c>
      <c r="AC118" s="76">
        <v>121.6</v>
      </c>
      <c r="AD118" s="76">
        <v>122</v>
      </c>
      <c r="AE118" s="76">
        <v>122</v>
      </c>
      <c r="AF118" s="76">
        <v>122</v>
      </c>
      <c r="AG118" s="117"/>
      <c r="AH118" s="48">
        <f t="shared" si="31"/>
        <v>133.80000000000001</v>
      </c>
      <c r="AI118" s="49">
        <f t="shared" si="32"/>
        <v>119.5</v>
      </c>
    </row>
    <row r="119" spans="1:35" ht="15.75" thickBot="1" x14ac:dyDescent="0.3">
      <c r="A119" s="116" t="s">
        <v>139</v>
      </c>
      <c r="B119" s="105">
        <v>65.3</v>
      </c>
      <c r="C119" s="105">
        <v>65.7</v>
      </c>
      <c r="D119" s="105">
        <v>65.3</v>
      </c>
      <c r="E119" s="105">
        <v>64.7</v>
      </c>
      <c r="F119" s="105">
        <v>65.8</v>
      </c>
      <c r="G119" s="105">
        <v>65.3</v>
      </c>
      <c r="H119" s="105">
        <v>64.900000000000006</v>
      </c>
      <c r="I119" s="105">
        <v>64.900000000000006</v>
      </c>
      <c r="J119" s="105">
        <v>64.400000000000006</v>
      </c>
      <c r="K119" s="105">
        <v>63.8</v>
      </c>
      <c r="L119" s="105">
        <v>63.8</v>
      </c>
      <c r="M119" s="105">
        <v>62.6</v>
      </c>
      <c r="N119" s="105">
        <v>62.9</v>
      </c>
      <c r="O119" s="105">
        <v>64.5</v>
      </c>
      <c r="P119" s="105">
        <v>64.5</v>
      </c>
      <c r="Q119" s="105">
        <v>64.5</v>
      </c>
      <c r="R119" s="105">
        <v>63.3</v>
      </c>
      <c r="S119" s="105"/>
      <c r="T119" s="105">
        <v>64</v>
      </c>
      <c r="U119" s="105">
        <v>63</v>
      </c>
      <c r="V119" s="105">
        <v>65.099999999999994</v>
      </c>
      <c r="W119" s="105">
        <v>64.400000000000006</v>
      </c>
      <c r="X119" s="105">
        <v>65.5</v>
      </c>
      <c r="Y119" s="105">
        <v>63.9</v>
      </c>
      <c r="Z119" s="105">
        <v>64.5</v>
      </c>
      <c r="AA119" s="105">
        <v>64.099999999999994</v>
      </c>
      <c r="AB119" s="105">
        <v>65.8</v>
      </c>
      <c r="AC119" s="105">
        <v>65.3</v>
      </c>
      <c r="AD119" s="105">
        <v>65.400000000000006</v>
      </c>
      <c r="AE119" s="105">
        <v>65.400000000000006</v>
      </c>
      <c r="AF119" s="105">
        <v>65.400000000000006</v>
      </c>
      <c r="AG119" s="121"/>
      <c r="AH119" s="48">
        <f t="shared" si="31"/>
        <v>65.8</v>
      </c>
      <c r="AI119" s="49">
        <f t="shared" si="32"/>
        <v>62.6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1"/>
        <v>0</v>
      </c>
      <c r="AI120" s="49">
        <f t="shared" si="32"/>
        <v>0</v>
      </c>
    </row>
    <row r="121" spans="1:35" ht="15.75" thickBot="1" x14ac:dyDescent="0.3">
      <c r="A121" s="123" t="s">
        <v>141</v>
      </c>
      <c r="B121" s="124">
        <f t="shared" ref="B121" si="52">SUM(B25,B31,B34:B35,B69,B71:B72,B74,B76,B122:B126,B158,B164,B170,B179,B181,B193,B200,B203:B204,B211,B213,B215,B219:B221,B223:B225,B230,B236:B237,B239:B241,B249,B254)</f>
        <v>157.64000000000001</v>
      </c>
      <c r="C121" s="124">
        <f t="shared" ref="C121:O121" si="53">SUM(C25,C31,C34:C35,C69,C71:C72,C74,C76,C122:C126,C158,C164,C170,C179,C181,C193,C200,C203:C204,C211,C213,C215,C219:C221,C223:C225,C230,C236:C237,C239:C241,C249,C254)</f>
        <v>149.34</v>
      </c>
      <c r="D121" s="124">
        <f t="shared" si="53"/>
        <v>127.14000000000003</v>
      </c>
      <c r="E121" s="124">
        <f t="shared" si="53"/>
        <v>107.64000000000004</v>
      </c>
      <c r="F121" s="124">
        <f t="shared" si="53"/>
        <v>110.14000000000004</v>
      </c>
      <c r="G121" s="124">
        <f t="shared" si="53"/>
        <v>133.63999999999999</v>
      </c>
      <c r="H121" s="124">
        <f t="shared" si="53"/>
        <v>148.94000000000003</v>
      </c>
      <c r="I121" s="124">
        <f t="shared" si="53"/>
        <v>148.94000000000003</v>
      </c>
      <c r="J121" s="124">
        <f t="shared" si="53"/>
        <v>193.74000000000004</v>
      </c>
      <c r="K121" s="124">
        <f t="shared" si="53"/>
        <v>196.54000000000002</v>
      </c>
      <c r="L121" s="124">
        <f t="shared" si="53"/>
        <v>215.14</v>
      </c>
      <c r="M121" s="124">
        <f t="shared" si="53"/>
        <v>211.64</v>
      </c>
      <c r="N121" s="124">
        <f t="shared" si="53"/>
        <v>205.64</v>
      </c>
      <c r="O121" s="124">
        <f t="shared" si="53"/>
        <v>268.14</v>
      </c>
      <c r="P121" s="124">
        <v>42</v>
      </c>
      <c r="Q121" s="124">
        <f t="shared" ref="Q121:X121" si="54">SUM(Q25,Q31,Q34:Q35,Q69,Q71:Q72,Q74,Q76,Q122:Q126,Q158,Q164,Q170,Q179,Q181,Q193,Q200,Q203:Q204,Q211,Q213,Q215,Q219:Q221,Q223:Q225,Q230,Q236:Q237,Q239:Q241,Q249,Q254)</f>
        <v>187.14</v>
      </c>
      <c r="R121" s="124">
        <f t="shared" si="54"/>
        <v>202.64</v>
      </c>
      <c r="S121" s="124">
        <f t="shared" si="54"/>
        <v>197.64000000000004</v>
      </c>
      <c r="T121" s="124">
        <f t="shared" si="54"/>
        <v>197.54000000000002</v>
      </c>
      <c r="U121" s="124">
        <f t="shared" si="54"/>
        <v>154.44000000000003</v>
      </c>
      <c r="V121" s="124">
        <f t="shared" si="54"/>
        <v>182.74</v>
      </c>
      <c r="W121" s="124">
        <f t="shared" si="54"/>
        <v>182.54000000000005</v>
      </c>
      <c r="X121" s="124">
        <f t="shared" si="54"/>
        <v>184.84</v>
      </c>
      <c r="Y121" s="124">
        <f>SUM(Y23,Y29,Y40:Y41,Y69,Y71:Y72,Y74,Y76,Y122:Y126,Y151,Y157,Y163,Y172,Y174,Y186,Y193,Y196:Y197,Y204,Y206,Y208,Y212:Y214,Y216:Y218,Y223,Y229:Y230,Y232:Y234,Y242,Y247)</f>
        <v>249.8</v>
      </c>
      <c r="Z121" s="124">
        <f>SUM(Z23,Z29,Z40:Z41,Z69,Z71:Z72,Z74,Z76,Z122:Z126,Z151,Z157,Z163,Z172,Z174,Z186,Z193,Z196:Z197,Z204,Z206,Z208,Z212:Z214,Z216:Z218,Z223,Z229:Z230,Z232:Z234,Z242,Z247)</f>
        <v>231.3</v>
      </c>
      <c r="AA121" s="124">
        <f t="shared" ref="AA121:AF121" si="55">SUM(AA25,AA31,AA34:AA35,AA69,AA71:AA72,AA74,AA76,AA122:AA126,AA158,AA164,AA170,AA179,AA181,AA193,AA200,AA203:AA204,AA211,AA213,AA215,AA219:AA221,AA223:AA225,AA230,AA236:AA237,AA239:AA241,AA249,AA254)</f>
        <v>188.44</v>
      </c>
      <c r="AB121" s="124">
        <f t="shared" si="55"/>
        <v>213.14</v>
      </c>
      <c r="AC121" s="124">
        <f t="shared" si="55"/>
        <v>203.73999999999998</v>
      </c>
      <c r="AD121" s="124">
        <f t="shared" si="55"/>
        <v>165.23999999999998</v>
      </c>
      <c r="AE121" s="124">
        <f t="shared" si="55"/>
        <v>138.13999999999999</v>
      </c>
      <c r="AF121" s="124">
        <f t="shared" si="55"/>
        <v>114.94</v>
      </c>
      <c r="AG121" s="125"/>
      <c r="AH121" s="48">
        <f t="shared" si="31"/>
        <v>268.14</v>
      </c>
      <c r="AI121" s="49">
        <f t="shared" si="32"/>
        <v>42</v>
      </c>
    </row>
    <row r="122" spans="1:35" x14ac:dyDescent="0.25">
      <c r="A122" s="126" t="s">
        <v>142</v>
      </c>
      <c r="B122" s="127">
        <v>85.8</v>
      </c>
      <c r="C122" s="127">
        <v>83.7</v>
      </c>
      <c r="D122" s="127">
        <v>72.900000000000006</v>
      </c>
      <c r="E122" s="127">
        <v>72.7</v>
      </c>
      <c r="F122" s="127">
        <v>70.900000000000006</v>
      </c>
      <c r="G122" s="127">
        <v>78</v>
      </c>
      <c r="H122" s="127">
        <v>78</v>
      </c>
      <c r="I122" s="127">
        <v>78</v>
      </c>
      <c r="J122" s="127">
        <v>73</v>
      </c>
      <c r="K122" s="127">
        <v>68.099999999999994</v>
      </c>
      <c r="L122" s="127">
        <v>70.2</v>
      </c>
      <c r="M122" s="127">
        <v>74</v>
      </c>
      <c r="N122" s="127">
        <v>69</v>
      </c>
      <c r="O122" s="127">
        <v>79</v>
      </c>
      <c r="P122" s="127">
        <v>79</v>
      </c>
      <c r="Q122" s="127">
        <v>61.2</v>
      </c>
      <c r="R122" s="127">
        <v>74</v>
      </c>
      <c r="S122" s="127">
        <v>64.400000000000006</v>
      </c>
      <c r="T122" s="127">
        <v>64.400000000000006</v>
      </c>
      <c r="U122" s="127">
        <v>0</v>
      </c>
      <c r="V122" s="127">
        <v>40.9</v>
      </c>
      <c r="W122" s="127">
        <v>38</v>
      </c>
      <c r="X122" s="127">
        <v>39.299999999999997</v>
      </c>
      <c r="Y122" s="127">
        <v>73.900000000000006</v>
      </c>
      <c r="Z122" s="127">
        <v>57</v>
      </c>
      <c r="AA122" s="127">
        <v>39.799999999999997</v>
      </c>
      <c r="AB122" s="127">
        <v>48.7</v>
      </c>
      <c r="AC122" s="127">
        <v>49.7</v>
      </c>
      <c r="AD122" s="127">
        <v>43.5</v>
      </c>
      <c r="AE122" s="127">
        <v>51.7</v>
      </c>
      <c r="AF122" s="127">
        <v>60</v>
      </c>
      <c r="AG122" s="128">
        <v>75</v>
      </c>
      <c r="AH122" s="48">
        <f t="shared" si="31"/>
        <v>85.8</v>
      </c>
      <c r="AI122" s="49">
        <f t="shared" si="32"/>
        <v>0</v>
      </c>
    </row>
    <row r="123" spans="1:35" x14ac:dyDescent="0.25">
      <c r="A123" s="129" t="s">
        <v>143</v>
      </c>
      <c r="B123" s="130">
        <v>120</v>
      </c>
      <c r="C123" s="130">
        <v>117.3</v>
      </c>
      <c r="D123" s="130">
        <v>101.7</v>
      </c>
      <c r="E123" s="130">
        <v>100</v>
      </c>
      <c r="F123" s="130">
        <v>97.3</v>
      </c>
      <c r="G123" s="130">
        <v>106</v>
      </c>
      <c r="H123" s="130">
        <v>105.6</v>
      </c>
      <c r="I123" s="130">
        <v>105.6</v>
      </c>
      <c r="J123" s="130">
        <v>100</v>
      </c>
      <c r="K123" s="130">
        <v>92.6</v>
      </c>
      <c r="L123" s="130">
        <v>95.2</v>
      </c>
      <c r="M123" s="130">
        <v>101</v>
      </c>
      <c r="N123" s="130">
        <v>94</v>
      </c>
      <c r="O123" s="130">
        <v>102</v>
      </c>
      <c r="P123" s="130">
        <v>102</v>
      </c>
      <c r="Q123" s="130">
        <v>80.3</v>
      </c>
      <c r="R123" s="130">
        <v>99</v>
      </c>
      <c r="S123" s="130">
        <v>88.9</v>
      </c>
      <c r="T123" s="130">
        <v>90.3</v>
      </c>
      <c r="U123" s="130">
        <v>81.400000000000006</v>
      </c>
      <c r="V123" s="130">
        <v>64.400000000000006</v>
      </c>
      <c r="W123" s="130">
        <v>59.3</v>
      </c>
      <c r="X123" s="130">
        <v>59.2</v>
      </c>
      <c r="Y123" s="130">
        <v>103.4</v>
      </c>
      <c r="Z123" s="130">
        <v>82.8</v>
      </c>
      <c r="AA123" s="130">
        <v>59.5</v>
      </c>
      <c r="AB123" s="130">
        <v>72.900000000000006</v>
      </c>
      <c r="AC123" s="130">
        <v>73.5</v>
      </c>
      <c r="AD123" s="130">
        <v>66.7</v>
      </c>
      <c r="AE123" s="130">
        <v>78.400000000000006</v>
      </c>
      <c r="AF123" s="130">
        <v>85</v>
      </c>
      <c r="AG123" s="128">
        <v>240</v>
      </c>
      <c r="AH123" s="48">
        <f t="shared" si="31"/>
        <v>120</v>
      </c>
      <c r="AI123" s="49">
        <f t="shared" si="32"/>
        <v>59.2</v>
      </c>
    </row>
    <row r="124" spans="1:35" x14ac:dyDescent="0.25">
      <c r="A124" s="129" t="s">
        <v>144</v>
      </c>
      <c r="B124" s="130">
        <f>-78-85</f>
        <v>-163</v>
      </c>
      <c r="C124" s="130">
        <f>-75-85.6</f>
        <v>-160.6</v>
      </c>
      <c r="D124" s="130">
        <f>-72.4-76.8</f>
        <v>-149.19999999999999</v>
      </c>
      <c r="E124" s="130">
        <v>-160</v>
      </c>
      <c r="F124" s="130">
        <v>-152</v>
      </c>
      <c r="G124" s="130">
        <v>-149</v>
      </c>
      <c r="H124" s="130">
        <v>-136</v>
      </c>
      <c r="I124" s="130">
        <v>-136</v>
      </c>
      <c r="J124" s="130">
        <v>-89</v>
      </c>
      <c r="K124" s="130">
        <v>-78</v>
      </c>
      <c r="L124" s="130">
        <v>-74</v>
      </c>
      <c r="M124" s="130">
        <v>-80</v>
      </c>
      <c r="N124" s="130">
        <v>-74</v>
      </c>
      <c r="O124" s="130">
        <v>-50</v>
      </c>
      <c r="P124" s="130">
        <v>-50</v>
      </c>
      <c r="Q124" s="130">
        <v>-72</v>
      </c>
      <c r="R124" s="130">
        <v>-84</v>
      </c>
      <c r="S124" s="130">
        <v>-77.599999999999994</v>
      </c>
      <c r="T124" s="130">
        <v>-92</v>
      </c>
      <c r="U124" s="130">
        <v>-55</v>
      </c>
      <c r="V124" s="130">
        <v>-72</v>
      </c>
      <c r="W124" s="130">
        <v>-65.2</v>
      </c>
      <c r="X124" s="130">
        <v>-69</v>
      </c>
      <c r="Y124" s="130">
        <v>-76</v>
      </c>
      <c r="Z124" s="130">
        <v>-57</v>
      </c>
      <c r="AA124" s="130">
        <v>-36.799999999999997</v>
      </c>
      <c r="AB124" s="130">
        <v>-62.4</v>
      </c>
      <c r="AC124" s="130">
        <v>-67</v>
      </c>
      <c r="AD124" s="130">
        <v>-80</v>
      </c>
      <c r="AE124" s="130">
        <v>-130</v>
      </c>
      <c r="AF124" s="130">
        <v>-144</v>
      </c>
      <c r="AG124" s="128">
        <v>240</v>
      </c>
      <c r="AH124" s="48">
        <f t="shared" si="31"/>
        <v>-36.799999999999997</v>
      </c>
      <c r="AI124" s="49">
        <f t="shared" si="32"/>
        <v>-163</v>
      </c>
    </row>
    <row r="125" spans="1:35" ht="15.75" thickBot="1" x14ac:dyDescent="0.3">
      <c r="A125" s="129" t="s">
        <v>145</v>
      </c>
      <c r="B125" s="130">
        <v>-8.1</v>
      </c>
      <c r="C125" s="130">
        <v>-14</v>
      </c>
      <c r="D125" s="130">
        <v>-21.2</v>
      </c>
      <c r="E125" s="130">
        <v>-28</v>
      </c>
      <c r="F125" s="130">
        <v>-29</v>
      </c>
      <c r="G125" s="130">
        <v>-24.3</v>
      </c>
      <c r="H125" s="130">
        <v>-21.6</v>
      </c>
      <c r="I125" s="130">
        <v>-21.6</v>
      </c>
      <c r="J125" s="130">
        <v>-15.4</v>
      </c>
      <c r="K125" s="130">
        <v>-12</v>
      </c>
      <c r="L125" s="130">
        <v>-4.3</v>
      </c>
      <c r="M125" s="130">
        <v>-11</v>
      </c>
      <c r="N125" s="130">
        <v>-11</v>
      </c>
      <c r="O125" s="130">
        <v>9.5</v>
      </c>
      <c r="P125" s="130">
        <v>9.5</v>
      </c>
      <c r="Q125" s="130">
        <v>-10</v>
      </c>
      <c r="R125" s="130">
        <v>-14</v>
      </c>
      <c r="S125" s="130">
        <v>-10.9</v>
      </c>
      <c r="T125" s="130">
        <v>3.3</v>
      </c>
      <c r="U125" s="130">
        <v>-1.5</v>
      </c>
      <c r="V125" s="130">
        <v>21.9</v>
      </c>
      <c r="W125" s="130">
        <v>24.9</v>
      </c>
      <c r="X125" s="130">
        <v>28.6</v>
      </c>
      <c r="Y125" s="130">
        <v>0</v>
      </c>
      <c r="Z125" s="130">
        <v>0</v>
      </c>
      <c r="AA125" s="130">
        <v>0</v>
      </c>
      <c r="AB125" s="130">
        <v>28</v>
      </c>
      <c r="AC125" s="130">
        <v>21.6</v>
      </c>
      <c r="AD125" s="130">
        <v>9.1</v>
      </c>
      <c r="AE125" s="130">
        <v>12.1</v>
      </c>
      <c r="AF125" s="130">
        <v>-12</v>
      </c>
      <c r="AG125" s="128">
        <v>60</v>
      </c>
      <c r="AH125" s="48">
        <f t="shared" si="31"/>
        <v>28.6</v>
      </c>
      <c r="AI125" s="49">
        <f t="shared" si="32"/>
        <v>-29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1"/>
        <v>0</v>
      </c>
      <c r="AI126" s="49">
        <f t="shared" si="32"/>
        <v>0</v>
      </c>
    </row>
    <row r="127" spans="1:35" x14ac:dyDescent="0.25">
      <c r="A127" s="129" t="s">
        <v>147</v>
      </c>
      <c r="B127" s="131">
        <v>25.5</v>
      </c>
      <c r="C127" s="131">
        <v>26.8</v>
      </c>
      <c r="D127" s="131">
        <v>35.1</v>
      </c>
      <c r="E127" s="131">
        <v>42</v>
      </c>
      <c r="F127" s="131">
        <v>42.6</v>
      </c>
      <c r="G127" s="131">
        <v>44</v>
      </c>
      <c r="H127" s="131">
        <v>47</v>
      </c>
      <c r="I127" s="131">
        <v>47</v>
      </c>
      <c r="J127" s="131">
        <v>60</v>
      </c>
      <c r="K127" s="131">
        <v>71</v>
      </c>
      <c r="L127" s="131">
        <v>68</v>
      </c>
      <c r="M127" s="131">
        <v>74</v>
      </c>
      <c r="N127" s="131">
        <v>76</v>
      </c>
      <c r="O127" s="131">
        <v>57</v>
      </c>
      <c r="P127" s="131">
        <v>57</v>
      </c>
      <c r="Q127" s="131">
        <v>58</v>
      </c>
      <c r="R127" s="131">
        <v>55</v>
      </c>
      <c r="S127" s="131">
        <v>68.400000000000006</v>
      </c>
      <c r="T127" s="131">
        <v>65.400000000000006</v>
      </c>
      <c r="U127" s="131">
        <v>80.8</v>
      </c>
      <c r="V127" s="131">
        <v>58.2</v>
      </c>
      <c r="W127" s="131">
        <v>60.6</v>
      </c>
      <c r="X127" s="131">
        <v>56.9</v>
      </c>
      <c r="Y127" s="131">
        <v>58.4</v>
      </c>
      <c r="Z127" s="131">
        <v>72.400000000000006</v>
      </c>
      <c r="AA127" s="131">
        <v>95.6</v>
      </c>
      <c r="AB127" s="131">
        <v>81</v>
      </c>
      <c r="AC127" s="131">
        <v>83</v>
      </c>
      <c r="AD127" s="131">
        <v>86</v>
      </c>
      <c r="AE127" s="131">
        <v>51.5</v>
      </c>
      <c r="AF127" s="131">
        <v>56.1</v>
      </c>
      <c r="AG127" s="132"/>
      <c r="AH127" s="48"/>
      <c r="AI127" s="49"/>
    </row>
    <row r="128" spans="1:35" x14ac:dyDescent="0.25">
      <c r="A128" s="129" t="s">
        <v>148</v>
      </c>
      <c r="B128" s="131">
        <v>-43.9</v>
      </c>
      <c r="C128" s="131">
        <v>-40.299999999999997</v>
      </c>
      <c r="D128" s="131">
        <v>-22</v>
      </c>
      <c r="E128" s="131">
        <v>-6</v>
      </c>
      <c r="F128" s="131">
        <v>-5.6</v>
      </c>
      <c r="G128" s="131">
        <v>-22.4</v>
      </c>
      <c r="H128" s="131">
        <v>-28.4</v>
      </c>
      <c r="I128" s="131">
        <v>-28.4</v>
      </c>
      <c r="J128" s="131">
        <v>-43.6</v>
      </c>
      <c r="K128" s="131">
        <v>-44</v>
      </c>
      <c r="L128" s="131">
        <v>-45.4</v>
      </c>
      <c r="M128" s="131">
        <v>-36</v>
      </c>
      <c r="N128" s="131">
        <v>-35</v>
      </c>
      <c r="O128" s="131">
        <v>-69</v>
      </c>
      <c r="P128" s="131">
        <v>-69</v>
      </c>
      <c r="Q128" s="131">
        <v>-25</v>
      </c>
      <c r="R128" s="131">
        <v>-44</v>
      </c>
      <c r="S128" s="131">
        <v>-27.9</v>
      </c>
      <c r="T128" s="131">
        <v>-36.200000000000003</v>
      </c>
      <c r="U128" s="131">
        <v>-2.4</v>
      </c>
      <c r="V128" s="131">
        <v>-40.700000000000003</v>
      </c>
      <c r="W128" s="131">
        <v>-40.799999999999997</v>
      </c>
      <c r="X128" s="131">
        <v>-44.2</v>
      </c>
      <c r="Y128" s="131">
        <v>-70.7</v>
      </c>
      <c r="Z128" s="131">
        <v>-55</v>
      </c>
      <c r="AA128" s="131">
        <v>-36.9</v>
      </c>
      <c r="AB128" s="131">
        <v>-36.200000000000003</v>
      </c>
      <c r="AC128" s="131">
        <v>-29.2</v>
      </c>
      <c r="AD128" s="131">
        <v>-6</v>
      </c>
      <c r="AE128" s="131">
        <v>-1.7</v>
      </c>
      <c r="AF128" s="131">
        <v>1.9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12</v>
      </c>
      <c r="C129" s="131">
        <v>15.3</v>
      </c>
      <c r="D129" s="131">
        <v>28.5</v>
      </c>
      <c r="E129" s="131">
        <v>41</v>
      </c>
      <c r="F129" s="131">
        <v>40</v>
      </c>
      <c r="G129" s="131">
        <v>37</v>
      </c>
      <c r="H129" s="131">
        <v>43.1</v>
      </c>
      <c r="I129" s="131">
        <v>43.1</v>
      </c>
      <c r="J129" s="131">
        <v>41</v>
      </c>
      <c r="K129" s="131">
        <v>52</v>
      </c>
      <c r="L129" s="131">
        <v>51</v>
      </c>
      <c r="M129" s="131">
        <v>60</v>
      </c>
      <c r="N129" s="131">
        <v>54</v>
      </c>
      <c r="O129" s="131">
        <v>26</v>
      </c>
      <c r="P129" s="131">
        <v>26</v>
      </c>
      <c r="Q129" s="131">
        <v>32</v>
      </c>
      <c r="R129" s="131">
        <v>32</v>
      </c>
      <c r="S129" s="131">
        <v>43.9</v>
      </c>
      <c r="T129" s="131">
        <v>31</v>
      </c>
      <c r="U129" s="131">
        <v>61.6</v>
      </c>
      <c r="V129" s="131">
        <v>30.6</v>
      </c>
      <c r="W129" s="131">
        <v>30.3</v>
      </c>
      <c r="X129" s="131">
        <v>27.5</v>
      </c>
      <c r="Y129" s="131">
        <v>25.9</v>
      </c>
      <c r="Z129" s="131">
        <v>43.3</v>
      </c>
      <c r="AA129" s="131">
        <v>57</v>
      </c>
      <c r="AB129" s="131">
        <v>46</v>
      </c>
      <c r="AC129" s="131">
        <v>48</v>
      </c>
      <c r="AD129" s="131">
        <v>58</v>
      </c>
      <c r="AE129" s="131">
        <v>31.9</v>
      </c>
      <c r="AF129" s="131">
        <v>40.4</v>
      </c>
      <c r="AG129" s="128"/>
      <c r="AH129" s="48">
        <f>MAX(B129:AF129)</f>
        <v>61.6</v>
      </c>
      <c r="AI129" s="49">
        <f>MIN(B129:AF129)</f>
        <v>12</v>
      </c>
    </row>
    <row r="130" spans="1:37" x14ac:dyDescent="0.25">
      <c r="A130" s="126" t="s">
        <v>150</v>
      </c>
      <c r="B130" s="131">
        <v>-145</v>
      </c>
      <c r="C130" s="131">
        <v>-213</v>
      </c>
      <c r="D130" s="131">
        <v>-170</v>
      </c>
      <c r="E130" s="131">
        <v>-187</v>
      </c>
      <c r="F130" s="131">
        <v>-183.2</v>
      </c>
      <c r="G130" s="131">
        <v>-196</v>
      </c>
      <c r="H130" s="131">
        <v>-133</v>
      </c>
      <c r="I130" s="131">
        <v>-133</v>
      </c>
      <c r="J130" s="131">
        <v>-138</v>
      </c>
      <c r="K130" s="131">
        <v>-153</v>
      </c>
      <c r="L130" s="131">
        <v>-177</v>
      </c>
      <c r="M130" s="131">
        <v>-159</v>
      </c>
      <c r="N130" s="131">
        <v>-178</v>
      </c>
      <c r="O130" s="131">
        <v>-143</v>
      </c>
      <c r="P130" s="131">
        <v>-143</v>
      </c>
      <c r="Q130" s="131">
        <v>-135</v>
      </c>
      <c r="R130" s="131">
        <v>-151</v>
      </c>
      <c r="S130" s="131">
        <v>-152</v>
      </c>
      <c r="T130" s="131">
        <v>-173.4</v>
      </c>
      <c r="U130" s="131">
        <v>-77.599999999999994</v>
      </c>
      <c r="V130" s="131">
        <v>-64.8</v>
      </c>
      <c r="W130" s="131">
        <v>-56.2</v>
      </c>
      <c r="X130" s="131">
        <v>-60.8</v>
      </c>
      <c r="Y130" s="131">
        <v>-147</v>
      </c>
      <c r="Z130" s="131">
        <v>-167.4</v>
      </c>
      <c r="AA130" s="131">
        <v>-222.1</v>
      </c>
      <c r="AB130" s="131">
        <v>-203</v>
      </c>
      <c r="AC130" s="131">
        <v>-212</v>
      </c>
      <c r="AD130" s="131">
        <v>-212</v>
      </c>
      <c r="AE130" s="131">
        <v>-183.98</v>
      </c>
      <c r="AF130" s="131">
        <v>-197.6</v>
      </c>
      <c r="AG130" s="128"/>
      <c r="AH130" s="48">
        <f>MAX(B130:AF130)</f>
        <v>-56.2</v>
      </c>
      <c r="AI130" s="49">
        <f>MIN(B130:AF130)</f>
        <v>-222.1</v>
      </c>
    </row>
    <row r="131" spans="1:37" x14ac:dyDescent="0.25">
      <c r="A131" s="129" t="s">
        <v>151</v>
      </c>
      <c r="B131" s="119">
        <v>-8.5</v>
      </c>
      <c r="C131" s="119">
        <v>-5.5</v>
      </c>
      <c r="D131" s="119">
        <v>3.2</v>
      </c>
      <c r="E131" s="119">
        <v>13</v>
      </c>
      <c r="F131" s="119">
        <v>23.5</v>
      </c>
      <c r="G131" s="119">
        <v>11.2</v>
      </c>
      <c r="H131" s="119">
        <v>13</v>
      </c>
      <c r="I131" s="119">
        <v>13</v>
      </c>
      <c r="J131" s="119">
        <v>5.4</v>
      </c>
      <c r="K131" s="119">
        <v>3</v>
      </c>
      <c r="L131" s="119">
        <v>-14</v>
      </c>
      <c r="M131" s="119">
        <v>0</v>
      </c>
      <c r="N131" s="119">
        <v>-2.7</v>
      </c>
      <c r="O131" s="119">
        <v>-0.5</v>
      </c>
      <c r="P131" s="119">
        <v>-0.5</v>
      </c>
      <c r="Q131" s="119">
        <v>-0.6</v>
      </c>
      <c r="R131" s="119">
        <v>-6.4</v>
      </c>
      <c r="S131" s="119">
        <v>-8.1999999999999993</v>
      </c>
      <c r="T131" s="119">
        <v>-14.1</v>
      </c>
      <c r="U131" s="119">
        <v>-16.2</v>
      </c>
      <c r="V131" s="119">
        <v>-31.1</v>
      </c>
      <c r="W131" s="119">
        <v>-33.299999999999997</v>
      </c>
      <c r="X131" s="119">
        <v>-20.3</v>
      </c>
      <c r="Y131" s="119">
        <v>-6.9</v>
      </c>
      <c r="Z131" s="119">
        <v>-16.5</v>
      </c>
      <c r="AA131" s="119">
        <v>-39.799999999999997</v>
      </c>
      <c r="AB131" s="119">
        <v>-18.399999999999999</v>
      </c>
      <c r="AC131" s="119">
        <v>-18.600000000000001</v>
      </c>
      <c r="AD131" s="119">
        <v>11.4</v>
      </c>
      <c r="AE131" s="119">
        <v>22.5</v>
      </c>
      <c r="AF131" s="119">
        <v>26.1</v>
      </c>
      <c r="AG131" s="128"/>
      <c r="AH131" s="48">
        <f>MAX(B131:AF131)</f>
        <v>26.1</v>
      </c>
      <c r="AI131" s="49">
        <f>MIN(B131:AF131)</f>
        <v>-39.799999999999997</v>
      </c>
    </row>
    <row r="132" spans="1:37" x14ac:dyDescent="0.25">
      <c r="A132" s="129" t="s">
        <v>152</v>
      </c>
      <c r="B132" s="119">
        <v>48.8</v>
      </c>
      <c r="C132" s="119">
        <v>38.5</v>
      </c>
      <c r="D132" s="119">
        <v>-16</v>
      </c>
      <c r="E132" s="119">
        <v>1</v>
      </c>
      <c r="F132" s="119">
        <v>-9.3000000000000007</v>
      </c>
      <c r="G132" s="119">
        <v>9</v>
      </c>
      <c r="H132" s="119">
        <v>12</v>
      </c>
      <c r="I132" s="119">
        <v>12</v>
      </c>
      <c r="J132" s="119">
        <v>13</v>
      </c>
      <c r="K132" s="119">
        <v>25</v>
      </c>
      <c r="L132" s="119">
        <v>46</v>
      </c>
      <c r="M132" s="119">
        <v>35</v>
      </c>
      <c r="N132" s="119">
        <v>41</v>
      </c>
      <c r="O132" s="119">
        <v>38</v>
      </c>
      <c r="P132" s="119">
        <v>38</v>
      </c>
      <c r="Q132" s="119">
        <v>48</v>
      </c>
      <c r="R132" s="119">
        <v>47</v>
      </c>
      <c r="S132" s="119">
        <v>51.9</v>
      </c>
      <c r="T132" s="119">
        <v>58.9</v>
      </c>
      <c r="U132" s="119">
        <v>65.8</v>
      </c>
      <c r="V132" s="119">
        <v>59.3</v>
      </c>
      <c r="W132" s="119">
        <v>60.5</v>
      </c>
      <c r="X132" s="119">
        <v>51</v>
      </c>
      <c r="Y132" s="119">
        <v>36</v>
      </c>
      <c r="Z132" s="119">
        <v>46.3</v>
      </c>
      <c r="AA132" s="119">
        <v>69.2</v>
      </c>
      <c r="AB132" s="119">
        <v>63</v>
      </c>
      <c r="AC132" s="119">
        <v>67</v>
      </c>
      <c r="AD132" s="119">
        <v>51</v>
      </c>
      <c r="AE132" s="119">
        <v>45.7</v>
      </c>
      <c r="AF132" s="119">
        <v>46.3</v>
      </c>
      <c r="AG132" s="128"/>
      <c r="AH132" s="48">
        <f>MAX(B132:AF132)</f>
        <v>69.2</v>
      </c>
      <c r="AI132" s="49">
        <f>MIN(B132:AF132)</f>
        <v>-16</v>
      </c>
    </row>
    <row r="133" spans="1:37" ht="15.75" thickBot="1" x14ac:dyDescent="0.3">
      <c r="A133" s="129" t="s">
        <v>153</v>
      </c>
      <c r="B133" s="119">
        <v>59.5</v>
      </c>
      <c r="C133" s="119">
        <v>50.9</v>
      </c>
      <c r="D133" s="119">
        <v>-7</v>
      </c>
      <c r="E133" s="119">
        <v>11</v>
      </c>
      <c r="F133" s="119">
        <v>2.2999999999999998</v>
      </c>
      <c r="G133" s="119">
        <v>16</v>
      </c>
      <c r="H133" s="119">
        <v>20</v>
      </c>
      <c r="I133" s="119">
        <v>20</v>
      </c>
      <c r="J133" s="119">
        <v>26</v>
      </c>
      <c r="K133" s="119">
        <v>38.299999999999997</v>
      </c>
      <c r="L133" s="119">
        <v>56</v>
      </c>
      <c r="M133" s="119">
        <v>49</v>
      </c>
      <c r="N133" s="119">
        <v>53.5</v>
      </c>
      <c r="O133" s="119">
        <v>55</v>
      </c>
      <c r="P133" s="119">
        <v>55</v>
      </c>
      <c r="Q133" s="119">
        <v>62</v>
      </c>
      <c r="R133" s="119">
        <v>57</v>
      </c>
      <c r="S133" s="119">
        <v>62.1</v>
      </c>
      <c r="T133" s="119">
        <v>61.8</v>
      </c>
      <c r="U133" s="119">
        <v>76.8</v>
      </c>
      <c r="V133" s="119">
        <v>73.7</v>
      </c>
      <c r="W133" s="119">
        <v>73.5</v>
      </c>
      <c r="X133" s="119">
        <v>69.8</v>
      </c>
      <c r="Y133" s="119">
        <v>54.4</v>
      </c>
      <c r="Z133" s="119">
        <v>60.6</v>
      </c>
      <c r="AA133" s="119">
        <v>82.9</v>
      </c>
      <c r="AB133" s="119">
        <v>78.5</v>
      </c>
      <c r="AC133" s="119">
        <v>80.099999999999994</v>
      </c>
      <c r="AD133" s="119">
        <v>65</v>
      </c>
      <c r="AE133" s="119">
        <v>60.6</v>
      </c>
      <c r="AF133" s="119">
        <v>55.8</v>
      </c>
      <c r="AG133" s="128"/>
      <c r="AH133" s="48">
        <f>MAX(B133:AF133)</f>
        <v>82.9</v>
      </c>
      <c r="AI133" s="49">
        <f>MIN(B133:AF133)</f>
        <v>-7</v>
      </c>
    </row>
    <row r="134" spans="1:37" x14ac:dyDescent="0.25">
      <c r="A134" s="133" t="s">
        <v>154</v>
      </c>
      <c r="B134" s="135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8">
        <v>1985.32</v>
      </c>
      <c r="C135" s="137">
        <v>1985.4</v>
      </c>
      <c r="D135" s="137">
        <v>1985.48</v>
      </c>
      <c r="E135" s="137">
        <v>1985.58</v>
      </c>
      <c r="F135" s="137">
        <v>1985.25</v>
      </c>
      <c r="G135" s="137">
        <v>1985.55</v>
      </c>
      <c r="H135" s="137">
        <v>1985.62</v>
      </c>
      <c r="I135" s="137">
        <v>1985.74</v>
      </c>
      <c r="J135" s="137">
        <v>1985.8</v>
      </c>
      <c r="K135" s="137">
        <v>1985.89</v>
      </c>
      <c r="L135" s="137">
        <v>1985.85</v>
      </c>
      <c r="M135" s="137">
        <v>1985.78</v>
      </c>
      <c r="N135" s="137">
        <v>1985.6</v>
      </c>
      <c r="O135" s="137">
        <v>1985.46</v>
      </c>
      <c r="P135" s="137">
        <v>1985.35</v>
      </c>
      <c r="Q135" s="137"/>
      <c r="R135" s="137"/>
      <c r="S135" s="137">
        <v>1985.28</v>
      </c>
      <c r="T135" s="137"/>
      <c r="U135" s="137"/>
      <c r="V135" s="137"/>
      <c r="W135" s="137"/>
      <c r="X135" s="137">
        <v>1986.1</v>
      </c>
      <c r="Y135" s="137"/>
      <c r="Z135" s="137"/>
      <c r="AA135" s="137"/>
      <c r="AB135" s="137">
        <v>1986.2</v>
      </c>
      <c r="AC135" s="137"/>
      <c r="AD135" s="137">
        <v>1985.9</v>
      </c>
      <c r="AE135" s="137">
        <v>1985.8</v>
      </c>
      <c r="AF135" s="138"/>
      <c r="AG135" s="139"/>
      <c r="AH135" s="48"/>
      <c r="AI135" s="49"/>
    </row>
    <row r="136" spans="1:37" x14ac:dyDescent="0.25">
      <c r="A136" s="136" t="s">
        <v>156</v>
      </c>
      <c r="B136" s="141"/>
      <c r="C136" s="140"/>
      <c r="D136" s="140"/>
      <c r="E136" s="140"/>
      <c r="F136" s="140"/>
      <c r="G136" s="140"/>
      <c r="H136" s="140"/>
      <c r="I136" s="140"/>
      <c r="J136" s="140"/>
      <c r="K136" s="140">
        <v>519.14</v>
      </c>
      <c r="L136" s="140">
        <v>519.53</v>
      </c>
      <c r="M136" s="140">
        <v>519.65</v>
      </c>
      <c r="N136" s="140"/>
      <c r="O136" s="140"/>
      <c r="P136" s="140"/>
      <c r="Q136" s="140"/>
      <c r="R136" s="140"/>
      <c r="S136" s="140">
        <v>520.26</v>
      </c>
      <c r="T136" s="140">
        <v>520.07000000000005</v>
      </c>
      <c r="U136" s="140"/>
      <c r="V136" s="140"/>
      <c r="W136" s="140"/>
      <c r="X136" s="140">
        <v>520.49</v>
      </c>
      <c r="Y136" s="140"/>
      <c r="Z136" s="140"/>
      <c r="AA136" s="140"/>
      <c r="AB136" s="140">
        <v>520.4</v>
      </c>
      <c r="AC136" s="140"/>
      <c r="AD136" s="140">
        <v>520.14</v>
      </c>
      <c r="AE136" s="140">
        <v>520.17999999999995</v>
      </c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1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>
        <v>624.44000000000005</v>
      </c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1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>
        <v>336.44</v>
      </c>
      <c r="T138" s="140">
        <v>336.51</v>
      </c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1">
        <v>883.4</v>
      </c>
      <c r="C139" s="140">
        <v>883.8</v>
      </c>
      <c r="D139" s="140">
        <v>884.2</v>
      </c>
      <c r="E139" s="140">
        <v>884.4</v>
      </c>
      <c r="F139" s="140">
        <v>884.5</v>
      </c>
      <c r="G139" s="140">
        <v>884.6</v>
      </c>
      <c r="H139" s="140"/>
      <c r="I139" s="140">
        <v>884.7</v>
      </c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>
        <v>884.5</v>
      </c>
      <c r="AA139" s="140"/>
      <c r="AB139" s="140"/>
      <c r="AC139" s="140"/>
      <c r="AD139" s="140"/>
      <c r="AE139" s="140">
        <v>882.9</v>
      </c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3">
        <v>1488.01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>
        <v>1488.04</v>
      </c>
      <c r="R140" s="142">
        <v>1488.05</v>
      </c>
      <c r="S140" s="142">
        <v>1488.05</v>
      </c>
      <c r="T140" s="142"/>
      <c r="U140" s="142"/>
      <c r="V140" s="142"/>
      <c r="W140" s="142"/>
      <c r="X140" s="142"/>
      <c r="Y140" s="142"/>
      <c r="Z140" s="142"/>
      <c r="AA140" s="142"/>
      <c r="AB140" s="142">
        <v>1487.88</v>
      </c>
      <c r="AC140" s="142"/>
      <c r="AD140" s="142"/>
      <c r="AE140" s="142">
        <v>1487.85</v>
      </c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56">SUM(B142:B246)</f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6"/>
        <v>0</v>
      </c>
      <c r="T247" s="161">
        <f t="shared" si="56"/>
        <v>0</v>
      </c>
      <c r="U247" s="161">
        <f t="shared" si="56"/>
        <v>0</v>
      </c>
      <c r="V247" s="161">
        <f t="shared" si="56"/>
        <v>0</v>
      </c>
      <c r="W247" s="161">
        <f t="shared" si="56"/>
        <v>0</v>
      </c>
      <c r="X247" s="161">
        <f t="shared" si="56"/>
        <v>0</v>
      </c>
      <c r="Y247" s="161">
        <f t="shared" si="56"/>
        <v>0</v>
      </c>
      <c r="Z247" s="161">
        <f t="shared" si="56"/>
        <v>0</v>
      </c>
      <c r="AA247" s="161">
        <f t="shared" si="56"/>
        <v>0</v>
      </c>
      <c r="AB247" s="161">
        <f t="shared" si="56"/>
        <v>0</v>
      </c>
      <c r="AC247" s="161">
        <f t="shared" si="56"/>
        <v>0</v>
      </c>
      <c r="AD247" s="161">
        <f t="shared" si="56"/>
        <v>0</v>
      </c>
      <c r="AE247" s="161">
        <f t="shared" si="56"/>
        <v>0</v>
      </c>
      <c r="AF247" s="162">
        <f t="shared" si="56"/>
        <v>0</v>
      </c>
      <c r="AG247" s="163">
        <f t="shared" si="5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57">AF249</f>
        <v>0.3</v>
      </c>
      <c r="C249" s="166">
        <v>0.3</v>
      </c>
      <c r="D249" s="166">
        <f t="shared" ref="D249:S254" si="58">C249</f>
        <v>0.3</v>
      </c>
      <c r="E249" s="166">
        <f t="shared" si="58"/>
        <v>0.3</v>
      </c>
      <c r="F249" s="166">
        <f t="shared" si="58"/>
        <v>0.3</v>
      </c>
      <c r="G249" s="166">
        <f t="shared" si="58"/>
        <v>0.3</v>
      </c>
      <c r="H249" s="166">
        <f t="shared" si="58"/>
        <v>0.3</v>
      </c>
      <c r="I249" s="166">
        <f t="shared" si="58"/>
        <v>0.3</v>
      </c>
      <c r="J249" s="166">
        <f t="shared" si="58"/>
        <v>0.3</v>
      </c>
      <c r="K249" s="166">
        <f t="shared" si="58"/>
        <v>0.3</v>
      </c>
      <c r="L249" s="166">
        <f t="shared" si="58"/>
        <v>0.3</v>
      </c>
      <c r="M249" s="166">
        <f t="shared" si="58"/>
        <v>0.3</v>
      </c>
      <c r="N249" s="166">
        <f t="shared" si="58"/>
        <v>0.3</v>
      </c>
      <c r="O249" s="166">
        <f t="shared" si="58"/>
        <v>0.3</v>
      </c>
      <c r="P249" s="166">
        <f t="shared" si="58"/>
        <v>0.3</v>
      </c>
      <c r="Q249" s="166">
        <f t="shared" si="58"/>
        <v>0.3</v>
      </c>
      <c r="R249" s="166">
        <f t="shared" si="58"/>
        <v>0.3</v>
      </c>
      <c r="S249" s="166">
        <f t="shared" si="58"/>
        <v>0.3</v>
      </c>
      <c r="T249" s="166">
        <f t="shared" ref="T249:AF254" si="59">S249</f>
        <v>0.3</v>
      </c>
      <c r="U249" s="166">
        <f t="shared" si="59"/>
        <v>0.3</v>
      </c>
      <c r="V249" s="166">
        <f t="shared" si="59"/>
        <v>0.3</v>
      </c>
      <c r="W249" s="166">
        <f t="shared" si="59"/>
        <v>0.3</v>
      </c>
      <c r="X249" s="166">
        <f t="shared" si="59"/>
        <v>0.3</v>
      </c>
      <c r="Y249" s="166">
        <f t="shared" si="59"/>
        <v>0.3</v>
      </c>
      <c r="Z249" s="166">
        <f t="shared" si="59"/>
        <v>0.3</v>
      </c>
      <c r="AA249" s="166">
        <f t="shared" si="59"/>
        <v>0.3</v>
      </c>
      <c r="AB249" s="166">
        <f t="shared" si="59"/>
        <v>0.3</v>
      </c>
      <c r="AC249" s="166">
        <f t="shared" si="59"/>
        <v>0.3</v>
      </c>
      <c r="AD249" s="166">
        <f t="shared" si="59"/>
        <v>0.3</v>
      </c>
      <c r="AE249" s="166">
        <f t="shared" si="59"/>
        <v>0.3</v>
      </c>
      <c r="AF249" s="166">
        <f t="shared" si="5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57"/>
        <v>0.4</v>
      </c>
      <c r="C250" s="152">
        <v>0.4</v>
      </c>
      <c r="D250" s="152">
        <f t="shared" si="58"/>
        <v>0.4</v>
      </c>
      <c r="E250" s="152">
        <f t="shared" si="58"/>
        <v>0.4</v>
      </c>
      <c r="F250" s="152">
        <f t="shared" si="58"/>
        <v>0.4</v>
      </c>
      <c r="G250" s="152">
        <f t="shared" si="58"/>
        <v>0.4</v>
      </c>
      <c r="H250" s="152">
        <f t="shared" si="58"/>
        <v>0.4</v>
      </c>
      <c r="I250" s="152">
        <f t="shared" si="58"/>
        <v>0.4</v>
      </c>
      <c r="J250" s="152">
        <f t="shared" si="58"/>
        <v>0.4</v>
      </c>
      <c r="K250" s="152">
        <f t="shared" si="58"/>
        <v>0.4</v>
      </c>
      <c r="L250" s="152">
        <f t="shared" si="58"/>
        <v>0.4</v>
      </c>
      <c r="M250" s="152">
        <f t="shared" si="58"/>
        <v>0.4</v>
      </c>
      <c r="N250" s="152">
        <f t="shared" si="58"/>
        <v>0.4</v>
      </c>
      <c r="O250" s="152">
        <f t="shared" si="58"/>
        <v>0.4</v>
      </c>
      <c r="P250" s="152">
        <f t="shared" si="58"/>
        <v>0.4</v>
      </c>
      <c r="Q250" s="152">
        <f t="shared" si="58"/>
        <v>0.4</v>
      </c>
      <c r="R250" s="152">
        <f t="shared" si="58"/>
        <v>0.4</v>
      </c>
      <c r="S250" s="152">
        <f t="shared" si="58"/>
        <v>0.4</v>
      </c>
      <c r="T250" s="152">
        <f t="shared" si="59"/>
        <v>0.4</v>
      </c>
      <c r="U250" s="152">
        <f t="shared" si="59"/>
        <v>0.4</v>
      </c>
      <c r="V250" s="152">
        <f t="shared" si="59"/>
        <v>0.4</v>
      </c>
      <c r="W250" s="152">
        <f t="shared" si="59"/>
        <v>0.4</v>
      </c>
      <c r="X250" s="152">
        <f t="shared" si="59"/>
        <v>0.4</v>
      </c>
      <c r="Y250" s="152">
        <f t="shared" si="59"/>
        <v>0.4</v>
      </c>
      <c r="Z250" s="152">
        <f t="shared" si="59"/>
        <v>0.4</v>
      </c>
      <c r="AA250" s="152">
        <f t="shared" si="59"/>
        <v>0.4</v>
      </c>
      <c r="AB250" s="152">
        <f t="shared" si="59"/>
        <v>0.4</v>
      </c>
      <c r="AC250" s="152">
        <f t="shared" si="59"/>
        <v>0.4</v>
      </c>
      <c r="AD250" s="152">
        <f t="shared" si="59"/>
        <v>0.4</v>
      </c>
      <c r="AE250" s="152">
        <f t="shared" si="59"/>
        <v>0.4</v>
      </c>
      <c r="AF250" s="152">
        <f t="shared" si="5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57"/>
        <v>1.5</v>
      </c>
      <c r="C251" s="152">
        <v>1.5</v>
      </c>
      <c r="D251" s="152">
        <f t="shared" si="58"/>
        <v>1.5</v>
      </c>
      <c r="E251" s="152">
        <f t="shared" si="58"/>
        <v>1.5</v>
      </c>
      <c r="F251" s="152">
        <f t="shared" si="58"/>
        <v>1.5</v>
      </c>
      <c r="G251" s="152">
        <f t="shared" si="58"/>
        <v>1.5</v>
      </c>
      <c r="H251" s="152">
        <f t="shared" si="58"/>
        <v>1.5</v>
      </c>
      <c r="I251" s="152">
        <f t="shared" si="58"/>
        <v>1.5</v>
      </c>
      <c r="J251" s="152">
        <f t="shared" si="58"/>
        <v>1.5</v>
      </c>
      <c r="K251" s="152">
        <f t="shared" si="58"/>
        <v>1.5</v>
      </c>
      <c r="L251" s="152">
        <f t="shared" si="58"/>
        <v>1.5</v>
      </c>
      <c r="M251" s="152">
        <f t="shared" si="58"/>
        <v>1.5</v>
      </c>
      <c r="N251" s="152">
        <f t="shared" si="58"/>
        <v>1.5</v>
      </c>
      <c r="O251" s="152">
        <f t="shared" si="58"/>
        <v>1.5</v>
      </c>
      <c r="P251" s="152">
        <f t="shared" si="58"/>
        <v>1.5</v>
      </c>
      <c r="Q251" s="152">
        <f t="shared" si="58"/>
        <v>1.5</v>
      </c>
      <c r="R251" s="152">
        <f t="shared" si="58"/>
        <v>1.5</v>
      </c>
      <c r="S251" s="152">
        <f t="shared" si="58"/>
        <v>1.5</v>
      </c>
      <c r="T251" s="152">
        <f t="shared" si="59"/>
        <v>1.5</v>
      </c>
      <c r="U251" s="152">
        <f t="shared" si="59"/>
        <v>1.5</v>
      </c>
      <c r="V251" s="152">
        <f t="shared" si="59"/>
        <v>1.5</v>
      </c>
      <c r="W251" s="152">
        <f t="shared" si="59"/>
        <v>1.5</v>
      </c>
      <c r="X251" s="152">
        <f t="shared" si="59"/>
        <v>1.5</v>
      </c>
      <c r="Y251" s="152">
        <f t="shared" si="59"/>
        <v>1.5</v>
      </c>
      <c r="Z251" s="152">
        <f t="shared" si="59"/>
        <v>1.5</v>
      </c>
      <c r="AA251" s="152">
        <f t="shared" si="59"/>
        <v>1.5</v>
      </c>
      <c r="AB251" s="152">
        <f t="shared" si="59"/>
        <v>1.5</v>
      </c>
      <c r="AC251" s="152">
        <f t="shared" si="59"/>
        <v>1.5</v>
      </c>
      <c r="AD251" s="152">
        <f t="shared" si="59"/>
        <v>1.5</v>
      </c>
      <c r="AE251" s="152">
        <f t="shared" si="59"/>
        <v>1.5</v>
      </c>
      <c r="AF251" s="152">
        <f t="shared" si="5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57"/>
        <v>0.3</v>
      </c>
      <c r="C252" s="152">
        <v>0.3</v>
      </c>
      <c r="D252" s="152">
        <f t="shared" si="58"/>
        <v>0.3</v>
      </c>
      <c r="E252" s="152">
        <f t="shared" si="58"/>
        <v>0.3</v>
      </c>
      <c r="F252" s="152">
        <f t="shared" si="58"/>
        <v>0.3</v>
      </c>
      <c r="G252" s="152">
        <f t="shared" si="58"/>
        <v>0.3</v>
      </c>
      <c r="H252" s="152">
        <f t="shared" si="58"/>
        <v>0.3</v>
      </c>
      <c r="I252" s="152">
        <f t="shared" si="58"/>
        <v>0.3</v>
      </c>
      <c r="J252" s="152">
        <f t="shared" si="58"/>
        <v>0.3</v>
      </c>
      <c r="K252" s="152">
        <f t="shared" si="58"/>
        <v>0.3</v>
      </c>
      <c r="L252" s="152">
        <f t="shared" si="58"/>
        <v>0.3</v>
      </c>
      <c r="M252" s="152">
        <f t="shared" si="58"/>
        <v>0.3</v>
      </c>
      <c r="N252" s="152">
        <f t="shared" si="58"/>
        <v>0.3</v>
      </c>
      <c r="O252" s="152">
        <f t="shared" si="58"/>
        <v>0.3</v>
      </c>
      <c r="P252" s="152">
        <f t="shared" si="58"/>
        <v>0.3</v>
      </c>
      <c r="Q252" s="152">
        <f t="shared" si="58"/>
        <v>0.3</v>
      </c>
      <c r="R252" s="152">
        <f t="shared" si="58"/>
        <v>0.3</v>
      </c>
      <c r="S252" s="152">
        <f t="shared" si="58"/>
        <v>0.3</v>
      </c>
      <c r="T252" s="152">
        <f t="shared" si="59"/>
        <v>0.3</v>
      </c>
      <c r="U252" s="152">
        <f t="shared" si="59"/>
        <v>0.3</v>
      </c>
      <c r="V252" s="152">
        <f t="shared" si="59"/>
        <v>0.3</v>
      </c>
      <c r="W252" s="152">
        <f t="shared" si="59"/>
        <v>0.3</v>
      </c>
      <c r="X252" s="152">
        <f t="shared" si="59"/>
        <v>0.3</v>
      </c>
      <c r="Y252" s="152">
        <f t="shared" si="59"/>
        <v>0.3</v>
      </c>
      <c r="Z252" s="152">
        <f t="shared" si="59"/>
        <v>0.3</v>
      </c>
      <c r="AA252" s="152">
        <f t="shared" si="59"/>
        <v>0.3</v>
      </c>
      <c r="AB252" s="152">
        <f t="shared" si="59"/>
        <v>0.3</v>
      </c>
      <c r="AC252" s="152">
        <f t="shared" si="59"/>
        <v>0.3</v>
      </c>
      <c r="AD252" s="152">
        <f t="shared" si="59"/>
        <v>0.3</v>
      </c>
      <c r="AE252" s="152">
        <f t="shared" si="59"/>
        <v>0.3</v>
      </c>
      <c r="AF252" s="152">
        <f t="shared" si="5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57"/>
        <v>0.4</v>
      </c>
      <c r="C253" s="152">
        <v>0.4</v>
      </c>
      <c r="D253" s="152">
        <f t="shared" si="58"/>
        <v>0.4</v>
      </c>
      <c r="E253" s="152">
        <f t="shared" si="58"/>
        <v>0.4</v>
      </c>
      <c r="F253" s="152">
        <f t="shared" si="58"/>
        <v>0.4</v>
      </c>
      <c r="G253" s="152">
        <f t="shared" si="58"/>
        <v>0.4</v>
      </c>
      <c r="H253" s="152">
        <f t="shared" si="58"/>
        <v>0.4</v>
      </c>
      <c r="I253" s="152">
        <f t="shared" si="58"/>
        <v>0.4</v>
      </c>
      <c r="J253" s="152">
        <f t="shared" si="58"/>
        <v>0.4</v>
      </c>
      <c r="K253" s="152">
        <f t="shared" si="58"/>
        <v>0.4</v>
      </c>
      <c r="L253" s="152">
        <f t="shared" si="58"/>
        <v>0.4</v>
      </c>
      <c r="M253" s="152">
        <f t="shared" si="58"/>
        <v>0.4</v>
      </c>
      <c r="N253" s="152">
        <f t="shared" si="58"/>
        <v>0.4</v>
      </c>
      <c r="O253" s="152">
        <f t="shared" si="58"/>
        <v>0.4</v>
      </c>
      <c r="P253" s="152">
        <f t="shared" si="58"/>
        <v>0.4</v>
      </c>
      <c r="Q253" s="152">
        <f t="shared" si="58"/>
        <v>0.4</v>
      </c>
      <c r="R253" s="152">
        <f t="shared" si="58"/>
        <v>0.4</v>
      </c>
      <c r="S253" s="152">
        <f t="shared" si="58"/>
        <v>0.4</v>
      </c>
      <c r="T253" s="152">
        <f t="shared" si="59"/>
        <v>0.4</v>
      </c>
      <c r="U253" s="152">
        <f t="shared" si="59"/>
        <v>0.4</v>
      </c>
      <c r="V253" s="152">
        <f t="shared" si="59"/>
        <v>0.4</v>
      </c>
      <c r="W253" s="152">
        <f t="shared" si="59"/>
        <v>0.4</v>
      </c>
      <c r="X253" s="152">
        <f t="shared" si="59"/>
        <v>0.4</v>
      </c>
      <c r="Y253" s="152">
        <f t="shared" si="59"/>
        <v>0.4</v>
      </c>
      <c r="Z253" s="152">
        <f t="shared" si="59"/>
        <v>0.4</v>
      </c>
      <c r="AA253" s="152">
        <f t="shared" si="59"/>
        <v>0.4</v>
      </c>
      <c r="AB253" s="152">
        <f t="shared" si="59"/>
        <v>0.4</v>
      </c>
      <c r="AC253" s="152">
        <f t="shared" si="59"/>
        <v>0.4</v>
      </c>
      <c r="AD253" s="152">
        <f t="shared" si="59"/>
        <v>0.4</v>
      </c>
      <c r="AE253" s="152">
        <f t="shared" si="59"/>
        <v>0.4</v>
      </c>
      <c r="AF253" s="152">
        <f t="shared" si="5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57"/>
        <v>0.64</v>
      </c>
      <c r="C254" s="157">
        <v>0.64</v>
      </c>
      <c r="D254" s="157">
        <f t="shared" si="58"/>
        <v>0.64</v>
      </c>
      <c r="E254" s="157">
        <f t="shared" si="58"/>
        <v>0.64</v>
      </c>
      <c r="F254" s="157">
        <f t="shared" si="58"/>
        <v>0.64</v>
      </c>
      <c r="G254" s="157">
        <f t="shared" si="58"/>
        <v>0.64</v>
      </c>
      <c r="H254" s="157">
        <f t="shared" si="58"/>
        <v>0.64</v>
      </c>
      <c r="I254" s="157">
        <f t="shared" si="58"/>
        <v>0.64</v>
      </c>
      <c r="J254" s="157">
        <f t="shared" si="58"/>
        <v>0.64</v>
      </c>
      <c r="K254" s="157">
        <f t="shared" si="58"/>
        <v>0.64</v>
      </c>
      <c r="L254" s="157">
        <f t="shared" si="58"/>
        <v>0.64</v>
      </c>
      <c r="M254" s="157">
        <f t="shared" si="58"/>
        <v>0.64</v>
      </c>
      <c r="N254" s="157">
        <f t="shared" si="58"/>
        <v>0.64</v>
      </c>
      <c r="O254" s="157">
        <f t="shared" si="58"/>
        <v>0.64</v>
      </c>
      <c r="P254" s="157">
        <f t="shared" si="58"/>
        <v>0.64</v>
      </c>
      <c r="Q254" s="157">
        <f t="shared" si="58"/>
        <v>0.64</v>
      </c>
      <c r="R254" s="157">
        <f t="shared" si="58"/>
        <v>0.64</v>
      </c>
      <c r="S254" s="157">
        <f t="shared" si="58"/>
        <v>0.64</v>
      </c>
      <c r="T254" s="157">
        <f t="shared" si="59"/>
        <v>0.64</v>
      </c>
      <c r="U254" s="157">
        <f t="shared" si="59"/>
        <v>0.64</v>
      </c>
      <c r="V254" s="157">
        <f t="shared" si="59"/>
        <v>0.64</v>
      </c>
      <c r="W254" s="157">
        <f t="shared" si="59"/>
        <v>0.64</v>
      </c>
      <c r="X254" s="157">
        <f t="shared" si="59"/>
        <v>0.64</v>
      </c>
      <c r="Y254" s="157">
        <f t="shared" si="59"/>
        <v>0.64</v>
      </c>
      <c r="Z254" s="157">
        <f t="shared" si="59"/>
        <v>0.64</v>
      </c>
      <c r="AA254" s="157">
        <f t="shared" si="59"/>
        <v>0.64</v>
      </c>
      <c r="AB254" s="157">
        <f t="shared" si="59"/>
        <v>0.64</v>
      </c>
      <c r="AC254" s="157">
        <f t="shared" si="59"/>
        <v>0.64</v>
      </c>
      <c r="AD254" s="157">
        <f t="shared" si="59"/>
        <v>0.64</v>
      </c>
      <c r="AE254" s="157">
        <f t="shared" si="59"/>
        <v>0.64</v>
      </c>
      <c r="AF254" s="157">
        <f t="shared" si="5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60">SUM(B249:B254)</f>
        <v>3.54</v>
      </c>
      <c r="C255" s="161">
        <f t="shared" si="60"/>
        <v>3.54</v>
      </c>
      <c r="D255" s="161">
        <f t="shared" si="60"/>
        <v>3.54</v>
      </c>
      <c r="E255" s="161">
        <f t="shared" si="60"/>
        <v>3.54</v>
      </c>
      <c r="F255" s="161">
        <f t="shared" si="60"/>
        <v>3.54</v>
      </c>
      <c r="G255" s="161">
        <f t="shared" si="60"/>
        <v>3.54</v>
      </c>
      <c r="H255" s="161">
        <f t="shared" si="60"/>
        <v>3.54</v>
      </c>
      <c r="I255" s="161">
        <f t="shared" si="60"/>
        <v>3.54</v>
      </c>
      <c r="J255" s="161">
        <f t="shared" si="60"/>
        <v>3.54</v>
      </c>
      <c r="K255" s="161">
        <f t="shared" si="60"/>
        <v>3.54</v>
      </c>
      <c r="L255" s="161">
        <f t="shared" si="60"/>
        <v>3.54</v>
      </c>
      <c r="M255" s="161">
        <f t="shared" si="60"/>
        <v>3.54</v>
      </c>
      <c r="N255" s="161">
        <f t="shared" si="60"/>
        <v>3.54</v>
      </c>
      <c r="O255" s="161">
        <f t="shared" si="60"/>
        <v>3.54</v>
      </c>
      <c r="P255" s="161">
        <f t="shared" si="60"/>
        <v>3.54</v>
      </c>
      <c r="Q255" s="161">
        <f t="shared" si="60"/>
        <v>3.54</v>
      </c>
      <c r="R255" s="161">
        <f t="shared" si="60"/>
        <v>3.54</v>
      </c>
      <c r="S255" s="161">
        <f t="shared" si="60"/>
        <v>3.54</v>
      </c>
      <c r="T255" s="161">
        <f t="shared" si="60"/>
        <v>3.54</v>
      </c>
      <c r="U255" s="161">
        <f t="shared" si="60"/>
        <v>3.54</v>
      </c>
      <c r="V255" s="161">
        <f t="shared" si="60"/>
        <v>3.54</v>
      </c>
      <c r="W255" s="161">
        <f t="shared" si="60"/>
        <v>3.54</v>
      </c>
      <c r="X255" s="161">
        <f t="shared" si="60"/>
        <v>3.54</v>
      </c>
      <c r="Y255" s="161">
        <f t="shared" si="60"/>
        <v>3.54</v>
      </c>
      <c r="Z255" s="161">
        <f t="shared" si="60"/>
        <v>3.54</v>
      </c>
      <c r="AA255" s="161">
        <f t="shared" si="60"/>
        <v>3.54</v>
      </c>
      <c r="AB255" s="161">
        <f t="shared" si="60"/>
        <v>3.54</v>
      </c>
      <c r="AC255" s="161">
        <f t="shared" si="60"/>
        <v>3.54</v>
      </c>
      <c r="AD255" s="161">
        <f t="shared" si="60"/>
        <v>3.54</v>
      </c>
      <c r="AE255" s="161">
        <f t="shared" si="60"/>
        <v>3.54</v>
      </c>
      <c r="AF255" s="161">
        <f t="shared" si="60"/>
        <v>3.54</v>
      </c>
      <c r="AG255" s="171">
        <f t="shared" si="6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1695.64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2080/10/22)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732" priority="97">
      <formula>$AH11=0</formula>
    </cfRule>
  </conditionalFormatting>
  <conditionalFormatting sqref="A89">
    <cfRule type="expression" dxfId="1731" priority="155">
      <formula>$AH94=0</formula>
    </cfRule>
  </conditionalFormatting>
  <conditionalFormatting sqref="A90:A94">
    <cfRule type="expression" dxfId="1730" priority="98">
      <formula>$AH89=0</formula>
    </cfRule>
  </conditionalFormatting>
  <conditionalFormatting sqref="B8">
    <cfRule type="expression" dxfId="1729" priority="151">
      <formula>AND(C$9&gt;=14/24,C$9&lt;20/24)</formula>
    </cfRule>
    <cfRule type="expression" dxfId="1728" priority="152">
      <formula>AND(C$9&gt;=8/24,C$9&lt;14/24)</formula>
    </cfRule>
    <cfRule type="expression" dxfId="1727" priority="153">
      <formula>C$9&lt;8/24</formula>
    </cfRule>
    <cfRule type="expression" dxfId="1726" priority="154">
      <formula>C$9&gt;=20/24</formula>
    </cfRule>
  </conditionalFormatting>
  <conditionalFormatting sqref="B11:R23 S11:AF49 H24:R49 B24:G57 H50:AF57 B65:D65 B66:R77 C80:C94 B80:B102 B104:AF120 B122:AF140">
    <cfRule type="expression" dxfId="1725" priority="5">
      <formula>B$9&gt;=20/24</formula>
    </cfRule>
    <cfRule type="expression" dxfId="1724" priority="6">
      <formula>AND(B$9&gt;=14/24,B$9&lt;20/24)</formula>
    </cfRule>
    <cfRule type="expression" dxfId="1723" priority="7">
      <formula>AND(B$9&gt;=8/24,B$9&lt;14/24)</formula>
    </cfRule>
    <cfRule type="expression" dxfId="1722" priority="8">
      <formula>B$9&lt;8/24</formula>
    </cfRule>
  </conditionalFormatting>
  <conditionalFormatting sqref="B9:AF10 S72:AF77 D80:AF94 C95:AF102 B247:AF247 B249:B255">
    <cfRule type="expression" dxfId="1721" priority="59">
      <formula>AND(B$9&gt;=14/24,B$9&lt;20/24)</formula>
    </cfRule>
    <cfRule type="expression" dxfId="1720" priority="60">
      <formula>AND(B$9&gt;=8/24,B$9&lt;14/24)</formula>
    </cfRule>
    <cfRule type="expression" dxfId="1719" priority="61">
      <formula>B$9&lt;8/24</formula>
    </cfRule>
  </conditionalFormatting>
  <conditionalFormatting sqref="B58:AF60">
    <cfRule type="expression" dxfId="1718" priority="1">
      <formula>B$9&gt;=20/24</formula>
    </cfRule>
    <cfRule type="expression" dxfId="1717" priority="2">
      <formula>AND(B$9&gt;=14/24,B$9&lt;20/24)</formula>
    </cfRule>
    <cfRule type="expression" dxfId="1716" priority="3">
      <formula>AND(B$9&gt;=8/24,B$9&lt;14/24)</formula>
    </cfRule>
    <cfRule type="expression" dxfId="1715" priority="9">
      <formula>B$9&lt;8/24</formula>
    </cfRule>
  </conditionalFormatting>
  <conditionalFormatting sqref="B62:AF64">
    <cfRule type="expression" dxfId="1714" priority="10">
      <formula>B$9&gt;=20/24</formula>
    </cfRule>
    <cfRule type="expression" dxfId="1713" priority="11">
      <formula>AND(B$9&gt;=14/24,B$9&lt;20/24)</formula>
    </cfRule>
    <cfRule type="expression" dxfId="1712" priority="12">
      <formula>AND(B$9&gt;=8/24,B$9&lt;14/24)</formula>
    </cfRule>
    <cfRule type="expression" dxfId="1711" priority="13">
      <formula>B$9&lt;8/24</formula>
    </cfRule>
  </conditionalFormatting>
  <conditionalFormatting sqref="D80:AF94 S72:AF77 B9:AF10 C95:AF102 B247:AF247 B249:B255">
    <cfRule type="expression" dxfId="1710" priority="58">
      <formula>B$9&gt;=20/24</formula>
    </cfRule>
  </conditionalFormatting>
  <conditionalFormatting sqref="D249:AF255">
    <cfRule type="expression" dxfId="1709" priority="136">
      <formula>D$9&gt;=20/24</formula>
    </cfRule>
    <cfRule type="expression" dxfId="1708" priority="137">
      <formula>AND(D$9&gt;=14/24,D$9&lt;20/24)</formula>
    </cfRule>
    <cfRule type="expression" dxfId="1707" priority="138">
      <formula>AND(D$9&gt;=8/24,D$9&lt;14/24)</formula>
    </cfRule>
    <cfRule type="expression" dxfId="1706" priority="139">
      <formula>D$9&lt;8/24</formula>
    </cfRule>
  </conditionalFormatting>
  <conditionalFormatting sqref="E24:G60 D24:D77 B24:C83 H50:AF60 B11:R23 S11:AF49 H24:R49 E62:AF64 E66:AF77">
    <cfRule type="expression" dxfId="1705" priority="4">
      <formula>B11&gt;$AG11</formula>
    </cfRule>
  </conditionalFormatting>
  <conditionalFormatting sqref="E61:AG61 E65:AG65 D78:AF83 AG83">
    <cfRule type="expression" dxfId="1704" priority="57">
      <formula>D61&gt;$AG61</formula>
    </cfRule>
  </conditionalFormatting>
  <conditionalFormatting sqref="E65:AG65">
    <cfRule type="expression" dxfId="1703" priority="77">
      <formula>E$9&gt;=20/24</formula>
    </cfRule>
    <cfRule type="expression" dxfId="1702" priority="78">
      <formula>AND(E$9&gt;=14/24,E$9&lt;20/24)</formula>
    </cfRule>
    <cfRule type="expression" dxfId="1701" priority="79">
      <formula>AND(E$9&gt;=8/24,E$9&lt;14/24)</formula>
    </cfRule>
    <cfRule type="expression" dxfId="1700" priority="80">
      <formula>E$9&lt;8/24</formula>
    </cfRule>
  </conditionalFormatting>
  <conditionalFormatting sqref="M8 S8 AB8">
    <cfRule type="expression" dxfId="1699" priority="143">
      <formula>AND(N$9&gt;=14/24,N$9&lt;20/24)</formula>
    </cfRule>
    <cfRule type="expression" dxfId="1698" priority="144">
      <formula>AND(N$9&gt;=8/24,N$9&lt;14/24)</formula>
    </cfRule>
    <cfRule type="expression" dxfId="1697" priority="145">
      <formula>N$9&lt;8/24</formula>
    </cfRule>
  </conditionalFormatting>
  <conditionalFormatting sqref="O3:P3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696" priority="142">
      <formula>N$9&gt;=20/24</formula>
    </cfRule>
  </conditionalFormatting>
  <conditionalFormatting sqref="S8">
    <cfRule type="expression" dxfId="1695" priority="129">
      <formula>U$9&gt;=20/24</formula>
    </cfRule>
    <cfRule type="expression" dxfId="1694" priority="130">
      <formula>AND(U$9&gt;=14/24,U$9&lt;20/24)</formula>
    </cfRule>
    <cfRule type="expression" dxfId="1693" priority="131">
      <formula>AND(U$9&gt;=8/24,U$9&lt;14/24)</formula>
    </cfRule>
    <cfRule type="expression" dxfId="1692" priority="132">
      <formula>U$9&lt;8/24</formula>
    </cfRule>
  </conditionalFormatting>
  <conditionalFormatting sqref="S66:V70">
    <cfRule type="expression" dxfId="1691" priority="93">
      <formula>S$9&gt;=20/24</formula>
    </cfRule>
    <cfRule type="expression" dxfId="1690" priority="94">
      <formula>AND(S$9&gt;=14/24,S$9&lt;20/24)</formula>
    </cfRule>
    <cfRule type="expression" dxfId="1689" priority="95">
      <formula>AND(S$9&gt;=8/24,S$9&lt;14/24)</formula>
    </cfRule>
    <cfRule type="expression" dxfId="1688" priority="96">
      <formula>S$9&lt;8/24</formula>
    </cfRule>
  </conditionalFormatting>
  <conditionalFormatting sqref="S71:W71">
    <cfRule type="expression" dxfId="1687" priority="85">
      <formula>S$9&gt;=20/24</formula>
    </cfRule>
    <cfRule type="expression" dxfId="1686" priority="86">
      <formula>AND(S$9&gt;=14/24,S$9&lt;20/24)</formula>
    </cfRule>
    <cfRule type="expression" dxfId="1685" priority="87">
      <formula>AND(S$9&gt;=8/24,S$9&lt;14/24)</formula>
    </cfRule>
    <cfRule type="expression" dxfId="1684" priority="88">
      <formula>S$9&lt;8/24</formula>
    </cfRule>
  </conditionalFormatting>
  <conditionalFormatting sqref="T66:AF71">
    <cfRule type="expression" dxfId="1683" priority="81">
      <formula>T$9&gt;=20/24</formula>
    </cfRule>
    <cfRule type="expression" dxfId="1682" priority="82">
      <formula>AND(T$9&gt;=14/24,T$9&lt;20/24)</formula>
    </cfRule>
    <cfRule type="expression" dxfId="1681" priority="83">
      <formula>AND(T$9&gt;=8/24,T$9&lt;14/24)</formula>
    </cfRule>
    <cfRule type="expression" dxfId="1680" priority="84">
      <formula>T$9&lt;8/24</formula>
    </cfRule>
  </conditionalFormatting>
  <conditionalFormatting sqref="V3 AB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679" priority="125">
      <formula>AD$9&gt;=20/24</formula>
    </cfRule>
    <cfRule type="expression" dxfId="1678" priority="126">
      <formula>AND(AD$9&gt;=14/24,AD$9&lt;20/24)</formula>
    </cfRule>
    <cfRule type="expression" dxfId="1677" priority="127">
      <formula>AND(AD$9&gt;=8/24,AD$9&lt;14/24)</formula>
    </cfRule>
    <cfRule type="expression" dxfId="1676" priority="128">
      <formula>AD$9&lt;8/24</formula>
    </cfRule>
  </conditionalFormatting>
  <conditionalFormatting sqref="AG78:AG79">
    <cfRule type="expression" dxfId="1675" priority="99">
      <formula>AG78&gt;$AG78</formula>
    </cfRule>
  </conditionalFormatting>
  <conditionalFormatting sqref="AG83">
    <cfRule type="expression" dxfId="1674" priority="100">
      <formula>AG$9&gt;=20/24</formula>
    </cfRule>
    <cfRule type="expression" dxfId="1673" priority="101">
      <formula>AND(AG$9&gt;=14/24,AG$9&lt;20/24)</formula>
    </cfRule>
    <cfRule type="expression" dxfId="1672" priority="102">
      <formula>AND(AG$9&gt;=8/24,AG$9&lt;14/24)</formula>
    </cfRule>
    <cfRule type="expression" dxfId="1671" priority="103">
      <formula>AG$9&lt;8/24</formula>
    </cfRule>
  </conditionalFormatting>
  <conditionalFormatting sqref="AG100">
    <cfRule type="expression" dxfId="1670" priority="121">
      <formula>AG$9&gt;=20/24</formula>
    </cfRule>
    <cfRule type="expression" dxfId="1669" priority="122">
      <formula>AND(AG$9&gt;=14/24,AG$9&lt;20/24)</formula>
    </cfRule>
    <cfRule type="expression" dxfId="1668" priority="123">
      <formula>AND(AG$9&gt;=8/24,AG$9&lt;14/24)</formula>
    </cfRule>
    <cfRule type="expression" dxfId="1667" priority="124">
      <formula>AG$9&lt;8/24</formula>
    </cfRule>
  </conditionalFormatting>
  <conditionalFormatting sqref="AL4:AL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666" priority="146">
      <formula>AJ$9&gt;=20/24</formula>
    </cfRule>
    <cfRule type="expression" dxfId="1665" priority="147">
      <formula>AND(AJ$9&gt;=14/24,AJ$9&lt;20/24)</formula>
    </cfRule>
    <cfRule type="expression" dxfId="1664" priority="148">
      <formula>AND(AJ$9&gt;=8/24,AJ$9&lt;14/24)</formula>
    </cfRule>
    <cfRule type="expression" dxfId="1663" priority="149">
      <formula>AJ$9&lt;8/24</formula>
    </cfRule>
  </conditionalFormatting>
  <conditionalFormatting sqref="AL86:AN86 AL92:AN92">
    <cfRule type="expression" dxfId="1662" priority="114">
      <formula>AL$9&gt;=20/24</formula>
    </cfRule>
    <cfRule type="expression" dxfId="1661" priority="115">
      <formula>AND(AL$9&gt;=14/24,AL$9&lt;20/24)</formula>
    </cfRule>
    <cfRule type="expression" dxfId="1660" priority="116">
      <formula>AND(AL$9&gt;=8/24,AL$9&lt;14/24)</formula>
    </cfRule>
    <cfRule type="expression" dxfId="1659" priority="117">
      <formula>AL$9&lt;8/24</formula>
    </cfRule>
  </conditionalFormatting>
  <conditionalFormatting sqref="AM15:AM21 AN16:AR21">
    <cfRule type="expression" dxfId="1658" priority="30">
      <formula>AX$9&gt;=20/24</formula>
    </cfRule>
    <cfRule type="expression" dxfId="1657" priority="31">
      <formula>AND(AX$9&gt;=14/24,AX$9&lt;20/24)</formula>
    </cfRule>
    <cfRule type="expression" dxfId="1656" priority="32">
      <formula>AND(AX$9&gt;=8/24,AX$9&lt;14/24)</formula>
    </cfRule>
    <cfRule type="expression" dxfId="1655" priority="33">
      <formula>AX$9&lt;8/24</formula>
    </cfRule>
  </conditionalFormatting>
  <conditionalFormatting sqref="AN87:AN90">
    <cfRule type="expression" dxfId="1654" priority="110">
      <formula>AN$9&gt;=20/24</formula>
    </cfRule>
    <cfRule type="expression" dxfId="1653" priority="111">
      <formula>AND(AN$9&gt;=14/24,AN$9&lt;20/24)</formula>
    </cfRule>
    <cfRule type="expression" dxfId="1652" priority="112">
      <formula>AND(AN$9&gt;=8/24,AN$9&lt;14/24)</formula>
    </cfRule>
    <cfRule type="expression" dxfId="1651" priority="113">
      <formula>AN$9&lt;8/24</formula>
    </cfRule>
  </conditionalFormatting>
  <conditionalFormatting sqref="AN15:AR15">
    <cfRule type="expression" dxfId="1650" priority="18">
      <formula>U$9&gt;=20/24</formula>
    </cfRule>
    <cfRule type="expression" dxfId="1649" priority="19">
      <formula>AND(U$9&gt;=14/24,U$9&lt;20/24)</formula>
    </cfRule>
    <cfRule type="expression" dxfId="1648" priority="20">
      <formula>AND(U$9&gt;=8/24,U$9&lt;14/24)</formula>
    </cfRule>
    <cfRule type="expression" dxfId="1647" priority="21">
      <formula>U$9&lt;8/24</formula>
    </cfRule>
  </conditionalFormatting>
  <conditionalFormatting sqref="AS15">
    <cfRule type="expression" dxfId="1646" priority="26">
      <formula>AA$9&gt;=20/24</formula>
    </cfRule>
    <cfRule type="expression" dxfId="1645" priority="27">
      <formula>AND(AA$9&gt;=14/24,AA$9&lt;20/24)</formula>
    </cfRule>
    <cfRule type="expression" dxfId="1644" priority="28">
      <formula>AND(AA$9&gt;=8/24,AA$9&lt;14/24)</formula>
    </cfRule>
    <cfRule type="expression" dxfId="1643" priority="29">
      <formula>AA$9&lt;8/24</formula>
    </cfRule>
  </conditionalFormatting>
  <conditionalFormatting sqref="AS16:AS21">
    <cfRule type="expression" dxfId="1642" priority="34">
      <formula>BE$9&gt;=20/24</formula>
    </cfRule>
    <cfRule type="expression" dxfId="1641" priority="35">
      <formula>AND(BE$9&gt;=14/24,BE$9&lt;20/24)</formula>
    </cfRule>
    <cfRule type="expression" dxfId="1640" priority="36">
      <formula>AND(BE$9&gt;=8/24,BE$9&lt;14/24)</formula>
    </cfRule>
    <cfRule type="expression" dxfId="1639" priority="37">
      <formula>BE$9&lt;8/24</formula>
    </cfRule>
  </conditionalFormatting>
  <conditionalFormatting sqref="AT15 AX15:BJ15">
    <cfRule type="expression" dxfId="1638" priority="38">
      <formula>AC$9&gt;=20/24</formula>
    </cfRule>
    <cfRule type="expression" dxfId="1637" priority="39">
      <formula>AND(AC$9&gt;=14/24,AC$9&lt;20/24)</formula>
    </cfRule>
    <cfRule type="expression" dxfId="1636" priority="40">
      <formula>AND(AC$9&gt;=8/24,AC$9&lt;14/24)</formula>
    </cfRule>
    <cfRule type="expression" dxfId="1635" priority="41">
      <formula>AC$9&lt;8/24</formula>
    </cfRule>
  </conditionalFormatting>
  <conditionalFormatting sqref="AT16:AT21">
    <cfRule type="expression" dxfId="1634" priority="42">
      <formula>BG$9&gt;=20/24</formula>
    </cfRule>
    <cfRule type="expression" dxfId="1633" priority="43">
      <formula>AND(BG$9&gt;=14/24,BG$9&lt;20/24)</formula>
    </cfRule>
    <cfRule type="expression" dxfId="1632" priority="44">
      <formula>AND(BG$9&gt;=8/24,BG$9&lt;14/24)</formula>
    </cfRule>
    <cfRule type="expression" dxfId="1631" priority="45">
      <formula>BG$9&lt;8/24</formula>
    </cfRule>
  </conditionalFormatting>
  <conditionalFormatting sqref="AU15:AV15">
    <cfRule type="expression" dxfId="1630" priority="46">
      <formula>AE$9&gt;=20/24</formula>
    </cfRule>
    <cfRule type="expression" dxfId="1629" priority="47">
      <formula>AND(AE$9&gt;=14/24,AE$9&lt;20/24)</formula>
    </cfRule>
    <cfRule type="expression" dxfId="1628" priority="48">
      <formula>AND(AE$9&gt;=8/24,AE$9&lt;14/24)</formula>
    </cfRule>
    <cfRule type="expression" dxfId="1627" priority="49">
      <formula>AE$9&lt;8/24</formula>
    </cfRule>
  </conditionalFormatting>
  <conditionalFormatting sqref="AU16:BJ21">
    <cfRule type="expression" dxfId="1626" priority="50">
      <formula>BI$9&gt;=20/24</formula>
    </cfRule>
    <cfRule type="expression" dxfId="1625" priority="51">
      <formula>AND(BI$9&gt;=14/24,BI$9&lt;20/24)</formula>
    </cfRule>
    <cfRule type="expression" dxfId="1624" priority="52">
      <formula>AND(BI$9&gt;=8/24,BI$9&lt;14/24)</formula>
    </cfRule>
    <cfRule type="expression" dxfId="1623" priority="53">
      <formula>BI$9&lt;8/24</formula>
    </cfRule>
  </conditionalFormatting>
  <conditionalFormatting sqref="AW15">
    <cfRule type="expression" dxfId="1622" priority="22">
      <formula>B$9&gt;=20/24</formula>
    </cfRule>
    <cfRule type="expression" dxfId="1621" priority="23">
      <formula>AND(B$9&gt;=14/24,B$9&lt;20/24)</formula>
    </cfRule>
    <cfRule type="expression" dxfId="1620" priority="24">
      <formula>AND(B$9&gt;=8/24,B$9&lt;14/24)</formula>
    </cfRule>
    <cfRule type="expression" dxfId="1619" priority="25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AAD5-F20B-4EA1-A4A3-2FE54CA002E7}">
  <sheetPr codeName="Sheet24"/>
  <dimension ref="A1:CJ297"/>
  <sheetViews>
    <sheetView zoomScaleNormal="100" workbookViewId="0">
      <pane xSplit="1" ySplit="10" topLeftCell="B64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A87" sqref="AA8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5703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9.28515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2080/10/23</v>
      </c>
      <c r="C4" s="187"/>
      <c r="D4" s="187"/>
      <c r="E4" s="188" t="str">
        <f ca="1">"2080/"&amp;"10/"&amp;INT(MID(CELL("filename",G6),FIND("]",CELL("filename",G6))+1,200))</f>
        <v>2080/10/23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27.7</v>
      </c>
      <c r="C5" s="30">
        <f t="shared" si="0"/>
        <v>26</v>
      </c>
      <c r="D5" s="30">
        <f t="shared" si="0"/>
        <v>36.5</v>
      </c>
      <c r="E5" s="30">
        <f t="shared" si="0"/>
        <v>34.799999999999997</v>
      </c>
      <c r="F5" s="30">
        <f t="shared" si="0"/>
        <v>30.6</v>
      </c>
      <c r="G5" s="30">
        <f t="shared" si="0"/>
        <v>27</v>
      </c>
      <c r="H5" s="30">
        <f t="shared" si="0"/>
        <v>25</v>
      </c>
      <c r="I5" s="30">
        <f t="shared" si="0"/>
        <v>183.5</v>
      </c>
      <c r="J5" s="30">
        <f t="shared" si="0"/>
        <v>244.9</v>
      </c>
      <c r="K5" s="30">
        <f t="shared" si="0"/>
        <v>253.5</v>
      </c>
      <c r="L5" s="30">
        <f t="shared" si="0"/>
        <v>245.1</v>
      </c>
      <c r="M5" s="30">
        <f t="shared" si="0"/>
        <v>255.2</v>
      </c>
      <c r="N5" s="30">
        <f t="shared" si="0"/>
        <v>224.7</v>
      </c>
      <c r="O5" s="30">
        <f t="shared" si="0"/>
        <v>273.89999999999998</v>
      </c>
      <c r="P5" s="30">
        <f t="shared" si="0"/>
        <v>260.7</v>
      </c>
      <c r="Q5" s="30">
        <f t="shared" si="0"/>
        <v>277.8</v>
      </c>
      <c r="R5" s="30">
        <f t="shared" si="0"/>
        <v>409.5</v>
      </c>
      <c r="S5" s="30">
        <f t="shared" si="0"/>
        <v>406.7</v>
      </c>
      <c r="T5" s="30">
        <f t="shared" si="0"/>
        <v>387.59999999999997</v>
      </c>
      <c r="U5" s="30">
        <f t="shared" si="0"/>
        <v>403.39</v>
      </c>
      <c r="V5" s="30">
        <f t="shared" si="0"/>
        <v>337.5</v>
      </c>
      <c r="W5" s="30">
        <f t="shared" si="0"/>
        <v>234</v>
      </c>
      <c r="X5" s="30">
        <f t="shared" si="0"/>
        <v>66.5</v>
      </c>
      <c r="Y5" s="30">
        <f t="shared" si="0"/>
        <v>84.300000000000011</v>
      </c>
      <c r="Z5" s="30">
        <f t="shared" si="0"/>
        <v>68.2</v>
      </c>
      <c r="AA5" s="30">
        <f t="shared" si="0"/>
        <v>59.599999999999994</v>
      </c>
      <c r="AB5" s="30">
        <f t="shared" si="0"/>
        <v>66.099999999999994</v>
      </c>
      <c r="AC5" s="30">
        <f t="shared" si="0"/>
        <v>74.099999999999994</v>
      </c>
      <c r="AD5" s="30">
        <f t="shared" si="0"/>
        <v>92.6</v>
      </c>
      <c r="AE5" s="30">
        <f t="shared" si="0"/>
        <v>95.8</v>
      </c>
      <c r="AF5" s="30">
        <f>B95</f>
        <v>28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1906MW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Load=1508</v>
      </c>
      <c r="B7" s="35">
        <f t="shared" ref="B7:AF7" si="1">B103</f>
        <v>1609.6399999999999</v>
      </c>
      <c r="C7" s="35">
        <f t="shared" si="1"/>
        <v>1588.64</v>
      </c>
      <c r="D7" s="35">
        <f t="shared" si="1"/>
        <v>1531.44</v>
      </c>
      <c r="E7" s="35">
        <f t="shared" si="1"/>
        <v>1519.04</v>
      </c>
      <c r="F7" s="35">
        <f t="shared" si="1"/>
        <v>1508.34</v>
      </c>
      <c r="G7" s="35">
        <f t="shared" si="1"/>
        <v>1536.1399999999999</v>
      </c>
      <c r="H7" s="35">
        <f t="shared" si="1"/>
        <v>1566.94</v>
      </c>
      <c r="I7" s="35">
        <f t="shared" si="1"/>
        <v>1637.6399999999999</v>
      </c>
      <c r="J7" s="35">
        <f t="shared" si="1"/>
        <v>1585.1399999999999</v>
      </c>
      <c r="K7" s="35">
        <f t="shared" si="1"/>
        <v>1654.3400000000001</v>
      </c>
      <c r="L7" s="35">
        <f t="shared" si="1"/>
        <v>1735.4399999999998</v>
      </c>
      <c r="M7" s="35">
        <f t="shared" si="1"/>
        <v>1737.24</v>
      </c>
      <c r="N7" s="35">
        <f t="shared" si="1"/>
        <v>1814.64</v>
      </c>
      <c r="O7" s="35">
        <f t="shared" si="1"/>
        <v>1797.14</v>
      </c>
      <c r="P7" s="35">
        <f t="shared" si="1"/>
        <v>1916.8400000000001</v>
      </c>
      <c r="Q7" s="35">
        <f t="shared" si="1"/>
        <v>1879.14</v>
      </c>
      <c r="R7" s="35">
        <f t="shared" si="1"/>
        <v>1896.24</v>
      </c>
      <c r="S7" s="35">
        <f t="shared" si="1"/>
        <v>1948.3400000000001</v>
      </c>
      <c r="T7" s="35">
        <f t="shared" si="1"/>
        <v>1990.64</v>
      </c>
      <c r="U7" s="35">
        <f t="shared" si="1"/>
        <v>1970.94</v>
      </c>
      <c r="V7" s="35">
        <f t="shared" si="1"/>
        <v>1984.83</v>
      </c>
      <c r="W7" s="35">
        <f t="shared" si="1"/>
        <v>1800.2400000000002</v>
      </c>
      <c r="X7" s="35">
        <f t="shared" si="1"/>
        <v>1772.6400000000003</v>
      </c>
      <c r="Y7" s="35">
        <f t="shared" si="1"/>
        <v>1798.8400000000001</v>
      </c>
      <c r="Z7" s="35">
        <f t="shared" si="1"/>
        <v>1839.7400000000002</v>
      </c>
      <c r="AA7" s="35">
        <f t="shared" si="1"/>
        <v>1965.0400000000002</v>
      </c>
      <c r="AB7" s="35">
        <f t="shared" si="1"/>
        <v>1936.4399999999996</v>
      </c>
      <c r="AC7" s="35">
        <f t="shared" si="1"/>
        <v>1880.3400000000001</v>
      </c>
      <c r="AD7" s="35">
        <f t="shared" si="1"/>
        <v>1840.74</v>
      </c>
      <c r="AE7" s="35">
        <f t="shared" si="1"/>
        <v>1779.44</v>
      </c>
      <c r="AF7" s="35">
        <f t="shared" si="1"/>
        <v>1750.44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2056.44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1990.64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24.2</v>
      </c>
      <c r="C11" s="46">
        <v>24.2</v>
      </c>
      <c r="D11" s="46">
        <v>24.9</v>
      </c>
      <c r="E11" s="46">
        <v>24.9</v>
      </c>
      <c r="F11" s="46">
        <v>24.9</v>
      </c>
      <c r="G11" s="46">
        <v>24.9</v>
      </c>
      <c r="H11" s="46">
        <v>24.9</v>
      </c>
      <c r="I11" s="46">
        <v>24.9</v>
      </c>
      <c r="J11" s="46">
        <v>24.9</v>
      </c>
      <c r="K11" s="46">
        <v>24.9</v>
      </c>
      <c r="L11" s="46">
        <v>24.9</v>
      </c>
      <c r="M11" s="46">
        <v>23.9</v>
      </c>
      <c r="N11" s="46">
        <v>23.9</v>
      </c>
      <c r="O11" s="46">
        <v>23.9</v>
      </c>
      <c r="P11" s="46">
        <v>25.6</v>
      </c>
      <c r="Q11" s="46">
        <v>25.6</v>
      </c>
      <c r="R11" s="46">
        <v>25.6</v>
      </c>
      <c r="S11" s="46">
        <v>25.6</v>
      </c>
      <c r="T11" s="46">
        <v>25.6</v>
      </c>
      <c r="U11" s="46">
        <v>25.6</v>
      </c>
      <c r="V11" s="46">
        <v>25.6</v>
      </c>
      <c r="W11" s="46">
        <v>25.6</v>
      </c>
      <c r="X11" s="46">
        <v>25.6</v>
      </c>
      <c r="Y11" s="46">
        <v>25.6</v>
      </c>
      <c r="Z11" s="46">
        <v>25.6</v>
      </c>
      <c r="AA11" s="46">
        <v>25.6</v>
      </c>
      <c r="AB11" s="46">
        <v>25.6</v>
      </c>
      <c r="AC11" s="46">
        <v>25.6</v>
      </c>
      <c r="AD11" s="46">
        <v>25.6</v>
      </c>
      <c r="AE11" s="46">
        <v>25.6</v>
      </c>
      <c r="AF11" s="46">
        <v>25.6</v>
      </c>
      <c r="AG11" s="47">
        <v>86</v>
      </c>
      <c r="AH11" s="48">
        <f t="shared" ref="AH11:AH74" si="2">MAX(B11:AF11)</f>
        <v>25.6</v>
      </c>
      <c r="AI11" s="49">
        <f t="shared" ref="AI11:AI74" si="3">MIN(B11:AF11)</f>
        <v>23.9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28.5</v>
      </c>
      <c r="C12" s="46">
        <v>28.5</v>
      </c>
      <c r="D12" s="46">
        <v>28.5</v>
      </c>
      <c r="E12" s="46">
        <v>28.5</v>
      </c>
      <c r="F12" s="46">
        <v>28.5</v>
      </c>
      <c r="G12" s="46">
        <v>28.5</v>
      </c>
      <c r="H12" s="46">
        <v>28.5</v>
      </c>
      <c r="I12" s="46">
        <v>28.5</v>
      </c>
      <c r="J12" s="46">
        <v>28.5</v>
      </c>
      <c r="K12" s="46">
        <v>28.5</v>
      </c>
      <c r="L12" s="46">
        <v>28.5</v>
      </c>
      <c r="M12" s="46">
        <v>28</v>
      </c>
      <c r="N12" s="46">
        <v>28</v>
      </c>
      <c r="O12" s="46">
        <v>28</v>
      </c>
      <c r="P12" s="46">
        <v>28</v>
      </c>
      <c r="Q12" s="46">
        <v>28</v>
      </c>
      <c r="R12" s="46">
        <v>28</v>
      </c>
      <c r="S12" s="46">
        <v>28</v>
      </c>
      <c r="T12" s="46">
        <v>28</v>
      </c>
      <c r="U12" s="46">
        <v>28</v>
      </c>
      <c r="V12" s="46">
        <v>28</v>
      </c>
      <c r="W12" s="46">
        <v>28</v>
      </c>
      <c r="X12" s="46">
        <v>28</v>
      </c>
      <c r="Y12" s="46">
        <v>28</v>
      </c>
      <c r="Z12" s="46">
        <v>28</v>
      </c>
      <c r="AA12" s="46">
        <v>28</v>
      </c>
      <c r="AB12" s="46">
        <v>28</v>
      </c>
      <c r="AC12" s="46">
        <v>28</v>
      </c>
      <c r="AD12" s="46">
        <v>28</v>
      </c>
      <c r="AE12" s="46">
        <v>28</v>
      </c>
      <c r="AF12" s="46">
        <v>28</v>
      </c>
      <c r="AG12" s="50">
        <v>77</v>
      </c>
      <c r="AH12" s="48">
        <f t="shared" si="2"/>
        <v>28.5</v>
      </c>
      <c r="AI12" s="49">
        <f t="shared" si="3"/>
        <v>28</v>
      </c>
      <c r="AK12" s="51"/>
      <c r="AL12" s="52" t="str">
        <f ca="1">MID(CELL("filename",C7),FIND("]",CELL("filename",C7))+1,600)</f>
        <v>23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70.2</v>
      </c>
      <c r="C13" s="46">
        <v>70.2</v>
      </c>
      <c r="D13" s="46">
        <v>71</v>
      </c>
      <c r="E13" s="46">
        <v>71</v>
      </c>
      <c r="F13" s="46">
        <v>71</v>
      </c>
      <c r="G13" s="46">
        <v>71</v>
      </c>
      <c r="H13" s="46">
        <v>71</v>
      </c>
      <c r="I13" s="46">
        <v>71</v>
      </c>
      <c r="J13" s="46">
        <v>71</v>
      </c>
      <c r="K13" s="46">
        <v>71</v>
      </c>
      <c r="L13" s="46">
        <v>71</v>
      </c>
      <c r="M13" s="46">
        <v>66.5</v>
      </c>
      <c r="N13" s="46">
        <v>66.5</v>
      </c>
      <c r="O13" s="46">
        <v>66.5</v>
      </c>
      <c r="P13" s="46">
        <v>69</v>
      </c>
      <c r="Q13" s="46">
        <v>69</v>
      </c>
      <c r="R13" s="46">
        <v>69</v>
      </c>
      <c r="S13" s="46">
        <v>69</v>
      </c>
      <c r="T13" s="46">
        <v>69</v>
      </c>
      <c r="U13" s="46">
        <v>69</v>
      </c>
      <c r="V13" s="46">
        <v>69</v>
      </c>
      <c r="W13" s="46">
        <v>69</v>
      </c>
      <c r="X13" s="46">
        <v>69</v>
      </c>
      <c r="Y13" s="46">
        <v>69</v>
      </c>
      <c r="Z13" s="46">
        <v>69</v>
      </c>
      <c r="AA13" s="46">
        <v>69</v>
      </c>
      <c r="AB13" s="46">
        <v>69</v>
      </c>
      <c r="AC13" s="46">
        <v>69</v>
      </c>
      <c r="AD13" s="46">
        <v>69</v>
      </c>
      <c r="AE13" s="46">
        <v>69</v>
      </c>
      <c r="AF13" s="46">
        <v>69</v>
      </c>
      <c r="AG13" s="50">
        <v>73</v>
      </c>
      <c r="AH13" s="48">
        <f t="shared" si="2"/>
        <v>71</v>
      </c>
      <c r="AI13" s="49">
        <f t="shared" si="3"/>
        <v>66.5</v>
      </c>
      <c r="AK13" s="51"/>
      <c r="AL13" s="52" t="str">
        <f ca="1">"Daily Load Curve(Excluding of Export) of Nepal ("&amp;A4&amp;" "&amp;B4&amp;")"</f>
        <v>Daily Load Curve(Excluding of Export) of Nepal (Nepali Date: 2080/10/23)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36.4</v>
      </c>
      <c r="C14" s="46">
        <v>36.4</v>
      </c>
      <c r="D14" s="46">
        <v>36.4</v>
      </c>
      <c r="E14" s="46">
        <v>36.4</v>
      </c>
      <c r="F14" s="46">
        <v>36.4</v>
      </c>
      <c r="G14" s="46">
        <v>36.4</v>
      </c>
      <c r="H14" s="46">
        <v>36.4</v>
      </c>
      <c r="I14" s="46">
        <v>36.4</v>
      </c>
      <c r="J14" s="46">
        <v>36.4</v>
      </c>
      <c r="K14" s="46">
        <v>36.4</v>
      </c>
      <c r="L14" s="46">
        <v>36.4</v>
      </c>
      <c r="M14" s="46">
        <v>30.3</v>
      </c>
      <c r="N14" s="46">
        <v>30.3</v>
      </c>
      <c r="O14" s="46">
        <v>30.3</v>
      </c>
      <c r="P14" s="46">
        <v>27.7</v>
      </c>
      <c r="Q14" s="46">
        <v>27.7</v>
      </c>
      <c r="R14" s="46">
        <v>27.7</v>
      </c>
      <c r="S14" s="46">
        <v>27.7</v>
      </c>
      <c r="T14" s="46">
        <v>27.7</v>
      </c>
      <c r="U14" s="46">
        <v>27.7</v>
      </c>
      <c r="V14" s="46">
        <v>27.7</v>
      </c>
      <c r="W14" s="46">
        <v>27.7</v>
      </c>
      <c r="X14" s="46">
        <v>27.7</v>
      </c>
      <c r="Y14" s="46">
        <v>27.7</v>
      </c>
      <c r="Z14" s="46">
        <v>27.7</v>
      </c>
      <c r="AA14" s="46">
        <v>27.7</v>
      </c>
      <c r="AB14" s="46">
        <v>27.7</v>
      </c>
      <c r="AC14" s="46">
        <v>27.7</v>
      </c>
      <c r="AD14" s="46">
        <v>27.7</v>
      </c>
      <c r="AE14" s="46">
        <v>27.7</v>
      </c>
      <c r="AF14" s="46">
        <v>27.7</v>
      </c>
      <c r="AG14" s="50">
        <v>71</v>
      </c>
      <c r="AH14" s="48">
        <f t="shared" si="2"/>
        <v>36.4</v>
      </c>
      <c r="AI14" s="49">
        <f t="shared" si="3"/>
        <v>27.7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16.5</v>
      </c>
      <c r="C15" s="46">
        <v>16.5</v>
      </c>
      <c r="D15" s="46">
        <v>16.5</v>
      </c>
      <c r="E15" s="46">
        <v>16.5</v>
      </c>
      <c r="F15" s="46">
        <v>16.5</v>
      </c>
      <c r="G15" s="46">
        <v>16.5</v>
      </c>
      <c r="H15" s="46">
        <v>16.5</v>
      </c>
      <c r="I15" s="46">
        <v>16.5</v>
      </c>
      <c r="J15" s="46">
        <v>16.5</v>
      </c>
      <c r="K15" s="46">
        <v>16.5</v>
      </c>
      <c r="L15" s="46">
        <v>16.5</v>
      </c>
      <c r="M15" s="46">
        <v>16.5</v>
      </c>
      <c r="N15" s="46">
        <v>16.5</v>
      </c>
      <c r="O15" s="46">
        <v>16.5</v>
      </c>
      <c r="P15" s="46">
        <v>16.5</v>
      </c>
      <c r="Q15" s="46">
        <v>16.5</v>
      </c>
      <c r="R15" s="46">
        <v>16.5</v>
      </c>
      <c r="S15" s="46">
        <v>16.5</v>
      </c>
      <c r="T15" s="46">
        <v>16.5</v>
      </c>
      <c r="U15" s="46">
        <v>16.5</v>
      </c>
      <c r="V15" s="46">
        <v>16.5</v>
      </c>
      <c r="W15" s="46">
        <v>16.5</v>
      </c>
      <c r="X15" s="46">
        <v>16.5</v>
      </c>
      <c r="Y15" s="46">
        <v>16.5</v>
      </c>
      <c r="Z15" s="46">
        <v>16.5</v>
      </c>
      <c r="AA15" s="46">
        <v>16.5</v>
      </c>
      <c r="AB15" s="46">
        <v>16.5</v>
      </c>
      <c r="AC15" s="46">
        <v>16.5</v>
      </c>
      <c r="AD15" s="46">
        <v>16.5</v>
      </c>
      <c r="AE15" s="46">
        <v>16.5</v>
      </c>
      <c r="AF15" s="46">
        <v>16.5</v>
      </c>
      <c r="AG15" s="50">
        <v>54</v>
      </c>
      <c r="AH15" s="48">
        <f t="shared" si="2"/>
        <v>16.5</v>
      </c>
      <c r="AI15" s="49">
        <f t="shared" si="3"/>
        <v>16.5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21.3</v>
      </c>
      <c r="C16" s="46">
        <v>21.3</v>
      </c>
      <c r="D16" s="46">
        <v>21.3</v>
      </c>
      <c r="E16" s="46">
        <v>21.3</v>
      </c>
      <c r="F16" s="46">
        <v>21.3</v>
      </c>
      <c r="G16" s="46">
        <v>21.3</v>
      </c>
      <c r="H16" s="46">
        <v>21.3</v>
      </c>
      <c r="I16" s="46">
        <v>21.3</v>
      </c>
      <c r="J16" s="46">
        <v>21.3</v>
      </c>
      <c r="K16" s="46">
        <v>21.3</v>
      </c>
      <c r="L16" s="46">
        <v>21.3</v>
      </c>
      <c r="M16" s="46">
        <v>20</v>
      </c>
      <c r="N16" s="46">
        <v>20</v>
      </c>
      <c r="O16" s="46">
        <v>20</v>
      </c>
      <c r="P16" s="46">
        <v>19.899999999999999</v>
      </c>
      <c r="Q16" s="46">
        <v>19.899999999999999</v>
      </c>
      <c r="R16" s="46">
        <v>19.899999999999999</v>
      </c>
      <c r="S16" s="46">
        <v>19.899999999999999</v>
      </c>
      <c r="T16" s="46">
        <v>19.899999999999999</v>
      </c>
      <c r="U16" s="46">
        <v>19.899999999999999</v>
      </c>
      <c r="V16" s="46">
        <v>19.899999999999999</v>
      </c>
      <c r="W16" s="46">
        <v>19.899999999999999</v>
      </c>
      <c r="X16" s="46">
        <v>19.899999999999999</v>
      </c>
      <c r="Y16" s="46">
        <v>19.899999999999999</v>
      </c>
      <c r="Z16" s="46">
        <v>19.899999999999999</v>
      </c>
      <c r="AA16" s="46">
        <v>23</v>
      </c>
      <c r="AB16" s="46">
        <v>23</v>
      </c>
      <c r="AC16" s="46">
        <v>23</v>
      </c>
      <c r="AD16" s="46">
        <v>23</v>
      </c>
      <c r="AE16" s="46">
        <v>23</v>
      </c>
      <c r="AF16" s="46">
        <v>23</v>
      </c>
      <c r="AG16" s="50">
        <v>54</v>
      </c>
      <c r="AH16" s="48">
        <f t="shared" si="2"/>
        <v>23</v>
      </c>
      <c r="AI16" s="49">
        <f t="shared" si="3"/>
        <v>19.899999999999999</v>
      </c>
      <c r="AK16" s="51"/>
      <c r="AL16" s="54" t="s">
        <v>7</v>
      </c>
      <c r="AM16" s="59">
        <f t="shared" ref="AM16:AR16" si="4">B61</f>
        <v>778.5</v>
      </c>
      <c r="AN16" s="59">
        <f t="shared" si="4"/>
        <v>778.5</v>
      </c>
      <c r="AO16" s="59">
        <f t="shared" si="4"/>
        <v>780</v>
      </c>
      <c r="AP16" s="59">
        <f t="shared" si="4"/>
        <v>780</v>
      </c>
      <c r="AQ16" s="59">
        <f t="shared" si="4"/>
        <v>780</v>
      </c>
      <c r="AR16" s="59">
        <f t="shared" si="4"/>
        <v>780</v>
      </c>
      <c r="AS16" s="59">
        <f>I61</f>
        <v>780</v>
      </c>
      <c r="AT16" s="59">
        <f>K61</f>
        <v>788</v>
      </c>
      <c r="AU16" s="59">
        <f t="shared" ref="AU16:BD16" si="5">M61</f>
        <v>772.60000000000014</v>
      </c>
      <c r="AV16" s="59">
        <f t="shared" si="5"/>
        <v>772.60000000000014</v>
      </c>
      <c r="AW16" s="59">
        <f t="shared" si="5"/>
        <v>772.60000000000014</v>
      </c>
      <c r="AX16" s="59">
        <f t="shared" si="5"/>
        <v>769.50000000000011</v>
      </c>
      <c r="AY16" s="59">
        <f t="shared" si="5"/>
        <v>769.50000000000011</v>
      </c>
      <c r="AZ16" s="59">
        <f t="shared" si="5"/>
        <v>769.50000000000011</v>
      </c>
      <c r="BA16" s="59">
        <f t="shared" si="5"/>
        <v>769.50000000000011</v>
      </c>
      <c r="BB16" s="59">
        <f t="shared" si="5"/>
        <v>769.50000000000011</v>
      </c>
      <c r="BC16" s="59">
        <f t="shared" si="5"/>
        <v>769.50000000000011</v>
      </c>
      <c r="BD16" s="59">
        <f t="shared" si="5"/>
        <v>769.50000000000011</v>
      </c>
      <c r="BE16" s="60">
        <f>X61</f>
        <v>769.50000000000011</v>
      </c>
      <c r="BF16" s="60">
        <f>Z61</f>
        <v>759.50000000000011</v>
      </c>
      <c r="BG16" s="60">
        <f>AB61</f>
        <v>716.7</v>
      </c>
      <c r="BH16" s="60">
        <f>AD61</f>
        <v>716.7</v>
      </c>
      <c r="BI16" s="60">
        <f>AE61</f>
        <v>719.90000000000009</v>
      </c>
      <c r="BJ16" s="60">
        <f>AF61</f>
        <v>719.90000000000009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24</v>
      </c>
      <c r="C17" s="46">
        <v>24</v>
      </c>
      <c r="D17" s="46">
        <v>24</v>
      </c>
      <c r="E17" s="46">
        <v>24</v>
      </c>
      <c r="F17" s="46">
        <v>24</v>
      </c>
      <c r="G17" s="46">
        <v>24</v>
      </c>
      <c r="H17" s="46">
        <v>24</v>
      </c>
      <c r="I17" s="46">
        <v>24</v>
      </c>
      <c r="J17" s="46">
        <v>24</v>
      </c>
      <c r="K17" s="46">
        <v>24</v>
      </c>
      <c r="L17" s="46">
        <v>24</v>
      </c>
      <c r="M17" s="46">
        <v>24</v>
      </c>
      <c r="N17" s="46">
        <v>24</v>
      </c>
      <c r="O17" s="46">
        <v>24</v>
      </c>
      <c r="P17" s="46">
        <v>19.399999999999999</v>
      </c>
      <c r="Q17" s="46">
        <v>19.399999999999999</v>
      </c>
      <c r="R17" s="46">
        <v>19.399999999999999</v>
      </c>
      <c r="S17" s="46">
        <v>19.399999999999999</v>
      </c>
      <c r="T17" s="46">
        <v>19.399999999999999</v>
      </c>
      <c r="U17" s="46">
        <v>19.399999999999999</v>
      </c>
      <c r="V17" s="46">
        <v>19.399999999999999</v>
      </c>
      <c r="W17" s="46">
        <v>19.399999999999999</v>
      </c>
      <c r="X17" s="46">
        <v>19.399999999999999</v>
      </c>
      <c r="Y17" s="46">
        <v>19.399999999999999</v>
      </c>
      <c r="Z17" s="46">
        <v>19.399999999999999</v>
      </c>
      <c r="AA17" s="46">
        <v>19.399999999999999</v>
      </c>
      <c r="AB17" s="46">
        <v>19.399999999999999</v>
      </c>
      <c r="AC17" s="46">
        <v>19.399999999999999</v>
      </c>
      <c r="AD17" s="46">
        <v>19.399999999999999</v>
      </c>
      <c r="AE17" s="46">
        <v>19.399999999999999</v>
      </c>
      <c r="AF17" s="46">
        <v>19.399999999999999</v>
      </c>
      <c r="AG17" s="47">
        <v>52.4</v>
      </c>
      <c r="AH17" s="48">
        <f t="shared" si="2"/>
        <v>24</v>
      </c>
      <c r="AI17" s="49">
        <f t="shared" si="3"/>
        <v>19.399999999999999</v>
      </c>
      <c r="AK17" s="51"/>
      <c r="AL17" s="54" t="s">
        <v>27</v>
      </c>
      <c r="AM17" s="59">
        <f t="shared" ref="AM17:AR17" si="6">B65</f>
        <v>358.6</v>
      </c>
      <c r="AN17" s="59">
        <f t="shared" si="6"/>
        <v>344</v>
      </c>
      <c r="AO17" s="59">
        <f t="shared" si="6"/>
        <v>294.5</v>
      </c>
      <c r="AP17" s="59">
        <f t="shared" si="6"/>
        <v>394.5</v>
      </c>
      <c r="AQ17" s="59">
        <f t="shared" si="6"/>
        <v>394.5</v>
      </c>
      <c r="AR17" s="59">
        <f t="shared" si="6"/>
        <v>402.5</v>
      </c>
      <c r="AS17" s="59">
        <f>I65</f>
        <v>453.5</v>
      </c>
      <c r="AT17" s="59">
        <f>K65</f>
        <v>412.5</v>
      </c>
      <c r="AU17" s="59">
        <f t="shared" ref="AU17:BD17" si="7">M65</f>
        <v>368.5</v>
      </c>
      <c r="AV17" s="59">
        <f t="shared" si="7"/>
        <v>402.5</v>
      </c>
      <c r="AW17" s="59">
        <f t="shared" si="7"/>
        <v>432.5</v>
      </c>
      <c r="AX17" s="59">
        <f t="shared" si="7"/>
        <v>504.5</v>
      </c>
      <c r="AY17" s="59">
        <f t="shared" si="7"/>
        <v>461.5</v>
      </c>
      <c r="AZ17" s="59">
        <f t="shared" si="7"/>
        <v>461.5</v>
      </c>
      <c r="BA17" s="59">
        <f t="shared" si="7"/>
        <v>299.89999999999998</v>
      </c>
      <c r="BB17" s="59">
        <f t="shared" si="7"/>
        <v>299.89999999999998</v>
      </c>
      <c r="BC17" s="59">
        <f t="shared" si="7"/>
        <v>303.89999999999998</v>
      </c>
      <c r="BD17" s="59">
        <f t="shared" si="7"/>
        <v>303.89999999999998</v>
      </c>
      <c r="BE17" s="60">
        <f>X65</f>
        <v>194.2</v>
      </c>
      <c r="BF17" s="60">
        <f>Z65</f>
        <v>362.6</v>
      </c>
      <c r="BG17" s="60">
        <f>AB65</f>
        <v>516.4</v>
      </c>
      <c r="BH17" s="60">
        <f>AD65</f>
        <v>426.6</v>
      </c>
      <c r="BI17" s="60">
        <f>AE65</f>
        <v>402.6</v>
      </c>
      <c r="BJ17" s="60">
        <f>AF65</f>
        <v>382.6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50.4</v>
      </c>
      <c r="C18" s="46">
        <v>50.4</v>
      </c>
      <c r="D18" s="46">
        <v>50.4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50.3</v>
      </c>
      <c r="Y18" s="46">
        <v>50.3</v>
      </c>
      <c r="Z18" s="46">
        <v>50.3</v>
      </c>
      <c r="AA18" s="53">
        <v>50.3</v>
      </c>
      <c r="AB18" s="53">
        <v>50.3</v>
      </c>
      <c r="AC18" s="53">
        <v>50.3</v>
      </c>
      <c r="AD18" s="53">
        <v>50.3</v>
      </c>
      <c r="AE18" s="53">
        <v>50.3</v>
      </c>
      <c r="AF18" s="53">
        <v>50.3</v>
      </c>
      <c r="AG18" s="50">
        <v>50</v>
      </c>
      <c r="AH18" s="48">
        <f t="shared" si="2"/>
        <v>50.4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414.54</v>
      </c>
      <c r="AN18" s="59">
        <f t="shared" si="8"/>
        <v>412.44</v>
      </c>
      <c r="AO18" s="59">
        <f t="shared" si="8"/>
        <v>391.94</v>
      </c>
      <c r="AP18" s="59">
        <f t="shared" si="8"/>
        <v>368.03999999999996</v>
      </c>
      <c r="AQ18" s="59">
        <f t="shared" si="8"/>
        <v>368.03999999999996</v>
      </c>
      <c r="AR18" s="59">
        <f t="shared" si="8"/>
        <v>368.03999999999996</v>
      </c>
      <c r="AS18" s="59">
        <f>I79</f>
        <v>378.84</v>
      </c>
      <c r="AT18" s="59">
        <f>K79</f>
        <v>382.53999999999996</v>
      </c>
      <c r="AU18" s="59">
        <f t="shared" ref="AU18:BD18" si="9">M79</f>
        <v>403.44</v>
      </c>
      <c r="AV18" s="59">
        <f t="shared" si="9"/>
        <v>426.74000000000007</v>
      </c>
      <c r="AW18" s="59">
        <f t="shared" si="9"/>
        <v>428.74000000000007</v>
      </c>
      <c r="AX18" s="59">
        <f t="shared" si="9"/>
        <v>423.44000000000005</v>
      </c>
      <c r="AY18" s="59">
        <f t="shared" si="9"/>
        <v>423.44000000000005</v>
      </c>
      <c r="AZ18" s="59">
        <f t="shared" si="9"/>
        <v>423.44000000000005</v>
      </c>
      <c r="BA18" s="59">
        <f t="shared" si="9"/>
        <v>408.94</v>
      </c>
      <c r="BB18" s="59">
        <f t="shared" si="9"/>
        <v>418.14</v>
      </c>
      <c r="BC18" s="59">
        <f t="shared" si="9"/>
        <v>413.53999999999996</v>
      </c>
      <c r="BD18" s="59">
        <f t="shared" si="9"/>
        <v>411.63999999999993</v>
      </c>
      <c r="BE18" s="60">
        <f>X79</f>
        <v>394.04000000000008</v>
      </c>
      <c r="BF18" s="60">
        <f>Z79</f>
        <v>393.04</v>
      </c>
      <c r="BG18" s="60">
        <f>AB79</f>
        <v>395.04</v>
      </c>
      <c r="BH18" s="60">
        <f>AD79</f>
        <v>395.04</v>
      </c>
      <c r="BI18" s="60">
        <f>AE79</f>
        <v>385.14000000000004</v>
      </c>
      <c r="BJ18" s="60">
        <f>AF79</f>
        <v>385.14000000000004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28</v>
      </c>
      <c r="AN19" s="59">
        <f t="shared" si="10"/>
        <v>27.7</v>
      </c>
      <c r="AO19" s="59">
        <f t="shared" si="10"/>
        <v>26</v>
      </c>
      <c r="AP19" s="59">
        <f t="shared" si="10"/>
        <v>36.5</v>
      </c>
      <c r="AQ19" s="59">
        <f t="shared" si="10"/>
        <v>34.799999999999997</v>
      </c>
      <c r="AR19" s="59">
        <f t="shared" si="10"/>
        <v>30.6</v>
      </c>
      <c r="AS19" s="59">
        <f>I95</f>
        <v>25</v>
      </c>
      <c r="AT19" s="59">
        <f>K95</f>
        <v>244.9</v>
      </c>
      <c r="AU19" s="59">
        <f t="shared" ref="AU19:BD19" si="11">M95</f>
        <v>245.1</v>
      </c>
      <c r="AV19" s="59">
        <f t="shared" si="11"/>
        <v>255.2</v>
      </c>
      <c r="AW19" s="59">
        <f t="shared" si="11"/>
        <v>224.7</v>
      </c>
      <c r="AX19" s="59">
        <f t="shared" si="11"/>
        <v>273.89999999999998</v>
      </c>
      <c r="AY19" s="59">
        <f t="shared" si="11"/>
        <v>260.7</v>
      </c>
      <c r="AZ19" s="59">
        <f t="shared" si="11"/>
        <v>277.8</v>
      </c>
      <c r="BA19" s="59">
        <f t="shared" si="11"/>
        <v>409.5</v>
      </c>
      <c r="BB19" s="59">
        <f t="shared" si="11"/>
        <v>406.7</v>
      </c>
      <c r="BC19" s="59">
        <f t="shared" si="11"/>
        <v>387.59999999999997</v>
      </c>
      <c r="BD19" s="59">
        <f t="shared" si="11"/>
        <v>403.39</v>
      </c>
      <c r="BE19" s="60">
        <f>X95</f>
        <v>234</v>
      </c>
      <c r="BF19" s="60">
        <f>Z95</f>
        <v>84.300000000000011</v>
      </c>
      <c r="BG19" s="60">
        <f>AB95</f>
        <v>59.599999999999994</v>
      </c>
      <c r="BH19" s="60">
        <f>AD95</f>
        <v>74.099999999999994</v>
      </c>
      <c r="BI19" s="60">
        <f>AE95</f>
        <v>92.6</v>
      </c>
      <c r="BJ19" s="60">
        <f>AF95</f>
        <v>95.8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29.8</v>
      </c>
      <c r="C20" s="46">
        <v>29.8</v>
      </c>
      <c r="D20" s="46">
        <v>29.8</v>
      </c>
      <c r="E20" s="46">
        <v>29.8</v>
      </c>
      <c r="F20" s="46">
        <v>29.8</v>
      </c>
      <c r="G20" s="46">
        <v>29.8</v>
      </c>
      <c r="H20" s="46">
        <v>29.8</v>
      </c>
      <c r="I20" s="46">
        <v>29.8</v>
      </c>
      <c r="J20" s="46">
        <v>29.8</v>
      </c>
      <c r="K20" s="46">
        <v>29.8</v>
      </c>
      <c r="L20" s="46">
        <v>29.8</v>
      </c>
      <c r="M20" s="46">
        <v>29.8</v>
      </c>
      <c r="N20" s="46">
        <v>29.8</v>
      </c>
      <c r="O20" s="46">
        <v>29.8</v>
      </c>
      <c r="P20" s="46">
        <v>29.8</v>
      </c>
      <c r="Q20" s="46">
        <v>29.8</v>
      </c>
      <c r="R20" s="46">
        <v>29.8</v>
      </c>
      <c r="S20" s="46">
        <v>29.8</v>
      </c>
      <c r="T20" s="46">
        <v>29.8</v>
      </c>
      <c r="U20" s="46">
        <v>29.8</v>
      </c>
      <c r="V20" s="46">
        <v>29.8</v>
      </c>
      <c r="W20" s="46">
        <v>29.8</v>
      </c>
      <c r="X20" s="46">
        <v>29.8</v>
      </c>
      <c r="Y20" s="46">
        <v>29.8</v>
      </c>
      <c r="Z20" s="46">
        <v>29.8</v>
      </c>
      <c r="AA20" s="46">
        <v>29.8</v>
      </c>
      <c r="AB20" s="46">
        <v>29.8</v>
      </c>
      <c r="AC20" s="46">
        <v>29.8</v>
      </c>
      <c r="AD20" s="46">
        <v>29.8</v>
      </c>
      <c r="AE20" s="46">
        <v>29.8</v>
      </c>
      <c r="AF20" s="46">
        <v>29.8</v>
      </c>
      <c r="AG20" s="50">
        <v>44</v>
      </c>
      <c r="AH20" s="48">
        <f t="shared" si="2"/>
        <v>29.8</v>
      </c>
      <c r="AI20" s="49">
        <f t="shared" si="3"/>
        <v>29.8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43.3</v>
      </c>
      <c r="AT20" s="59">
        <f>K83</f>
        <v>26.400000000000002</v>
      </c>
      <c r="AU20" s="59">
        <f t="shared" ref="AU20:BD20" si="13">M83</f>
        <v>48.6</v>
      </c>
      <c r="AV20" s="59">
        <f t="shared" si="13"/>
        <v>48.6</v>
      </c>
      <c r="AW20" s="59">
        <f t="shared" si="13"/>
        <v>48.6</v>
      </c>
      <c r="AX20" s="59">
        <f t="shared" si="13"/>
        <v>50.500000000000007</v>
      </c>
      <c r="AY20" s="59">
        <f t="shared" si="13"/>
        <v>81</v>
      </c>
      <c r="AZ20" s="59">
        <f t="shared" si="13"/>
        <v>81</v>
      </c>
      <c r="BA20" s="59">
        <f t="shared" si="13"/>
        <v>60.5</v>
      </c>
      <c r="BB20" s="59">
        <f t="shared" si="13"/>
        <v>96.4</v>
      </c>
      <c r="BC20" s="59">
        <f t="shared" si="13"/>
        <v>96.4</v>
      </c>
      <c r="BD20" s="59">
        <f t="shared" si="13"/>
        <v>96.4</v>
      </c>
      <c r="BE20" s="60">
        <f>X83</f>
        <v>100.89999999999999</v>
      </c>
      <c r="BF20" s="60">
        <f>Z83</f>
        <v>100.89999999999999</v>
      </c>
      <c r="BG20" s="60">
        <f>AB83</f>
        <v>98.7</v>
      </c>
      <c r="BH20" s="60">
        <f>AD83</f>
        <v>73.8</v>
      </c>
      <c r="BI20" s="60">
        <f>AE83</f>
        <v>99.9</v>
      </c>
      <c r="BJ20" s="60">
        <f>AF83</f>
        <v>99.9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150</v>
      </c>
      <c r="AO21" s="59">
        <f t="shared" si="14"/>
        <v>150</v>
      </c>
      <c r="AP21" s="59">
        <f t="shared" si="14"/>
        <v>150</v>
      </c>
      <c r="AQ21" s="59">
        <f t="shared" si="14"/>
        <v>150</v>
      </c>
      <c r="AR21" s="59">
        <f t="shared" si="14"/>
        <v>150</v>
      </c>
      <c r="AS21" s="59">
        <f>I101</f>
        <v>150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80</v>
      </c>
      <c r="BF21" s="60">
        <f>Z101</f>
        <v>250</v>
      </c>
      <c r="BG21" s="60">
        <f>AB101</f>
        <v>270</v>
      </c>
      <c r="BH21" s="60">
        <f>AD101</f>
        <v>250</v>
      </c>
      <c r="BI21" s="60">
        <f>AE101</f>
        <v>200</v>
      </c>
      <c r="BJ21" s="60">
        <f>AF101</f>
        <v>180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24</v>
      </c>
      <c r="C22" s="46">
        <v>24</v>
      </c>
      <c r="D22" s="46">
        <v>24</v>
      </c>
      <c r="E22" s="46">
        <v>24</v>
      </c>
      <c r="F22" s="46">
        <v>24</v>
      </c>
      <c r="G22" s="46">
        <v>24</v>
      </c>
      <c r="H22" s="46">
        <v>24</v>
      </c>
      <c r="I22" s="46">
        <v>24</v>
      </c>
      <c r="J22" s="46">
        <v>24</v>
      </c>
      <c r="K22" s="46">
        <v>24</v>
      </c>
      <c r="L22" s="46">
        <v>24</v>
      </c>
      <c r="M22" s="46">
        <v>22.1</v>
      </c>
      <c r="N22" s="46">
        <v>22.1</v>
      </c>
      <c r="O22" s="46">
        <v>22.1</v>
      </c>
      <c r="P22" s="46">
        <v>22.1</v>
      </c>
      <c r="Q22" s="46">
        <v>22.1</v>
      </c>
      <c r="R22" s="46">
        <v>22.1</v>
      </c>
      <c r="S22" s="46">
        <v>22.1</v>
      </c>
      <c r="T22" s="46">
        <v>22.1</v>
      </c>
      <c r="U22" s="46">
        <v>22.1</v>
      </c>
      <c r="V22" s="46">
        <v>22.1</v>
      </c>
      <c r="W22" s="46">
        <v>22.1</v>
      </c>
      <c r="X22" s="46">
        <v>22.1</v>
      </c>
      <c r="Y22" s="46">
        <v>22.1</v>
      </c>
      <c r="Z22" s="46">
        <v>22.1</v>
      </c>
      <c r="AA22" s="46">
        <v>22.1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50">
        <v>38.46</v>
      </c>
      <c r="AH22" s="48">
        <f t="shared" si="2"/>
        <v>24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1729.6399999999999</v>
      </c>
      <c r="AN22" s="63">
        <f t="shared" si="16"/>
        <v>1712.64</v>
      </c>
      <c r="AO22" s="63">
        <f t="shared" si="16"/>
        <v>1642.44</v>
      </c>
      <c r="AP22" s="63">
        <f t="shared" si="16"/>
        <v>1729.04</v>
      </c>
      <c r="AQ22" s="63">
        <f t="shared" si="16"/>
        <v>1727.34</v>
      </c>
      <c r="AR22" s="63">
        <f t="shared" si="16"/>
        <v>1731.1399999999999</v>
      </c>
      <c r="AS22" s="63">
        <f t="shared" si="16"/>
        <v>1830.6399999999999</v>
      </c>
      <c r="AT22" s="63">
        <f t="shared" si="16"/>
        <v>1854.3400000000001</v>
      </c>
      <c r="AU22" s="63">
        <f t="shared" si="16"/>
        <v>1838.24</v>
      </c>
      <c r="AV22" s="63">
        <f t="shared" si="16"/>
        <v>1905.64</v>
      </c>
      <c r="AW22" s="63">
        <f t="shared" si="16"/>
        <v>1907.14</v>
      </c>
      <c r="AX22" s="63">
        <f t="shared" si="16"/>
        <v>2021.8400000000001</v>
      </c>
      <c r="AY22" s="63">
        <f t="shared" si="16"/>
        <v>1996.14</v>
      </c>
      <c r="AZ22" s="63">
        <f t="shared" si="16"/>
        <v>2013.24</v>
      </c>
      <c r="BA22" s="63">
        <f t="shared" si="16"/>
        <v>1948.3400000000001</v>
      </c>
      <c r="BB22" s="63">
        <f t="shared" si="16"/>
        <v>1990.64</v>
      </c>
      <c r="BC22" s="63">
        <f t="shared" si="16"/>
        <v>1970.94</v>
      </c>
      <c r="BD22" s="63">
        <f t="shared" si="16"/>
        <v>1984.83</v>
      </c>
      <c r="BE22" s="63">
        <f t="shared" si="16"/>
        <v>1772.6400000000003</v>
      </c>
      <c r="BF22" s="63">
        <f t="shared" si="16"/>
        <v>1950.3400000000001</v>
      </c>
      <c r="BG22" s="63">
        <f t="shared" si="16"/>
        <v>2056.4399999999996</v>
      </c>
      <c r="BH22" s="63">
        <f t="shared" si="16"/>
        <v>1936.24</v>
      </c>
      <c r="BI22" s="63">
        <f t="shared" si="16"/>
        <v>1900.14</v>
      </c>
      <c r="BJ22" s="63">
        <f t="shared" si="16"/>
        <v>1863.3400000000001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15.7</v>
      </c>
      <c r="C23" s="46">
        <v>15.7</v>
      </c>
      <c r="D23" s="46">
        <v>15.7</v>
      </c>
      <c r="E23" s="46">
        <v>15.7</v>
      </c>
      <c r="F23" s="46">
        <v>15.7</v>
      </c>
      <c r="G23" s="46">
        <v>15.7</v>
      </c>
      <c r="H23" s="46">
        <v>15.7</v>
      </c>
      <c r="I23" s="46">
        <v>15.7</v>
      </c>
      <c r="J23" s="46">
        <v>15.7</v>
      </c>
      <c r="K23" s="46">
        <v>15.7</v>
      </c>
      <c r="L23" s="46">
        <v>15.7</v>
      </c>
      <c r="M23" s="46">
        <v>15.6</v>
      </c>
      <c r="N23" s="46">
        <v>15.6</v>
      </c>
      <c r="O23" s="46">
        <v>15.6</v>
      </c>
      <c r="P23" s="46">
        <v>15.6</v>
      </c>
      <c r="Q23" s="46">
        <v>15.6</v>
      </c>
      <c r="R23" s="46">
        <v>15.6</v>
      </c>
      <c r="S23" s="46">
        <v>15.6</v>
      </c>
      <c r="T23" s="46">
        <v>15.6</v>
      </c>
      <c r="U23" s="46">
        <v>15.6</v>
      </c>
      <c r="V23" s="46">
        <v>15.6</v>
      </c>
      <c r="W23" s="46">
        <v>15.6</v>
      </c>
      <c r="X23" s="46">
        <v>15.6</v>
      </c>
      <c r="Y23" s="46">
        <v>15.6</v>
      </c>
      <c r="Z23" s="46">
        <v>15.6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50">
        <v>38.46</v>
      </c>
      <c r="AH23" s="48">
        <f t="shared" si="2"/>
        <v>15.7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-120</v>
      </c>
      <c r="AN23" s="63">
        <f t="shared" si="17"/>
        <v>-124</v>
      </c>
      <c r="AO23" s="63">
        <f t="shared" si="17"/>
        <v>-111</v>
      </c>
      <c r="AP23" s="63">
        <f t="shared" si="17"/>
        <v>-210</v>
      </c>
      <c r="AQ23" s="63">
        <f t="shared" si="17"/>
        <v>-219</v>
      </c>
      <c r="AR23" s="63">
        <f t="shared" si="17"/>
        <v>-195</v>
      </c>
      <c r="AS23" s="63">
        <f>I110*-1</f>
        <v>-193</v>
      </c>
      <c r="AT23" s="63">
        <f>K110*-1</f>
        <v>-200</v>
      </c>
      <c r="AU23" s="63">
        <f t="shared" ref="AU23:BD23" si="18">M110*-1</f>
        <v>-101</v>
      </c>
      <c r="AV23" s="63">
        <f t="shared" si="18"/>
        <v>-91</v>
      </c>
      <c r="AW23" s="63">
        <f t="shared" si="18"/>
        <v>-110</v>
      </c>
      <c r="AX23" s="63">
        <f t="shared" si="18"/>
        <v>-105</v>
      </c>
      <c r="AY23" s="63">
        <f t="shared" si="18"/>
        <v>-117</v>
      </c>
      <c r="AZ23" s="63">
        <f t="shared" si="18"/>
        <v>-117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-110.6</v>
      </c>
      <c r="BG23" s="63">
        <f>AB110*-1</f>
        <v>-120</v>
      </c>
      <c r="BH23" s="63">
        <f>AD110*-1</f>
        <v>-95.5</v>
      </c>
      <c r="BI23" s="63">
        <f>AE110*-1</f>
        <v>-120.7</v>
      </c>
      <c r="BJ23" s="63">
        <f>AF110*-1</f>
        <v>-112.9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1609.6399999999999</v>
      </c>
      <c r="AN24" s="63">
        <f t="shared" si="19"/>
        <v>1588.64</v>
      </c>
      <c r="AO24" s="63">
        <f t="shared" si="19"/>
        <v>1531.44</v>
      </c>
      <c r="AP24" s="63">
        <f t="shared" si="19"/>
        <v>1519.04</v>
      </c>
      <c r="AQ24" s="63">
        <f t="shared" si="19"/>
        <v>1508.34</v>
      </c>
      <c r="AR24" s="63">
        <f t="shared" si="19"/>
        <v>1536.1399999999999</v>
      </c>
      <c r="AS24" s="63">
        <f t="shared" si="19"/>
        <v>1637.6399999999999</v>
      </c>
      <c r="AT24" s="63">
        <f t="shared" si="19"/>
        <v>1654.3400000000001</v>
      </c>
      <c r="AU24" s="63">
        <f t="shared" si="19"/>
        <v>1737.24</v>
      </c>
      <c r="AV24" s="63">
        <f t="shared" si="19"/>
        <v>1814.64</v>
      </c>
      <c r="AW24" s="63">
        <f t="shared" si="19"/>
        <v>1797.14</v>
      </c>
      <c r="AX24" s="63">
        <f t="shared" si="19"/>
        <v>1916.8400000000001</v>
      </c>
      <c r="AY24" s="63">
        <f t="shared" si="19"/>
        <v>1879.14</v>
      </c>
      <c r="AZ24" s="63">
        <f t="shared" si="19"/>
        <v>1896.24</v>
      </c>
      <c r="BA24" s="63">
        <f t="shared" si="19"/>
        <v>1948.3400000000001</v>
      </c>
      <c r="BB24" s="63">
        <f t="shared" si="19"/>
        <v>1990.64</v>
      </c>
      <c r="BC24" s="63">
        <f t="shared" si="19"/>
        <v>1970.94</v>
      </c>
      <c r="BD24" s="63">
        <f t="shared" si="19"/>
        <v>1984.83</v>
      </c>
      <c r="BE24" s="63">
        <f t="shared" si="19"/>
        <v>1772.6400000000003</v>
      </c>
      <c r="BF24" s="63">
        <f t="shared" si="19"/>
        <v>1839.7400000000002</v>
      </c>
      <c r="BG24" s="63">
        <f t="shared" si="19"/>
        <v>1936.4399999999996</v>
      </c>
      <c r="BH24" s="63">
        <f t="shared" si="19"/>
        <v>1840.74</v>
      </c>
      <c r="BI24" s="63">
        <f t="shared" si="19"/>
        <v>1779.44</v>
      </c>
      <c r="BJ24" s="63">
        <f t="shared" si="19"/>
        <v>1750.44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13</v>
      </c>
      <c r="C25" s="46">
        <v>13</v>
      </c>
      <c r="D25" s="46">
        <v>13</v>
      </c>
      <c r="E25" s="46">
        <v>13</v>
      </c>
      <c r="F25" s="46">
        <v>13</v>
      </c>
      <c r="G25" s="46">
        <v>13</v>
      </c>
      <c r="H25" s="46">
        <v>13</v>
      </c>
      <c r="I25" s="46">
        <v>13</v>
      </c>
      <c r="J25" s="46">
        <v>13</v>
      </c>
      <c r="K25" s="46">
        <v>13</v>
      </c>
      <c r="L25" s="46">
        <v>13</v>
      </c>
      <c r="M25" s="46">
        <v>13</v>
      </c>
      <c r="N25" s="46">
        <v>13</v>
      </c>
      <c r="O25" s="46">
        <v>13</v>
      </c>
      <c r="P25" s="46">
        <v>13</v>
      </c>
      <c r="Q25" s="46">
        <v>13</v>
      </c>
      <c r="R25" s="46">
        <v>13</v>
      </c>
      <c r="S25" s="46">
        <v>13</v>
      </c>
      <c r="T25" s="46">
        <v>13</v>
      </c>
      <c r="U25" s="46">
        <v>13</v>
      </c>
      <c r="V25" s="46">
        <v>13</v>
      </c>
      <c r="W25" s="46">
        <v>13</v>
      </c>
      <c r="X25" s="46">
        <v>13</v>
      </c>
      <c r="Y25" s="46">
        <v>13</v>
      </c>
      <c r="Z25" s="46">
        <v>13</v>
      </c>
      <c r="AA25" s="46">
        <v>13</v>
      </c>
      <c r="AB25" s="46">
        <v>13</v>
      </c>
      <c r="AC25" s="46">
        <v>13</v>
      </c>
      <c r="AD25" s="46">
        <v>13</v>
      </c>
      <c r="AE25" s="46">
        <v>13</v>
      </c>
      <c r="AF25" s="46">
        <v>13</v>
      </c>
      <c r="AG25" s="61">
        <v>30</v>
      </c>
      <c r="AH25" s="48">
        <f t="shared" si="2"/>
        <v>13</v>
      </c>
      <c r="AI25" s="49">
        <f t="shared" si="3"/>
        <v>13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11.5</v>
      </c>
      <c r="S26" s="46">
        <v>11.5</v>
      </c>
      <c r="T26" s="46">
        <v>11.5</v>
      </c>
      <c r="U26" s="46">
        <v>11.5</v>
      </c>
      <c r="V26" s="46">
        <v>11.5</v>
      </c>
      <c r="W26" s="46">
        <v>11.5</v>
      </c>
      <c r="X26" s="46">
        <v>11.5</v>
      </c>
      <c r="Y26" s="46">
        <v>11.5</v>
      </c>
      <c r="Z26" s="46">
        <v>11.5</v>
      </c>
      <c r="AA26" s="46">
        <v>11.5</v>
      </c>
      <c r="AB26" s="46">
        <v>11.5</v>
      </c>
      <c r="AC26" s="46">
        <v>11.5</v>
      </c>
      <c r="AD26" s="46">
        <v>11.5</v>
      </c>
      <c r="AE26" s="46">
        <v>11.5</v>
      </c>
      <c r="AF26" s="46">
        <v>11.5</v>
      </c>
      <c r="AG26" s="50">
        <v>24.2</v>
      </c>
      <c r="AH26" s="48">
        <f t="shared" si="2"/>
        <v>11.5</v>
      </c>
      <c r="AI26" s="49">
        <f t="shared" si="3"/>
        <v>11.5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12</v>
      </c>
      <c r="C27" s="46">
        <v>12</v>
      </c>
      <c r="D27" s="46">
        <v>12</v>
      </c>
      <c r="E27" s="46">
        <v>12</v>
      </c>
      <c r="F27" s="46">
        <v>12</v>
      </c>
      <c r="G27" s="46">
        <v>12</v>
      </c>
      <c r="H27" s="46">
        <v>12</v>
      </c>
      <c r="I27" s="46">
        <v>12</v>
      </c>
      <c r="J27" s="46">
        <v>12</v>
      </c>
      <c r="K27" s="46">
        <v>12</v>
      </c>
      <c r="L27" s="46">
        <v>12</v>
      </c>
      <c r="M27" s="46">
        <v>12</v>
      </c>
      <c r="N27" s="46">
        <v>12</v>
      </c>
      <c r="O27" s="46">
        <v>12</v>
      </c>
      <c r="P27" s="46">
        <v>12</v>
      </c>
      <c r="Q27" s="46">
        <v>12</v>
      </c>
      <c r="R27" s="46">
        <v>12</v>
      </c>
      <c r="S27" s="46">
        <v>12</v>
      </c>
      <c r="T27" s="46">
        <v>12</v>
      </c>
      <c r="U27" s="46">
        <v>12</v>
      </c>
      <c r="V27" s="46">
        <v>12</v>
      </c>
      <c r="W27" s="46">
        <v>12</v>
      </c>
      <c r="X27" s="46">
        <v>12</v>
      </c>
      <c r="Y27" s="46">
        <v>12</v>
      </c>
      <c r="Z27" s="46">
        <v>12</v>
      </c>
      <c r="AA27" s="46">
        <v>12</v>
      </c>
      <c r="AB27" s="46">
        <v>12</v>
      </c>
      <c r="AC27" s="46">
        <v>12</v>
      </c>
      <c r="AD27" s="46">
        <v>12</v>
      </c>
      <c r="AE27" s="46">
        <v>12</v>
      </c>
      <c r="AF27" s="46">
        <v>12</v>
      </c>
      <c r="AG27" s="50">
        <v>28</v>
      </c>
      <c r="AH27" s="48">
        <f t="shared" si="2"/>
        <v>12</v>
      </c>
      <c r="AI27" s="49">
        <f t="shared" si="3"/>
        <v>12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9.8000000000000007</v>
      </c>
      <c r="C28" s="46">
        <v>9.8000000000000007</v>
      </c>
      <c r="D28" s="46">
        <v>9.8000000000000007</v>
      </c>
      <c r="E28" s="46">
        <v>9.8000000000000007</v>
      </c>
      <c r="F28" s="46">
        <v>9.8000000000000007</v>
      </c>
      <c r="G28" s="46">
        <v>9.8000000000000007</v>
      </c>
      <c r="H28" s="46">
        <v>9.8000000000000007</v>
      </c>
      <c r="I28" s="46">
        <v>9.8000000000000007</v>
      </c>
      <c r="J28" s="46">
        <v>9.8000000000000007</v>
      </c>
      <c r="K28" s="46">
        <v>9.8000000000000007</v>
      </c>
      <c r="L28" s="46">
        <v>9.8000000000000007</v>
      </c>
      <c r="M28" s="46">
        <v>9.8000000000000007</v>
      </c>
      <c r="N28" s="46">
        <v>9.8000000000000007</v>
      </c>
      <c r="O28" s="46">
        <v>9.8000000000000007</v>
      </c>
      <c r="P28" s="46">
        <v>9.8000000000000007</v>
      </c>
      <c r="Q28" s="46">
        <v>9.8000000000000007</v>
      </c>
      <c r="R28" s="46">
        <v>9.8000000000000007</v>
      </c>
      <c r="S28" s="46">
        <v>9.8000000000000007</v>
      </c>
      <c r="T28" s="46">
        <v>9.8000000000000007</v>
      </c>
      <c r="U28" s="46">
        <v>9.8000000000000007</v>
      </c>
      <c r="V28" s="46">
        <v>9.8000000000000007</v>
      </c>
      <c r="W28" s="46">
        <v>9.8000000000000007</v>
      </c>
      <c r="X28" s="46">
        <v>9.8000000000000007</v>
      </c>
      <c r="Y28" s="46">
        <v>9.8000000000000007</v>
      </c>
      <c r="Z28" s="46">
        <v>9.8000000000000007</v>
      </c>
      <c r="AA28" s="46">
        <v>9.8000000000000007</v>
      </c>
      <c r="AB28" s="46">
        <v>9.8000000000000007</v>
      </c>
      <c r="AC28" s="46">
        <v>9.8000000000000007</v>
      </c>
      <c r="AD28" s="46">
        <v>9.8000000000000007</v>
      </c>
      <c r="AE28" s="46">
        <v>9.8000000000000007</v>
      </c>
      <c r="AF28" s="46">
        <v>9.8000000000000007</v>
      </c>
      <c r="AG28" s="61">
        <v>30</v>
      </c>
      <c r="AH28" s="48">
        <f t="shared" si="2"/>
        <v>9.8000000000000007</v>
      </c>
      <c r="AI28" s="49">
        <f t="shared" si="3"/>
        <v>9.8000000000000007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15.7</v>
      </c>
      <c r="C29" s="46">
        <v>15.7</v>
      </c>
      <c r="D29" s="46">
        <v>15.7</v>
      </c>
      <c r="E29" s="46">
        <v>15.7</v>
      </c>
      <c r="F29" s="46">
        <v>15.7</v>
      </c>
      <c r="G29" s="46">
        <v>15.7</v>
      </c>
      <c r="H29" s="46">
        <v>15.7</v>
      </c>
      <c r="I29" s="46">
        <v>15.7</v>
      </c>
      <c r="J29" s="46">
        <v>15.7</v>
      </c>
      <c r="K29" s="46">
        <v>15.7</v>
      </c>
      <c r="L29" s="46">
        <v>15.7</v>
      </c>
      <c r="M29" s="46">
        <v>15.8</v>
      </c>
      <c r="N29" s="46">
        <v>15.8</v>
      </c>
      <c r="O29" s="46">
        <v>15.8</v>
      </c>
      <c r="P29" s="46">
        <v>15.8</v>
      </c>
      <c r="Q29" s="46">
        <v>15.8</v>
      </c>
      <c r="R29" s="46">
        <v>15.8</v>
      </c>
      <c r="S29" s="46">
        <v>15.8</v>
      </c>
      <c r="T29" s="46">
        <v>15.8</v>
      </c>
      <c r="U29" s="46">
        <v>15.8</v>
      </c>
      <c r="V29" s="46">
        <v>15.8</v>
      </c>
      <c r="W29" s="46">
        <v>15.8</v>
      </c>
      <c r="X29" s="46">
        <v>15.8</v>
      </c>
      <c r="Y29" s="46">
        <v>15.8</v>
      </c>
      <c r="Z29" s="46">
        <v>15.8</v>
      </c>
      <c r="AA29" s="46">
        <v>15.8</v>
      </c>
      <c r="AB29" s="46">
        <v>15.8</v>
      </c>
      <c r="AC29" s="46">
        <v>15.8</v>
      </c>
      <c r="AD29" s="46">
        <v>15.8</v>
      </c>
      <c r="AE29" s="46">
        <v>15.8</v>
      </c>
      <c r="AF29" s="46">
        <v>15.8</v>
      </c>
      <c r="AG29" s="50">
        <v>25</v>
      </c>
      <c r="AH29" s="48">
        <f t="shared" si="2"/>
        <v>15.8</v>
      </c>
      <c r="AI29" s="49">
        <f t="shared" si="3"/>
        <v>15.7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13</v>
      </c>
      <c r="C30" s="46">
        <v>13</v>
      </c>
      <c r="D30" s="46">
        <v>13</v>
      </c>
      <c r="E30" s="46">
        <v>13</v>
      </c>
      <c r="F30" s="46">
        <v>13</v>
      </c>
      <c r="G30" s="46">
        <v>13</v>
      </c>
      <c r="H30" s="46">
        <v>13</v>
      </c>
      <c r="I30" s="46">
        <v>13</v>
      </c>
      <c r="J30" s="46">
        <v>13</v>
      </c>
      <c r="K30" s="46">
        <v>21</v>
      </c>
      <c r="L30" s="46">
        <v>21</v>
      </c>
      <c r="M30" s="46">
        <v>21</v>
      </c>
      <c r="N30" s="46">
        <v>21</v>
      </c>
      <c r="O30" s="46">
        <v>21</v>
      </c>
      <c r="P30" s="46">
        <v>21</v>
      </c>
      <c r="Q30" s="46">
        <v>21</v>
      </c>
      <c r="R30" s="46">
        <v>21</v>
      </c>
      <c r="S30" s="46">
        <v>21</v>
      </c>
      <c r="T30" s="46">
        <v>21</v>
      </c>
      <c r="U30" s="46">
        <v>21</v>
      </c>
      <c r="V30" s="46">
        <v>21</v>
      </c>
      <c r="W30" s="46">
        <v>21</v>
      </c>
      <c r="X30" s="46">
        <v>21</v>
      </c>
      <c r="Y30" s="46">
        <v>21</v>
      </c>
      <c r="Z30" s="46">
        <v>21</v>
      </c>
      <c r="AA30" s="46">
        <v>21</v>
      </c>
      <c r="AB30" s="46">
        <v>21</v>
      </c>
      <c r="AC30" s="46">
        <v>21</v>
      </c>
      <c r="AD30" s="46">
        <v>21</v>
      </c>
      <c r="AE30" s="46">
        <v>21</v>
      </c>
      <c r="AF30" s="46">
        <v>21</v>
      </c>
      <c r="AG30" s="50">
        <v>25</v>
      </c>
      <c r="AH30" s="48">
        <f t="shared" si="2"/>
        <v>21</v>
      </c>
      <c r="AI30" s="49">
        <f t="shared" si="3"/>
        <v>13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13.3</v>
      </c>
      <c r="C32" s="46">
        <v>13.3</v>
      </c>
      <c r="D32" s="46">
        <v>13.3</v>
      </c>
      <c r="E32" s="46">
        <v>13.3</v>
      </c>
      <c r="F32" s="46">
        <v>13.3</v>
      </c>
      <c r="G32" s="46">
        <v>13.3</v>
      </c>
      <c r="H32" s="46">
        <v>13.3</v>
      </c>
      <c r="I32" s="46">
        <v>13.3</v>
      </c>
      <c r="J32" s="46">
        <v>13.3</v>
      </c>
      <c r="K32" s="46">
        <v>13.3</v>
      </c>
      <c r="L32" s="46">
        <v>13.3</v>
      </c>
      <c r="M32" s="46">
        <v>13.3</v>
      </c>
      <c r="N32" s="46">
        <v>13.3</v>
      </c>
      <c r="O32" s="46">
        <v>13.3</v>
      </c>
      <c r="P32" s="46">
        <v>13.3</v>
      </c>
      <c r="Q32" s="46">
        <v>13.3</v>
      </c>
      <c r="R32" s="46">
        <v>13.3</v>
      </c>
      <c r="S32" s="46">
        <v>13.3</v>
      </c>
      <c r="T32" s="46">
        <v>13.3</v>
      </c>
      <c r="U32" s="46">
        <v>13.3</v>
      </c>
      <c r="V32" s="46">
        <v>13.3</v>
      </c>
      <c r="W32" s="46">
        <v>13.3</v>
      </c>
      <c r="X32" s="46">
        <v>13.3</v>
      </c>
      <c r="Y32" s="46">
        <v>13.3</v>
      </c>
      <c r="Z32" s="46">
        <v>13.3</v>
      </c>
      <c r="AA32" s="46">
        <v>13.3</v>
      </c>
      <c r="AB32" s="46">
        <v>13.3</v>
      </c>
      <c r="AC32" s="46">
        <v>13.3</v>
      </c>
      <c r="AD32" s="46">
        <v>13.3</v>
      </c>
      <c r="AE32" s="46">
        <v>13.3</v>
      </c>
      <c r="AF32" s="46">
        <v>13.3</v>
      </c>
      <c r="AG32" s="50">
        <v>25</v>
      </c>
      <c r="AH32" s="48">
        <f t="shared" si="2"/>
        <v>13.3</v>
      </c>
      <c r="AI32" s="49">
        <f t="shared" si="3"/>
        <v>13.3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</v>
      </c>
      <c r="C33" s="46">
        <v>7</v>
      </c>
      <c r="D33" s="46">
        <v>7</v>
      </c>
      <c r="E33" s="46">
        <v>7</v>
      </c>
      <c r="F33" s="46">
        <v>7</v>
      </c>
      <c r="G33" s="46">
        <v>7</v>
      </c>
      <c r="H33" s="46">
        <v>7</v>
      </c>
      <c r="I33" s="46">
        <v>7</v>
      </c>
      <c r="J33" s="46">
        <v>7</v>
      </c>
      <c r="K33" s="46">
        <v>7</v>
      </c>
      <c r="L33" s="46">
        <v>7</v>
      </c>
      <c r="M33" s="46">
        <v>7</v>
      </c>
      <c r="N33" s="46">
        <v>7</v>
      </c>
      <c r="O33" s="46">
        <v>7</v>
      </c>
      <c r="P33" s="46">
        <v>7</v>
      </c>
      <c r="Q33" s="46">
        <v>7</v>
      </c>
      <c r="R33" s="46">
        <v>7</v>
      </c>
      <c r="S33" s="46">
        <v>7</v>
      </c>
      <c r="T33" s="46">
        <v>7</v>
      </c>
      <c r="U33" s="46">
        <v>7</v>
      </c>
      <c r="V33" s="46">
        <v>7</v>
      </c>
      <c r="W33" s="46">
        <v>7</v>
      </c>
      <c r="X33" s="46">
        <v>7</v>
      </c>
      <c r="Y33" s="46">
        <v>7</v>
      </c>
      <c r="Z33" s="46">
        <v>7</v>
      </c>
      <c r="AA33" s="46">
        <v>7</v>
      </c>
      <c r="AB33" s="46">
        <v>7</v>
      </c>
      <c r="AC33" s="46">
        <v>7</v>
      </c>
      <c r="AD33" s="46">
        <v>7</v>
      </c>
      <c r="AE33" s="46">
        <v>7</v>
      </c>
      <c r="AF33" s="46">
        <v>7</v>
      </c>
      <c r="AG33" s="50">
        <v>23.5</v>
      </c>
      <c r="AH33" s="48">
        <f t="shared" si="2"/>
        <v>7</v>
      </c>
      <c r="AI33" s="49">
        <f t="shared" si="3"/>
        <v>7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13</v>
      </c>
      <c r="C37" s="46">
        <v>13</v>
      </c>
      <c r="D37" s="46">
        <v>13</v>
      </c>
      <c r="E37" s="46">
        <v>13</v>
      </c>
      <c r="F37" s="46">
        <v>13</v>
      </c>
      <c r="G37" s="46">
        <v>13</v>
      </c>
      <c r="H37" s="46">
        <v>13</v>
      </c>
      <c r="I37" s="46">
        <v>13</v>
      </c>
      <c r="J37" s="46">
        <v>13</v>
      </c>
      <c r="K37" s="46">
        <v>13</v>
      </c>
      <c r="L37" s="46">
        <v>13</v>
      </c>
      <c r="M37" s="46">
        <v>13</v>
      </c>
      <c r="N37" s="46">
        <v>13</v>
      </c>
      <c r="O37" s="46">
        <v>13</v>
      </c>
      <c r="P37" s="46">
        <v>13</v>
      </c>
      <c r="Q37" s="46">
        <v>13</v>
      </c>
      <c r="R37" s="46">
        <v>13</v>
      </c>
      <c r="S37" s="46">
        <v>13</v>
      </c>
      <c r="T37" s="46">
        <v>13</v>
      </c>
      <c r="U37" s="46">
        <v>13</v>
      </c>
      <c r="V37" s="46">
        <v>13</v>
      </c>
      <c r="W37" s="46">
        <v>13</v>
      </c>
      <c r="X37" s="46">
        <v>13</v>
      </c>
      <c r="Y37" s="46">
        <v>13</v>
      </c>
      <c r="Z37" s="46">
        <v>13</v>
      </c>
      <c r="AA37" s="46">
        <v>13</v>
      </c>
      <c r="AB37" s="46">
        <v>13</v>
      </c>
      <c r="AC37" s="46">
        <v>13</v>
      </c>
      <c r="AD37" s="46">
        <v>13</v>
      </c>
      <c r="AE37" s="46">
        <v>13</v>
      </c>
      <c r="AF37" s="46">
        <v>13</v>
      </c>
      <c r="AG37" s="50">
        <v>22</v>
      </c>
      <c r="AH37" s="48">
        <f t="shared" si="2"/>
        <v>13</v>
      </c>
      <c r="AI37" s="49">
        <f t="shared" si="3"/>
        <v>13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12.6</v>
      </c>
      <c r="C38" s="46">
        <v>12.6</v>
      </c>
      <c r="D38" s="46">
        <v>12.6</v>
      </c>
      <c r="E38" s="46">
        <v>12.6</v>
      </c>
      <c r="F38" s="46">
        <v>12.6</v>
      </c>
      <c r="G38" s="46">
        <v>12.6</v>
      </c>
      <c r="H38" s="46">
        <v>12.6</v>
      </c>
      <c r="I38" s="46">
        <v>12.6</v>
      </c>
      <c r="J38" s="46">
        <v>12.6</v>
      </c>
      <c r="K38" s="46">
        <v>12.6</v>
      </c>
      <c r="L38" s="46">
        <v>12.6</v>
      </c>
      <c r="M38" s="46">
        <v>12.6</v>
      </c>
      <c r="N38" s="46">
        <v>12.6</v>
      </c>
      <c r="O38" s="46">
        <v>12.6</v>
      </c>
      <c r="P38" s="46">
        <v>12.6</v>
      </c>
      <c r="Q38" s="46">
        <v>12.6</v>
      </c>
      <c r="R38" s="46">
        <v>12.6</v>
      </c>
      <c r="S38" s="46">
        <v>12.6</v>
      </c>
      <c r="T38" s="46">
        <v>12.6</v>
      </c>
      <c r="U38" s="46">
        <v>12.6</v>
      </c>
      <c r="V38" s="46">
        <v>12.6</v>
      </c>
      <c r="W38" s="46">
        <v>12.6</v>
      </c>
      <c r="X38" s="46">
        <v>12.6</v>
      </c>
      <c r="Y38" s="46">
        <v>12.6</v>
      </c>
      <c r="Z38" s="46">
        <v>12.6</v>
      </c>
      <c r="AA38" s="46">
        <v>12.6</v>
      </c>
      <c r="AB38" s="46">
        <v>12.6</v>
      </c>
      <c r="AC38" s="46">
        <v>12.6</v>
      </c>
      <c r="AD38" s="46">
        <v>12.6</v>
      </c>
      <c r="AE38" s="46">
        <v>12.6</v>
      </c>
      <c r="AF38" s="46">
        <v>12.6</v>
      </c>
      <c r="AG38" s="50">
        <v>20</v>
      </c>
      <c r="AH38" s="48">
        <f t="shared" si="2"/>
        <v>12.6</v>
      </c>
      <c r="AI38" s="49">
        <f t="shared" si="3"/>
        <v>12.6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10</v>
      </c>
      <c r="C40" s="46">
        <v>10</v>
      </c>
      <c r="D40" s="46">
        <v>10</v>
      </c>
      <c r="E40" s="46">
        <v>10</v>
      </c>
      <c r="F40" s="46">
        <v>10</v>
      </c>
      <c r="G40" s="46">
        <v>10</v>
      </c>
      <c r="H40" s="46">
        <v>10</v>
      </c>
      <c r="I40" s="46">
        <v>10</v>
      </c>
      <c r="J40" s="46">
        <v>10</v>
      </c>
      <c r="K40" s="46">
        <v>10</v>
      </c>
      <c r="L40" s="46">
        <v>10</v>
      </c>
      <c r="M40" s="46">
        <v>10</v>
      </c>
      <c r="N40" s="46">
        <v>10</v>
      </c>
      <c r="O40" s="46">
        <v>10</v>
      </c>
      <c r="P40" s="46">
        <v>10</v>
      </c>
      <c r="Q40" s="46">
        <v>10</v>
      </c>
      <c r="R40" s="46">
        <v>10</v>
      </c>
      <c r="S40" s="46">
        <v>10</v>
      </c>
      <c r="T40" s="46">
        <v>10</v>
      </c>
      <c r="U40" s="46">
        <v>10</v>
      </c>
      <c r="V40" s="46">
        <v>10</v>
      </c>
      <c r="W40" s="46">
        <v>10</v>
      </c>
      <c r="X40" s="46">
        <v>10</v>
      </c>
      <c r="Y40" s="46">
        <v>10</v>
      </c>
      <c r="Z40" s="46">
        <v>10</v>
      </c>
      <c r="AA40" s="46">
        <v>10</v>
      </c>
      <c r="AB40" s="46">
        <v>10</v>
      </c>
      <c r="AC40" s="46">
        <v>10</v>
      </c>
      <c r="AD40" s="46">
        <v>10</v>
      </c>
      <c r="AE40" s="46">
        <v>10</v>
      </c>
      <c r="AF40" s="46">
        <v>10</v>
      </c>
      <c r="AG40" s="50">
        <v>18</v>
      </c>
      <c r="AH40" s="48">
        <f t="shared" si="2"/>
        <v>10</v>
      </c>
      <c r="AI40" s="49">
        <f t="shared" si="3"/>
        <v>10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</v>
      </c>
      <c r="C41" s="46">
        <v>4</v>
      </c>
      <c r="D41" s="46">
        <v>4</v>
      </c>
      <c r="E41" s="46">
        <v>4</v>
      </c>
      <c r="F41" s="46">
        <v>4</v>
      </c>
      <c r="G41" s="46">
        <v>4</v>
      </c>
      <c r="H41" s="46">
        <v>4</v>
      </c>
      <c r="I41" s="46">
        <v>4</v>
      </c>
      <c r="J41" s="46">
        <v>4</v>
      </c>
      <c r="K41" s="46">
        <v>4</v>
      </c>
      <c r="L41" s="46">
        <v>4</v>
      </c>
      <c r="M41" s="46">
        <v>4</v>
      </c>
      <c r="N41" s="46">
        <v>4</v>
      </c>
      <c r="O41" s="46">
        <v>4</v>
      </c>
      <c r="P41" s="46">
        <v>4</v>
      </c>
      <c r="Q41" s="46">
        <v>4</v>
      </c>
      <c r="R41" s="46">
        <v>4</v>
      </c>
      <c r="S41" s="46">
        <v>4</v>
      </c>
      <c r="T41" s="46">
        <v>4</v>
      </c>
      <c r="U41" s="46">
        <v>4</v>
      </c>
      <c r="V41" s="46">
        <v>4</v>
      </c>
      <c r="W41" s="46">
        <v>4</v>
      </c>
      <c r="X41" s="46">
        <v>4</v>
      </c>
      <c r="Y41" s="46">
        <v>4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4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3.2</v>
      </c>
      <c r="C46" s="46">
        <v>3.2</v>
      </c>
      <c r="D46" s="46">
        <v>3.2</v>
      </c>
      <c r="E46" s="46">
        <v>3.2</v>
      </c>
      <c r="F46" s="46">
        <v>3.2</v>
      </c>
      <c r="G46" s="46">
        <v>3.2</v>
      </c>
      <c r="H46" s="46">
        <v>3.2</v>
      </c>
      <c r="I46" s="46">
        <v>3.2</v>
      </c>
      <c r="J46" s="46">
        <v>3.2</v>
      </c>
      <c r="K46" s="46">
        <v>3.2</v>
      </c>
      <c r="L46" s="46">
        <v>3.2</v>
      </c>
      <c r="M46" s="46">
        <v>3.2</v>
      </c>
      <c r="N46" s="46">
        <v>3.2</v>
      </c>
      <c r="O46" s="46">
        <v>3.2</v>
      </c>
      <c r="P46" s="46">
        <v>3.2</v>
      </c>
      <c r="Q46" s="46">
        <v>3.2</v>
      </c>
      <c r="R46" s="46">
        <v>3.2</v>
      </c>
      <c r="S46" s="46">
        <v>3.2</v>
      </c>
      <c r="T46" s="46">
        <v>3.2</v>
      </c>
      <c r="U46" s="46">
        <v>3.2</v>
      </c>
      <c r="V46" s="46">
        <v>3.2</v>
      </c>
      <c r="W46" s="46">
        <v>3.2</v>
      </c>
      <c r="X46" s="46">
        <v>3.2</v>
      </c>
      <c r="Y46" s="46">
        <v>3.2</v>
      </c>
      <c r="Z46" s="46">
        <v>3.2</v>
      </c>
      <c r="AA46" s="46">
        <v>3.2</v>
      </c>
      <c r="AB46" s="46">
        <v>0</v>
      </c>
      <c r="AC46" s="46">
        <v>0</v>
      </c>
      <c r="AD46" s="46">
        <v>0</v>
      </c>
      <c r="AE46" s="46">
        <v>3.2</v>
      </c>
      <c r="AF46" s="46">
        <v>3.2</v>
      </c>
      <c r="AG46" s="50">
        <v>14</v>
      </c>
      <c r="AH46" s="48">
        <f t="shared" si="2"/>
        <v>3.2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5</v>
      </c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50">
        <v>13.6</v>
      </c>
      <c r="AH47" s="48">
        <f t="shared" si="2"/>
        <v>5</v>
      </c>
      <c r="AI47" s="49">
        <f t="shared" si="3"/>
        <v>5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6</v>
      </c>
      <c r="C55" s="46">
        <v>6</v>
      </c>
      <c r="D55" s="46">
        <v>6</v>
      </c>
      <c r="E55" s="46">
        <v>6</v>
      </c>
      <c r="F55" s="46">
        <v>6</v>
      </c>
      <c r="G55" s="46">
        <v>6</v>
      </c>
      <c r="H55" s="46">
        <v>6</v>
      </c>
      <c r="I55" s="46">
        <v>6</v>
      </c>
      <c r="J55" s="46">
        <v>6</v>
      </c>
      <c r="K55" s="46">
        <v>6</v>
      </c>
      <c r="L55" s="46">
        <v>6</v>
      </c>
      <c r="M55" s="46">
        <v>6</v>
      </c>
      <c r="N55" s="46">
        <v>6</v>
      </c>
      <c r="O55" s="46">
        <v>6</v>
      </c>
      <c r="P55" s="46">
        <v>6</v>
      </c>
      <c r="Q55" s="46">
        <v>6</v>
      </c>
      <c r="R55" s="46">
        <v>6</v>
      </c>
      <c r="S55" s="46">
        <v>6</v>
      </c>
      <c r="T55" s="46">
        <v>6</v>
      </c>
      <c r="U55" s="46">
        <v>6</v>
      </c>
      <c r="V55" s="46">
        <v>6</v>
      </c>
      <c r="W55" s="46">
        <v>6</v>
      </c>
      <c r="X55" s="46">
        <v>6</v>
      </c>
      <c r="Y55" s="46">
        <v>6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6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5</v>
      </c>
      <c r="C58" s="46">
        <v>5</v>
      </c>
      <c r="D58" s="46">
        <v>5</v>
      </c>
      <c r="E58" s="46">
        <v>5</v>
      </c>
      <c r="F58" s="46">
        <v>5</v>
      </c>
      <c r="G58" s="46">
        <v>5</v>
      </c>
      <c r="H58" s="46">
        <v>5</v>
      </c>
      <c r="I58" s="46">
        <v>5</v>
      </c>
      <c r="J58" s="46">
        <v>5</v>
      </c>
      <c r="K58" s="46">
        <v>5</v>
      </c>
      <c r="L58" s="46">
        <v>5</v>
      </c>
      <c r="M58" s="46">
        <v>5</v>
      </c>
      <c r="N58" s="46">
        <v>5</v>
      </c>
      <c r="O58" s="46">
        <v>5</v>
      </c>
      <c r="P58" s="46">
        <v>5</v>
      </c>
      <c r="Q58" s="46">
        <v>5</v>
      </c>
      <c r="R58" s="46">
        <v>5</v>
      </c>
      <c r="S58" s="46">
        <v>5</v>
      </c>
      <c r="T58" s="46">
        <v>5</v>
      </c>
      <c r="U58" s="46">
        <v>5</v>
      </c>
      <c r="V58" s="46">
        <v>5</v>
      </c>
      <c r="W58" s="46">
        <v>5</v>
      </c>
      <c r="X58" s="46">
        <v>5</v>
      </c>
      <c r="Y58" s="46">
        <v>5</v>
      </c>
      <c r="Z58" s="46">
        <v>5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5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99</v>
      </c>
      <c r="C60" s="68">
        <v>109</v>
      </c>
      <c r="D60" s="68">
        <v>103</v>
      </c>
      <c r="E60" s="68">
        <v>103</v>
      </c>
      <c r="F60" s="68">
        <v>103</v>
      </c>
      <c r="G60" s="68">
        <v>103</v>
      </c>
      <c r="H60" s="68">
        <v>103</v>
      </c>
      <c r="I60" s="68">
        <v>103</v>
      </c>
      <c r="J60" s="68">
        <v>78.099999999999994</v>
      </c>
      <c r="K60" s="68">
        <v>79.2</v>
      </c>
      <c r="L60" s="68">
        <v>79.2</v>
      </c>
      <c r="M60" s="68">
        <v>80.8</v>
      </c>
      <c r="N60" s="68">
        <v>80.8</v>
      </c>
      <c r="O60" s="68">
        <v>80.8</v>
      </c>
      <c r="P60" s="68">
        <v>68.599999999999994</v>
      </c>
      <c r="Q60" s="68">
        <v>68.599999999999994</v>
      </c>
      <c r="R60" s="68">
        <v>68.599999999999994</v>
      </c>
      <c r="S60" s="53">
        <f>25.4+37</f>
        <v>62.4</v>
      </c>
      <c r="T60" s="53">
        <f>25.4+37</f>
        <v>62.4</v>
      </c>
      <c r="U60" s="53">
        <v>68.900000000000006</v>
      </c>
      <c r="V60" s="53">
        <v>68.900000000000006</v>
      </c>
      <c r="W60" s="53">
        <v>66.900000000000006</v>
      </c>
      <c r="X60" s="53">
        <f>25.4+37.6</f>
        <v>63</v>
      </c>
      <c r="Y60" s="53">
        <v>70.900000000000006</v>
      </c>
      <c r="Z60" s="53">
        <v>64</v>
      </c>
      <c r="AA60" s="68">
        <v>72</v>
      </c>
      <c r="AB60" s="68">
        <v>72</v>
      </c>
      <c r="AC60" s="68">
        <v>72</v>
      </c>
      <c r="AD60" s="68">
        <v>72</v>
      </c>
      <c r="AE60" s="68">
        <v>72</v>
      </c>
      <c r="AF60" s="68">
        <v>72</v>
      </c>
      <c r="AG60" s="66">
        <v>240</v>
      </c>
      <c r="AH60" s="48">
        <f t="shared" si="2"/>
        <v>109</v>
      </c>
      <c r="AI60" s="49">
        <f t="shared" si="3"/>
        <v>62.4</v>
      </c>
      <c r="AK60" s="51"/>
    </row>
    <row r="61" spans="1:88" ht="15.75" thickBot="1" x14ac:dyDescent="0.3">
      <c r="A61" s="70" t="s">
        <v>75</v>
      </c>
      <c r="B61" s="71">
        <f>SUM(B11:B59)</f>
        <v>778.5</v>
      </c>
      <c r="C61" s="71">
        <f t="shared" ref="C61:AG61" si="20">SUM(C11:C59)</f>
        <v>778.5</v>
      </c>
      <c r="D61" s="71">
        <f t="shared" si="20"/>
        <v>780</v>
      </c>
      <c r="E61" s="71">
        <f t="shared" si="20"/>
        <v>780</v>
      </c>
      <c r="F61" s="71">
        <f t="shared" ref="F61" si="21">SUM(F11:F59)</f>
        <v>780</v>
      </c>
      <c r="G61" s="71">
        <f t="shared" si="20"/>
        <v>780</v>
      </c>
      <c r="H61" s="71">
        <f t="shared" si="20"/>
        <v>780</v>
      </c>
      <c r="I61" s="71">
        <f t="shared" si="20"/>
        <v>780</v>
      </c>
      <c r="J61" s="71">
        <f t="shared" si="20"/>
        <v>780</v>
      </c>
      <c r="K61" s="71">
        <f t="shared" si="20"/>
        <v>788</v>
      </c>
      <c r="L61" s="71">
        <f t="shared" si="20"/>
        <v>788</v>
      </c>
      <c r="M61" s="71">
        <f t="shared" si="20"/>
        <v>772.60000000000014</v>
      </c>
      <c r="N61" s="71">
        <f t="shared" si="20"/>
        <v>772.60000000000014</v>
      </c>
      <c r="O61" s="71">
        <f t="shared" si="20"/>
        <v>772.60000000000014</v>
      </c>
      <c r="P61" s="71">
        <f t="shared" si="20"/>
        <v>769.50000000000011</v>
      </c>
      <c r="Q61" s="71">
        <f t="shared" si="20"/>
        <v>769.50000000000011</v>
      </c>
      <c r="R61" s="71">
        <f t="shared" si="20"/>
        <v>769.50000000000011</v>
      </c>
      <c r="S61" s="71">
        <f t="shared" si="20"/>
        <v>769.50000000000011</v>
      </c>
      <c r="T61" s="71">
        <f t="shared" ref="T61:U61" si="22">SUM(T11:T59)</f>
        <v>769.50000000000011</v>
      </c>
      <c r="U61" s="71">
        <f t="shared" si="22"/>
        <v>769.50000000000011</v>
      </c>
      <c r="V61" s="71">
        <f t="shared" ref="V61:W61" si="23">SUM(V11:V59)</f>
        <v>769.50000000000011</v>
      </c>
      <c r="W61" s="71">
        <f t="shared" si="23"/>
        <v>769.50000000000011</v>
      </c>
      <c r="X61" s="71">
        <f t="shared" si="20"/>
        <v>769.50000000000011</v>
      </c>
      <c r="Y61" s="71">
        <f t="shared" ref="Y61:AA61" si="24">SUM(Y11:Y59)</f>
        <v>769.50000000000011</v>
      </c>
      <c r="Z61" s="71">
        <f t="shared" si="24"/>
        <v>759.50000000000011</v>
      </c>
      <c r="AA61" s="71">
        <f t="shared" si="24"/>
        <v>742.00000000000011</v>
      </c>
      <c r="AB61" s="71">
        <f t="shared" si="20"/>
        <v>716.7</v>
      </c>
      <c r="AC61" s="71">
        <f t="shared" si="20"/>
        <v>716.7</v>
      </c>
      <c r="AD61" s="71">
        <f t="shared" si="20"/>
        <v>716.7</v>
      </c>
      <c r="AE61" s="71">
        <f t="shared" si="20"/>
        <v>719.90000000000009</v>
      </c>
      <c r="AF61" s="71">
        <f t="shared" si="20"/>
        <v>719.90000000000009</v>
      </c>
      <c r="AG61" s="71">
        <f t="shared" si="20"/>
        <v>1466.0300000000002</v>
      </c>
      <c r="AH61" s="48">
        <f t="shared" si="2"/>
        <v>788</v>
      </c>
      <c r="AI61" s="49">
        <f t="shared" si="3"/>
        <v>716.7</v>
      </c>
      <c r="AK61" s="51"/>
    </row>
    <row r="62" spans="1:88" x14ac:dyDescent="0.25">
      <c r="A62" s="73" t="s">
        <v>76</v>
      </c>
      <c r="B62" s="46">
        <v>276</v>
      </c>
      <c r="C62" s="46">
        <v>261.5</v>
      </c>
      <c r="D62" s="46">
        <v>212</v>
      </c>
      <c r="E62" s="46">
        <v>312</v>
      </c>
      <c r="F62" s="46">
        <v>312</v>
      </c>
      <c r="G62" s="46">
        <v>320</v>
      </c>
      <c r="H62" s="46">
        <v>350</v>
      </c>
      <c r="I62" s="46">
        <v>371</v>
      </c>
      <c r="J62" s="46">
        <v>330</v>
      </c>
      <c r="K62" s="46">
        <v>330</v>
      </c>
      <c r="L62" s="46">
        <v>312</v>
      </c>
      <c r="M62" s="46">
        <v>286</v>
      </c>
      <c r="N62" s="46">
        <v>320</v>
      </c>
      <c r="O62" s="46">
        <v>350</v>
      </c>
      <c r="P62" s="74">
        <v>422</v>
      </c>
      <c r="Q62" s="74">
        <v>379</v>
      </c>
      <c r="R62" s="74">
        <v>379</v>
      </c>
      <c r="S62" s="74">
        <v>217.4</v>
      </c>
      <c r="T62" s="74">
        <v>217.4</v>
      </c>
      <c r="U62" s="74">
        <v>221.4</v>
      </c>
      <c r="V62" s="74">
        <v>221.4</v>
      </c>
      <c r="W62" s="74">
        <v>111.7</v>
      </c>
      <c r="X62" s="46">
        <v>111.6</v>
      </c>
      <c r="Y62" s="46">
        <v>261.3</v>
      </c>
      <c r="Z62" s="46">
        <v>280</v>
      </c>
      <c r="AA62" s="46">
        <v>410.5</v>
      </c>
      <c r="AB62" s="46">
        <v>433.8</v>
      </c>
      <c r="AC62" s="46">
        <v>380</v>
      </c>
      <c r="AD62" s="46">
        <v>344</v>
      </c>
      <c r="AE62" s="46">
        <v>320</v>
      </c>
      <c r="AF62" s="46">
        <v>300</v>
      </c>
      <c r="AG62" s="61">
        <v>456</v>
      </c>
      <c r="AH62" s="48">
        <f t="shared" si="2"/>
        <v>433.8</v>
      </c>
      <c r="AI62" s="49">
        <f t="shared" si="3"/>
        <v>111.6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60</v>
      </c>
      <c r="G63" s="76">
        <v>60</v>
      </c>
      <c r="H63" s="76">
        <v>60</v>
      </c>
      <c r="I63" s="76">
        <v>60</v>
      </c>
      <c r="J63" s="76">
        <v>60</v>
      </c>
      <c r="K63" s="76">
        <v>60</v>
      </c>
      <c r="L63" s="76">
        <v>60</v>
      </c>
      <c r="M63" s="76">
        <v>60</v>
      </c>
      <c r="N63" s="76">
        <v>60</v>
      </c>
      <c r="O63" s="76">
        <v>60</v>
      </c>
      <c r="P63" s="76">
        <v>60</v>
      </c>
      <c r="Q63" s="76">
        <v>60</v>
      </c>
      <c r="R63" s="76">
        <v>60</v>
      </c>
      <c r="S63" s="76">
        <v>60</v>
      </c>
      <c r="T63" s="76">
        <v>60</v>
      </c>
      <c r="U63" s="76">
        <v>60</v>
      </c>
      <c r="V63" s="76">
        <v>60</v>
      </c>
      <c r="W63" s="76">
        <v>60</v>
      </c>
      <c r="X63" s="76">
        <v>60</v>
      </c>
      <c r="Y63" s="76">
        <v>60</v>
      </c>
      <c r="Z63" s="76">
        <v>60</v>
      </c>
      <c r="AA63" s="76">
        <v>60</v>
      </c>
      <c r="AB63" s="76">
        <v>60</v>
      </c>
      <c r="AC63" s="76">
        <v>60</v>
      </c>
      <c r="AD63" s="76">
        <v>60</v>
      </c>
      <c r="AE63" s="76">
        <v>60</v>
      </c>
      <c r="AF63" s="76">
        <v>60</v>
      </c>
      <c r="AG63" s="66">
        <v>60</v>
      </c>
      <c r="AH63" s="48">
        <f t="shared" si="2"/>
        <v>60</v>
      </c>
      <c r="AI63" s="49">
        <f t="shared" si="3"/>
        <v>60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5">SUM(B62:B64)</f>
        <v>358.6</v>
      </c>
      <c r="C65" s="71">
        <f t="shared" si="25"/>
        <v>344</v>
      </c>
      <c r="D65" s="71">
        <f t="shared" si="25"/>
        <v>294.5</v>
      </c>
      <c r="E65" s="71">
        <f t="shared" si="25"/>
        <v>394.5</v>
      </c>
      <c r="F65" s="71">
        <f t="shared" ref="F65" si="26">SUM(F62:F64)</f>
        <v>394.5</v>
      </c>
      <c r="G65" s="71">
        <f t="shared" si="25"/>
        <v>402.5</v>
      </c>
      <c r="H65" s="71">
        <f t="shared" si="25"/>
        <v>432.5</v>
      </c>
      <c r="I65" s="71">
        <f t="shared" si="25"/>
        <v>453.5</v>
      </c>
      <c r="J65" s="71">
        <f t="shared" si="25"/>
        <v>412.5</v>
      </c>
      <c r="K65" s="71">
        <f t="shared" si="25"/>
        <v>412.5</v>
      </c>
      <c r="L65" s="71">
        <f t="shared" si="25"/>
        <v>394.5</v>
      </c>
      <c r="M65" s="71">
        <f t="shared" si="25"/>
        <v>368.5</v>
      </c>
      <c r="N65" s="71">
        <f t="shared" si="25"/>
        <v>402.5</v>
      </c>
      <c r="O65" s="71">
        <f t="shared" si="25"/>
        <v>432.5</v>
      </c>
      <c r="P65" s="71">
        <f t="shared" si="25"/>
        <v>504.5</v>
      </c>
      <c r="Q65" s="71">
        <f t="shared" si="25"/>
        <v>461.5</v>
      </c>
      <c r="R65" s="71">
        <f t="shared" si="25"/>
        <v>461.5</v>
      </c>
      <c r="S65" s="71">
        <f t="shared" si="25"/>
        <v>299.89999999999998</v>
      </c>
      <c r="T65" s="71">
        <f t="shared" ref="T65:U65" si="27">SUM(T62:T64)</f>
        <v>299.89999999999998</v>
      </c>
      <c r="U65" s="71">
        <f t="shared" si="27"/>
        <v>303.89999999999998</v>
      </c>
      <c r="V65" s="71">
        <f t="shared" ref="V65:W65" si="28">SUM(V62:V64)</f>
        <v>303.89999999999998</v>
      </c>
      <c r="W65" s="71">
        <f t="shared" si="28"/>
        <v>194.2</v>
      </c>
      <c r="X65" s="71">
        <f t="shared" si="25"/>
        <v>194.2</v>
      </c>
      <c r="Y65" s="71">
        <f t="shared" ref="Y65:AA65" si="29">SUM(Y62:Y64)</f>
        <v>343.90000000000003</v>
      </c>
      <c r="Z65" s="71">
        <f t="shared" si="29"/>
        <v>362.6</v>
      </c>
      <c r="AA65" s="71">
        <f t="shared" si="29"/>
        <v>493.1</v>
      </c>
      <c r="AB65" s="71">
        <f t="shared" si="25"/>
        <v>516.4</v>
      </c>
      <c r="AC65" s="71">
        <f t="shared" si="25"/>
        <v>462.6</v>
      </c>
      <c r="AD65" s="71">
        <f t="shared" si="25"/>
        <v>426.6</v>
      </c>
      <c r="AE65" s="71">
        <f t="shared" si="25"/>
        <v>402.6</v>
      </c>
      <c r="AF65" s="71">
        <f t="shared" si="25"/>
        <v>382.6</v>
      </c>
      <c r="AG65" s="72">
        <f t="shared" si="25"/>
        <v>538.1</v>
      </c>
      <c r="AH65" s="48">
        <f t="shared" si="2"/>
        <v>516.4</v>
      </c>
      <c r="AI65" s="49">
        <f t="shared" si="3"/>
        <v>194.2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142.80000000000001</v>
      </c>
      <c r="C66" s="46">
        <v>140.69999999999999</v>
      </c>
      <c r="D66" s="46">
        <v>120.9</v>
      </c>
      <c r="E66" s="46">
        <v>111</v>
      </c>
      <c r="F66" s="46">
        <v>111</v>
      </c>
      <c r="G66" s="46">
        <v>111</v>
      </c>
      <c r="H66" s="46">
        <v>111</v>
      </c>
      <c r="I66" s="46">
        <v>121</v>
      </c>
      <c r="J66" s="46">
        <v>110</v>
      </c>
      <c r="K66" s="46">
        <v>100</v>
      </c>
      <c r="L66" s="46">
        <v>112</v>
      </c>
      <c r="M66" s="46">
        <v>116.7</v>
      </c>
      <c r="N66" s="46">
        <v>140</v>
      </c>
      <c r="O66" s="46">
        <v>142</v>
      </c>
      <c r="P66" s="46">
        <v>136.30000000000001</v>
      </c>
      <c r="Q66" s="46">
        <v>136.30000000000001</v>
      </c>
      <c r="R66" s="46">
        <v>136.30000000000001</v>
      </c>
      <c r="S66" s="46">
        <v>126.5</v>
      </c>
      <c r="T66" s="46">
        <v>136.4</v>
      </c>
      <c r="U66" s="46">
        <v>136.30000000000001</v>
      </c>
      <c r="V66" s="46">
        <v>136.30000000000001</v>
      </c>
      <c r="W66" s="46">
        <v>131.4</v>
      </c>
      <c r="X66" s="46">
        <v>140.9</v>
      </c>
      <c r="Y66" s="46">
        <v>140.9</v>
      </c>
      <c r="Z66" s="46">
        <v>140.69999999999999</v>
      </c>
      <c r="AA66" s="46">
        <v>140.69999999999999</v>
      </c>
      <c r="AB66" s="46">
        <v>140.69999999999999</v>
      </c>
      <c r="AC66" s="46">
        <v>140.69999999999999</v>
      </c>
      <c r="AD66" s="46">
        <v>140.69999999999999</v>
      </c>
      <c r="AE66" s="46">
        <v>133.4</v>
      </c>
      <c r="AF66" s="46">
        <v>133.4</v>
      </c>
      <c r="AG66" s="61">
        <v>144</v>
      </c>
      <c r="AH66" s="48">
        <f t="shared" si="2"/>
        <v>142.80000000000001</v>
      </c>
      <c r="AI66" s="49">
        <f t="shared" si="3"/>
        <v>100</v>
      </c>
      <c r="AK66" s="51"/>
      <c r="AY66" s="1" t="s">
        <v>86</v>
      </c>
      <c r="AZ66" s="82">
        <f>ROUND(C84,0)</f>
        <v>28</v>
      </c>
      <c r="BA66" s="81">
        <f t="shared" ref="BA66:BD70" si="30">D84</f>
        <v>26</v>
      </c>
      <c r="BB66" s="81">
        <f t="shared" si="30"/>
        <v>36.5</v>
      </c>
      <c r="BC66" s="81">
        <f t="shared" si="30"/>
        <v>34.799999999999997</v>
      </c>
      <c r="BD66" s="81">
        <f t="shared" si="30"/>
        <v>30.6</v>
      </c>
      <c r="BE66" s="82">
        <f>I84</f>
        <v>25</v>
      </c>
      <c r="BF66" s="82">
        <f>K84</f>
        <v>62.3</v>
      </c>
      <c r="BG66" s="82">
        <f t="shared" ref="BG66:BP70" si="31">M84</f>
        <v>61.9</v>
      </c>
      <c r="BH66" s="82">
        <f t="shared" si="31"/>
        <v>72</v>
      </c>
      <c r="BI66" s="82">
        <f t="shared" si="31"/>
        <v>55</v>
      </c>
      <c r="BJ66" s="82">
        <f t="shared" si="31"/>
        <v>56.6</v>
      </c>
      <c r="BK66" s="82">
        <f t="shared" si="31"/>
        <v>61.2</v>
      </c>
      <c r="BL66" s="82">
        <f t="shared" si="31"/>
        <v>63.8</v>
      </c>
      <c r="BM66" s="82">
        <f t="shared" si="31"/>
        <v>65.099999999999994</v>
      </c>
      <c r="BN66" s="82">
        <f t="shared" si="31"/>
        <v>70.599999999999994</v>
      </c>
      <c r="BO66" s="82">
        <f t="shared" si="31"/>
        <v>67.7</v>
      </c>
      <c r="BP66" s="82">
        <f t="shared" si="31"/>
        <v>69.8</v>
      </c>
      <c r="BQ66" s="82">
        <f>X84</f>
        <v>51.2</v>
      </c>
      <c r="BR66" s="82">
        <f>Z84</f>
        <v>39.1</v>
      </c>
      <c r="BS66" s="81">
        <f>AB84</f>
        <v>11.7</v>
      </c>
      <c r="BT66" s="81">
        <f t="shared" ref="BT66:BV70" si="32">AD84</f>
        <v>24.3</v>
      </c>
      <c r="BU66" s="81">
        <f t="shared" si="32"/>
        <v>41.5</v>
      </c>
      <c r="BV66" s="81">
        <f t="shared" si="32"/>
        <v>43.3</v>
      </c>
      <c r="BW66" s="81">
        <f>B84</f>
        <v>28</v>
      </c>
    </row>
    <row r="67" spans="1:75" x14ac:dyDescent="0.25">
      <c r="A67" s="65" t="s">
        <v>81</v>
      </c>
      <c r="B67" s="76">
        <v>69.900000000000006</v>
      </c>
      <c r="C67" s="76">
        <v>69.900000000000006</v>
      </c>
      <c r="D67" s="76">
        <v>69.900000000000006</v>
      </c>
      <c r="E67" s="76">
        <v>69.900000000000006</v>
      </c>
      <c r="F67" s="76">
        <v>69.900000000000006</v>
      </c>
      <c r="G67" s="76">
        <v>69.900000000000006</v>
      </c>
      <c r="H67" s="76">
        <v>69.900000000000006</v>
      </c>
      <c r="I67" s="76">
        <v>69.900000000000006</v>
      </c>
      <c r="J67" s="76">
        <v>69.900000000000006</v>
      </c>
      <c r="K67" s="76">
        <v>69.900000000000006</v>
      </c>
      <c r="L67" s="76">
        <v>69.900000000000006</v>
      </c>
      <c r="M67" s="76">
        <v>67.8</v>
      </c>
      <c r="N67" s="76">
        <v>67.8</v>
      </c>
      <c r="O67" s="76">
        <v>67.8</v>
      </c>
      <c r="P67" s="76">
        <v>70</v>
      </c>
      <c r="Q67" s="76">
        <v>70</v>
      </c>
      <c r="R67" s="76">
        <v>70</v>
      </c>
      <c r="S67" s="76">
        <v>71</v>
      </c>
      <c r="T67" s="76">
        <v>71.099999999999994</v>
      </c>
      <c r="U67" s="76">
        <v>71.099999999999994</v>
      </c>
      <c r="V67" s="76">
        <v>71.099999999999994</v>
      </c>
      <c r="W67" s="76">
        <v>70.8</v>
      </c>
      <c r="X67" s="46">
        <v>70.400000000000006</v>
      </c>
      <c r="Y67" s="46">
        <v>70.400000000000006</v>
      </c>
      <c r="Z67" s="46">
        <v>70.400000000000006</v>
      </c>
      <c r="AA67" s="46">
        <v>70.400000000000006</v>
      </c>
      <c r="AB67" s="46">
        <v>70.400000000000006</v>
      </c>
      <c r="AC67" s="46">
        <v>70.400000000000006</v>
      </c>
      <c r="AD67" s="46">
        <v>70.400000000000006</v>
      </c>
      <c r="AE67" s="46">
        <v>67.7</v>
      </c>
      <c r="AF67" s="46">
        <v>67.7</v>
      </c>
      <c r="AG67" s="66">
        <v>70</v>
      </c>
      <c r="AH67" s="48">
        <f t="shared" si="2"/>
        <v>71.099999999999994</v>
      </c>
      <c r="AI67" s="49">
        <f t="shared" si="3"/>
        <v>67.7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0</v>
      </c>
      <c r="BH67" s="82">
        <f t="shared" si="31"/>
        <v>0</v>
      </c>
      <c r="BI67" s="82">
        <f t="shared" si="31"/>
        <v>0</v>
      </c>
      <c r="BJ67" s="82">
        <f t="shared" si="31"/>
        <v>0</v>
      </c>
      <c r="BK67" s="82">
        <f t="shared" si="31"/>
        <v>0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69.400000000000006</v>
      </c>
      <c r="C68" s="76">
        <v>69.400000000000006</v>
      </c>
      <c r="D68" s="76">
        <v>69.400000000000006</v>
      </c>
      <c r="E68" s="76">
        <v>69.400000000000006</v>
      </c>
      <c r="F68" s="76">
        <v>69.400000000000006</v>
      </c>
      <c r="G68" s="76">
        <v>69.400000000000006</v>
      </c>
      <c r="H68" s="76">
        <v>69.400000000000006</v>
      </c>
      <c r="I68" s="76">
        <v>69.400000000000006</v>
      </c>
      <c r="J68" s="76">
        <v>69.400000000000006</v>
      </c>
      <c r="K68" s="76">
        <v>69.400000000000006</v>
      </c>
      <c r="L68" s="76">
        <v>69.400000000000006</v>
      </c>
      <c r="M68" s="76">
        <v>68.400000000000006</v>
      </c>
      <c r="N68" s="76">
        <v>68.400000000000006</v>
      </c>
      <c r="O68" s="76">
        <v>68.400000000000006</v>
      </c>
      <c r="P68" s="76">
        <v>69</v>
      </c>
      <c r="Q68" s="76">
        <v>69</v>
      </c>
      <c r="R68" s="76">
        <v>69</v>
      </c>
      <c r="S68" s="76">
        <v>68</v>
      </c>
      <c r="T68" s="76">
        <v>68</v>
      </c>
      <c r="U68" s="76">
        <v>68</v>
      </c>
      <c r="V68" s="76">
        <v>68</v>
      </c>
      <c r="W68" s="76">
        <v>68</v>
      </c>
      <c r="X68" s="46">
        <v>68.400000000000006</v>
      </c>
      <c r="Y68" s="46">
        <v>68.400000000000006</v>
      </c>
      <c r="Z68" s="46">
        <v>68.400000000000006</v>
      </c>
      <c r="AA68" s="46">
        <v>68.400000000000006</v>
      </c>
      <c r="AB68" s="46">
        <v>68.400000000000006</v>
      </c>
      <c r="AC68" s="46">
        <v>68.400000000000006</v>
      </c>
      <c r="AD68" s="46">
        <v>68.400000000000006</v>
      </c>
      <c r="AE68" s="46">
        <v>68.3</v>
      </c>
      <c r="AF68" s="46">
        <v>68.3</v>
      </c>
      <c r="AG68" s="66">
        <v>69</v>
      </c>
      <c r="AH68" s="48">
        <f t="shared" si="2"/>
        <v>69.400000000000006</v>
      </c>
      <c r="AI68" s="49">
        <f t="shared" si="3"/>
        <v>68</v>
      </c>
      <c r="AK68" s="51"/>
      <c r="AL68" s="83"/>
      <c r="AO68" s="83"/>
      <c r="AY68" s="1" t="s">
        <v>90</v>
      </c>
      <c r="AZ68" s="82">
        <f>ROUND(C86,0)</f>
        <v>-124</v>
      </c>
      <c r="BA68" s="81">
        <f t="shared" si="30"/>
        <v>-111</v>
      </c>
      <c r="BB68" s="81">
        <f t="shared" si="30"/>
        <v>-210</v>
      </c>
      <c r="BC68" s="81">
        <f t="shared" si="30"/>
        <v>-219</v>
      </c>
      <c r="BD68" s="81">
        <f t="shared" si="30"/>
        <v>-195</v>
      </c>
      <c r="BE68" s="82">
        <f>I86</f>
        <v>-193</v>
      </c>
      <c r="BF68" s="82">
        <f>K86</f>
        <v>-200</v>
      </c>
      <c r="BG68" s="82">
        <f t="shared" si="31"/>
        <v>-101</v>
      </c>
      <c r="BH68" s="82">
        <f t="shared" si="31"/>
        <v>-91</v>
      </c>
      <c r="BI68" s="82">
        <f t="shared" si="31"/>
        <v>-110</v>
      </c>
      <c r="BJ68" s="82">
        <f t="shared" si="31"/>
        <v>-105</v>
      </c>
      <c r="BK68" s="82">
        <f t="shared" si="31"/>
        <v>-117</v>
      </c>
      <c r="BL68" s="82">
        <f t="shared" si="31"/>
        <v>-117</v>
      </c>
      <c r="BM68" s="82">
        <f t="shared" si="31"/>
        <v>150</v>
      </c>
      <c r="BN68" s="82">
        <f t="shared" si="31"/>
        <v>115.1</v>
      </c>
      <c r="BO68" s="82">
        <f t="shared" si="31"/>
        <v>96.7</v>
      </c>
      <c r="BP68" s="82">
        <f t="shared" si="31"/>
        <v>149.69999999999999</v>
      </c>
      <c r="BQ68" s="82">
        <f>X86</f>
        <v>10.1</v>
      </c>
      <c r="BR68" s="82">
        <f>Z86</f>
        <v>-110.6</v>
      </c>
      <c r="BS68" s="81">
        <f>AB86</f>
        <v>-120</v>
      </c>
      <c r="BT68" s="81">
        <f t="shared" si="32"/>
        <v>-95.5</v>
      </c>
      <c r="BU68" s="81">
        <f t="shared" si="32"/>
        <v>-120.7</v>
      </c>
      <c r="BV68" s="81">
        <f t="shared" si="32"/>
        <v>-112.9</v>
      </c>
      <c r="BW68" s="81">
        <f>B86</f>
        <v>-120</v>
      </c>
    </row>
    <row r="69" spans="1:75" s="83" customFormat="1" x14ac:dyDescent="0.25">
      <c r="A69" s="65" t="s">
        <v>83</v>
      </c>
      <c r="B69" s="76">
        <v>61.5</v>
      </c>
      <c r="C69" s="76">
        <v>61.5</v>
      </c>
      <c r="D69" s="76">
        <v>61.5</v>
      </c>
      <c r="E69" s="76">
        <v>61.5</v>
      </c>
      <c r="F69" s="76">
        <v>61.5</v>
      </c>
      <c r="G69" s="76">
        <v>61.5</v>
      </c>
      <c r="H69" s="76">
        <v>61.5</v>
      </c>
      <c r="I69" s="76">
        <v>61.5</v>
      </c>
      <c r="J69" s="76">
        <v>61.5</v>
      </c>
      <c r="K69" s="76">
        <v>61.5</v>
      </c>
      <c r="L69" s="76">
        <v>61.5</v>
      </c>
      <c r="M69" s="76">
        <v>61.5</v>
      </c>
      <c r="N69" s="76">
        <v>61.5</v>
      </c>
      <c r="O69" s="76">
        <v>61.5</v>
      </c>
      <c r="P69" s="76">
        <v>61.2</v>
      </c>
      <c r="Q69" s="76">
        <v>61.2</v>
      </c>
      <c r="R69" s="76">
        <v>61.2</v>
      </c>
      <c r="S69" s="76">
        <v>61.4</v>
      </c>
      <c r="T69" s="76">
        <v>61.4</v>
      </c>
      <c r="U69" s="76">
        <v>61.4</v>
      </c>
      <c r="V69" s="76">
        <v>61.4</v>
      </c>
      <c r="W69" s="76">
        <v>61.4</v>
      </c>
      <c r="X69" s="46">
        <v>61.2</v>
      </c>
      <c r="Y69" s="46">
        <v>61.2</v>
      </c>
      <c r="Z69" s="46">
        <v>61.2</v>
      </c>
      <c r="AA69" s="46">
        <v>61.2</v>
      </c>
      <c r="AB69" s="46">
        <v>61.2</v>
      </c>
      <c r="AC69" s="46">
        <v>61.2</v>
      </c>
      <c r="AD69" s="46">
        <v>61.2</v>
      </c>
      <c r="AE69" s="46">
        <v>61.4</v>
      </c>
      <c r="AF69" s="46">
        <v>61.4</v>
      </c>
      <c r="AG69" s="66">
        <v>60</v>
      </c>
      <c r="AH69" s="48">
        <f t="shared" si="2"/>
        <v>61.5</v>
      </c>
      <c r="AI69" s="49">
        <f t="shared" si="3"/>
        <v>61.2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24.1</v>
      </c>
      <c r="BG69" s="82">
        <f t="shared" si="31"/>
        <v>30.7</v>
      </c>
      <c r="BH69" s="82">
        <f t="shared" si="31"/>
        <v>30.7</v>
      </c>
      <c r="BI69" s="82">
        <f t="shared" si="31"/>
        <v>30.7</v>
      </c>
      <c r="BJ69" s="82">
        <f t="shared" si="31"/>
        <v>31.3</v>
      </c>
      <c r="BK69" s="82">
        <f t="shared" si="31"/>
        <v>31.5</v>
      </c>
      <c r="BL69" s="82">
        <f t="shared" si="31"/>
        <v>32</v>
      </c>
      <c r="BM69" s="82">
        <f t="shared" si="31"/>
        <v>35.299999999999997</v>
      </c>
      <c r="BN69" s="82">
        <f t="shared" si="31"/>
        <v>34.799999999999997</v>
      </c>
      <c r="BO69" s="82">
        <f t="shared" si="31"/>
        <v>33.299999999999997</v>
      </c>
      <c r="BP69" s="82">
        <f t="shared" si="31"/>
        <v>34.6</v>
      </c>
      <c r="BQ69" s="82">
        <f>X87</f>
        <v>32.200000000000003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14</v>
      </c>
      <c r="C70" s="46">
        <v>14</v>
      </c>
      <c r="D70" s="46">
        <v>14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23</v>
      </c>
      <c r="K70" s="46">
        <v>23</v>
      </c>
      <c r="L70" s="46">
        <v>23</v>
      </c>
      <c r="M70" s="76">
        <v>23.5</v>
      </c>
      <c r="N70" s="76">
        <v>23.5</v>
      </c>
      <c r="O70" s="76">
        <v>23.5</v>
      </c>
      <c r="P70" s="76">
        <v>14.8</v>
      </c>
      <c r="Q70" s="76">
        <v>14.8</v>
      </c>
      <c r="R70" s="76">
        <v>14.8</v>
      </c>
      <c r="S70" s="76">
        <v>14.5</v>
      </c>
      <c r="T70" s="76">
        <v>14.4</v>
      </c>
      <c r="U70" s="76">
        <v>14.4</v>
      </c>
      <c r="V70" s="76">
        <v>14.4</v>
      </c>
      <c r="W70" s="76">
        <v>14.4</v>
      </c>
      <c r="X70" s="46">
        <v>0</v>
      </c>
      <c r="Y70" s="46">
        <v>0</v>
      </c>
      <c r="Z70" s="46">
        <v>0</v>
      </c>
      <c r="AA70" s="46">
        <v>0</v>
      </c>
      <c r="AB70" s="46">
        <v>0</v>
      </c>
      <c r="AC70" s="46">
        <v>0</v>
      </c>
      <c r="AD70" s="46">
        <v>0</v>
      </c>
      <c r="AE70" s="46">
        <v>0</v>
      </c>
      <c r="AF70" s="46">
        <v>0</v>
      </c>
      <c r="AG70" s="66">
        <v>30</v>
      </c>
      <c r="AH70" s="48">
        <f t="shared" si="2"/>
        <v>23.5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115</v>
      </c>
      <c r="BG70" s="82">
        <f t="shared" si="31"/>
        <v>105</v>
      </c>
      <c r="BH70" s="82">
        <f t="shared" si="31"/>
        <v>105</v>
      </c>
      <c r="BI70" s="82">
        <f t="shared" si="31"/>
        <v>139</v>
      </c>
      <c r="BJ70" s="82">
        <f t="shared" si="31"/>
        <v>135.69999999999999</v>
      </c>
      <c r="BK70" s="82">
        <f t="shared" si="31"/>
        <v>124</v>
      </c>
      <c r="BL70" s="82">
        <f t="shared" si="31"/>
        <v>131</v>
      </c>
      <c r="BM70" s="82">
        <f t="shared" si="31"/>
        <v>109.5</v>
      </c>
      <c r="BN70" s="82">
        <f t="shared" si="31"/>
        <v>133.30000000000001</v>
      </c>
      <c r="BO70" s="82">
        <f t="shared" si="31"/>
        <v>140</v>
      </c>
      <c r="BP70" s="82">
        <f t="shared" si="31"/>
        <v>101.69</v>
      </c>
      <c r="BQ70" s="82">
        <f>X88</f>
        <v>95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0.4</v>
      </c>
      <c r="I71" s="46">
        <v>0.8</v>
      </c>
      <c r="J71" s="46">
        <v>2.1</v>
      </c>
      <c r="K71" s="46">
        <v>2.5</v>
      </c>
      <c r="L71" s="46">
        <v>6.8</v>
      </c>
      <c r="M71" s="76">
        <v>9</v>
      </c>
      <c r="N71" s="76">
        <v>9</v>
      </c>
      <c r="O71" s="76">
        <v>9</v>
      </c>
      <c r="P71" s="76">
        <v>17.3</v>
      </c>
      <c r="Q71" s="76">
        <v>17.3</v>
      </c>
      <c r="R71" s="76">
        <v>17.3</v>
      </c>
      <c r="S71" s="76">
        <v>12.5</v>
      </c>
      <c r="T71" s="76">
        <v>11.8</v>
      </c>
      <c r="U71" s="76">
        <v>7.3</v>
      </c>
      <c r="V71" s="76">
        <v>5.4</v>
      </c>
      <c r="W71" s="76">
        <v>1.6</v>
      </c>
      <c r="X71" s="46">
        <v>0.8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14.1</v>
      </c>
      <c r="C72" s="76">
        <v>14.1</v>
      </c>
      <c r="D72" s="76">
        <v>13.4</v>
      </c>
      <c r="E72" s="76">
        <v>13.4</v>
      </c>
      <c r="F72" s="76">
        <v>13.4</v>
      </c>
      <c r="G72" s="76">
        <v>13.4</v>
      </c>
      <c r="H72" s="76">
        <v>13.4</v>
      </c>
      <c r="I72" s="76">
        <v>13.4</v>
      </c>
      <c r="J72" s="76">
        <v>13.4</v>
      </c>
      <c r="K72" s="76">
        <v>13.4</v>
      </c>
      <c r="L72" s="76">
        <v>13.4</v>
      </c>
      <c r="M72" s="76">
        <v>13.8</v>
      </c>
      <c r="N72" s="76">
        <v>13.8</v>
      </c>
      <c r="O72" s="76">
        <v>13.8</v>
      </c>
      <c r="P72" s="76">
        <v>15.2</v>
      </c>
      <c r="Q72" s="76">
        <v>15.2</v>
      </c>
      <c r="R72" s="76">
        <v>15.2</v>
      </c>
      <c r="S72" s="76">
        <v>15.4</v>
      </c>
      <c r="T72" s="76">
        <v>15.4</v>
      </c>
      <c r="U72" s="76">
        <v>15.4</v>
      </c>
      <c r="V72" s="76">
        <v>15.4</v>
      </c>
      <c r="W72" s="76">
        <v>15.4</v>
      </c>
      <c r="X72" s="76">
        <v>14.8</v>
      </c>
      <c r="Y72" s="76">
        <v>14.8</v>
      </c>
      <c r="Z72" s="76">
        <v>14.8</v>
      </c>
      <c r="AA72" s="76">
        <v>14.8</v>
      </c>
      <c r="AB72" s="76">
        <v>14.8</v>
      </c>
      <c r="AC72" s="76">
        <v>14.8</v>
      </c>
      <c r="AD72" s="76">
        <v>14.8</v>
      </c>
      <c r="AE72" s="76">
        <v>14.8</v>
      </c>
      <c r="AF72" s="76">
        <v>14.8</v>
      </c>
      <c r="AG72" s="66">
        <v>24</v>
      </c>
      <c r="AH72" s="48">
        <f t="shared" si="2"/>
        <v>15.4</v>
      </c>
      <c r="AI72" s="49">
        <f t="shared" si="3"/>
        <v>13.4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3.5</v>
      </c>
      <c r="C73" s="76">
        <v>3.5</v>
      </c>
      <c r="D73" s="76">
        <v>3.5</v>
      </c>
      <c r="E73" s="76">
        <v>3.5</v>
      </c>
      <c r="F73" s="76">
        <v>3.5</v>
      </c>
      <c r="G73" s="76">
        <v>3.5</v>
      </c>
      <c r="H73" s="76">
        <v>3.5</v>
      </c>
      <c r="I73" s="76">
        <v>3.5</v>
      </c>
      <c r="J73" s="76">
        <v>3.5</v>
      </c>
      <c r="K73" s="76">
        <v>3.5</v>
      </c>
      <c r="L73" s="76">
        <v>3.5</v>
      </c>
      <c r="M73" s="76">
        <v>3.5</v>
      </c>
      <c r="N73" s="76">
        <v>3.5</v>
      </c>
      <c r="O73" s="76">
        <v>3.5</v>
      </c>
      <c r="P73" s="76">
        <v>3.5</v>
      </c>
      <c r="Q73" s="76">
        <v>3.5</v>
      </c>
      <c r="R73" s="76">
        <v>3.5</v>
      </c>
      <c r="S73" s="76">
        <v>3.5</v>
      </c>
      <c r="T73" s="76">
        <v>3.5</v>
      </c>
      <c r="U73" s="76">
        <v>3.5</v>
      </c>
      <c r="V73" s="76">
        <v>3.5</v>
      </c>
      <c r="W73" s="76">
        <v>3.5</v>
      </c>
      <c r="X73" s="76">
        <v>1.8</v>
      </c>
      <c r="Y73" s="76">
        <v>1.8</v>
      </c>
      <c r="Z73" s="76">
        <v>1.8</v>
      </c>
      <c r="AA73" s="76">
        <v>1.8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1.8</v>
      </c>
      <c r="AK73" s="51"/>
      <c r="AZ73" s="82">
        <f t="shared" ref="AZ73:BW78" si="34">VALUE(AZ66)</f>
        <v>28</v>
      </c>
      <c r="BA73" s="82">
        <f t="shared" si="34"/>
        <v>26</v>
      </c>
      <c r="BB73" s="82">
        <f t="shared" si="34"/>
        <v>36.5</v>
      </c>
      <c r="BC73" s="82">
        <f t="shared" si="34"/>
        <v>34.799999999999997</v>
      </c>
      <c r="BD73" s="82">
        <f t="shared" si="34"/>
        <v>30.6</v>
      </c>
      <c r="BE73" s="82">
        <f t="shared" si="34"/>
        <v>25</v>
      </c>
      <c r="BF73" s="82">
        <f t="shared" si="34"/>
        <v>62.3</v>
      </c>
      <c r="BG73" s="82">
        <f t="shared" si="34"/>
        <v>61.9</v>
      </c>
      <c r="BH73" s="82">
        <f t="shared" si="34"/>
        <v>72</v>
      </c>
      <c r="BI73" s="82">
        <f t="shared" si="34"/>
        <v>55</v>
      </c>
      <c r="BJ73" s="82">
        <f t="shared" si="34"/>
        <v>56.6</v>
      </c>
      <c r="BK73" s="82">
        <f t="shared" si="34"/>
        <v>61.2</v>
      </c>
      <c r="BL73" s="82">
        <f t="shared" si="34"/>
        <v>63.8</v>
      </c>
      <c r="BM73" s="82">
        <f t="shared" si="34"/>
        <v>65.099999999999994</v>
      </c>
      <c r="BN73" s="82">
        <f t="shared" si="34"/>
        <v>70.599999999999994</v>
      </c>
      <c r="BO73" s="82">
        <f t="shared" si="34"/>
        <v>67.7</v>
      </c>
      <c r="BP73" s="82">
        <f t="shared" si="34"/>
        <v>69.8</v>
      </c>
      <c r="BQ73" s="82">
        <f t="shared" si="34"/>
        <v>51.2</v>
      </c>
      <c r="BR73" s="82">
        <f t="shared" si="34"/>
        <v>39.1</v>
      </c>
      <c r="BS73" s="82">
        <f t="shared" si="34"/>
        <v>11.7</v>
      </c>
      <c r="BT73" s="82">
        <f t="shared" si="34"/>
        <v>24.3</v>
      </c>
      <c r="BU73" s="82">
        <f t="shared" si="34"/>
        <v>41.5</v>
      </c>
      <c r="BV73" s="82">
        <f t="shared" si="34"/>
        <v>43.3</v>
      </c>
      <c r="BW73" s="82">
        <f t="shared" si="34"/>
        <v>28</v>
      </c>
    </row>
    <row r="74" spans="1:75" x14ac:dyDescent="0.25">
      <c r="A74" s="65" t="s">
        <v>91</v>
      </c>
      <c r="B74" s="76">
        <v>12.4</v>
      </c>
      <c r="C74" s="76">
        <v>12.4</v>
      </c>
      <c r="D74" s="76">
        <v>12.4</v>
      </c>
      <c r="E74" s="76">
        <v>12.4</v>
      </c>
      <c r="F74" s="76">
        <v>12.4</v>
      </c>
      <c r="G74" s="76">
        <v>12.4</v>
      </c>
      <c r="H74" s="76">
        <v>12.4</v>
      </c>
      <c r="I74" s="76">
        <v>12.4</v>
      </c>
      <c r="J74" s="76">
        <v>12.4</v>
      </c>
      <c r="K74" s="76">
        <v>12.4</v>
      </c>
      <c r="L74" s="76">
        <v>12.4</v>
      </c>
      <c r="M74" s="76">
        <v>11.7</v>
      </c>
      <c r="N74" s="76">
        <v>11.7</v>
      </c>
      <c r="O74" s="76">
        <v>11.7</v>
      </c>
      <c r="P74" s="76">
        <v>11.6</v>
      </c>
      <c r="Q74" s="76">
        <v>11.6</v>
      </c>
      <c r="R74" s="76">
        <v>11.6</v>
      </c>
      <c r="S74" s="76">
        <v>11.6</v>
      </c>
      <c r="T74" s="76">
        <v>11.6</v>
      </c>
      <c r="U74" s="76">
        <v>11.6</v>
      </c>
      <c r="V74" s="76">
        <v>11.6</v>
      </c>
      <c r="W74" s="76">
        <v>11.6</v>
      </c>
      <c r="X74" s="76">
        <v>12.2</v>
      </c>
      <c r="Y74" s="76">
        <v>12.2</v>
      </c>
      <c r="Z74" s="76">
        <v>12.2</v>
      </c>
      <c r="AA74" s="76">
        <v>12.2</v>
      </c>
      <c r="AB74" s="76">
        <v>12.2</v>
      </c>
      <c r="AC74" s="76">
        <v>12.2</v>
      </c>
      <c r="AD74" s="76">
        <v>12.2</v>
      </c>
      <c r="AE74" s="76">
        <v>12.2</v>
      </c>
      <c r="AF74" s="76">
        <v>12.2</v>
      </c>
      <c r="AG74" s="66">
        <v>14.1</v>
      </c>
      <c r="AH74" s="48">
        <f t="shared" si="2"/>
        <v>12.4</v>
      </c>
      <c r="AI74" s="49">
        <f t="shared" si="3"/>
        <v>11.6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0</v>
      </c>
      <c r="BH74" s="82">
        <f t="shared" si="34"/>
        <v>0</v>
      </c>
      <c r="BI74" s="82">
        <f t="shared" si="34"/>
        <v>0</v>
      </c>
      <c r="BJ74" s="82">
        <f t="shared" si="34"/>
        <v>0</v>
      </c>
      <c r="BK74" s="82">
        <f t="shared" si="34"/>
        <v>0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12.4</v>
      </c>
      <c r="C75" s="76">
        <v>12.4</v>
      </c>
      <c r="D75" s="76">
        <v>12.4</v>
      </c>
      <c r="E75" s="76">
        <v>12.4</v>
      </c>
      <c r="F75" s="76">
        <v>12.4</v>
      </c>
      <c r="G75" s="76">
        <v>12.4</v>
      </c>
      <c r="H75" s="76">
        <v>12.4</v>
      </c>
      <c r="I75" s="76">
        <v>12.4</v>
      </c>
      <c r="J75" s="76">
        <v>12.4</v>
      </c>
      <c r="K75" s="76">
        <v>12.4</v>
      </c>
      <c r="L75" s="76">
        <v>12.4</v>
      </c>
      <c r="M75" s="76">
        <v>13</v>
      </c>
      <c r="N75" s="76">
        <v>13</v>
      </c>
      <c r="O75" s="76">
        <v>13</v>
      </c>
      <c r="P75" s="76">
        <v>10</v>
      </c>
      <c r="Q75" s="76">
        <v>10</v>
      </c>
      <c r="R75" s="76">
        <v>10</v>
      </c>
      <c r="S75" s="76">
        <v>10</v>
      </c>
      <c r="T75" s="76">
        <v>10</v>
      </c>
      <c r="U75" s="76">
        <v>10</v>
      </c>
      <c r="V75" s="76">
        <v>10</v>
      </c>
      <c r="W75" s="76">
        <v>10</v>
      </c>
      <c r="X75" s="76">
        <v>10.5</v>
      </c>
      <c r="Y75" s="76">
        <v>10.5</v>
      </c>
      <c r="Z75" s="76">
        <v>10.5</v>
      </c>
      <c r="AA75" s="76">
        <v>10.5</v>
      </c>
      <c r="AB75" s="76">
        <v>10.5</v>
      </c>
      <c r="AC75" s="76">
        <v>10.5</v>
      </c>
      <c r="AD75" s="76">
        <v>10.5</v>
      </c>
      <c r="AE75" s="76">
        <v>10.5</v>
      </c>
      <c r="AF75" s="76">
        <v>10.5</v>
      </c>
      <c r="AG75" s="66">
        <v>14</v>
      </c>
      <c r="AH75" s="48">
        <f t="shared" ref="AH75:AH126" si="35">MAX(B75:AF75)</f>
        <v>13</v>
      </c>
      <c r="AI75" s="49">
        <f t="shared" ref="AI75:AI126" si="36">MIN(B75:AF75)</f>
        <v>10</v>
      </c>
      <c r="AK75" s="51"/>
      <c r="AZ75" s="82">
        <f t="shared" si="34"/>
        <v>-124</v>
      </c>
      <c r="BA75" s="82">
        <f t="shared" si="34"/>
        <v>-111</v>
      </c>
      <c r="BB75" s="82">
        <f t="shared" si="34"/>
        <v>-210</v>
      </c>
      <c r="BC75" s="82">
        <f t="shared" si="34"/>
        <v>-219</v>
      </c>
      <c r="BD75" s="82">
        <f t="shared" si="34"/>
        <v>-195</v>
      </c>
      <c r="BE75" s="82">
        <f t="shared" si="34"/>
        <v>-193</v>
      </c>
      <c r="BF75" s="82">
        <f t="shared" si="34"/>
        <v>-200</v>
      </c>
      <c r="BG75" s="82">
        <f t="shared" si="34"/>
        <v>-101</v>
      </c>
      <c r="BH75" s="82">
        <f t="shared" si="34"/>
        <v>-91</v>
      </c>
      <c r="BI75" s="82">
        <f t="shared" si="34"/>
        <v>-110</v>
      </c>
      <c r="BJ75" s="82">
        <f t="shared" si="34"/>
        <v>-105</v>
      </c>
      <c r="BK75" s="82">
        <f t="shared" si="34"/>
        <v>-117</v>
      </c>
      <c r="BL75" s="82">
        <f t="shared" si="34"/>
        <v>-117</v>
      </c>
      <c r="BM75" s="82">
        <f t="shared" si="34"/>
        <v>150</v>
      </c>
      <c r="BN75" s="82">
        <f t="shared" si="34"/>
        <v>115.1</v>
      </c>
      <c r="BO75" s="82">
        <f t="shared" si="34"/>
        <v>96.7</v>
      </c>
      <c r="BP75" s="82">
        <f t="shared" si="34"/>
        <v>149.69999999999999</v>
      </c>
      <c r="BQ75" s="82">
        <f t="shared" si="34"/>
        <v>10.1</v>
      </c>
      <c r="BR75" s="82">
        <f t="shared" si="34"/>
        <v>-110.6</v>
      </c>
      <c r="BS75" s="82">
        <f t="shared" si="34"/>
        <v>-120</v>
      </c>
      <c r="BT75" s="82">
        <f t="shared" si="34"/>
        <v>-95.5</v>
      </c>
      <c r="BU75" s="82">
        <f t="shared" si="34"/>
        <v>-120.7</v>
      </c>
      <c r="BV75" s="82">
        <f t="shared" si="34"/>
        <v>-112.9</v>
      </c>
      <c r="BW75" s="82">
        <f t="shared" si="34"/>
        <v>-120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6.5</v>
      </c>
      <c r="Y76" s="76">
        <v>6.5</v>
      </c>
      <c r="Z76" s="76">
        <v>6.5</v>
      </c>
      <c r="AA76" s="76">
        <v>6.5</v>
      </c>
      <c r="AB76" s="76">
        <v>6.5</v>
      </c>
      <c r="AC76" s="76">
        <v>6.5</v>
      </c>
      <c r="AD76" s="76">
        <v>6.5</v>
      </c>
      <c r="AE76" s="76">
        <v>6.5</v>
      </c>
      <c r="AF76" s="76">
        <v>6.5</v>
      </c>
      <c r="AG76" s="66">
        <v>10.050000000000001</v>
      </c>
      <c r="AH76" s="48">
        <f t="shared" si="35"/>
        <v>8</v>
      </c>
      <c r="AI76" s="49">
        <f t="shared" si="36"/>
        <v>6.5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24.1</v>
      </c>
      <c r="BG76" s="82">
        <f t="shared" si="34"/>
        <v>30.7</v>
      </c>
      <c r="BH76" s="82">
        <f t="shared" si="34"/>
        <v>30.7</v>
      </c>
      <c r="BI76" s="82">
        <f t="shared" si="34"/>
        <v>30.7</v>
      </c>
      <c r="BJ76" s="82">
        <f t="shared" si="34"/>
        <v>31.3</v>
      </c>
      <c r="BK76" s="82">
        <f t="shared" si="34"/>
        <v>31.5</v>
      </c>
      <c r="BL76" s="82">
        <f t="shared" si="34"/>
        <v>32</v>
      </c>
      <c r="BM76" s="82">
        <f t="shared" si="34"/>
        <v>35.299999999999997</v>
      </c>
      <c r="BN76" s="82">
        <f t="shared" si="34"/>
        <v>34.799999999999997</v>
      </c>
      <c r="BO76" s="82">
        <f t="shared" si="34"/>
        <v>33.299999999999997</v>
      </c>
      <c r="BP76" s="82">
        <f t="shared" si="34"/>
        <v>34.6</v>
      </c>
      <c r="BQ76" s="82">
        <f t="shared" si="34"/>
        <v>32.200000000000003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5"/>
        <v>3</v>
      </c>
      <c r="AI77" s="49">
        <f t="shared" si="36"/>
        <v>3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115</v>
      </c>
      <c r="BG77" s="82">
        <f t="shared" si="34"/>
        <v>105</v>
      </c>
      <c r="BH77" s="82">
        <f t="shared" si="34"/>
        <v>105</v>
      </c>
      <c r="BI77" s="82">
        <f t="shared" si="34"/>
        <v>139</v>
      </c>
      <c r="BJ77" s="82">
        <f t="shared" si="34"/>
        <v>135.69999999999999</v>
      </c>
      <c r="BK77" s="82">
        <f t="shared" si="34"/>
        <v>124</v>
      </c>
      <c r="BL77" s="82">
        <f t="shared" si="34"/>
        <v>131</v>
      </c>
      <c r="BM77" s="82">
        <f t="shared" si="34"/>
        <v>109.5</v>
      </c>
      <c r="BN77" s="82">
        <f t="shared" si="34"/>
        <v>133.30000000000001</v>
      </c>
      <c r="BO77" s="82">
        <f t="shared" si="34"/>
        <v>140</v>
      </c>
      <c r="BP77" s="82">
        <f t="shared" si="34"/>
        <v>101.69</v>
      </c>
      <c r="BQ77" s="82">
        <f t="shared" si="34"/>
        <v>95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3.54</v>
      </c>
      <c r="AI78" s="49">
        <f t="shared" si="36"/>
        <v>3.54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AG79" si="37">SUM(B66:B78)</f>
        <v>414.54</v>
      </c>
      <c r="C79" s="71">
        <f t="shared" si="37"/>
        <v>412.44</v>
      </c>
      <c r="D79" s="71">
        <f t="shared" si="37"/>
        <v>391.94</v>
      </c>
      <c r="E79" s="71">
        <f t="shared" si="37"/>
        <v>368.03999999999996</v>
      </c>
      <c r="F79" s="71">
        <f t="shared" ref="F79" si="38">SUM(F66:F78)</f>
        <v>368.03999999999996</v>
      </c>
      <c r="G79" s="71">
        <f t="shared" si="37"/>
        <v>368.03999999999996</v>
      </c>
      <c r="H79" s="71">
        <f t="shared" si="37"/>
        <v>368.43999999999994</v>
      </c>
      <c r="I79" s="71">
        <f t="shared" si="37"/>
        <v>378.84</v>
      </c>
      <c r="J79" s="71">
        <f t="shared" si="37"/>
        <v>392.14</v>
      </c>
      <c r="K79" s="71">
        <f t="shared" si="37"/>
        <v>382.53999999999996</v>
      </c>
      <c r="L79" s="71">
        <f t="shared" si="37"/>
        <v>398.84</v>
      </c>
      <c r="M79" s="71">
        <f t="shared" si="37"/>
        <v>403.44</v>
      </c>
      <c r="N79" s="71">
        <f t="shared" si="37"/>
        <v>426.74000000000007</v>
      </c>
      <c r="O79" s="71">
        <f t="shared" si="37"/>
        <v>428.74000000000007</v>
      </c>
      <c r="P79" s="71">
        <f t="shared" si="37"/>
        <v>423.44000000000005</v>
      </c>
      <c r="Q79" s="71">
        <f t="shared" si="37"/>
        <v>423.44000000000005</v>
      </c>
      <c r="R79" s="71">
        <f t="shared" si="37"/>
        <v>423.44000000000005</v>
      </c>
      <c r="S79" s="71">
        <f t="shared" si="37"/>
        <v>408.94</v>
      </c>
      <c r="T79" s="71">
        <f t="shared" ref="T79:U79" si="39">SUM(T66:T78)</f>
        <v>418.14</v>
      </c>
      <c r="U79" s="71">
        <f t="shared" si="39"/>
        <v>413.53999999999996</v>
      </c>
      <c r="V79" s="71">
        <f t="shared" ref="V79:W79" si="40">SUM(V66:V78)</f>
        <v>411.63999999999993</v>
      </c>
      <c r="W79" s="71">
        <f t="shared" si="40"/>
        <v>402.64</v>
      </c>
      <c r="X79" s="71">
        <f t="shared" si="37"/>
        <v>394.04000000000008</v>
      </c>
      <c r="Y79" s="71">
        <f t="shared" ref="Y79:AA79" si="41">SUM(Y66:Y78)</f>
        <v>393.54000000000008</v>
      </c>
      <c r="Z79" s="71">
        <f t="shared" si="41"/>
        <v>393.04</v>
      </c>
      <c r="AA79" s="71">
        <f t="shared" si="41"/>
        <v>393.04</v>
      </c>
      <c r="AB79" s="71">
        <f t="shared" si="37"/>
        <v>395.04</v>
      </c>
      <c r="AC79" s="71">
        <f t="shared" si="37"/>
        <v>395.04</v>
      </c>
      <c r="AD79" s="71">
        <f t="shared" si="37"/>
        <v>395.04</v>
      </c>
      <c r="AE79" s="71">
        <f t="shared" si="37"/>
        <v>385.14000000000004</v>
      </c>
      <c r="AF79" s="71">
        <f t="shared" si="37"/>
        <v>385.14000000000004</v>
      </c>
      <c r="AG79" s="72">
        <f t="shared" si="37"/>
        <v>489.91</v>
      </c>
      <c r="AH79" s="48">
        <f t="shared" si="35"/>
        <v>428.74000000000007</v>
      </c>
      <c r="AI79" s="49">
        <f t="shared" si="36"/>
        <v>368.03999999999996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29.4</v>
      </c>
      <c r="J80" s="46">
        <v>10.6</v>
      </c>
      <c r="K80" s="46">
        <v>10.8</v>
      </c>
      <c r="L80" s="46">
        <v>14</v>
      </c>
      <c r="M80" s="46">
        <v>29.4</v>
      </c>
      <c r="N80" s="46">
        <v>29.4</v>
      </c>
      <c r="O80" s="46">
        <v>29.4</v>
      </c>
      <c r="P80" s="46">
        <v>29.6</v>
      </c>
      <c r="Q80" s="46">
        <v>50</v>
      </c>
      <c r="R80" s="46">
        <v>50</v>
      </c>
      <c r="S80" s="46">
        <v>40</v>
      </c>
      <c r="T80" s="46">
        <v>59.4</v>
      </c>
      <c r="U80" s="46">
        <v>59.4</v>
      </c>
      <c r="V80" s="46">
        <v>59.4</v>
      </c>
      <c r="W80" s="46">
        <v>59.4</v>
      </c>
      <c r="X80" s="46">
        <v>59.4</v>
      </c>
      <c r="Y80" s="46">
        <v>59.4</v>
      </c>
      <c r="Z80" s="46">
        <v>59.4</v>
      </c>
      <c r="AA80" s="46">
        <v>59.4</v>
      </c>
      <c r="AB80" s="46">
        <v>59.4</v>
      </c>
      <c r="AC80" s="46">
        <v>59.4</v>
      </c>
      <c r="AD80" s="46">
        <v>44.9</v>
      </c>
      <c r="AE80" s="46">
        <v>59.2</v>
      </c>
      <c r="AF80" s="46">
        <v>59.2</v>
      </c>
      <c r="AG80" s="61">
        <v>60</v>
      </c>
      <c r="AH80" s="48">
        <f t="shared" si="35"/>
        <v>59.4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10.199999999999999</v>
      </c>
      <c r="J81" s="76">
        <v>6.9</v>
      </c>
      <c r="K81" s="76">
        <v>4.8</v>
      </c>
      <c r="L81" s="76">
        <v>4.8</v>
      </c>
      <c r="M81" s="76">
        <v>14</v>
      </c>
      <c r="N81" s="76">
        <v>14</v>
      </c>
      <c r="O81" s="76">
        <v>14</v>
      </c>
      <c r="P81" s="76">
        <v>15.3</v>
      </c>
      <c r="Q81" s="76">
        <v>22.5</v>
      </c>
      <c r="R81" s="76">
        <v>22.5</v>
      </c>
      <c r="S81" s="76">
        <v>15</v>
      </c>
      <c r="T81" s="76">
        <v>27.1</v>
      </c>
      <c r="U81" s="76">
        <v>27.1</v>
      </c>
      <c r="V81" s="76">
        <v>27.1</v>
      </c>
      <c r="W81" s="76">
        <v>27.1</v>
      </c>
      <c r="X81" s="76">
        <v>30.4</v>
      </c>
      <c r="Y81" s="76">
        <v>30.4</v>
      </c>
      <c r="Z81" s="76">
        <v>30.4</v>
      </c>
      <c r="AA81" s="76">
        <v>30.4</v>
      </c>
      <c r="AB81" s="76">
        <v>28.8</v>
      </c>
      <c r="AC81" s="76">
        <v>28.8</v>
      </c>
      <c r="AD81" s="76">
        <v>21.2</v>
      </c>
      <c r="AE81" s="76">
        <v>29.8</v>
      </c>
      <c r="AF81" s="76">
        <v>29.8</v>
      </c>
      <c r="AG81" s="66">
        <v>32</v>
      </c>
      <c r="AH81" s="48">
        <f t="shared" si="35"/>
        <v>30.4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3.7</v>
      </c>
      <c r="J82" s="78">
        <v>2.5</v>
      </c>
      <c r="K82" s="78">
        <v>10.8</v>
      </c>
      <c r="L82" s="78">
        <v>1.8</v>
      </c>
      <c r="M82" s="78">
        <v>5.2</v>
      </c>
      <c r="N82" s="78">
        <v>5.2</v>
      </c>
      <c r="O82" s="78">
        <v>5.2</v>
      </c>
      <c r="P82" s="78">
        <v>5.6</v>
      </c>
      <c r="Q82" s="78">
        <v>8.5</v>
      </c>
      <c r="R82" s="78">
        <v>8.5</v>
      </c>
      <c r="S82" s="78">
        <v>5.5</v>
      </c>
      <c r="T82" s="78">
        <v>9.9</v>
      </c>
      <c r="U82" s="78">
        <v>9.9</v>
      </c>
      <c r="V82" s="78">
        <v>9.9</v>
      </c>
      <c r="W82" s="78">
        <v>9.9</v>
      </c>
      <c r="X82" s="78">
        <v>11.1</v>
      </c>
      <c r="Y82" s="78">
        <v>11.1</v>
      </c>
      <c r="Z82" s="78">
        <v>11.1</v>
      </c>
      <c r="AA82" s="78">
        <v>11.1</v>
      </c>
      <c r="AB82" s="78">
        <v>10.5</v>
      </c>
      <c r="AC82" s="78">
        <v>10.5</v>
      </c>
      <c r="AD82" s="78">
        <v>7.7</v>
      </c>
      <c r="AE82" s="78">
        <v>10.9</v>
      </c>
      <c r="AF82" s="78">
        <v>10.9</v>
      </c>
      <c r="AG82" s="79">
        <v>14</v>
      </c>
      <c r="AH82" s="48">
        <f t="shared" si="35"/>
        <v>11.1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28</v>
      </c>
      <c r="BH82" s="82">
        <v>0</v>
      </c>
      <c r="BI82" s="82">
        <v>-124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42">B80+B81+B82</f>
        <v>0</v>
      </c>
      <c r="C83" s="71">
        <f t="shared" si="42"/>
        <v>0</v>
      </c>
      <c r="D83" s="71">
        <f t="shared" si="42"/>
        <v>0</v>
      </c>
      <c r="E83" s="71">
        <f t="shared" si="42"/>
        <v>0</v>
      </c>
      <c r="F83" s="71">
        <f t="shared" ref="F83" si="43">F80+F81+F82</f>
        <v>0</v>
      </c>
      <c r="G83" s="71">
        <f t="shared" si="42"/>
        <v>0</v>
      </c>
      <c r="H83" s="71">
        <f t="shared" si="42"/>
        <v>0</v>
      </c>
      <c r="I83" s="71">
        <f t="shared" si="42"/>
        <v>43.3</v>
      </c>
      <c r="J83" s="71">
        <f t="shared" si="42"/>
        <v>20</v>
      </c>
      <c r="K83" s="71">
        <f t="shared" si="42"/>
        <v>26.400000000000002</v>
      </c>
      <c r="L83" s="71">
        <f t="shared" si="42"/>
        <v>20.6</v>
      </c>
      <c r="M83" s="71">
        <f t="shared" si="42"/>
        <v>48.6</v>
      </c>
      <c r="N83" s="71">
        <f t="shared" si="42"/>
        <v>48.6</v>
      </c>
      <c r="O83" s="71">
        <f t="shared" si="42"/>
        <v>48.6</v>
      </c>
      <c r="P83" s="71">
        <f t="shared" si="42"/>
        <v>50.500000000000007</v>
      </c>
      <c r="Q83" s="71">
        <f t="shared" si="42"/>
        <v>81</v>
      </c>
      <c r="R83" s="71">
        <f t="shared" si="42"/>
        <v>81</v>
      </c>
      <c r="S83" s="71">
        <f t="shared" si="42"/>
        <v>60.5</v>
      </c>
      <c r="T83" s="71">
        <f t="shared" ref="T83:U83" si="44">T80+T81+T82</f>
        <v>96.4</v>
      </c>
      <c r="U83" s="71">
        <f t="shared" si="44"/>
        <v>96.4</v>
      </c>
      <c r="V83" s="71">
        <f t="shared" ref="V83:W83" si="45">V80+V81+V82</f>
        <v>96.4</v>
      </c>
      <c r="W83" s="71">
        <f t="shared" si="45"/>
        <v>96.4</v>
      </c>
      <c r="X83" s="71">
        <f t="shared" si="42"/>
        <v>100.89999999999999</v>
      </c>
      <c r="Y83" s="71">
        <f t="shared" ref="Y83:AA83" si="46">Y80+Y81+Y82</f>
        <v>100.89999999999999</v>
      </c>
      <c r="Z83" s="71">
        <f t="shared" si="46"/>
        <v>100.89999999999999</v>
      </c>
      <c r="AA83" s="71">
        <f t="shared" si="46"/>
        <v>100.89999999999999</v>
      </c>
      <c r="AB83" s="71">
        <f t="shared" si="42"/>
        <v>98.7</v>
      </c>
      <c r="AC83" s="71">
        <f t="shared" si="42"/>
        <v>98.7</v>
      </c>
      <c r="AD83" s="71">
        <f t="shared" si="42"/>
        <v>73.8</v>
      </c>
      <c r="AE83" s="71">
        <f t="shared" si="42"/>
        <v>99.9</v>
      </c>
      <c r="AF83" s="71">
        <f t="shared" si="42"/>
        <v>99.9</v>
      </c>
      <c r="AG83" s="72">
        <f>SUM(AG80:AG82)</f>
        <v>106</v>
      </c>
      <c r="AH83" s="48">
        <f t="shared" si="35"/>
        <v>100.89999999999999</v>
      </c>
      <c r="AI83" s="49">
        <f t="shared" si="36"/>
        <v>0</v>
      </c>
      <c r="AK83" s="51"/>
      <c r="AY83" s="82"/>
      <c r="BF83" s="81"/>
      <c r="BG83" s="82">
        <v>26</v>
      </c>
      <c r="BH83" s="82">
        <v>0</v>
      </c>
      <c r="BI83" s="82">
        <v>-111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28</v>
      </c>
      <c r="C84" s="46">
        <v>27.7</v>
      </c>
      <c r="D84" s="46">
        <v>26</v>
      </c>
      <c r="E84" s="46">
        <v>36.5</v>
      </c>
      <c r="F84" s="46">
        <v>34.799999999999997</v>
      </c>
      <c r="G84" s="46">
        <v>30.6</v>
      </c>
      <c r="H84" s="46">
        <v>27</v>
      </c>
      <c r="I84" s="46">
        <v>25</v>
      </c>
      <c r="J84" s="46">
        <v>57.3</v>
      </c>
      <c r="K84" s="46">
        <v>62.3</v>
      </c>
      <c r="L84" s="46">
        <v>62.6</v>
      </c>
      <c r="M84" s="46">
        <v>61.9</v>
      </c>
      <c r="N84" s="46">
        <v>72</v>
      </c>
      <c r="O84" s="46">
        <v>55</v>
      </c>
      <c r="P84" s="46">
        <v>56.6</v>
      </c>
      <c r="Q84" s="46">
        <v>61.2</v>
      </c>
      <c r="R84" s="46">
        <v>63.8</v>
      </c>
      <c r="S84" s="46">
        <v>65.099999999999994</v>
      </c>
      <c r="T84" s="46">
        <v>70.599999999999994</v>
      </c>
      <c r="U84" s="46">
        <v>67.7</v>
      </c>
      <c r="V84" s="46">
        <v>69.8</v>
      </c>
      <c r="W84" s="46">
        <v>71.099999999999994</v>
      </c>
      <c r="X84" s="46">
        <v>51.2</v>
      </c>
      <c r="Y84" s="46">
        <v>22.8</v>
      </c>
      <c r="Z84" s="46">
        <v>39.1</v>
      </c>
      <c r="AA84" s="46">
        <v>20.7</v>
      </c>
      <c r="AB84" s="46">
        <v>11.7</v>
      </c>
      <c r="AC84" s="46">
        <v>17.7</v>
      </c>
      <c r="AD84" s="46">
        <v>24.3</v>
      </c>
      <c r="AE84" s="46">
        <v>41.5</v>
      </c>
      <c r="AF84" s="46">
        <v>43.3</v>
      </c>
      <c r="AG84" s="61"/>
      <c r="AH84" s="48">
        <f t="shared" si="35"/>
        <v>72</v>
      </c>
      <c r="AI84" s="49">
        <f t="shared" si="36"/>
        <v>11.7</v>
      </c>
      <c r="AK84" s="51"/>
      <c r="AY84" s="82"/>
      <c r="BF84" s="81"/>
      <c r="BG84" s="82">
        <v>36.5</v>
      </c>
      <c r="BH84" s="82">
        <v>0</v>
      </c>
      <c r="BI84" s="82">
        <v>-210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/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66"/>
      <c r="AH85" s="48">
        <f t="shared" si="35"/>
        <v>0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34.799999999999997</v>
      </c>
      <c r="BH85" s="82">
        <v>0</v>
      </c>
      <c r="BI85" s="82">
        <v>-219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-120</v>
      </c>
      <c r="C86" s="76">
        <v>-124</v>
      </c>
      <c r="D86" s="76">
        <v>-111</v>
      </c>
      <c r="E86" s="76">
        <v>-210</v>
      </c>
      <c r="F86" s="76">
        <v>-219</v>
      </c>
      <c r="G86" s="76">
        <v>-195</v>
      </c>
      <c r="H86" s="76">
        <v>-191</v>
      </c>
      <c r="I86" s="76">
        <v>-193</v>
      </c>
      <c r="J86" s="76">
        <v>-203</v>
      </c>
      <c r="K86" s="76">
        <v>-200</v>
      </c>
      <c r="L86" s="76">
        <v>-120</v>
      </c>
      <c r="M86" s="76">
        <v>-101</v>
      </c>
      <c r="N86" s="76">
        <v>-91</v>
      </c>
      <c r="O86" s="76">
        <v>-110</v>
      </c>
      <c r="P86" s="76">
        <v>-105</v>
      </c>
      <c r="Q86" s="76">
        <v>-117</v>
      </c>
      <c r="R86" s="76">
        <v>-117</v>
      </c>
      <c r="S86" s="76">
        <v>150</v>
      </c>
      <c r="T86" s="76">
        <v>115.1</v>
      </c>
      <c r="U86" s="76">
        <v>96.7</v>
      </c>
      <c r="V86" s="76">
        <v>149.69999999999999</v>
      </c>
      <c r="W86" s="76">
        <v>93.5</v>
      </c>
      <c r="X86" s="76">
        <v>10.1</v>
      </c>
      <c r="Y86" s="76">
        <v>-125.5</v>
      </c>
      <c r="Z86" s="76">
        <v>-110.6</v>
      </c>
      <c r="AA86" s="76">
        <v>-102.2</v>
      </c>
      <c r="AB86" s="76">
        <v>-120</v>
      </c>
      <c r="AC86" s="76">
        <v>-108.8</v>
      </c>
      <c r="AD86" s="76">
        <v>-95.5</v>
      </c>
      <c r="AE86" s="76">
        <v>-120.7</v>
      </c>
      <c r="AF86" s="76">
        <v>-112.9</v>
      </c>
      <c r="AG86" s="88"/>
      <c r="AH86" s="48">
        <f t="shared" si="35"/>
        <v>150</v>
      </c>
      <c r="AI86" s="49">
        <f t="shared" si="36"/>
        <v>-219</v>
      </c>
      <c r="AK86" s="92"/>
      <c r="AL86" s="93"/>
      <c r="AM86" s="93"/>
      <c r="AN86" s="94"/>
      <c r="AY86" s="82"/>
      <c r="BF86" s="82"/>
      <c r="BG86" s="82">
        <v>30.6</v>
      </c>
      <c r="BH86" s="82">
        <v>0</v>
      </c>
      <c r="BI86" s="82">
        <v>-195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89">
        <v>23.2</v>
      </c>
      <c r="K87" s="89">
        <v>24.1</v>
      </c>
      <c r="L87" s="89">
        <v>28.2</v>
      </c>
      <c r="M87" s="89">
        <v>30.7</v>
      </c>
      <c r="N87" s="89">
        <v>30.7</v>
      </c>
      <c r="O87" s="89">
        <v>30.7</v>
      </c>
      <c r="P87" s="89">
        <v>31.3</v>
      </c>
      <c r="Q87" s="89">
        <v>31.5</v>
      </c>
      <c r="R87" s="89">
        <v>32</v>
      </c>
      <c r="S87" s="89">
        <v>35.299999999999997</v>
      </c>
      <c r="T87" s="89">
        <v>34.799999999999997</v>
      </c>
      <c r="U87" s="89">
        <v>33.299999999999997</v>
      </c>
      <c r="V87" s="89">
        <v>34.6</v>
      </c>
      <c r="W87" s="89">
        <v>32.200000000000003</v>
      </c>
      <c r="X87" s="89">
        <v>32.200000000000003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35"/>
        <v>35.299999999999997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25</v>
      </c>
      <c r="BH87" s="82">
        <v>0</v>
      </c>
      <c r="BI87" s="82">
        <v>-193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103</v>
      </c>
      <c r="K88" s="46">
        <v>115</v>
      </c>
      <c r="L88" s="46">
        <v>110</v>
      </c>
      <c r="M88" s="46">
        <v>105</v>
      </c>
      <c r="N88" s="46">
        <v>105</v>
      </c>
      <c r="O88" s="46">
        <v>139</v>
      </c>
      <c r="P88" s="46">
        <v>135.69999999999999</v>
      </c>
      <c r="Q88" s="46">
        <v>124</v>
      </c>
      <c r="R88" s="46">
        <v>131</v>
      </c>
      <c r="S88" s="46">
        <v>109.5</v>
      </c>
      <c r="T88" s="46">
        <v>133.30000000000001</v>
      </c>
      <c r="U88" s="46">
        <v>140</v>
      </c>
      <c r="V88" s="46">
        <v>101.69</v>
      </c>
      <c r="W88" s="46">
        <v>97.5</v>
      </c>
      <c r="X88" s="46">
        <v>95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5"/>
        <v>140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62.3</v>
      </c>
      <c r="BH88" s="82">
        <v>0</v>
      </c>
      <c r="BI88" s="82">
        <v>-200</v>
      </c>
      <c r="BJ88" s="82">
        <v>24.1</v>
      </c>
      <c r="BK88" s="82">
        <v>115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43.5</v>
      </c>
      <c r="L89" s="90">
        <v>52.7</v>
      </c>
      <c r="M89" s="90">
        <v>47.5</v>
      </c>
      <c r="N89" s="90">
        <v>47.5</v>
      </c>
      <c r="O89" s="90">
        <v>0</v>
      </c>
      <c r="P89" s="90">
        <v>50.3</v>
      </c>
      <c r="Q89" s="90">
        <v>44</v>
      </c>
      <c r="R89" s="90">
        <v>51</v>
      </c>
      <c r="S89" s="90">
        <v>49.6</v>
      </c>
      <c r="T89" s="90">
        <v>52.9</v>
      </c>
      <c r="U89" s="90">
        <v>49.9</v>
      </c>
      <c r="V89" s="90">
        <v>47.6</v>
      </c>
      <c r="W89" s="90">
        <v>43.2</v>
      </c>
      <c r="X89" s="90">
        <v>45.5</v>
      </c>
      <c r="Y89" s="90">
        <v>43.7</v>
      </c>
      <c r="Z89" s="90">
        <v>45.2</v>
      </c>
      <c r="AA89" s="90">
        <v>47.5</v>
      </c>
      <c r="AB89" s="90">
        <v>47.9</v>
      </c>
      <c r="AC89" s="90">
        <v>48.4</v>
      </c>
      <c r="AD89" s="90">
        <v>49.8</v>
      </c>
      <c r="AE89" s="90">
        <v>51.1</v>
      </c>
      <c r="AF89" s="90">
        <v>52.5</v>
      </c>
      <c r="AG89" s="88"/>
      <c r="AH89" s="48">
        <f>MAX(B89:AF89)</f>
        <v>52.9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61.9</v>
      </c>
      <c r="BH89" s="82">
        <v>0</v>
      </c>
      <c r="BI89" s="82">
        <v>-101</v>
      </c>
      <c r="BJ89" s="82">
        <v>30.7</v>
      </c>
      <c r="BK89" s="82">
        <v>105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2"/>
      <c r="AY90" s="82"/>
      <c r="BF90" s="82"/>
      <c r="BG90" s="82">
        <v>72</v>
      </c>
      <c r="BH90" s="82">
        <v>0</v>
      </c>
      <c r="BI90" s="82">
        <v>-91</v>
      </c>
      <c r="BJ90" s="82">
        <v>30.7</v>
      </c>
      <c r="BK90" s="82">
        <v>105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3"/>
      <c r="BF91" s="82"/>
      <c r="BG91" s="82">
        <v>55</v>
      </c>
      <c r="BH91" s="82">
        <v>0</v>
      </c>
      <c r="BI91" s="82">
        <v>-110</v>
      </c>
      <c r="BJ91" s="82">
        <v>30.7</v>
      </c>
      <c r="BK91" s="82">
        <v>139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56.6</v>
      </c>
      <c r="BH92" s="82">
        <v>0</v>
      </c>
      <c r="BI92" s="82">
        <v>-105</v>
      </c>
      <c r="BJ92" s="82">
        <v>31.3</v>
      </c>
      <c r="BK92" s="82">
        <v>135.69999999999999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61.2</v>
      </c>
      <c r="BH93" s="82">
        <v>0</v>
      </c>
      <c r="BI93" s="82">
        <v>-117</v>
      </c>
      <c r="BJ93" s="82">
        <v>31.5</v>
      </c>
      <c r="BK93" s="82">
        <v>124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63.8</v>
      </c>
      <c r="BH94" s="82">
        <v>0</v>
      </c>
      <c r="BI94" s="82">
        <v>-117</v>
      </c>
      <c r="BJ94" s="82">
        <v>32</v>
      </c>
      <c r="BK94" s="82">
        <v>131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28</v>
      </c>
      <c r="C95" s="71">
        <f>SUMIF(C84:C94,"&gt;0")</f>
        <v>27.7</v>
      </c>
      <c r="D95" s="71">
        <f t="shared" ref="D95:AF95" si="47">SUMIF(D84:D94,"&gt;0")</f>
        <v>26</v>
      </c>
      <c r="E95" s="71">
        <f t="shared" si="47"/>
        <v>36.5</v>
      </c>
      <c r="F95" s="71">
        <f t="shared" si="47"/>
        <v>34.799999999999997</v>
      </c>
      <c r="G95" s="71">
        <f t="shared" si="47"/>
        <v>30.6</v>
      </c>
      <c r="H95" s="71">
        <f t="shared" si="47"/>
        <v>27</v>
      </c>
      <c r="I95" s="71">
        <f t="shared" si="47"/>
        <v>25</v>
      </c>
      <c r="J95" s="71">
        <f t="shared" si="47"/>
        <v>183.5</v>
      </c>
      <c r="K95" s="71">
        <f t="shared" si="47"/>
        <v>244.9</v>
      </c>
      <c r="L95" s="71">
        <f t="shared" si="47"/>
        <v>253.5</v>
      </c>
      <c r="M95" s="71">
        <f t="shared" si="47"/>
        <v>245.1</v>
      </c>
      <c r="N95" s="71">
        <f t="shared" si="47"/>
        <v>255.2</v>
      </c>
      <c r="O95" s="71">
        <f t="shared" si="47"/>
        <v>224.7</v>
      </c>
      <c r="P95" s="71">
        <f t="shared" si="47"/>
        <v>273.89999999999998</v>
      </c>
      <c r="Q95" s="71">
        <f t="shared" si="47"/>
        <v>260.7</v>
      </c>
      <c r="R95" s="71">
        <f t="shared" si="47"/>
        <v>277.8</v>
      </c>
      <c r="S95" s="71">
        <f t="shared" si="47"/>
        <v>409.5</v>
      </c>
      <c r="T95" s="71">
        <f t="shared" ref="T95:U95" si="48">SUMIF(T84:T94,"&gt;0")</f>
        <v>406.7</v>
      </c>
      <c r="U95" s="71">
        <f t="shared" si="48"/>
        <v>387.59999999999997</v>
      </c>
      <c r="V95" s="71">
        <f t="shared" ref="V95:W95" si="49">SUMIF(V84:V94,"&gt;0")</f>
        <v>403.39</v>
      </c>
      <c r="W95" s="71">
        <f t="shared" si="49"/>
        <v>337.5</v>
      </c>
      <c r="X95" s="71">
        <f t="shared" si="47"/>
        <v>234</v>
      </c>
      <c r="Y95" s="71">
        <f t="shared" ref="Y95:AA95" si="50">SUMIF(Y84:Y94,"&gt;0")</f>
        <v>66.5</v>
      </c>
      <c r="Z95" s="71">
        <f t="shared" si="50"/>
        <v>84.300000000000011</v>
      </c>
      <c r="AA95" s="71">
        <f t="shared" si="50"/>
        <v>68.2</v>
      </c>
      <c r="AB95" s="71">
        <f t="shared" si="47"/>
        <v>59.599999999999994</v>
      </c>
      <c r="AC95" s="71">
        <f t="shared" si="47"/>
        <v>66.099999999999994</v>
      </c>
      <c r="AD95" s="71">
        <f t="shared" si="47"/>
        <v>74.099999999999994</v>
      </c>
      <c r="AE95" s="71">
        <f t="shared" si="47"/>
        <v>92.6</v>
      </c>
      <c r="AF95" s="71">
        <f t="shared" si="47"/>
        <v>95.8</v>
      </c>
      <c r="AG95" s="101">
        <f>SUM(AG84:AG94)</f>
        <v>0</v>
      </c>
      <c r="AH95" s="48">
        <f t="shared" si="35"/>
        <v>409.5</v>
      </c>
      <c r="AI95" s="49">
        <f t="shared" si="36"/>
        <v>25</v>
      </c>
      <c r="BF95" s="82"/>
      <c r="BG95" s="82">
        <v>65.099999999999994</v>
      </c>
      <c r="BH95" s="82">
        <v>0</v>
      </c>
      <c r="BI95" s="82">
        <v>150</v>
      </c>
      <c r="BJ95" s="82">
        <v>35.299999999999997</v>
      </c>
      <c r="BK95" s="82">
        <v>109.5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70.599999999999994</v>
      </c>
      <c r="BH96" s="82">
        <v>0</v>
      </c>
      <c r="BI96" s="82">
        <v>115.1</v>
      </c>
      <c r="BJ96" s="82">
        <v>34.799999999999997</v>
      </c>
      <c r="BK96" s="82">
        <v>133.30000000000001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67.7</v>
      </c>
      <c r="BH97" s="82">
        <v>0</v>
      </c>
      <c r="BI97" s="82">
        <v>96.7</v>
      </c>
      <c r="BJ97" s="82">
        <v>33.299999999999997</v>
      </c>
      <c r="BK97" s="82">
        <v>140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69.8</v>
      </c>
      <c r="BH98" s="82">
        <v>0</v>
      </c>
      <c r="BI98" s="82">
        <v>149.69999999999999</v>
      </c>
      <c r="BJ98" s="82">
        <v>34.6</v>
      </c>
      <c r="BK98" s="82">
        <v>101.69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>
        <v>0</v>
      </c>
      <c r="Z99" s="71">
        <v>0</v>
      </c>
      <c r="AA99" s="71">
        <v>0</v>
      </c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51.2</v>
      </c>
      <c r="BH99" s="82">
        <v>0</v>
      </c>
      <c r="BI99" s="82">
        <v>10.1</v>
      </c>
      <c r="BJ99" s="82">
        <v>32.200000000000003</v>
      </c>
      <c r="BK99" s="82">
        <v>95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51">B61+B65+B83+B79+B95+B99</f>
        <v>1579.6399999999999</v>
      </c>
      <c r="C100" s="108">
        <f t="shared" si="51"/>
        <v>1562.64</v>
      </c>
      <c r="D100" s="108">
        <f t="shared" si="51"/>
        <v>1492.44</v>
      </c>
      <c r="E100" s="108">
        <f t="shared" si="51"/>
        <v>1579.04</v>
      </c>
      <c r="F100" s="108">
        <f t="shared" si="51"/>
        <v>1577.34</v>
      </c>
      <c r="G100" s="108">
        <f t="shared" si="51"/>
        <v>1581.1399999999999</v>
      </c>
      <c r="H100" s="108">
        <f t="shared" si="51"/>
        <v>1607.94</v>
      </c>
      <c r="I100" s="108">
        <f t="shared" si="51"/>
        <v>1680.6399999999999</v>
      </c>
      <c r="J100" s="108">
        <f t="shared" si="51"/>
        <v>1788.1399999999999</v>
      </c>
      <c r="K100" s="108">
        <f t="shared" si="51"/>
        <v>1854.3400000000001</v>
      </c>
      <c r="L100" s="108">
        <f t="shared" si="51"/>
        <v>1855.4399999999998</v>
      </c>
      <c r="M100" s="108">
        <f t="shared" si="51"/>
        <v>1838.24</v>
      </c>
      <c r="N100" s="108">
        <f t="shared" si="51"/>
        <v>1905.64</v>
      </c>
      <c r="O100" s="108">
        <f t="shared" si="51"/>
        <v>1907.14</v>
      </c>
      <c r="P100" s="108">
        <f t="shared" si="51"/>
        <v>2021.8400000000001</v>
      </c>
      <c r="Q100" s="108">
        <f t="shared" si="51"/>
        <v>1996.14</v>
      </c>
      <c r="R100" s="108">
        <f t="shared" si="51"/>
        <v>2013.24</v>
      </c>
      <c r="S100" s="108">
        <f t="shared" si="51"/>
        <v>1948.3400000000001</v>
      </c>
      <c r="T100" s="108">
        <f t="shared" ref="T100:U100" si="52">T61+T65+T83+T79+T95+T99</f>
        <v>1990.64</v>
      </c>
      <c r="U100" s="108">
        <f t="shared" si="52"/>
        <v>1970.94</v>
      </c>
      <c r="V100" s="108">
        <f t="shared" ref="V100:W100" si="53">V61+V65+V83+V79+V95+V99</f>
        <v>1984.83</v>
      </c>
      <c r="W100" s="108">
        <f t="shared" si="53"/>
        <v>1800.2400000000002</v>
      </c>
      <c r="X100" s="108">
        <f t="shared" si="51"/>
        <v>1692.6400000000003</v>
      </c>
      <c r="Y100" s="108">
        <f t="shared" ref="Y100:AA100" si="54">Y61+Y65+Y83+Y79+Y95+Y99</f>
        <v>1674.3400000000001</v>
      </c>
      <c r="Z100" s="108">
        <f t="shared" si="54"/>
        <v>1700.3400000000001</v>
      </c>
      <c r="AA100" s="108">
        <f t="shared" si="54"/>
        <v>1797.2400000000002</v>
      </c>
      <c r="AB100" s="108">
        <f t="shared" si="51"/>
        <v>1786.4399999999998</v>
      </c>
      <c r="AC100" s="108">
        <f t="shared" si="51"/>
        <v>1739.14</v>
      </c>
      <c r="AD100" s="108">
        <f t="shared" si="51"/>
        <v>1686.24</v>
      </c>
      <c r="AE100" s="108">
        <f t="shared" si="51"/>
        <v>1700.14</v>
      </c>
      <c r="AF100" s="108">
        <f t="shared" si="51"/>
        <v>1683.3400000000001</v>
      </c>
      <c r="AG100" s="72">
        <f t="shared" si="51"/>
        <v>2655.44</v>
      </c>
      <c r="AH100" s="48">
        <f t="shared" si="35"/>
        <v>2021.8400000000001</v>
      </c>
      <c r="AI100" s="49">
        <f t="shared" si="36"/>
        <v>1492.44</v>
      </c>
      <c r="BF100" s="81"/>
      <c r="BG100" s="82">
        <v>39.1</v>
      </c>
      <c r="BH100" s="82">
        <v>0</v>
      </c>
      <c r="BI100" s="82">
        <v>-110.6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150</v>
      </c>
      <c r="D101" s="110">
        <v>150</v>
      </c>
      <c r="E101" s="110">
        <v>150</v>
      </c>
      <c r="F101" s="110">
        <v>150</v>
      </c>
      <c r="G101" s="110">
        <v>150</v>
      </c>
      <c r="H101" s="110">
        <v>150</v>
      </c>
      <c r="I101" s="110">
        <v>150</v>
      </c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>
        <v>80</v>
      </c>
      <c r="Y101" s="110">
        <v>250</v>
      </c>
      <c r="Z101" s="110">
        <v>250</v>
      </c>
      <c r="AA101" s="110">
        <v>270</v>
      </c>
      <c r="AB101" s="110">
        <v>270</v>
      </c>
      <c r="AC101" s="110">
        <v>250</v>
      </c>
      <c r="AD101" s="110">
        <v>250</v>
      </c>
      <c r="AE101" s="110">
        <v>200</v>
      </c>
      <c r="AF101" s="110">
        <v>180</v>
      </c>
      <c r="AG101" s="101"/>
      <c r="AH101" s="48">
        <f t="shared" si="35"/>
        <v>270</v>
      </c>
      <c r="AI101" s="49">
        <f t="shared" si="36"/>
        <v>80</v>
      </c>
      <c r="BF101" s="81"/>
      <c r="BG101" s="82">
        <v>11.7</v>
      </c>
      <c r="BH101" s="82">
        <v>0</v>
      </c>
      <c r="BI101" s="82">
        <v>-120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1729.6399999999999</v>
      </c>
      <c r="C102" s="108">
        <f t="shared" ref="C102:AF102" si="55">C100+C101</f>
        <v>1712.64</v>
      </c>
      <c r="D102" s="108">
        <f t="shared" si="55"/>
        <v>1642.44</v>
      </c>
      <c r="E102" s="108">
        <f t="shared" si="55"/>
        <v>1729.04</v>
      </c>
      <c r="F102" s="108">
        <f t="shared" si="55"/>
        <v>1727.34</v>
      </c>
      <c r="G102" s="108">
        <f t="shared" si="55"/>
        <v>1731.1399999999999</v>
      </c>
      <c r="H102" s="108">
        <f t="shared" si="55"/>
        <v>1757.94</v>
      </c>
      <c r="I102" s="108">
        <f t="shared" si="55"/>
        <v>1830.6399999999999</v>
      </c>
      <c r="J102" s="108">
        <f t="shared" si="55"/>
        <v>1788.1399999999999</v>
      </c>
      <c r="K102" s="108">
        <f t="shared" si="55"/>
        <v>1854.3400000000001</v>
      </c>
      <c r="L102" s="108">
        <f t="shared" si="55"/>
        <v>1855.4399999999998</v>
      </c>
      <c r="M102" s="108">
        <f t="shared" si="55"/>
        <v>1838.24</v>
      </c>
      <c r="N102" s="108">
        <f t="shared" si="55"/>
        <v>1905.64</v>
      </c>
      <c r="O102" s="108">
        <f t="shared" si="55"/>
        <v>1907.14</v>
      </c>
      <c r="P102" s="108">
        <f t="shared" si="55"/>
        <v>2021.8400000000001</v>
      </c>
      <c r="Q102" s="108">
        <f t="shared" si="55"/>
        <v>1996.14</v>
      </c>
      <c r="R102" s="108">
        <f t="shared" si="55"/>
        <v>2013.24</v>
      </c>
      <c r="S102" s="108">
        <f t="shared" si="55"/>
        <v>1948.3400000000001</v>
      </c>
      <c r="T102" s="108">
        <f t="shared" ref="T102:U102" si="56">T100+T101</f>
        <v>1990.64</v>
      </c>
      <c r="U102" s="108">
        <f t="shared" si="56"/>
        <v>1970.94</v>
      </c>
      <c r="V102" s="108">
        <f t="shared" ref="V102:W102" si="57">V100+V101</f>
        <v>1984.83</v>
      </c>
      <c r="W102" s="108">
        <f t="shared" si="57"/>
        <v>1800.2400000000002</v>
      </c>
      <c r="X102" s="108">
        <f t="shared" si="55"/>
        <v>1772.6400000000003</v>
      </c>
      <c r="Y102" s="108">
        <f t="shared" ref="Y102:AA102" si="58">Y100+Y101</f>
        <v>1924.3400000000001</v>
      </c>
      <c r="Z102" s="108">
        <f t="shared" si="58"/>
        <v>1950.3400000000001</v>
      </c>
      <c r="AA102" s="108">
        <f t="shared" si="58"/>
        <v>2067.2400000000002</v>
      </c>
      <c r="AB102" s="108">
        <f t="shared" si="55"/>
        <v>2056.4399999999996</v>
      </c>
      <c r="AC102" s="108">
        <f t="shared" si="55"/>
        <v>1989.14</v>
      </c>
      <c r="AD102" s="108">
        <f t="shared" si="55"/>
        <v>1936.24</v>
      </c>
      <c r="AE102" s="108">
        <f t="shared" si="55"/>
        <v>1900.14</v>
      </c>
      <c r="AF102" s="108">
        <f t="shared" si="55"/>
        <v>1863.3400000000001</v>
      </c>
      <c r="AG102" s="101">
        <f>AG99+AG95+AG83+AG79+AG61+AG101</f>
        <v>2117.34</v>
      </c>
      <c r="AH102" s="48">
        <f t="shared" si="35"/>
        <v>2067.2400000000002</v>
      </c>
      <c r="AI102" s="49">
        <f t="shared" si="36"/>
        <v>1642.44</v>
      </c>
      <c r="BF102" s="81"/>
      <c r="BG102" s="82">
        <v>24.3</v>
      </c>
      <c r="BH102" s="82">
        <v>0</v>
      </c>
      <c r="BI102" s="82">
        <v>-95.5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1609.6399999999999</v>
      </c>
      <c r="C103" s="108">
        <f t="shared" ref="C103:AF103" si="59">C102-(C110)</f>
        <v>1588.64</v>
      </c>
      <c r="D103" s="108">
        <f t="shared" si="59"/>
        <v>1531.44</v>
      </c>
      <c r="E103" s="108">
        <f t="shared" si="59"/>
        <v>1519.04</v>
      </c>
      <c r="F103" s="108">
        <f t="shared" si="59"/>
        <v>1508.34</v>
      </c>
      <c r="G103" s="108">
        <f t="shared" si="59"/>
        <v>1536.1399999999999</v>
      </c>
      <c r="H103" s="108">
        <f t="shared" si="59"/>
        <v>1566.94</v>
      </c>
      <c r="I103" s="108">
        <f t="shared" si="59"/>
        <v>1637.6399999999999</v>
      </c>
      <c r="J103" s="108">
        <f t="shared" si="59"/>
        <v>1585.1399999999999</v>
      </c>
      <c r="K103" s="108">
        <f t="shared" si="59"/>
        <v>1654.3400000000001</v>
      </c>
      <c r="L103" s="108">
        <f t="shared" si="59"/>
        <v>1735.4399999999998</v>
      </c>
      <c r="M103" s="108">
        <f t="shared" si="59"/>
        <v>1737.24</v>
      </c>
      <c r="N103" s="108">
        <f t="shared" si="59"/>
        <v>1814.64</v>
      </c>
      <c r="O103" s="108">
        <f t="shared" si="59"/>
        <v>1797.14</v>
      </c>
      <c r="P103" s="108">
        <f t="shared" si="59"/>
        <v>1916.8400000000001</v>
      </c>
      <c r="Q103" s="108">
        <f t="shared" si="59"/>
        <v>1879.14</v>
      </c>
      <c r="R103" s="108">
        <f t="shared" si="59"/>
        <v>1896.24</v>
      </c>
      <c r="S103" s="108">
        <f t="shared" si="59"/>
        <v>1948.3400000000001</v>
      </c>
      <c r="T103" s="108">
        <f t="shared" ref="T103:U103" si="60">T102-(T110)</f>
        <v>1990.64</v>
      </c>
      <c r="U103" s="108">
        <f t="shared" si="60"/>
        <v>1970.94</v>
      </c>
      <c r="V103" s="108">
        <f t="shared" ref="V103:W103" si="61">V102-(V110)</f>
        <v>1984.83</v>
      </c>
      <c r="W103" s="108">
        <f t="shared" si="61"/>
        <v>1800.2400000000002</v>
      </c>
      <c r="X103" s="108">
        <f t="shared" si="59"/>
        <v>1772.6400000000003</v>
      </c>
      <c r="Y103" s="108">
        <f t="shared" ref="Y103:AA103" si="62">Y102-(Y110)</f>
        <v>1798.8400000000001</v>
      </c>
      <c r="Z103" s="108">
        <f t="shared" si="62"/>
        <v>1839.7400000000002</v>
      </c>
      <c r="AA103" s="108">
        <f t="shared" si="62"/>
        <v>1965.0400000000002</v>
      </c>
      <c r="AB103" s="108">
        <f t="shared" si="59"/>
        <v>1936.4399999999996</v>
      </c>
      <c r="AC103" s="108">
        <f t="shared" si="59"/>
        <v>1880.3400000000001</v>
      </c>
      <c r="AD103" s="108">
        <f t="shared" si="59"/>
        <v>1840.74</v>
      </c>
      <c r="AE103" s="108">
        <f t="shared" si="59"/>
        <v>1779.44</v>
      </c>
      <c r="AF103" s="108">
        <f t="shared" si="59"/>
        <v>1750.44</v>
      </c>
      <c r="AG103" s="101"/>
      <c r="AH103" s="48">
        <f t="shared" si="35"/>
        <v>1990.64</v>
      </c>
      <c r="AI103" s="49">
        <f t="shared" si="36"/>
        <v>1508.34</v>
      </c>
      <c r="BF103" s="81"/>
      <c r="BG103" s="82">
        <v>41.5</v>
      </c>
      <c r="BH103" s="82">
        <v>0</v>
      </c>
      <c r="BI103" s="82">
        <v>-120.7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63">IF(C84&lt;0,C84*-1,0)</f>
        <v>0</v>
      </c>
      <c r="D104" s="89">
        <f t="shared" si="63"/>
        <v>0</v>
      </c>
      <c r="E104" s="89">
        <f t="shared" si="63"/>
        <v>0</v>
      </c>
      <c r="F104" s="89">
        <f t="shared" si="63"/>
        <v>0</v>
      </c>
      <c r="G104" s="89">
        <f t="shared" si="63"/>
        <v>0</v>
      </c>
      <c r="H104" s="89">
        <f t="shared" si="63"/>
        <v>0</v>
      </c>
      <c r="I104" s="89">
        <f t="shared" si="63"/>
        <v>0</v>
      </c>
      <c r="J104" s="89">
        <f t="shared" si="63"/>
        <v>0</v>
      </c>
      <c r="K104" s="89">
        <f t="shared" si="63"/>
        <v>0</v>
      </c>
      <c r="L104" s="89">
        <f t="shared" si="63"/>
        <v>0</v>
      </c>
      <c r="M104" s="89">
        <f t="shared" si="63"/>
        <v>0</v>
      </c>
      <c r="N104" s="89">
        <f t="shared" si="63"/>
        <v>0</v>
      </c>
      <c r="O104" s="89">
        <f t="shared" si="63"/>
        <v>0</v>
      </c>
      <c r="P104" s="89">
        <f t="shared" si="63"/>
        <v>0</v>
      </c>
      <c r="Q104" s="89">
        <f t="shared" si="63"/>
        <v>0</v>
      </c>
      <c r="R104" s="89">
        <f t="shared" si="63"/>
        <v>0</v>
      </c>
      <c r="S104" s="89">
        <f t="shared" si="63"/>
        <v>0</v>
      </c>
      <c r="T104" s="89">
        <f t="shared" ref="T104:U104" si="64">IF(T84&lt;0,T84*-1,0)</f>
        <v>0</v>
      </c>
      <c r="U104" s="89">
        <f t="shared" si="64"/>
        <v>0</v>
      </c>
      <c r="V104" s="89">
        <f t="shared" ref="V104:W104" si="65">IF(V84&lt;0,V84*-1,0)</f>
        <v>0</v>
      </c>
      <c r="W104" s="89">
        <f t="shared" si="65"/>
        <v>0</v>
      </c>
      <c r="X104" s="89">
        <f t="shared" si="63"/>
        <v>0</v>
      </c>
      <c r="Y104" s="89">
        <f t="shared" ref="Y104:AA109" si="66">IF(Y84&lt;0,Y84*-1,0)</f>
        <v>0</v>
      </c>
      <c r="Z104" s="89">
        <f t="shared" si="66"/>
        <v>0</v>
      </c>
      <c r="AA104" s="89">
        <f t="shared" si="66"/>
        <v>0</v>
      </c>
      <c r="AB104" s="89">
        <f t="shared" si="63"/>
        <v>0</v>
      </c>
      <c r="AC104" s="89">
        <f t="shared" si="63"/>
        <v>0</v>
      </c>
      <c r="AD104" s="89">
        <f t="shared" si="63"/>
        <v>0</v>
      </c>
      <c r="AE104" s="89">
        <f t="shared" si="63"/>
        <v>0</v>
      </c>
      <c r="AF104" s="89">
        <f t="shared" si="63"/>
        <v>0</v>
      </c>
      <c r="AG104" s="61"/>
      <c r="AH104" s="48">
        <f t="shared" si="35"/>
        <v>0</v>
      </c>
      <c r="AI104" s="49">
        <f t="shared" si="36"/>
        <v>0</v>
      </c>
      <c r="BG104" s="82">
        <v>43.3</v>
      </c>
      <c r="BH104" s="82">
        <v>0</v>
      </c>
      <c r="BI104" s="82">
        <v>-112.9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67">IF(B85&lt;0,B85*-1,0)</f>
        <v>0</v>
      </c>
      <c r="C105" s="89">
        <f t="shared" si="67"/>
        <v>0</v>
      </c>
      <c r="D105" s="89">
        <f t="shared" si="67"/>
        <v>0</v>
      </c>
      <c r="E105" s="89">
        <f t="shared" si="67"/>
        <v>0</v>
      </c>
      <c r="F105" s="89">
        <f t="shared" si="67"/>
        <v>0</v>
      </c>
      <c r="G105" s="89">
        <f t="shared" si="67"/>
        <v>0</v>
      </c>
      <c r="H105" s="89">
        <f t="shared" si="67"/>
        <v>0</v>
      </c>
      <c r="I105" s="89">
        <f t="shared" si="67"/>
        <v>0</v>
      </c>
      <c r="J105" s="89">
        <f t="shared" si="67"/>
        <v>0</v>
      </c>
      <c r="K105" s="89">
        <f t="shared" si="67"/>
        <v>0</v>
      </c>
      <c r="L105" s="89">
        <f t="shared" si="67"/>
        <v>0</v>
      </c>
      <c r="M105" s="89">
        <f t="shared" si="67"/>
        <v>0</v>
      </c>
      <c r="N105" s="89">
        <f t="shared" si="67"/>
        <v>0</v>
      </c>
      <c r="O105" s="89">
        <f t="shared" si="67"/>
        <v>0</v>
      </c>
      <c r="P105" s="89">
        <f t="shared" si="67"/>
        <v>0</v>
      </c>
      <c r="Q105" s="89">
        <f t="shared" si="67"/>
        <v>0</v>
      </c>
      <c r="R105" s="89">
        <f t="shared" si="63"/>
        <v>0</v>
      </c>
      <c r="S105" s="89">
        <f t="shared" si="63"/>
        <v>0</v>
      </c>
      <c r="T105" s="89">
        <f t="shared" ref="T105:U105" si="68">IF(T85&lt;0,T85*-1,0)</f>
        <v>0</v>
      </c>
      <c r="U105" s="89">
        <f t="shared" si="68"/>
        <v>0</v>
      </c>
      <c r="V105" s="89">
        <f t="shared" ref="V105:W105" si="69">IF(V85&lt;0,V85*-1,0)</f>
        <v>0</v>
      </c>
      <c r="W105" s="89">
        <f t="shared" si="69"/>
        <v>0</v>
      </c>
      <c r="X105" s="89">
        <f t="shared" si="63"/>
        <v>0</v>
      </c>
      <c r="Y105" s="89">
        <f t="shared" ref="Y105:Z105" si="70">IF(Y85&lt;0,Y85*-1,0)</f>
        <v>0</v>
      </c>
      <c r="Z105" s="89">
        <f t="shared" si="70"/>
        <v>0</v>
      </c>
      <c r="AA105" s="89">
        <f t="shared" si="66"/>
        <v>0</v>
      </c>
      <c r="AB105" s="89">
        <f t="shared" si="63"/>
        <v>0</v>
      </c>
      <c r="AC105" s="89">
        <f t="shared" si="63"/>
        <v>0</v>
      </c>
      <c r="AD105" s="89">
        <f t="shared" si="63"/>
        <v>0</v>
      </c>
      <c r="AE105" s="89">
        <f t="shared" si="63"/>
        <v>0</v>
      </c>
      <c r="AF105" s="89">
        <f t="shared" si="63"/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28</v>
      </c>
      <c r="BH105" s="82">
        <v>0</v>
      </c>
      <c r="BI105" s="82">
        <v>-120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7"/>
        <v>120</v>
      </c>
      <c r="C106" s="89">
        <f t="shared" si="63"/>
        <v>124</v>
      </c>
      <c r="D106" s="89">
        <f t="shared" si="63"/>
        <v>111</v>
      </c>
      <c r="E106" s="89">
        <f t="shared" si="63"/>
        <v>210</v>
      </c>
      <c r="F106" s="89">
        <f t="shared" si="63"/>
        <v>219</v>
      </c>
      <c r="G106" s="89">
        <f t="shared" si="63"/>
        <v>195</v>
      </c>
      <c r="H106" s="89">
        <f t="shared" si="63"/>
        <v>191</v>
      </c>
      <c r="I106" s="89">
        <f t="shared" si="63"/>
        <v>193</v>
      </c>
      <c r="J106" s="89">
        <f t="shared" si="63"/>
        <v>203</v>
      </c>
      <c r="K106" s="89">
        <f t="shared" si="63"/>
        <v>200</v>
      </c>
      <c r="L106" s="89">
        <f t="shared" si="63"/>
        <v>120</v>
      </c>
      <c r="M106" s="89">
        <f t="shared" si="63"/>
        <v>101</v>
      </c>
      <c r="N106" s="89">
        <f t="shared" si="63"/>
        <v>91</v>
      </c>
      <c r="O106" s="89">
        <f t="shared" si="63"/>
        <v>110</v>
      </c>
      <c r="P106" s="89">
        <f t="shared" si="63"/>
        <v>105</v>
      </c>
      <c r="Q106" s="89">
        <f t="shared" si="63"/>
        <v>117</v>
      </c>
      <c r="R106" s="89">
        <f t="shared" si="63"/>
        <v>117</v>
      </c>
      <c r="S106" s="89">
        <f t="shared" si="63"/>
        <v>0</v>
      </c>
      <c r="T106" s="89">
        <f t="shared" ref="T106:U106" si="71">IF(T86&lt;0,T86*-1,0)</f>
        <v>0</v>
      </c>
      <c r="U106" s="89">
        <f t="shared" si="71"/>
        <v>0</v>
      </c>
      <c r="V106" s="89">
        <f t="shared" ref="V106:W106" si="72">IF(V86&lt;0,V86*-1,0)</f>
        <v>0</v>
      </c>
      <c r="W106" s="89">
        <f t="shared" si="72"/>
        <v>0</v>
      </c>
      <c r="X106" s="89">
        <f t="shared" si="63"/>
        <v>0</v>
      </c>
      <c r="Y106" s="89">
        <f t="shared" ref="Y106:Z106" si="73">IF(Y86&lt;0,Y86*-1,0)</f>
        <v>125.5</v>
      </c>
      <c r="Z106" s="89">
        <f t="shared" si="73"/>
        <v>110.6</v>
      </c>
      <c r="AA106" s="89">
        <f t="shared" si="66"/>
        <v>102.2</v>
      </c>
      <c r="AB106" s="89">
        <f t="shared" si="63"/>
        <v>120</v>
      </c>
      <c r="AC106" s="89">
        <f t="shared" si="63"/>
        <v>108.8</v>
      </c>
      <c r="AD106" s="89">
        <f t="shared" si="63"/>
        <v>95.5</v>
      </c>
      <c r="AE106" s="89">
        <f t="shared" si="63"/>
        <v>120.7</v>
      </c>
      <c r="AF106" s="89">
        <f t="shared" si="63"/>
        <v>112.9</v>
      </c>
      <c r="AG106" s="111"/>
      <c r="AH106" s="48">
        <f t="shared" si="35"/>
        <v>219</v>
      </c>
      <c r="AI106" s="49">
        <f t="shared" si="36"/>
        <v>0</v>
      </c>
    </row>
    <row r="107" spans="1:64" x14ac:dyDescent="0.25">
      <c r="A107" s="97" t="s">
        <v>107</v>
      </c>
      <c r="B107" s="89">
        <f t="shared" si="67"/>
        <v>0</v>
      </c>
      <c r="C107" s="89">
        <f t="shared" si="63"/>
        <v>0</v>
      </c>
      <c r="D107" s="89">
        <f t="shared" si="63"/>
        <v>0</v>
      </c>
      <c r="E107" s="89">
        <f t="shared" si="63"/>
        <v>0</v>
      </c>
      <c r="F107" s="89">
        <f t="shared" si="63"/>
        <v>0</v>
      </c>
      <c r="G107" s="89">
        <f t="shared" si="63"/>
        <v>0</v>
      </c>
      <c r="H107" s="89">
        <f t="shared" si="63"/>
        <v>0</v>
      </c>
      <c r="I107" s="89">
        <f t="shared" si="63"/>
        <v>0</v>
      </c>
      <c r="J107" s="89">
        <f t="shared" si="63"/>
        <v>0</v>
      </c>
      <c r="K107" s="89">
        <f t="shared" si="63"/>
        <v>0</v>
      </c>
      <c r="L107" s="89">
        <f t="shared" si="63"/>
        <v>0</v>
      </c>
      <c r="M107" s="89">
        <f t="shared" si="63"/>
        <v>0</v>
      </c>
      <c r="N107" s="89">
        <f t="shared" si="63"/>
        <v>0</v>
      </c>
      <c r="O107" s="89">
        <f t="shared" si="63"/>
        <v>0</v>
      </c>
      <c r="P107" s="89">
        <f t="shared" si="63"/>
        <v>0</v>
      </c>
      <c r="Q107" s="89">
        <f t="shared" si="63"/>
        <v>0</v>
      </c>
      <c r="R107" s="89">
        <f t="shared" si="63"/>
        <v>0</v>
      </c>
      <c r="S107" s="89">
        <f t="shared" si="63"/>
        <v>0</v>
      </c>
      <c r="T107" s="89">
        <f t="shared" ref="T107:U107" si="74">IF(T87&lt;0,T87*-1,0)</f>
        <v>0</v>
      </c>
      <c r="U107" s="89">
        <f t="shared" si="74"/>
        <v>0</v>
      </c>
      <c r="V107" s="89">
        <f t="shared" ref="V107:W107" si="75">IF(V87&lt;0,V87*-1,0)</f>
        <v>0</v>
      </c>
      <c r="W107" s="89">
        <f t="shared" si="75"/>
        <v>0</v>
      </c>
      <c r="X107" s="89">
        <f t="shared" si="63"/>
        <v>0</v>
      </c>
      <c r="Y107" s="89">
        <f t="shared" ref="Y107:Z107" si="76">IF(Y87&lt;0,Y87*-1,0)</f>
        <v>0</v>
      </c>
      <c r="Z107" s="89">
        <f t="shared" si="76"/>
        <v>0</v>
      </c>
      <c r="AA107" s="89">
        <f t="shared" si="66"/>
        <v>0</v>
      </c>
      <c r="AB107" s="89">
        <f t="shared" si="63"/>
        <v>0</v>
      </c>
      <c r="AC107" s="89">
        <f t="shared" si="63"/>
        <v>0</v>
      </c>
      <c r="AD107" s="89">
        <f t="shared" si="63"/>
        <v>0</v>
      </c>
      <c r="AE107" s="89">
        <f t="shared" si="63"/>
        <v>0</v>
      </c>
      <c r="AF107" s="89">
        <f t="shared" si="63"/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67"/>
        <v>0</v>
      </c>
      <c r="C108" s="89">
        <f t="shared" si="63"/>
        <v>0</v>
      </c>
      <c r="D108" s="89">
        <f t="shared" si="63"/>
        <v>0</v>
      </c>
      <c r="E108" s="89">
        <f t="shared" si="63"/>
        <v>0</v>
      </c>
      <c r="F108" s="89">
        <f t="shared" si="63"/>
        <v>0</v>
      </c>
      <c r="G108" s="89">
        <f t="shared" si="63"/>
        <v>0</v>
      </c>
      <c r="H108" s="89">
        <f t="shared" si="63"/>
        <v>0</v>
      </c>
      <c r="I108" s="89">
        <f t="shared" si="63"/>
        <v>0</v>
      </c>
      <c r="J108" s="89">
        <f t="shared" si="63"/>
        <v>0</v>
      </c>
      <c r="K108" s="89">
        <f t="shared" si="63"/>
        <v>0</v>
      </c>
      <c r="L108" s="89">
        <f t="shared" si="63"/>
        <v>0</v>
      </c>
      <c r="M108" s="89">
        <f t="shared" si="63"/>
        <v>0</v>
      </c>
      <c r="N108" s="89">
        <f t="shared" si="63"/>
        <v>0</v>
      </c>
      <c r="O108" s="89">
        <f t="shared" si="63"/>
        <v>0</v>
      </c>
      <c r="P108" s="89">
        <f t="shared" si="63"/>
        <v>0</v>
      </c>
      <c r="Q108" s="89">
        <f t="shared" si="63"/>
        <v>0</v>
      </c>
      <c r="R108" s="89">
        <f t="shared" si="63"/>
        <v>0</v>
      </c>
      <c r="S108" s="89">
        <f t="shared" si="63"/>
        <v>0</v>
      </c>
      <c r="T108" s="89">
        <f t="shared" ref="T108:U108" si="77">IF(T88&lt;0,T88*-1,0)</f>
        <v>0</v>
      </c>
      <c r="U108" s="89">
        <f t="shared" si="77"/>
        <v>0</v>
      </c>
      <c r="V108" s="89">
        <f t="shared" ref="V108:W108" si="78">IF(V88&lt;0,V88*-1,0)</f>
        <v>0</v>
      </c>
      <c r="W108" s="89">
        <f t="shared" si="78"/>
        <v>0</v>
      </c>
      <c r="X108" s="89">
        <f t="shared" si="63"/>
        <v>0</v>
      </c>
      <c r="Y108" s="89">
        <f t="shared" ref="Y108:Z108" si="79">IF(Y88&lt;0,Y88*-1,0)</f>
        <v>0</v>
      </c>
      <c r="Z108" s="89">
        <f t="shared" si="79"/>
        <v>0</v>
      </c>
      <c r="AA108" s="89">
        <f t="shared" si="66"/>
        <v>0</v>
      </c>
      <c r="AB108" s="89">
        <f t="shared" si="63"/>
        <v>0</v>
      </c>
      <c r="AC108" s="89">
        <f t="shared" si="63"/>
        <v>0</v>
      </c>
      <c r="AD108" s="89">
        <f t="shared" si="63"/>
        <v>0</v>
      </c>
      <c r="AE108" s="89">
        <f t="shared" si="63"/>
        <v>0</v>
      </c>
      <c r="AF108" s="89">
        <f t="shared" si="63"/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67"/>
        <v>0</v>
      </c>
      <c r="C109" s="89">
        <f t="shared" si="63"/>
        <v>0</v>
      </c>
      <c r="D109" s="89">
        <f t="shared" si="63"/>
        <v>0</v>
      </c>
      <c r="E109" s="89">
        <f t="shared" si="63"/>
        <v>0</v>
      </c>
      <c r="F109" s="89">
        <f t="shared" si="63"/>
        <v>0</v>
      </c>
      <c r="G109" s="89">
        <f t="shared" si="63"/>
        <v>0</v>
      </c>
      <c r="H109" s="89">
        <f t="shared" si="63"/>
        <v>0</v>
      </c>
      <c r="I109" s="89">
        <f t="shared" si="63"/>
        <v>0</v>
      </c>
      <c r="J109" s="89">
        <f t="shared" si="63"/>
        <v>0</v>
      </c>
      <c r="K109" s="89">
        <f t="shared" si="63"/>
        <v>0</v>
      </c>
      <c r="L109" s="89">
        <f t="shared" si="63"/>
        <v>0</v>
      </c>
      <c r="M109" s="89">
        <f t="shared" si="63"/>
        <v>0</v>
      </c>
      <c r="N109" s="89">
        <f t="shared" si="63"/>
        <v>0</v>
      </c>
      <c r="O109" s="89">
        <f t="shared" si="63"/>
        <v>0</v>
      </c>
      <c r="P109" s="89">
        <f t="shared" si="63"/>
        <v>0</v>
      </c>
      <c r="Q109" s="89">
        <f t="shared" si="63"/>
        <v>0</v>
      </c>
      <c r="R109" s="89">
        <f t="shared" si="63"/>
        <v>0</v>
      </c>
      <c r="S109" s="89">
        <f t="shared" si="63"/>
        <v>0</v>
      </c>
      <c r="T109" s="89">
        <f t="shared" ref="T109:U109" si="80">IF(T89&lt;0,T89*-1,0)</f>
        <v>0</v>
      </c>
      <c r="U109" s="89">
        <f t="shared" si="80"/>
        <v>0</v>
      </c>
      <c r="V109" s="89">
        <f t="shared" ref="V109:W109" si="81">IF(V89&lt;0,V89*-1,0)</f>
        <v>0</v>
      </c>
      <c r="W109" s="89">
        <f t="shared" si="81"/>
        <v>0</v>
      </c>
      <c r="X109" s="89">
        <f t="shared" si="63"/>
        <v>0</v>
      </c>
      <c r="Y109" s="89">
        <f t="shared" ref="Y109:Z109" si="82">IF(Y89&lt;0,Y89*-1,0)</f>
        <v>0</v>
      </c>
      <c r="Z109" s="89">
        <f t="shared" si="82"/>
        <v>0</v>
      </c>
      <c r="AA109" s="89">
        <f t="shared" si="66"/>
        <v>0</v>
      </c>
      <c r="AB109" s="89">
        <f t="shared" si="63"/>
        <v>0</v>
      </c>
      <c r="AC109" s="89">
        <f t="shared" si="63"/>
        <v>0</v>
      </c>
      <c r="AD109" s="89">
        <f t="shared" si="63"/>
        <v>0</v>
      </c>
      <c r="AE109" s="89">
        <f t="shared" si="63"/>
        <v>0</v>
      </c>
      <c r="AF109" s="89">
        <f t="shared" si="63"/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120</v>
      </c>
      <c r="C110" s="71">
        <f t="shared" ref="C110:AF110" si="83">SUM(C104:C109)</f>
        <v>124</v>
      </c>
      <c r="D110" s="71">
        <f t="shared" si="83"/>
        <v>111</v>
      </c>
      <c r="E110" s="71">
        <f t="shared" si="83"/>
        <v>210</v>
      </c>
      <c r="F110" s="71">
        <f t="shared" si="83"/>
        <v>219</v>
      </c>
      <c r="G110" s="71">
        <f t="shared" si="83"/>
        <v>195</v>
      </c>
      <c r="H110" s="71">
        <f t="shared" si="83"/>
        <v>191</v>
      </c>
      <c r="I110" s="71">
        <f t="shared" si="83"/>
        <v>193</v>
      </c>
      <c r="J110" s="71">
        <f t="shared" si="83"/>
        <v>203</v>
      </c>
      <c r="K110" s="71">
        <f t="shared" si="83"/>
        <v>200</v>
      </c>
      <c r="L110" s="71">
        <f t="shared" si="83"/>
        <v>120</v>
      </c>
      <c r="M110" s="71">
        <f t="shared" si="83"/>
        <v>101</v>
      </c>
      <c r="N110" s="71">
        <f t="shared" si="83"/>
        <v>91</v>
      </c>
      <c r="O110" s="71">
        <f t="shared" si="83"/>
        <v>110</v>
      </c>
      <c r="P110" s="71">
        <f t="shared" si="83"/>
        <v>105</v>
      </c>
      <c r="Q110" s="71">
        <f t="shared" si="83"/>
        <v>117</v>
      </c>
      <c r="R110" s="71">
        <f t="shared" si="83"/>
        <v>117</v>
      </c>
      <c r="S110" s="71">
        <f t="shared" si="83"/>
        <v>0</v>
      </c>
      <c r="T110" s="71">
        <f t="shared" ref="T110:U110" si="84">SUM(T104:T109)</f>
        <v>0</v>
      </c>
      <c r="U110" s="71">
        <f t="shared" si="84"/>
        <v>0</v>
      </c>
      <c r="V110" s="71">
        <f t="shared" ref="V110:W110" si="85">SUM(V104:V109)</f>
        <v>0</v>
      </c>
      <c r="W110" s="71">
        <f t="shared" si="85"/>
        <v>0</v>
      </c>
      <c r="X110" s="71">
        <f t="shared" si="83"/>
        <v>0</v>
      </c>
      <c r="Y110" s="71">
        <f t="shared" ref="Y110:AA110" si="86">SUM(Y104:Y109)</f>
        <v>125.5</v>
      </c>
      <c r="Z110" s="71">
        <f t="shared" si="86"/>
        <v>110.6</v>
      </c>
      <c r="AA110" s="71">
        <f t="shared" si="86"/>
        <v>102.2</v>
      </c>
      <c r="AB110" s="71">
        <f t="shared" si="83"/>
        <v>120</v>
      </c>
      <c r="AC110" s="71">
        <f t="shared" si="83"/>
        <v>108.8</v>
      </c>
      <c r="AD110" s="71">
        <f t="shared" si="83"/>
        <v>95.5</v>
      </c>
      <c r="AE110" s="71">
        <f t="shared" si="83"/>
        <v>120.7</v>
      </c>
      <c r="AF110" s="71">
        <f t="shared" si="83"/>
        <v>112.9</v>
      </c>
      <c r="AG110" s="101"/>
      <c r="AH110" s="48">
        <f t="shared" si="35"/>
        <v>219</v>
      </c>
      <c r="AI110" s="49">
        <f t="shared" si="36"/>
        <v>0</v>
      </c>
    </row>
    <row r="111" spans="1:64" ht="15.75" thickBot="1" x14ac:dyDescent="0.3">
      <c r="A111" s="87" t="s">
        <v>131</v>
      </c>
      <c r="B111" s="71">
        <f t="shared" ref="B111:AF111" si="87">B95-B110</f>
        <v>-92</v>
      </c>
      <c r="C111" s="71">
        <f t="shared" si="87"/>
        <v>-96.3</v>
      </c>
      <c r="D111" s="71">
        <f t="shared" si="87"/>
        <v>-85</v>
      </c>
      <c r="E111" s="71">
        <f t="shared" si="87"/>
        <v>-173.5</v>
      </c>
      <c r="F111" s="71">
        <f t="shared" si="87"/>
        <v>-184.2</v>
      </c>
      <c r="G111" s="71">
        <f t="shared" si="87"/>
        <v>-164.4</v>
      </c>
      <c r="H111" s="71">
        <f t="shared" si="87"/>
        <v>-164</v>
      </c>
      <c r="I111" s="71">
        <f t="shared" si="87"/>
        <v>-168</v>
      </c>
      <c r="J111" s="71">
        <f t="shared" si="87"/>
        <v>-19.5</v>
      </c>
      <c r="K111" s="71">
        <f t="shared" si="87"/>
        <v>44.900000000000006</v>
      </c>
      <c r="L111" s="71">
        <f t="shared" si="87"/>
        <v>133.5</v>
      </c>
      <c r="M111" s="71">
        <f t="shared" si="87"/>
        <v>144.1</v>
      </c>
      <c r="N111" s="71">
        <f t="shared" si="87"/>
        <v>164.2</v>
      </c>
      <c r="O111" s="71">
        <f t="shared" si="87"/>
        <v>114.69999999999999</v>
      </c>
      <c r="P111" s="71">
        <f t="shared" si="87"/>
        <v>168.89999999999998</v>
      </c>
      <c r="Q111" s="71">
        <f t="shared" si="87"/>
        <v>143.69999999999999</v>
      </c>
      <c r="R111" s="71">
        <f t="shared" si="87"/>
        <v>160.80000000000001</v>
      </c>
      <c r="S111" s="71">
        <f t="shared" si="87"/>
        <v>409.5</v>
      </c>
      <c r="T111" s="71">
        <f t="shared" ref="T111:U111" si="88">T95-T110</f>
        <v>406.7</v>
      </c>
      <c r="U111" s="71">
        <f t="shared" si="88"/>
        <v>387.59999999999997</v>
      </c>
      <c r="V111" s="71">
        <f t="shared" ref="V111:W111" si="89">V95-V110</f>
        <v>403.39</v>
      </c>
      <c r="W111" s="71">
        <f t="shared" si="89"/>
        <v>337.5</v>
      </c>
      <c r="X111" s="71">
        <f t="shared" si="87"/>
        <v>234</v>
      </c>
      <c r="Y111" s="71">
        <f t="shared" ref="Y111:AA111" si="90">Y95-Y110</f>
        <v>-59</v>
      </c>
      <c r="Z111" s="71">
        <f t="shared" si="90"/>
        <v>-26.299999999999983</v>
      </c>
      <c r="AA111" s="71">
        <f t="shared" si="90"/>
        <v>-34</v>
      </c>
      <c r="AB111" s="71">
        <f t="shared" si="87"/>
        <v>-60.400000000000006</v>
      </c>
      <c r="AC111" s="71">
        <f t="shared" si="87"/>
        <v>-42.7</v>
      </c>
      <c r="AD111" s="71">
        <f t="shared" si="87"/>
        <v>-21.400000000000006</v>
      </c>
      <c r="AE111" s="71">
        <f t="shared" si="87"/>
        <v>-28.100000000000009</v>
      </c>
      <c r="AF111" s="71">
        <f t="shared" si="87"/>
        <v>-17.100000000000009</v>
      </c>
      <c r="AG111" s="101"/>
      <c r="AH111" s="48">
        <f t="shared" si="35"/>
        <v>409.5</v>
      </c>
      <c r="AI111" s="49">
        <f t="shared" si="36"/>
        <v>-184.2</v>
      </c>
    </row>
    <row r="112" spans="1:64" x14ac:dyDescent="0.25">
      <c r="A112" s="113" t="s">
        <v>132</v>
      </c>
      <c r="B112" s="114">
        <v>50.042000000000002</v>
      </c>
      <c r="C112" s="114">
        <v>50.029000000000003</v>
      </c>
      <c r="D112" s="114">
        <v>50.033999999999999</v>
      </c>
      <c r="E112" s="114">
        <v>49.972999999999999</v>
      </c>
      <c r="F112" s="114">
        <v>49.951000000000001</v>
      </c>
      <c r="G112" s="114">
        <v>49.993000000000002</v>
      </c>
      <c r="H112" s="114">
        <v>50.031999999999996</v>
      </c>
      <c r="I112" s="114">
        <v>50.045000000000002</v>
      </c>
      <c r="J112" s="114">
        <v>49.982999999999997</v>
      </c>
      <c r="K112" s="114">
        <v>50</v>
      </c>
      <c r="L112" s="114">
        <v>50</v>
      </c>
      <c r="M112" s="114">
        <v>50.171999999999997</v>
      </c>
      <c r="N112" s="114">
        <v>50.171999999999997</v>
      </c>
      <c r="O112" s="114">
        <v>49.959000000000003</v>
      </c>
      <c r="P112" s="114">
        <v>50.012</v>
      </c>
      <c r="Q112" s="114">
        <v>49.996000000000002</v>
      </c>
      <c r="R112" s="114">
        <v>50.024999999999999</v>
      </c>
      <c r="S112" s="114">
        <v>50.174999999999997</v>
      </c>
      <c r="T112" s="114">
        <v>50.02</v>
      </c>
      <c r="U112" s="114">
        <v>50.03</v>
      </c>
      <c r="V112" s="114">
        <v>49.96</v>
      </c>
      <c r="W112" s="114">
        <v>50.11</v>
      </c>
      <c r="X112" s="114">
        <v>50.148000000000003</v>
      </c>
      <c r="Y112" s="114">
        <v>50.07</v>
      </c>
      <c r="Z112" s="114">
        <v>50.04</v>
      </c>
      <c r="AA112" s="114">
        <v>49.97</v>
      </c>
      <c r="AB112" s="114">
        <v>50.119</v>
      </c>
      <c r="AC112" s="114">
        <v>50.087000000000003</v>
      </c>
      <c r="AD112" s="114">
        <v>50.026000000000003</v>
      </c>
      <c r="AE112" s="114">
        <v>50.027000000000001</v>
      </c>
      <c r="AF112" s="114">
        <v>50.012999999999998</v>
      </c>
      <c r="AG112" s="115"/>
      <c r="AH112" s="48">
        <f t="shared" si="35"/>
        <v>50.174999999999997</v>
      </c>
      <c r="AI112" s="49">
        <f t="shared" si="36"/>
        <v>49.951000000000001</v>
      </c>
    </row>
    <row r="113" spans="1:35" x14ac:dyDescent="0.25">
      <c r="A113" s="116" t="s">
        <v>133</v>
      </c>
      <c r="B113" s="76">
        <v>125</v>
      </c>
      <c r="C113" s="76">
        <v>125</v>
      </c>
      <c r="D113" s="76">
        <v>125</v>
      </c>
      <c r="E113" s="76">
        <v>125.5</v>
      </c>
      <c r="F113" s="76">
        <v>125.3</v>
      </c>
      <c r="G113" s="76">
        <v>124.4</v>
      </c>
      <c r="H113" s="76">
        <v>123</v>
      </c>
      <c r="I113" s="76">
        <v>126.9</v>
      </c>
      <c r="J113" s="76">
        <v>125.4</v>
      </c>
      <c r="K113" s="76">
        <v>123.7</v>
      </c>
      <c r="L113" s="76">
        <v>123.7</v>
      </c>
      <c r="M113" s="76">
        <v>125.5</v>
      </c>
      <c r="N113" s="76">
        <v>125.5</v>
      </c>
      <c r="O113" s="76">
        <v>122.9</v>
      </c>
      <c r="P113" s="76">
        <v>122</v>
      </c>
      <c r="Q113" s="76">
        <v>125</v>
      </c>
      <c r="R113" s="76">
        <v>124.9</v>
      </c>
      <c r="S113" s="76">
        <v>123</v>
      </c>
      <c r="T113" s="76">
        <v>123.9</v>
      </c>
      <c r="U113" s="76">
        <v>124.7</v>
      </c>
      <c r="V113" s="76">
        <v>126.2</v>
      </c>
      <c r="W113" s="76">
        <v>126.2</v>
      </c>
      <c r="X113" s="76">
        <v>127.7</v>
      </c>
      <c r="Y113" s="76">
        <v>127.1</v>
      </c>
      <c r="Z113" s="76">
        <v>127.1</v>
      </c>
      <c r="AA113" s="76">
        <v>125.1</v>
      </c>
      <c r="AB113" s="76">
        <v>125.8</v>
      </c>
      <c r="AC113" s="76">
        <v>125.6</v>
      </c>
      <c r="AD113" s="76">
        <v>125.8</v>
      </c>
      <c r="AE113" s="76">
        <v>125.9</v>
      </c>
      <c r="AF113" s="76">
        <v>126.6</v>
      </c>
      <c r="AG113" s="117"/>
      <c r="AH113" s="48">
        <f t="shared" si="35"/>
        <v>127.7</v>
      </c>
      <c r="AI113" s="49">
        <f t="shared" si="36"/>
        <v>122</v>
      </c>
    </row>
    <row r="114" spans="1:35" x14ac:dyDescent="0.25">
      <c r="A114" s="116" t="s">
        <v>134</v>
      </c>
      <c r="B114" s="76">
        <v>129.9</v>
      </c>
      <c r="C114" s="76">
        <v>129.9</v>
      </c>
      <c r="D114" s="76">
        <v>129.9</v>
      </c>
      <c r="E114" s="76">
        <v>130.4</v>
      </c>
      <c r="F114" s="76">
        <v>130.1</v>
      </c>
      <c r="G114" s="76">
        <v>129.19999999999999</v>
      </c>
      <c r="H114" s="76">
        <v>128</v>
      </c>
      <c r="I114" s="76">
        <v>130.1</v>
      </c>
      <c r="J114" s="76">
        <v>128.5</v>
      </c>
      <c r="K114" s="76">
        <v>127.3</v>
      </c>
      <c r="L114" s="76">
        <v>127.3</v>
      </c>
      <c r="M114" s="76">
        <v>128.5</v>
      </c>
      <c r="N114" s="76">
        <v>128.5</v>
      </c>
      <c r="O114" s="76">
        <v>126.1</v>
      </c>
      <c r="P114" s="76">
        <v>125.3</v>
      </c>
      <c r="Q114" s="76">
        <v>127.9</v>
      </c>
      <c r="R114" s="76">
        <v>127.7</v>
      </c>
      <c r="S114" s="76">
        <v>126.2</v>
      </c>
      <c r="T114" s="76">
        <v>127</v>
      </c>
      <c r="U114" s="76">
        <v>127.5</v>
      </c>
      <c r="V114" s="76">
        <v>128.80000000000001</v>
      </c>
      <c r="W114" s="76">
        <v>128.80000000000001</v>
      </c>
      <c r="X114" s="76">
        <v>129.9</v>
      </c>
      <c r="Y114" s="76">
        <v>129.6</v>
      </c>
      <c r="Z114" s="76">
        <v>129.6</v>
      </c>
      <c r="AA114" s="76">
        <v>127.8</v>
      </c>
      <c r="AB114" s="76">
        <v>128.9</v>
      </c>
      <c r="AC114" s="76">
        <v>129</v>
      </c>
      <c r="AD114" s="76">
        <v>129</v>
      </c>
      <c r="AE114" s="76">
        <v>129.9</v>
      </c>
      <c r="AF114" s="76">
        <v>130.80000000000001</v>
      </c>
      <c r="AG114" s="117"/>
      <c r="AH114" s="48">
        <f t="shared" si="35"/>
        <v>130.80000000000001</v>
      </c>
      <c r="AI114" s="49">
        <f t="shared" si="36"/>
        <v>125.3</v>
      </c>
    </row>
    <row r="115" spans="1:35" x14ac:dyDescent="0.25">
      <c r="A115" s="116" t="s">
        <v>135</v>
      </c>
      <c r="B115" s="76">
        <v>132</v>
      </c>
      <c r="C115" s="76">
        <v>132</v>
      </c>
      <c r="D115" s="76">
        <v>132</v>
      </c>
      <c r="E115" s="76">
        <v>130.6</v>
      </c>
      <c r="F115" s="76">
        <v>130.80000000000001</v>
      </c>
      <c r="G115" s="76">
        <v>131</v>
      </c>
      <c r="H115" s="76">
        <v>129.19999999999999</v>
      </c>
      <c r="I115" s="76">
        <v>129.5</v>
      </c>
      <c r="J115" s="76">
        <v>128.80000000000001</v>
      </c>
      <c r="K115" s="76">
        <v>127.3</v>
      </c>
      <c r="L115" s="76">
        <v>127.3</v>
      </c>
      <c r="M115" s="76">
        <v>129.30000000000001</v>
      </c>
      <c r="N115" s="76">
        <v>129.30000000000001</v>
      </c>
      <c r="O115" s="76">
        <v>125.5</v>
      </c>
      <c r="P115" s="76">
        <v>125.8</v>
      </c>
      <c r="Q115" s="76">
        <v>129.30000000000001</v>
      </c>
      <c r="R115" s="76">
        <v>127</v>
      </c>
      <c r="S115" s="76">
        <v>125</v>
      </c>
      <c r="T115" s="76">
        <v>125.9</v>
      </c>
      <c r="U115" s="76">
        <v>125.9</v>
      </c>
      <c r="V115" s="76">
        <v>132.30000000000001</v>
      </c>
      <c r="W115" s="76">
        <v>132.30000000000001</v>
      </c>
      <c r="X115" s="76">
        <v>131.1</v>
      </c>
      <c r="Y115" s="76">
        <v>130.9</v>
      </c>
      <c r="Z115" s="76">
        <v>130.9</v>
      </c>
      <c r="AA115" s="76">
        <v>132.4</v>
      </c>
      <c r="AB115" s="76">
        <v>130.5</v>
      </c>
      <c r="AC115" s="76">
        <v>130.1</v>
      </c>
      <c r="AD115" s="76">
        <v>129.19999999999999</v>
      </c>
      <c r="AE115" s="76">
        <v>131</v>
      </c>
      <c r="AF115" s="76">
        <v>130.1</v>
      </c>
      <c r="AG115" s="117"/>
      <c r="AH115" s="48">
        <f t="shared" si="35"/>
        <v>132.4</v>
      </c>
      <c r="AI115" s="49">
        <f t="shared" si="36"/>
        <v>125</v>
      </c>
    </row>
    <row r="116" spans="1:35" x14ac:dyDescent="0.25">
      <c r="A116" s="118" t="s">
        <v>136</v>
      </c>
      <c r="B116" s="76">
        <v>134</v>
      </c>
      <c r="C116" s="76">
        <v>134</v>
      </c>
      <c r="D116" s="76">
        <v>134</v>
      </c>
      <c r="E116" s="76">
        <v>130</v>
      </c>
      <c r="F116" s="76">
        <v>130.4</v>
      </c>
      <c r="G116" s="76">
        <v>130.19999999999999</v>
      </c>
      <c r="H116" s="76">
        <v>128.19999999999999</v>
      </c>
      <c r="I116" s="76">
        <v>128.1</v>
      </c>
      <c r="J116" s="76">
        <v>130</v>
      </c>
      <c r="K116" s="76">
        <v>129.5</v>
      </c>
      <c r="L116" s="76">
        <v>129.5</v>
      </c>
      <c r="M116" s="76">
        <v>130.6</v>
      </c>
      <c r="N116" s="76">
        <v>130.6</v>
      </c>
      <c r="O116" s="76">
        <v>127.5</v>
      </c>
      <c r="P116" s="76">
        <v>127.2</v>
      </c>
      <c r="Q116" s="76">
        <v>131.19999999999999</v>
      </c>
      <c r="R116" s="76">
        <v>130.4</v>
      </c>
      <c r="S116" s="76">
        <v>127.6</v>
      </c>
      <c r="T116" s="76">
        <v>127.6</v>
      </c>
      <c r="U116" s="76">
        <v>127.6</v>
      </c>
      <c r="V116" s="76">
        <v>134.1</v>
      </c>
      <c r="W116" s="76">
        <v>134.1</v>
      </c>
      <c r="X116" s="76">
        <v>131.80000000000001</v>
      </c>
      <c r="Y116" s="76">
        <v>132.19999999999999</v>
      </c>
      <c r="Z116" s="76">
        <v>132.19999999999999</v>
      </c>
      <c r="AA116" s="76">
        <v>133.5</v>
      </c>
      <c r="AB116" s="76">
        <v>132.69999999999999</v>
      </c>
      <c r="AC116" s="76">
        <v>132.5</v>
      </c>
      <c r="AD116" s="76">
        <v>131.9</v>
      </c>
      <c r="AE116" s="76">
        <v>132.9</v>
      </c>
      <c r="AF116" s="76">
        <v>132.6</v>
      </c>
      <c r="AG116" s="117"/>
      <c r="AH116" s="48">
        <f t="shared" si="35"/>
        <v>134.1</v>
      </c>
      <c r="AI116" s="49">
        <f t="shared" si="36"/>
        <v>127.2</v>
      </c>
    </row>
    <row r="117" spans="1:35" x14ac:dyDescent="0.25">
      <c r="A117" s="118" t="s">
        <v>137</v>
      </c>
      <c r="B117" s="119">
        <v>135</v>
      </c>
      <c r="C117" s="119">
        <v>135</v>
      </c>
      <c r="D117" s="119">
        <v>135</v>
      </c>
      <c r="E117" s="119">
        <v>134</v>
      </c>
      <c r="F117" s="119">
        <v>133.5</v>
      </c>
      <c r="G117" s="119">
        <v>134.6</v>
      </c>
      <c r="H117" s="119">
        <v>132.80000000000001</v>
      </c>
      <c r="I117" s="119">
        <v>132.69999999999999</v>
      </c>
      <c r="J117" s="119">
        <v>136.5</v>
      </c>
      <c r="K117" s="119">
        <v>134.19999999999999</v>
      </c>
      <c r="L117" s="119">
        <v>134.19999999999999</v>
      </c>
      <c r="M117" s="119">
        <v>130.6</v>
      </c>
      <c r="N117" s="119">
        <v>130.6</v>
      </c>
      <c r="O117" s="119">
        <v>138</v>
      </c>
      <c r="P117" s="119">
        <v>133</v>
      </c>
      <c r="Q117" s="119">
        <v>137</v>
      </c>
      <c r="R117" s="119">
        <v>135</v>
      </c>
      <c r="S117" s="119">
        <v>131.69999999999999</v>
      </c>
      <c r="T117" s="119">
        <v>132.5</v>
      </c>
      <c r="U117" s="119">
        <v>132.5</v>
      </c>
      <c r="V117" s="119">
        <v>134.6</v>
      </c>
      <c r="W117" s="119">
        <v>134.6</v>
      </c>
      <c r="X117" s="119">
        <v>118.7</v>
      </c>
      <c r="Y117" s="119">
        <v>133.1</v>
      </c>
      <c r="Z117" s="119">
        <v>133.1</v>
      </c>
      <c r="AA117" s="119">
        <v>132.19999999999999</v>
      </c>
      <c r="AB117" s="119">
        <v>135.4</v>
      </c>
      <c r="AC117" s="119">
        <v>135.30000000000001</v>
      </c>
      <c r="AD117" s="119">
        <v>134.5</v>
      </c>
      <c r="AE117" s="119">
        <v>132.9</v>
      </c>
      <c r="AF117" s="119">
        <v>132.5</v>
      </c>
      <c r="AG117" s="120"/>
      <c r="AH117" s="48">
        <f t="shared" si="35"/>
        <v>138</v>
      </c>
      <c r="AI117" s="49">
        <f t="shared" si="36"/>
        <v>118.7</v>
      </c>
    </row>
    <row r="118" spans="1:35" x14ac:dyDescent="0.25">
      <c r="A118" s="116" t="s">
        <v>138</v>
      </c>
      <c r="B118" s="76">
        <v>128.5</v>
      </c>
      <c r="C118" s="76">
        <v>128.5</v>
      </c>
      <c r="D118" s="76">
        <v>128.5</v>
      </c>
      <c r="E118" s="76">
        <v>130</v>
      </c>
      <c r="F118" s="76">
        <v>130.19999999999999</v>
      </c>
      <c r="G118" s="76">
        <v>130.19999999999999</v>
      </c>
      <c r="H118" s="76">
        <v>126.8</v>
      </c>
      <c r="I118" s="76">
        <v>127.8</v>
      </c>
      <c r="J118" s="76">
        <v>135.4</v>
      </c>
      <c r="K118" s="76">
        <v>132.30000000000001</v>
      </c>
      <c r="L118" s="76">
        <v>132.30000000000001</v>
      </c>
      <c r="M118" s="76">
        <v>128.6</v>
      </c>
      <c r="N118" s="76">
        <v>128.6</v>
      </c>
      <c r="O118" s="76">
        <v>131</v>
      </c>
      <c r="P118" s="76">
        <v>126.2</v>
      </c>
      <c r="Q118" s="76">
        <v>135.5</v>
      </c>
      <c r="R118" s="76">
        <v>129</v>
      </c>
      <c r="S118" s="76">
        <v>121.6</v>
      </c>
      <c r="T118" s="76">
        <v>119.2</v>
      </c>
      <c r="U118" s="76">
        <v>119.2</v>
      </c>
      <c r="V118" s="76">
        <v>128</v>
      </c>
      <c r="W118" s="76">
        <v>128</v>
      </c>
      <c r="X118" s="76">
        <v>121.2</v>
      </c>
      <c r="Y118" s="76">
        <v>125.4</v>
      </c>
      <c r="Z118" s="76">
        <v>125.4</v>
      </c>
      <c r="AA118" s="76">
        <v>123.3</v>
      </c>
      <c r="AB118" s="76">
        <v>128.5</v>
      </c>
      <c r="AC118" s="76">
        <v>124</v>
      </c>
      <c r="AD118" s="76">
        <v>130.6</v>
      </c>
      <c r="AE118" s="76">
        <v>130.4</v>
      </c>
      <c r="AF118" s="76">
        <v>129.6</v>
      </c>
      <c r="AG118" s="117"/>
      <c r="AH118" s="48">
        <f t="shared" si="35"/>
        <v>135.5</v>
      </c>
      <c r="AI118" s="49">
        <f t="shared" si="36"/>
        <v>119.2</v>
      </c>
    </row>
    <row r="119" spans="1:35" ht="15.75" thickBot="1" x14ac:dyDescent="0.3">
      <c r="A119" s="116" t="s">
        <v>139</v>
      </c>
      <c r="B119" s="105">
        <v>65.5</v>
      </c>
      <c r="C119" s="105">
        <v>65.5</v>
      </c>
      <c r="D119" s="105">
        <v>65.5</v>
      </c>
      <c r="E119" s="105">
        <v>65.5</v>
      </c>
      <c r="F119" s="105">
        <v>65.400000000000006</v>
      </c>
      <c r="G119" s="105">
        <v>64.8</v>
      </c>
      <c r="H119" s="105">
        <v>64.099999999999994</v>
      </c>
      <c r="I119" s="105">
        <v>65.5</v>
      </c>
      <c r="J119" s="105">
        <v>64.400000000000006</v>
      </c>
      <c r="K119" s="105">
        <v>64.099999999999994</v>
      </c>
      <c r="L119" s="105">
        <v>64.099999999999994</v>
      </c>
      <c r="M119" s="105">
        <v>65</v>
      </c>
      <c r="N119" s="105">
        <v>65</v>
      </c>
      <c r="O119" s="105">
        <v>63.4</v>
      </c>
      <c r="P119" s="105">
        <v>62.8</v>
      </c>
      <c r="Q119" s="105">
        <v>64.3</v>
      </c>
      <c r="R119" s="105">
        <v>64.3</v>
      </c>
      <c r="S119" s="105">
        <v>63.7</v>
      </c>
      <c r="T119" s="105">
        <v>63.8</v>
      </c>
      <c r="U119" s="105">
        <v>63.8</v>
      </c>
      <c r="V119" s="105">
        <v>64.8</v>
      </c>
      <c r="W119" s="105">
        <v>64.8</v>
      </c>
      <c r="X119" s="105">
        <v>65.400000000000006</v>
      </c>
      <c r="Y119" s="105">
        <v>65.3</v>
      </c>
      <c r="Z119" s="105">
        <v>65.3</v>
      </c>
      <c r="AA119" s="105">
        <v>64.400000000000006</v>
      </c>
      <c r="AB119" s="105">
        <v>65.099999999999994</v>
      </c>
      <c r="AC119" s="105">
        <v>65</v>
      </c>
      <c r="AD119" s="105">
        <v>65</v>
      </c>
      <c r="AE119" s="105">
        <v>65.5</v>
      </c>
      <c r="AF119" s="105">
        <v>66</v>
      </c>
      <c r="AG119" s="121"/>
      <c r="AH119" s="48">
        <f t="shared" si="35"/>
        <v>66</v>
      </c>
      <c r="AI119" s="49">
        <f t="shared" si="36"/>
        <v>62.8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 t="s">
        <v>140</v>
      </c>
      <c r="Z120" s="105" t="s">
        <v>140</v>
      </c>
      <c r="AA120" s="105" t="s">
        <v>140</v>
      </c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 t="shared" ref="B121:O121" si="91">SUM(B25,B31,B34:B35,B69,B71:B72,B74,B76,B122:B126,B158,B164,B170,B179,B181,B193,B200,B203:B204,B211,B213,B215,B219:B221,B223:B225,B230,B236:B237,B239:B241,B249,B254)</f>
        <v>96.339999999999975</v>
      </c>
      <c r="C121" s="124">
        <f t="shared" si="91"/>
        <v>87.44</v>
      </c>
      <c r="D121" s="124">
        <f t="shared" si="91"/>
        <v>83.539999999999992</v>
      </c>
      <c r="E121" s="124">
        <f t="shared" si="91"/>
        <v>69.240000000000009</v>
      </c>
      <c r="F121" s="124">
        <f t="shared" si="91"/>
        <v>80.240000000000009</v>
      </c>
      <c r="G121" s="124">
        <f t="shared" si="91"/>
        <v>135.54000000000002</v>
      </c>
      <c r="H121" s="124">
        <f t="shared" si="91"/>
        <v>96.04000000000002</v>
      </c>
      <c r="I121" s="124">
        <f t="shared" si="91"/>
        <v>136.04000000000002</v>
      </c>
      <c r="J121" s="124">
        <f t="shared" si="91"/>
        <v>173.83999999999997</v>
      </c>
      <c r="K121" s="124">
        <f t="shared" si="91"/>
        <v>176.34</v>
      </c>
      <c r="L121" s="124">
        <f t="shared" si="91"/>
        <v>180.64000000000001</v>
      </c>
      <c r="M121" s="124">
        <f t="shared" si="91"/>
        <v>166.37999999999997</v>
      </c>
      <c r="N121" s="124">
        <f t="shared" si="91"/>
        <v>166.37999999999997</v>
      </c>
      <c r="O121" s="124">
        <f t="shared" si="91"/>
        <v>185.54</v>
      </c>
      <c r="P121" s="124">
        <v>42</v>
      </c>
      <c r="Q121" s="124">
        <f t="shared" ref="Q121:AA121" si="92">SUM(Q25,Q31,Q34:Q35,Q69,Q71:Q72,Q74,Q76,Q122:Q126,Q158,Q164,Q170,Q179,Q181,Q193,Q200,Q203:Q204,Q211,Q213,Q215,Q219:Q221,Q223:Q225,Q230,Q236:Q237,Q239:Q241,Q249,Q254)</f>
        <v>208.24</v>
      </c>
      <c r="R121" s="124">
        <f t="shared" si="92"/>
        <v>211.44</v>
      </c>
      <c r="S121" s="124">
        <f t="shared" si="92"/>
        <v>192.04000000000002</v>
      </c>
      <c r="T121" s="124">
        <f t="shared" si="92"/>
        <v>215.04000000000002</v>
      </c>
      <c r="U121" s="124">
        <f t="shared" si="92"/>
        <v>207.33999999999997</v>
      </c>
      <c r="V121" s="124">
        <f t="shared" si="92"/>
        <v>218.94000000000003</v>
      </c>
      <c r="W121" s="124">
        <f t="shared" si="92"/>
        <v>233.23999999999998</v>
      </c>
      <c r="X121" s="124">
        <f t="shared" si="92"/>
        <v>232.94</v>
      </c>
      <c r="Y121" s="124">
        <f t="shared" si="92"/>
        <v>238.04</v>
      </c>
      <c r="Z121" s="124">
        <f t="shared" si="92"/>
        <v>245.23999999999998</v>
      </c>
      <c r="AA121" s="124">
        <f t="shared" si="92"/>
        <v>229.44</v>
      </c>
      <c r="AB121" s="124">
        <f t="shared" ref="AB121:AF121" si="93">SUM(AB25,AB31,AB34:AB35,AB69,AB71:AB72,AB74,AB76,AB122:AB126,AB158,AB164,AB170,AB179,AB181,AB193,AB200,AB203:AB204,AB211,AB213,AB215,AB219:AB221,AB223:AB225,AB230,AB236:AB237,AB239:AB241,AB249,AB254)</f>
        <v>169.24</v>
      </c>
      <c r="AC121" s="124">
        <f t="shared" si="93"/>
        <v>173.14000000000001</v>
      </c>
      <c r="AD121" s="124">
        <f t="shared" si="93"/>
        <v>163.04</v>
      </c>
      <c r="AE121" s="124">
        <f t="shared" si="93"/>
        <v>120.44</v>
      </c>
      <c r="AF121" s="124">
        <f t="shared" si="93"/>
        <v>95.740000000000009</v>
      </c>
      <c r="AG121" s="125"/>
      <c r="AH121" s="48">
        <f t="shared" si="35"/>
        <v>245.23999999999998</v>
      </c>
      <c r="AI121" s="49">
        <f t="shared" si="36"/>
        <v>42</v>
      </c>
    </row>
    <row r="122" spans="1:35" x14ac:dyDescent="0.25">
      <c r="A122" s="126" t="s">
        <v>142</v>
      </c>
      <c r="B122" s="127">
        <v>53.2</v>
      </c>
      <c r="C122" s="127">
        <v>50.3</v>
      </c>
      <c r="D122" s="127">
        <v>48.2</v>
      </c>
      <c r="E122" s="127">
        <v>46.1</v>
      </c>
      <c r="F122" s="127">
        <v>54</v>
      </c>
      <c r="G122" s="127">
        <v>49.8</v>
      </c>
      <c r="H122" s="127">
        <v>48</v>
      </c>
      <c r="I122" s="127">
        <v>43</v>
      </c>
      <c r="J122" s="127">
        <v>60.5</v>
      </c>
      <c r="K122" s="127">
        <v>61</v>
      </c>
      <c r="L122" s="127">
        <v>61</v>
      </c>
      <c r="M122" s="127">
        <v>56.4</v>
      </c>
      <c r="N122" s="127">
        <v>56.4</v>
      </c>
      <c r="O122" s="127">
        <v>44</v>
      </c>
      <c r="P122" s="127">
        <v>42.3</v>
      </c>
      <c r="Q122" s="127">
        <v>46.3</v>
      </c>
      <c r="R122" s="127">
        <v>44.1</v>
      </c>
      <c r="S122" s="127">
        <v>26.9</v>
      </c>
      <c r="T122" s="127">
        <v>40</v>
      </c>
      <c r="U122" s="127">
        <v>31.8</v>
      </c>
      <c r="V122" s="127">
        <v>40.4</v>
      </c>
      <c r="W122" s="127">
        <v>54.4</v>
      </c>
      <c r="X122" s="127">
        <v>55.2</v>
      </c>
      <c r="Y122" s="127">
        <v>63.4</v>
      </c>
      <c r="Z122" s="127">
        <v>57.7</v>
      </c>
      <c r="AA122" s="127">
        <v>33.9</v>
      </c>
      <c r="AB122" s="127">
        <v>35.4</v>
      </c>
      <c r="AC122" s="127">
        <v>45.9</v>
      </c>
      <c r="AD122" s="127">
        <v>49</v>
      </c>
      <c r="AE122" s="127">
        <v>46.6</v>
      </c>
      <c r="AF122" s="127">
        <v>44.1</v>
      </c>
      <c r="AG122" s="128">
        <v>75</v>
      </c>
      <c r="AH122" s="48">
        <f t="shared" si="35"/>
        <v>63.4</v>
      </c>
      <c r="AI122" s="49">
        <f t="shared" si="36"/>
        <v>26.9</v>
      </c>
    </row>
    <row r="123" spans="1:35" x14ac:dyDescent="0.25">
      <c r="A123" s="129" t="s">
        <v>143</v>
      </c>
      <c r="B123" s="130">
        <v>77.2</v>
      </c>
      <c r="C123" s="130">
        <v>72.599999999999994</v>
      </c>
      <c r="D123" s="130">
        <v>71.099999999999994</v>
      </c>
      <c r="E123" s="130">
        <v>68</v>
      </c>
      <c r="F123" s="130">
        <v>78</v>
      </c>
      <c r="G123" s="130">
        <v>72.5</v>
      </c>
      <c r="H123" s="130">
        <v>67.400000000000006</v>
      </c>
      <c r="I123" s="130">
        <v>61</v>
      </c>
      <c r="J123" s="130">
        <v>82.5</v>
      </c>
      <c r="K123" s="130">
        <v>83</v>
      </c>
      <c r="L123" s="130">
        <v>83</v>
      </c>
      <c r="M123" s="130">
        <v>78</v>
      </c>
      <c r="N123" s="130">
        <v>78</v>
      </c>
      <c r="O123" s="130">
        <v>60</v>
      </c>
      <c r="P123" s="130">
        <v>56.5</v>
      </c>
      <c r="Q123" s="130">
        <v>62.7</v>
      </c>
      <c r="R123" s="130">
        <v>61.1</v>
      </c>
      <c r="S123" s="130">
        <v>36.6</v>
      </c>
      <c r="T123" s="130">
        <v>55.7</v>
      </c>
      <c r="U123" s="130">
        <v>43.5</v>
      </c>
      <c r="V123" s="130">
        <v>57.9</v>
      </c>
      <c r="W123" s="130">
        <v>80</v>
      </c>
      <c r="X123" s="130">
        <v>80.3</v>
      </c>
      <c r="Y123" s="130">
        <v>90.1</v>
      </c>
      <c r="Z123" s="130">
        <v>82.5</v>
      </c>
      <c r="AA123" s="130">
        <v>51</v>
      </c>
      <c r="AB123" s="130">
        <v>54</v>
      </c>
      <c r="AC123" s="130">
        <v>67.2</v>
      </c>
      <c r="AD123" s="130">
        <v>72</v>
      </c>
      <c r="AE123" s="130">
        <v>70</v>
      </c>
      <c r="AF123" s="130">
        <v>63.4</v>
      </c>
      <c r="AG123" s="128">
        <v>240</v>
      </c>
      <c r="AH123" s="48">
        <f t="shared" si="35"/>
        <v>90.1</v>
      </c>
      <c r="AI123" s="49">
        <f t="shared" si="36"/>
        <v>36.6</v>
      </c>
    </row>
    <row r="124" spans="1:35" x14ac:dyDescent="0.25">
      <c r="A124" s="129" t="s">
        <v>144</v>
      </c>
      <c r="B124" s="130">
        <v>-142</v>
      </c>
      <c r="C124" s="130">
        <v>-142</v>
      </c>
      <c r="D124" s="130">
        <v>-141</v>
      </c>
      <c r="E124" s="130">
        <v>-145</v>
      </c>
      <c r="F124" s="130">
        <v>-152</v>
      </c>
      <c r="G124" s="130">
        <v>-136</v>
      </c>
      <c r="H124" s="130">
        <v>-124</v>
      </c>
      <c r="I124" s="130">
        <v>-84</v>
      </c>
      <c r="J124" s="130">
        <v>-92</v>
      </c>
      <c r="K124" s="130">
        <v>-89</v>
      </c>
      <c r="L124" s="130">
        <v>-89</v>
      </c>
      <c r="M124" s="130">
        <v>-101.6</v>
      </c>
      <c r="N124" s="130">
        <v>-101.6</v>
      </c>
      <c r="O124" s="130">
        <v>-56</v>
      </c>
      <c r="P124" s="130">
        <v>-80.2</v>
      </c>
      <c r="Q124" s="130">
        <v>-60</v>
      </c>
      <c r="R124" s="130">
        <v>-54</v>
      </c>
      <c r="S124" s="130">
        <f>-10.7-18</f>
        <v>-28.7</v>
      </c>
      <c r="T124" s="130">
        <v>-41</v>
      </c>
      <c r="U124" s="130">
        <v>-25.3</v>
      </c>
      <c r="V124" s="130">
        <v>-34</v>
      </c>
      <c r="W124" s="130">
        <v>-54</v>
      </c>
      <c r="X124" s="130">
        <f>-20.5-31.9</f>
        <v>-52.4</v>
      </c>
      <c r="Y124" s="130">
        <v>-71</v>
      </c>
      <c r="Z124" s="130">
        <v>-55</v>
      </c>
      <c r="AA124" s="130">
        <v>-20</v>
      </c>
      <c r="AB124" s="130">
        <v>-80</v>
      </c>
      <c r="AC124" s="130">
        <v>-98.2</v>
      </c>
      <c r="AD124" s="130">
        <v>-105</v>
      </c>
      <c r="AE124" s="130">
        <v>-139</v>
      </c>
      <c r="AF124" s="130">
        <v>-150</v>
      </c>
      <c r="AG124" s="128">
        <v>240</v>
      </c>
      <c r="AH124" s="48">
        <f t="shared" si="35"/>
        <v>-20</v>
      </c>
      <c r="AI124" s="49">
        <f t="shared" si="36"/>
        <v>-152</v>
      </c>
    </row>
    <row r="125" spans="1:35" ht="15.75" thickBot="1" x14ac:dyDescent="0.3">
      <c r="A125" s="129" t="s">
        <v>145</v>
      </c>
      <c r="B125" s="130">
        <v>-18</v>
      </c>
      <c r="C125" s="130">
        <v>-19.399999999999999</v>
      </c>
      <c r="D125" s="130">
        <v>-20</v>
      </c>
      <c r="E125" s="130">
        <v>-25.1</v>
      </c>
      <c r="F125" s="130">
        <v>-25</v>
      </c>
      <c r="G125" s="130">
        <v>24</v>
      </c>
      <c r="H125" s="130">
        <v>-21</v>
      </c>
      <c r="I125" s="130">
        <v>-10</v>
      </c>
      <c r="J125" s="130">
        <v>-4.5</v>
      </c>
      <c r="K125" s="130">
        <v>-6.4</v>
      </c>
      <c r="L125" s="130">
        <v>-6.4</v>
      </c>
      <c r="M125" s="130">
        <v>-0.36</v>
      </c>
      <c r="N125" s="130">
        <v>-0.36</v>
      </c>
      <c r="O125" s="130">
        <v>3.6</v>
      </c>
      <c r="P125" s="130">
        <v>3.4</v>
      </c>
      <c r="Q125" s="130">
        <v>16</v>
      </c>
      <c r="R125" s="130">
        <v>17</v>
      </c>
      <c r="S125" s="130">
        <v>18.399999999999999</v>
      </c>
      <c r="T125" s="130">
        <v>22.2</v>
      </c>
      <c r="U125" s="130">
        <v>23.7</v>
      </c>
      <c r="V125" s="130">
        <v>22.9</v>
      </c>
      <c r="W125" s="130">
        <v>24.9</v>
      </c>
      <c r="X125" s="130">
        <v>24.4</v>
      </c>
      <c r="Y125" s="130">
        <v>30.6</v>
      </c>
      <c r="Z125" s="130">
        <v>35.4</v>
      </c>
      <c r="AA125" s="130">
        <v>39.9</v>
      </c>
      <c r="AB125" s="130">
        <v>35.200000000000003</v>
      </c>
      <c r="AC125" s="130">
        <v>33.6</v>
      </c>
      <c r="AD125" s="130">
        <v>22.4</v>
      </c>
      <c r="AE125" s="130">
        <v>18</v>
      </c>
      <c r="AF125" s="130">
        <v>13.4</v>
      </c>
      <c r="AG125" s="128">
        <v>60</v>
      </c>
      <c r="AH125" s="48">
        <f t="shared" si="35"/>
        <v>39.9</v>
      </c>
      <c r="AI125" s="49">
        <f t="shared" si="36"/>
        <v>-25.1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5"/>
        <v>0</v>
      </c>
      <c r="AI126" s="49">
        <f t="shared" si="36"/>
        <v>0</v>
      </c>
    </row>
    <row r="127" spans="1:35" x14ac:dyDescent="0.25">
      <c r="A127" s="129" t="s">
        <v>147</v>
      </c>
      <c r="B127" s="131">
        <v>56.9</v>
      </c>
      <c r="C127" s="131">
        <v>56.1</v>
      </c>
      <c r="D127" s="131">
        <v>47.9</v>
      </c>
      <c r="E127" s="131">
        <v>51</v>
      </c>
      <c r="F127" s="131">
        <v>48</v>
      </c>
      <c r="G127" s="131">
        <v>57</v>
      </c>
      <c r="H127" s="131">
        <v>65</v>
      </c>
      <c r="I127" s="131">
        <v>68</v>
      </c>
      <c r="J127" s="131">
        <v>68</v>
      </c>
      <c r="K127" s="131">
        <v>75</v>
      </c>
      <c r="L127" s="131">
        <v>75</v>
      </c>
      <c r="M127" s="131">
        <v>75.099999999999994</v>
      </c>
      <c r="N127" s="131">
        <v>75.099999999999994</v>
      </c>
      <c r="O127" s="131">
        <v>83</v>
      </c>
      <c r="P127" s="131">
        <v>54.9</v>
      </c>
      <c r="Q127" s="131">
        <v>72.7</v>
      </c>
      <c r="R127" s="131">
        <v>75</v>
      </c>
      <c r="S127" s="131">
        <v>83.9</v>
      </c>
      <c r="T127" s="131">
        <v>70</v>
      </c>
      <c r="U127" s="131">
        <v>72.400000000000006</v>
      </c>
      <c r="V127" s="131">
        <v>63.2</v>
      </c>
      <c r="W127" s="131">
        <v>46.8</v>
      </c>
      <c r="X127" s="131">
        <v>48.2</v>
      </c>
      <c r="Y127" s="131">
        <v>50.3</v>
      </c>
      <c r="Z127" s="131">
        <v>62</v>
      </c>
      <c r="AA127" s="131">
        <v>88.1</v>
      </c>
      <c r="AB127" s="131">
        <v>85.6</v>
      </c>
      <c r="AC127" s="131">
        <v>75</v>
      </c>
      <c r="AD127" s="131">
        <v>71</v>
      </c>
      <c r="AE127" s="131">
        <v>54.6</v>
      </c>
      <c r="AF127" s="131">
        <v>44.6</v>
      </c>
      <c r="AG127" s="132"/>
      <c r="AH127" s="48"/>
      <c r="AI127" s="49"/>
    </row>
    <row r="128" spans="1:35" x14ac:dyDescent="0.25">
      <c r="A128" s="129" t="s">
        <v>148</v>
      </c>
      <c r="B128" s="131">
        <v>15</v>
      </c>
      <c r="C128" s="131">
        <v>-20.399999999999999</v>
      </c>
      <c r="D128" s="131">
        <v>13.7</v>
      </c>
      <c r="E128" s="131">
        <v>23</v>
      </c>
      <c r="F128" s="131">
        <v>11</v>
      </c>
      <c r="G128" s="131">
        <v>15</v>
      </c>
      <c r="H128" s="131">
        <v>18</v>
      </c>
      <c r="I128" s="131">
        <v>-6.3</v>
      </c>
      <c r="J128" s="131">
        <v>-25</v>
      </c>
      <c r="K128" s="131">
        <v>-21.7</v>
      </c>
      <c r="L128" s="131">
        <v>-21.7</v>
      </c>
      <c r="M128" s="131">
        <v>-19.600000000000001</v>
      </c>
      <c r="N128" s="131">
        <v>-19.600000000000001</v>
      </c>
      <c r="O128" s="131">
        <v>-10</v>
      </c>
      <c r="P128" s="131">
        <v>2.5</v>
      </c>
      <c r="Q128" s="131">
        <v>-16</v>
      </c>
      <c r="R128" s="131">
        <v>-12</v>
      </c>
      <c r="S128" s="131">
        <v>-7.4</v>
      </c>
      <c r="T128" s="131">
        <v>-15.4</v>
      </c>
      <c r="U128" s="131">
        <v>-17.100000000000001</v>
      </c>
      <c r="V128" s="131">
        <v>-35.700000000000003</v>
      </c>
      <c r="W128" s="131">
        <v>-58.2</v>
      </c>
      <c r="X128" s="131">
        <v>-64.2</v>
      </c>
      <c r="Y128" s="131">
        <v>-50.7</v>
      </c>
      <c r="Z128" s="131">
        <v>-46.4</v>
      </c>
      <c r="AA128" s="131">
        <v>-20.3</v>
      </c>
      <c r="AB128" s="131">
        <v>-15.6</v>
      </c>
      <c r="AC128" s="131">
        <v>-25.7</v>
      </c>
      <c r="AD128" s="131">
        <v>-19.899999999999999</v>
      </c>
      <c r="AE128" s="131">
        <v>-12.2</v>
      </c>
      <c r="AF128" s="131">
        <v>0.1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48.4</v>
      </c>
      <c r="C129" s="131">
        <v>44.6</v>
      </c>
      <c r="D129" s="131">
        <v>37</v>
      </c>
      <c r="E129" s="131">
        <v>35.299999999999997</v>
      </c>
      <c r="F129" s="131">
        <v>31.5</v>
      </c>
      <c r="G129" s="131">
        <v>41.6</v>
      </c>
      <c r="H129" s="131">
        <v>50</v>
      </c>
      <c r="I129" s="131">
        <v>65.3</v>
      </c>
      <c r="J129" s="131">
        <v>65</v>
      </c>
      <c r="K129" s="131">
        <v>81.599999999999994</v>
      </c>
      <c r="L129" s="131">
        <v>81.599999999999994</v>
      </c>
      <c r="M129" s="131">
        <v>62.4</v>
      </c>
      <c r="N129" s="131">
        <v>62.4</v>
      </c>
      <c r="O129" s="131">
        <v>59</v>
      </c>
      <c r="P129" s="131">
        <v>58.3</v>
      </c>
      <c r="Q129" s="131">
        <v>43</v>
      </c>
      <c r="R129" s="131">
        <v>50</v>
      </c>
      <c r="S129" s="131">
        <v>65.099999999999994</v>
      </c>
      <c r="T129" s="131">
        <v>54.4</v>
      </c>
      <c r="U129" s="131">
        <v>54.4</v>
      </c>
      <c r="V129" s="131">
        <v>48</v>
      </c>
      <c r="W129" s="131">
        <v>28.9</v>
      </c>
      <c r="X129" s="131">
        <v>21</v>
      </c>
      <c r="Y129" s="131">
        <v>31.5</v>
      </c>
      <c r="Z129" s="131">
        <v>45.36</v>
      </c>
      <c r="AA129" s="131">
        <v>74.5</v>
      </c>
      <c r="AB129" s="131">
        <v>68.900000000000006</v>
      </c>
      <c r="AC129" s="131">
        <v>58.9</v>
      </c>
      <c r="AD129" s="131">
        <v>55.7</v>
      </c>
      <c r="AE129" s="131">
        <v>38.700000000000003</v>
      </c>
      <c r="AF129" s="131">
        <v>33.200000000000003</v>
      </c>
      <c r="AG129" s="128"/>
      <c r="AH129" s="48">
        <f>MAX(B129:AF129)</f>
        <v>81.599999999999994</v>
      </c>
      <c r="AI129" s="49">
        <f>MIN(B129:AF129)</f>
        <v>21</v>
      </c>
    </row>
    <row r="130" spans="1:37" x14ac:dyDescent="0.25">
      <c r="A130" s="126" t="s">
        <v>150</v>
      </c>
      <c r="B130" s="131">
        <v>-186.2</v>
      </c>
      <c r="C130" s="131">
        <v>-185.2</v>
      </c>
      <c r="D130" s="131">
        <v>-164.9</v>
      </c>
      <c r="E130" s="131">
        <v>-208</v>
      </c>
      <c r="F130" s="131">
        <v>-209</v>
      </c>
      <c r="G130" s="131">
        <v>-201</v>
      </c>
      <c r="H130" s="131">
        <v>-206</v>
      </c>
      <c r="I130" s="131">
        <v>-189</v>
      </c>
      <c r="J130" s="131">
        <v>-191</v>
      </c>
      <c r="K130" s="131">
        <v>-200</v>
      </c>
      <c r="L130" s="131">
        <v>-200</v>
      </c>
      <c r="M130" s="131">
        <v>-161.19999999999999</v>
      </c>
      <c r="N130" s="131">
        <v>-161.19999999999999</v>
      </c>
      <c r="O130" s="131">
        <v>-187</v>
      </c>
      <c r="P130" s="131">
        <v>-214.5</v>
      </c>
      <c r="Q130" s="131">
        <v>-205</v>
      </c>
      <c r="R130" s="131">
        <v>-201</v>
      </c>
      <c r="S130" s="131">
        <v>-113</v>
      </c>
      <c r="T130" s="131">
        <v>-141.4</v>
      </c>
      <c r="U130" s="131">
        <v>-121.4</v>
      </c>
      <c r="V130" s="131">
        <v>-77.7</v>
      </c>
      <c r="W130" s="131">
        <v>-83.5</v>
      </c>
      <c r="X130" s="131">
        <v>-101.1</v>
      </c>
      <c r="Y130" s="131">
        <v>-163.5</v>
      </c>
      <c r="Z130" s="131">
        <v>-165.9</v>
      </c>
      <c r="AA130" s="131">
        <v>-201</v>
      </c>
      <c r="AB130" s="131">
        <v>-205.2</v>
      </c>
      <c r="AC130" s="131">
        <v>-199.1</v>
      </c>
      <c r="AD130" s="131">
        <v>-188.4</v>
      </c>
      <c r="AE130" s="131">
        <v>-205.9</v>
      </c>
      <c r="AF130" s="131">
        <v>-188.8</v>
      </c>
      <c r="AG130" s="128"/>
      <c r="AH130" s="48">
        <f>MAX(B130:AF130)</f>
        <v>-77.7</v>
      </c>
      <c r="AI130" s="49">
        <f>MIN(B130:AF130)</f>
        <v>-214.5</v>
      </c>
    </row>
    <row r="131" spans="1:37" x14ac:dyDescent="0.25">
      <c r="A131" s="129" t="s">
        <v>151</v>
      </c>
      <c r="B131" s="119">
        <v>39.799999999999997</v>
      </c>
      <c r="C131" s="119">
        <v>40</v>
      </c>
      <c r="D131" s="119">
        <v>42</v>
      </c>
      <c r="E131" s="119">
        <v>32.5</v>
      </c>
      <c r="F131" s="119">
        <v>42</v>
      </c>
      <c r="G131" s="119">
        <v>35</v>
      </c>
      <c r="H131" s="119">
        <v>19</v>
      </c>
      <c r="I131" s="119">
        <v>14</v>
      </c>
      <c r="J131" s="119">
        <v>17</v>
      </c>
      <c r="K131" s="119">
        <v>17</v>
      </c>
      <c r="L131" s="119">
        <v>17</v>
      </c>
      <c r="M131" s="119">
        <v>12.5</v>
      </c>
      <c r="N131" s="119">
        <v>12.5</v>
      </c>
      <c r="O131" s="119">
        <v>8</v>
      </c>
      <c r="P131" s="119">
        <v>-1.1000000000000001</v>
      </c>
      <c r="Q131" s="119">
        <v>14.3</v>
      </c>
      <c r="R131" s="119">
        <v>14</v>
      </c>
      <c r="S131" s="119">
        <v>-5.4</v>
      </c>
      <c r="T131" s="119">
        <v>-12.1</v>
      </c>
      <c r="U131" s="119">
        <v>-2</v>
      </c>
      <c r="V131" s="119">
        <v>0</v>
      </c>
      <c r="W131" s="119">
        <v>-10.63</v>
      </c>
      <c r="X131" s="119">
        <v>-14.7</v>
      </c>
      <c r="Y131" s="119">
        <v>-9.4</v>
      </c>
      <c r="Z131" s="119">
        <v>-17.399999999999999</v>
      </c>
      <c r="AA131" s="119">
        <v>3.9</v>
      </c>
      <c r="AB131" s="119">
        <v>4.9000000000000004</v>
      </c>
      <c r="AC131" s="119">
        <v>6.1</v>
      </c>
      <c r="AD131" s="119">
        <v>10.199999999999999</v>
      </c>
      <c r="AE131" s="119">
        <v>8.8000000000000007</v>
      </c>
      <c r="AF131" s="119">
        <v>6.1</v>
      </c>
      <c r="AG131" s="128"/>
      <c r="AH131" s="48">
        <f>MAX(B131:AF131)</f>
        <v>42</v>
      </c>
      <c r="AI131" s="49">
        <f>MIN(B131:AF131)</f>
        <v>-17.399999999999999</v>
      </c>
    </row>
    <row r="132" spans="1:37" x14ac:dyDescent="0.25">
      <c r="A132" s="129" t="s">
        <v>152</v>
      </c>
      <c r="B132" s="119">
        <v>34.89</v>
      </c>
      <c r="C132" s="119">
        <v>32.700000000000003</v>
      </c>
      <c r="D132" s="119">
        <v>30.5</v>
      </c>
      <c r="E132" s="119">
        <v>30</v>
      </c>
      <c r="F132" s="119">
        <v>21</v>
      </c>
      <c r="G132" s="119">
        <v>23</v>
      </c>
      <c r="H132" s="119">
        <v>30</v>
      </c>
      <c r="I132" s="119">
        <v>30</v>
      </c>
      <c r="J132" s="119">
        <v>36</v>
      </c>
      <c r="K132" s="119">
        <v>34.299999999999997</v>
      </c>
      <c r="L132" s="119">
        <v>34.299999999999997</v>
      </c>
      <c r="M132" s="119">
        <v>47.6</v>
      </c>
      <c r="N132" s="119">
        <v>47.6</v>
      </c>
      <c r="O132" s="119">
        <v>57</v>
      </c>
      <c r="P132" s="119">
        <v>56.2</v>
      </c>
      <c r="Q132" s="119">
        <v>67.8</v>
      </c>
      <c r="R132" s="119">
        <v>63</v>
      </c>
      <c r="S132" s="119">
        <v>79.8</v>
      </c>
      <c r="T132" s="119">
        <v>89.2</v>
      </c>
      <c r="U132" s="119">
        <v>87.8</v>
      </c>
      <c r="V132" s="119">
        <v>72.2</v>
      </c>
      <c r="W132" s="119">
        <v>71.2</v>
      </c>
      <c r="X132" s="119">
        <v>57.8</v>
      </c>
      <c r="Y132" s="119">
        <v>42.9</v>
      </c>
      <c r="Z132" s="119">
        <v>36.200000000000003</v>
      </c>
      <c r="AA132" s="119">
        <v>31.6</v>
      </c>
      <c r="AB132" s="119">
        <v>42.7</v>
      </c>
      <c r="AC132" s="119">
        <v>44.7</v>
      </c>
      <c r="AD132" s="119">
        <v>46.1</v>
      </c>
      <c r="AE132" s="119">
        <v>52.1</v>
      </c>
      <c r="AF132" s="119">
        <v>4.0999999999999996</v>
      </c>
      <c r="AG132" s="128"/>
      <c r="AH132" s="48">
        <f>MAX(B132:AF132)</f>
        <v>89.2</v>
      </c>
      <c r="AI132" s="49">
        <f>MIN(B132:AF132)</f>
        <v>4.0999999999999996</v>
      </c>
    </row>
    <row r="133" spans="1:37" ht="15.75" thickBot="1" x14ac:dyDescent="0.3">
      <c r="A133" s="129" t="s">
        <v>153</v>
      </c>
      <c r="B133" s="119">
        <v>47.7</v>
      </c>
      <c r="C133" s="119">
        <v>39.4</v>
      </c>
      <c r="D133" s="119">
        <v>41.5</v>
      </c>
      <c r="E133" s="119">
        <v>36</v>
      </c>
      <c r="F133" s="119">
        <v>34.200000000000003</v>
      </c>
      <c r="G133" s="119">
        <v>34</v>
      </c>
      <c r="H133" s="119">
        <v>44</v>
      </c>
      <c r="I133" s="119">
        <v>42</v>
      </c>
      <c r="J133" s="119">
        <v>48</v>
      </c>
      <c r="K133" s="119">
        <v>50</v>
      </c>
      <c r="L133" s="119">
        <v>50</v>
      </c>
      <c r="M133" s="119">
        <v>59.6</v>
      </c>
      <c r="N133" s="119">
        <v>59.6</v>
      </c>
      <c r="O133" s="119">
        <v>70</v>
      </c>
      <c r="P133" s="119">
        <v>85.6</v>
      </c>
      <c r="Q133" s="119">
        <v>79</v>
      </c>
      <c r="R133" s="119">
        <v>74</v>
      </c>
      <c r="S133" s="119">
        <v>89.2</v>
      </c>
      <c r="T133" s="119">
        <v>102</v>
      </c>
      <c r="U133" s="119">
        <v>93.9</v>
      </c>
      <c r="V133" s="119">
        <v>87.2</v>
      </c>
      <c r="W133" s="119">
        <v>81.099999999999994</v>
      </c>
      <c r="X133" s="119">
        <v>68.400000000000006</v>
      </c>
      <c r="Y133" s="119">
        <v>49.2</v>
      </c>
      <c r="Z133" s="119">
        <v>41.2</v>
      </c>
      <c r="AA133" s="119">
        <v>38.9</v>
      </c>
      <c r="AB133" s="119">
        <v>54.6</v>
      </c>
      <c r="AC133" s="119">
        <v>55.9</v>
      </c>
      <c r="AD133" s="119">
        <v>58.4</v>
      </c>
      <c r="AE133" s="119">
        <v>63.1</v>
      </c>
      <c r="AF133" s="119">
        <v>63.16</v>
      </c>
      <c r="AG133" s="128"/>
      <c r="AH133" s="48">
        <f>MAX(B133:AF133)</f>
        <v>102</v>
      </c>
      <c r="AI133" s="49">
        <f>MIN(B133:AF133)</f>
        <v>34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1985.85</v>
      </c>
      <c r="C135" s="137">
        <v>1985.88</v>
      </c>
      <c r="D135" s="137">
        <v>1985.95</v>
      </c>
      <c r="E135" s="137">
        <v>1986.02</v>
      </c>
      <c r="F135" s="137">
        <v>1985.95</v>
      </c>
      <c r="G135" s="137">
        <v>1985.86</v>
      </c>
      <c r="H135" s="137">
        <v>1985.8</v>
      </c>
      <c r="I135" s="137">
        <v>1985.7</v>
      </c>
      <c r="J135" s="137">
        <v>1985.6</v>
      </c>
      <c r="K135" s="137">
        <v>1985.5</v>
      </c>
      <c r="L135" s="137"/>
      <c r="M135" s="137">
        <v>1985.32</v>
      </c>
      <c r="N135" s="137">
        <v>1985.28</v>
      </c>
      <c r="O135" s="137">
        <v>1985.25</v>
      </c>
      <c r="P135" s="137">
        <v>1984.72</v>
      </c>
      <c r="Q135" s="137"/>
      <c r="R135" s="137">
        <v>1984.2</v>
      </c>
      <c r="S135" s="137">
        <v>1984.17</v>
      </c>
      <c r="T135" s="137">
        <v>1984.27</v>
      </c>
      <c r="U135" s="137">
        <v>1984.3</v>
      </c>
      <c r="V135" s="137">
        <v>1984.49</v>
      </c>
      <c r="W135" s="137"/>
      <c r="X135" s="137">
        <v>1984.9</v>
      </c>
      <c r="Y135" s="137"/>
      <c r="Z135" s="137">
        <v>1984</v>
      </c>
      <c r="AA135" s="137"/>
      <c r="AB135" s="137">
        <v>1984.52</v>
      </c>
      <c r="AC135" s="137"/>
      <c r="AD135" s="137">
        <v>1984.1</v>
      </c>
      <c r="AE135" s="137">
        <v>1983.75</v>
      </c>
      <c r="AF135" s="138">
        <v>1983.63</v>
      </c>
      <c r="AG135" s="139"/>
      <c r="AH135" s="48"/>
      <c r="AI135" s="49"/>
    </row>
    <row r="136" spans="1:37" x14ac:dyDescent="0.25">
      <c r="A136" s="136" t="s">
        <v>156</v>
      </c>
      <c r="B136" s="140">
        <v>519.88</v>
      </c>
      <c r="C136" s="140">
        <v>519.63</v>
      </c>
      <c r="D136" s="140">
        <v>519.53</v>
      </c>
      <c r="E136" s="140"/>
      <c r="F136" s="140">
        <v>519.72</v>
      </c>
      <c r="G136" s="140"/>
      <c r="H136" s="140">
        <v>520.08000000000004</v>
      </c>
      <c r="I136" s="140"/>
      <c r="J136" s="140"/>
      <c r="K136" s="140">
        <v>520.09</v>
      </c>
      <c r="L136" s="140">
        <v>520.23</v>
      </c>
      <c r="M136" s="140"/>
      <c r="N136" s="140">
        <v>520.38</v>
      </c>
      <c r="O136" s="140">
        <v>520.26</v>
      </c>
      <c r="P136" s="140"/>
      <c r="Q136" s="140"/>
      <c r="R136" s="140">
        <v>519.96</v>
      </c>
      <c r="S136" s="140">
        <v>520.07000000000005</v>
      </c>
      <c r="T136" s="140">
        <v>520.11</v>
      </c>
      <c r="U136" s="140">
        <v>520.07000000000005</v>
      </c>
      <c r="V136" s="140">
        <v>519.99</v>
      </c>
      <c r="W136" s="140"/>
      <c r="X136" s="140">
        <v>519.88</v>
      </c>
      <c r="Y136" s="140"/>
      <c r="Z136" s="140">
        <v>519.70000000000005</v>
      </c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>
        <v>624.5</v>
      </c>
      <c r="S137" s="140">
        <v>624.41</v>
      </c>
      <c r="T137" s="140">
        <v>624.36</v>
      </c>
      <c r="U137" s="140">
        <v>624.20000000000005</v>
      </c>
      <c r="V137" s="140"/>
      <c r="W137" s="140"/>
      <c r="X137" s="140">
        <v>623.79</v>
      </c>
      <c r="Y137" s="140"/>
      <c r="Z137" s="140">
        <v>623.71</v>
      </c>
      <c r="AA137" s="140"/>
      <c r="AB137" s="140"/>
      <c r="AC137" s="140"/>
      <c r="AD137" s="140"/>
      <c r="AE137" s="140">
        <v>623.29</v>
      </c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>
        <v>336.69</v>
      </c>
      <c r="U138" s="140">
        <v>335.63</v>
      </c>
      <c r="V138" s="140"/>
      <c r="W138" s="140"/>
      <c r="X138" s="140">
        <v>535.54999999999995</v>
      </c>
      <c r="Y138" s="140"/>
      <c r="Z138" s="140">
        <v>535.53</v>
      </c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>
        <v>883.2</v>
      </c>
      <c r="C139" s="140">
        <v>883.1</v>
      </c>
      <c r="D139" s="140">
        <v>883</v>
      </c>
      <c r="E139" s="140"/>
      <c r="F139" s="140">
        <v>884.5</v>
      </c>
      <c r="G139" s="140"/>
      <c r="H139" s="140"/>
      <c r="I139" s="140"/>
      <c r="J139" s="140"/>
      <c r="K139" s="140"/>
      <c r="L139" s="140"/>
      <c r="M139" s="140">
        <v>886.06</v>
      </c>
      <c r="N139" s="140">
        <v>885.4</v>
      </c>
      <c r="O139" s="140"/>
      <c r="P139" s="140"/>
      <c r="Q139" s="140"/>
      <c r="R139" s="140"/>
      <c r="S139" s="140"/>
      <c r="T139" s="140">
        <v>883.9</v>
      </c>
      <c r="U139" s="140"/>
      <c r="V139" s="140"/>
      <c r="W139" s="140"/>
      <c r="X139" s="140">
        <v>882.4</v>
      </c>
      <c r="Y139" s="140"/>
      <c r="Z139" s="140">
        <v>883.4</v>
      </c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1487.85</v>
      </c>
      <c r="C140" s="142"/>
      <c r="D140" s="142"/>
      <c r="E140" s="142"/>
      <c r="F140" s="142"/>
      <c r="G140" s="142"/>
      <c r="H140" s="142">
        <v>1487.9</v>
      </c>
      <c r="I140" s="142"/>
      <c r="J140" s="142"/>
      <c r="K140" s="142"/>
      <c r="L140" s="142"/>
      <c r="M140" s="142"/>
      <c r="N140" s="142"/>
      <c r="O140" s="142"/>
      <c r="P140" s="142">
        <v>1487.8</v>
      </c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>
        <f>15*6*2*4</f>
        <v>720</v>
      </c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>
        <f>AA146*160</f>
        <v>115200</v>
      </c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4">SUM(B142:B246)</f>
        <v>0</v>
      </c>
      <c r="C247" s="161">
        <f t="shared" si="94"/>
        <v>0</v>
      </c>
      <c r="D247" s="161">
        <f t="shared" si="94"/>
        <v>0</v>
      </c>
      <c r="E247" s="161">
        <f t="shared" si="94"/>
        <v>0</v>
      </c>
      <c r="F247" s="161">
        <f t="shared" si="94"/>
        <v>0</v>
      </c>
      <c r="G247" s="161">
        <f t="shared" si="94"/>
        <v>0</v>
      </c>
      <c r="H247" s="161">
        <f t="shared" si="94"/>
        <v>0</v>
      </c>
      <c r="I247" s="161">
        <f t="shared" si="94"/>
        <v>0</v>
      </c>
      <c r="J247" s="161">
        <f t="shared" si="94"/>
        <v>0</v>
      </c>
      <c r="K247" s="161">
        <f t="shared" si="94"/>
        <v>0</v>
      </c>
      <c r="L247" s="161">
        <f t="shared" si="94"/>
        <v>0</v>
      </c>
      <c r="M247" s="161">
        <f t="shared" si="94"/>
        <v>0</v>
      </c>
      <c r="N247" s="161">
        <f t="shared" si="94"/>
        <v>0</v>
      </c>
      <c r="O247" s="161">
        <f t="shared" si="94"/>
        <v>0</v>
      </c>
      <c r="P247" s="161">
        <f t="shared" si="94"/>
        <v>0</v>
      </c>
      <c r="Q247" s="161">
        <f t="shared" si="94"/>
        <v>0</v>
      </c>
      <c r="R247" s="161">
        <f t="shared" si="94"/>
        <v>0</v>
      </c>
      <c r="S247" s="161">
        <f t="shared" si="94"/>
        <v>0</v>
      </c>
      <c r="T247" s="161">
        <f t="shared" si="94"/>
        <v>0</v>
      </c>
      <c r="U247" s="161">
        <f t="shared" si="94"/>
        <v>0</v>
      </c>
      <c r="V247" s="161">
        <f t="shared" si="94"/>
        <v>0</v>
      </c>
      <c r="W247" s="161">
        <f t="shared" si="94"/>
        <v>0</v>
      </c>
      <c r="X247" s="161">
        <f t="shared" si="94"/>
        <v>0</v>
      </c>
      <c r="Y247" s="161">
        <f t="shared" si="94"/>
        <v>0</v>
      </c>
      <c r="Z247" s="161">
        <f t="shared" si="94"/>
        <v>0</v>
      </c>
      <c r="AA247" s="161">
        <f t="shared" si="94"/>
        <v>115920</v>
      </c>
      <c r="AB247" s="161">
        <f t="shared" si="94"/>
        <v>0</v>
      </c>
      <c r="AC247" s="161">
        <f t="shared" si="94"/>
        <v>0</v>
      </c>
      <c r="AD247" s="161">
        <f t="shared" si="94"/>
        <v>0</v>
      </c>
      <c r="AE247" s="161">
        <f t="shared" si="94"/>
        <v>0</v>
      </c>
      <c r="AF247" s="162">
        <f t="shared" si="94"/>
        <v>0</v>
      </c>
      <c r="AG247" s="163">
        <f t="shared" si="9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5">AF249</f>
        <v>0.3</v>
      </c>
      <c r="C249" s="166">
        <v>0.3</v>
      </c>
      <c r="D249" s="166">
        <f t="shared" ref="D249:S254" si="96">C249</f>
        <v>0.3</v>
      </c>
      <c r="E249" s="166">
        <f t="shared" si="96"/>
        <v>0.3</v>
      </c>
      <c r="F249" s="166">
        <f t="shared" si="96"/>
        <v>0.3</v>
      </c>
      <c r="G249" s="166">
        <f t="shared" si="96"/>
        <v>0.3</v>
      </c>
      <c r="H249" s="166">
        <f t="shared" si="96"/>
        <v>0.3</v>
      </c>
      <c r="I249" s="166">
        <f t="shared" si="96"/>
        <v>0.3</v>
      </c>
      <c r="J249" s="166">
        <f t="shared" si="96"/>
        <v>0.3</v>
      </c>
      <c r="K249" s="166">
        <f t="shared" si="96"/>
        <v>0.3</v>
      </c>
      <c r="L249" s="166">
        <f t="shared" si="96"/>
        <v>0.3</v>
      </c>
      <c r="M249" s="166">
        <f t="shared" si="96"/>
        <v>0.3</v>
      </c>
      <c r="N249" s="166">
        <f t="shared" si="96"/>
        <v>0.3</v>
      </c>
      <c r="O249" s="166">
        <f t="shared" si="96"/>
        <v>0.3</v>
      </c>
      <c r="P249" s="166">
        <f t="shared" si="96"/>
        <v>0.3</v>
      </c>
      <c r="Q249" s="166">
        <f t="shared" si="96"/>
        <v>0.3</v>
      </c>
      <c r="R249" s="166">
        <f t="shared" si="96"/>
        <v>0.3</v>
      </c>
      <c r="S249" s="166">
        <f t="shared" si="96"/>
        <v>0.3</v>
      </c>
      <c r="T249" s="166">
        <f t="shared" ref="T249:AF254" si="97">S249</f>
        <v>0.3</v>
      </c>
      <c r="U249" s="166">
        <f t="shared" si="97"/>
        <v>0.3</v>
      </c>
      <c r="V249" s="166">
        <f t="shared" si="97"/>
        <v>0.3</v>
      </c>
      <c r="W249" s="166">
        <f t="shared" si="97"/>
        <v>0.3</v>
      </c>
      <c r="X249" s="166">
        <f t="shared" si="97"/>
        <v>0.3</v>
      </c>
      <c r="Y249" s="166">
        <f t="shared" si="97"/>
        <v>0.3</v>
      </c>
      <c r="Z249" s="166">
        <f t="shared" si="97"/>
        <v>0.3</v>
      </c>
      <c r="AA249" s="166">
        <f t="shared" si="97"/>
        <v>0.3</v>
      </c>
      <c r="AB249" s="166">
        <f t="shared" si="97"/>
        <v>0.3</v>
      </c>
      <c r="AC249" s="166">
        <f t="shared" si="97"/>
        <v>0.3</v>
      </c>
      <c r="AD249" s="166">
        <f t="shared" si="97"/>
        <v>0.3</v>
      </c>
      <c r="AE249" s="166">
        <f t="shared" si="97"/>
        <v>0.3</v>
      </c>
      <c r="AF249" s="166">
        <f t="shared" si="9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5"/>
        <v>0.4</v>
      </c>
      <c r="C250" s="152">
        <v>0.4</v>
      </c>
      <c r="D250" s="152">
        <f t="shared" si="96"/>
        <v>0.4</v>
      </c>
      <c r="E250" s="152">
        <f t="shared" si="96"/>
        <v>0.4</v>
      </c>
      <c r="F250" s="152">
        <f t="shared" si="96"/>
        <v>0.4</v>
      </c>
      <c r="G250" s="152">
        <f t="shared" si="96"/>
        <v>0.4</v>
      </c>
      <c r="H250" s="152">
        <f t="shared" si="96"/>
        <v>0.4</v>
      </c>
      <c r="I250" s="152">
        <f t="shared" si="96"/>
        <v>0.4</v>
      </c>
      <c r="J250" s="152">
        <f t="shared" si="96"/>
        <v>0.4</v>
      </c>
      <c r="K250" s="152">
        <f t="shared" si="96"/>
        <v>0.4</v>
      </c>
      <c r="L250" s="152">
        <f t="shared" si="96"/>
        <v>0.4</v>
      </c>
      <c r="M250" s="152">
        <f t="shared" si="96"/>
        <v>0.4</v>
      </c>
      <c r="N250" s="152">
        <f t="shared" si="96"/>
        <v>0.4</v>
      </c>
      <c r="O250" s="152">
        <f t="shared" si="96"/>
        <v>0.4</v>
      </c>
      <c r="P250" s="152">
        <f t="shared" si="96"/>
        <v>0.4</v>
      </c>
      <c r="Q250" s="152">
        <f t="shared" si="96"/>
        <v>0.4</v>
      </c>
      <c r="R250" s="152">
        <f t="shared" si="96"/>
        <v>0.4</v>
      </c>
      <c r="S250" s="152">
        <f t="shared" si="96"/>
        <v>0.4</v>
      </c>
      <c r="T250" s="152">
        <f t="shared" si="97"/>
        <v>0.4</v>
      </c>
      <c r="U250" s="152">
        <f t="shared" si="97"/>
        <v>0.4</v>
      </c>
      <c r="V250" s="152">
        <f t="shared" si="97"/>
        <v>0.4</v>
      </c>
      <c r="W250" s="152">
        <f t="shared" si="97"/>
        <v>0.4</v>
      </c>
      <c r="X250" s="152">
        <f t="shared" si="97"/>
        <v>0.4</v>
      </c>
      <c r="Y250" s="152">
        <f t="shared" si="97"/>
        <v>0.4</v>
      </c>
      <c r="Z250" s="152">
        <f t="shared" si="97"/>
        <v>0.4</v>
      </c>
      <c r="AA250" s="152">
        <f t="shared" si="97"/>
        <v>0.4</v>
      </c>
      <c r="AB250" s="152">
        <f t="shared" si="97"/>
        <v>0.4</v>
      </c>
      <c r="AC250" s="152">
        <f t="shared" si="97"/>
        <v>0.4</v>
      </c>
      <c r="AD250" s="152">
        <f t="shared" si="97"/>
        <v>0.4</v>
      </c>
      <c r="AE250" s="152">
        <f t="shared" si="97"/>
        <v>0.4</v>
      </c>
      <c r="AF250" s="152">
        <f t="shared" si="9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5"/>
        <v>1.5</v>
      </c>
      <c r="C251" s="152">
        <v>1.5</v>
      </c>
      <c r="D251" s="152">
        <f t="shared" si="96"/>
        <v>1.5</v>
      </c>
      <c r="E251" s="152">
        <f t="shared" si="96"/>
        <v>1.5</v>
      </c>
      <c r="F251" s="152">
        <f t="shared" si="96"/>
        <v>1.5</v>
      </c>
      <c r="G251" s="152">
        <f t="shared" si="96"/>
        <v>1.5</v>
      </c>
      <c r="H251" s="152">
        <f t="shared" si="96"/>
        <v>1.5</v>
      </c>
      <c r="I251" s="152">
        <f t="shared" si="96"/>
        <v>1.5</v>
      </c>
      <c r="J251" s="152">
        <f t="shared" si="96"/>
        <v>1.5</v>
      </c>
      <c r="K251" s="152">
        <f t="shared" si="96"/>
        <v>1.5</v>
      </c>
      <c r="L251" s="152">
        <f t="shared" si="96"/>
        <v>1.5</v>
      </c>
      <c r="M251" s="152">
        <f t="shared" si="96"/>
        <v>1.5</v>
      </c>
      <c r="N251" s="152">
        <f t="shared" si="96"/>
        <v>1.5</v>
      </c>
      <c r="O251" s="152">
        <f t="shared" si="96"/>
        <v>1.5</v>
      </c>
      <c r="P251" s="152">
        <f t="shared" si="96"/>
        <v>1.5</v>
      </c>
      <c r="Q251" s="152">
        <f t="shared" si="96"/>
        <v>1.5</v>
      </c>
      <c r="R251" s="152">
        <f t="shared" si="96"/>
        <v>1.5</v>
      </c>
      <c r="S251" s="152">
        <f t="shared" si="96"/>
        <v>1.5</v>
      </c>
      <c r="T251" s="152">
        <f t="shared" si="97"/>
        <v>1.5</v>
      </c>
      <c r="U251" s="152">
        <f t="shared" si="97"/>
        <v>1.5</v>
      </c>
      <c r="V251" s="152">
        <f t="shared" si="97"/>
        <v>1.5</v>
      </c>
      <c r="W251" s="152">
        <f t="shared" si="97"/>
        <v>1.5</v>
      </c>
      <c r="X251" s="152">
        <f t="shared" si="97"/>
        <v>1.5</v>
      </c>
      <c r="Y251" s="152">
        <f t="shared" si="97"/>
        <v>1.5</v>
      </c>
      <c r="Z251" s="152">
        <f t="shared" si="97"/>
        <v>1.5</v>
      </c>
      <c r="AA251" s="152">
        <f t="shared" si="97"/>
        <v>1.5</v>
      </c>
      <c r="AB251" s="152">
        <f t="shared" si="97"/>
        <v>1.5</v>
      </c>
      <c r="AC251" s="152">
        <f t="shared" si="97"/>
        <v>1.5</v>
      </c>
      <c r="AD251" s="152">
        <f t="shared" si="97"/>
        <v>1.5</v>
      </c>
      <c r="AE251" s="152">
        <f t="shared" si="97"/>
        <v>1.5</v>
      </c>
      <c r="AF251" s="152">
        <f t="shared" si="9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5"/>
        <v>0.3</v>
      </c>
      <c r="C252" s="152">
        <v>0.3</v>
      </c>
      <c r="D252" s="152">
        <f t="shared" si="96"/>
        <v>0.3</v>
      </c>
      <c r="E252" s="152">
        <f t="shared" si="96"/>
        <v>0.3</v>
      </c>
      <c r="F252" s="152">
        <f t="shared" si="96"/>
        <v>0.3</v>
      </c>
      <c r="G252" s="152">
        <f t="shared" si="96"/>
        <v>0.3</v>
      </c>
      <c r="H252" s="152">
        <f t="shared" si="96"/>
        <v>0.3</v>
      </c>
      <c r="I252" s="152">
        <f t="shared" si="96"/>
        <v>0.3</v>
      </c>
      <c r="J252" s="152">
        <f t="shared" si="96"/>
        <v>0.3</v>
      </c>
      <c r="K252" s="152">
        <f t="shared" si="96"/>
        <v>0.3</v>
      </c>
      <c r="L252" s="152">
        <f t="shared" si="96"/>
        <v>0.3</v>
      </c>
      <c r="M252" s="152">
        <f t="shared" si="96"/>
        <v>0.3</v>
      </c>
      <c r="N252" s="152">
        <f t="shared" si="96"/>
        <v>0.3</v>
      </c>
      <c r="O252" s="152">
        <f t="shared" si="96"/>
        <v>0.3</v>
      </c>
      <c r="P252" s="152">
        <f t="shared" si="96"/>
        <v>0.3</v>
      </c>
      <c r="Q252" s="152">
        <f t="shared" si="96"/>
        <v>0.3</v>
      </c>
      <c r="R252" s="152">
        <f t="shared" si="96"/>
        <v>0.3</v>
      </c>
      <c r="S252" s="152">
        <f t="shared" si="96"/>
        <v>0.3</v>
      </c>
      <c r="T252" s="152">
        <f t="shared" si="97"/>
        <v>0.3</v>
      </c>
      <c r="U252" s="152">
        <f t="shared" si="97"/>
        <v>0.3</v>
      </c>
      <c r="V252" s="152">
        <f t="shared" si="97"/>
        <v>0.3</v>
      </c>
      <c r="W252" s="152">
        <f t="shared" si="97"/>
        <v>0.3</v>
      </c>
      <c r="X252" s="152">
        <f t="shared" si="97"/>
        <v>0.3</v>
      </c>
      <c r="Y252" s="152">
        <f t="shared" si="97"/>
        <v>0.3</v>
      </c>
      <c r="Z252" s="152">
        <f t="shared" si="97"/>
        <v>0.3</v>
      </c>
      <c r="AA252" s="152">
        <f t="shared" si="97"/>
        <v>0.3</v>
      </c>
      <c r="AB252" s="152">
        <f t="shared" si="97"/>
        <v>0.3</v>
      </c>
      <c r="AC252" s="152">
        <f t="shared" si="97"/>
        <v>0.3</v>
      </c>
      <c r="AD252" s="152">
        <f t="shared" si="97"/>
        <v>0.3</v>
      </c>
      <c r="AE252" s="152">
        <f t="shared" si="97"/>
        <v>0.3</v>
      </c>
      <c r="AF252" s="152">
        <f t="shared" si="9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5"/>
        <v>0.4</v>
      </c>
      <c r="C253" s="152">
        <v>0.4</v>
      </c>
      <c r="D253" s="152">
        <f t="shared" si="96"/>
        <v>0.4</v>
      </c>
      <c r="E253" s="152">
        <f t="shared" si="96"/>
        <v>0.4</v>
      </c>
      <c r="F253" s="152">
        <f t="shared" si="96"/>
        <v>0.4</v>
      </c>
      <c r="G253" s="152">
        <f t="shared" si="96"/>
        <v>0.4</v>
      </c>
      <c r="H253" s="152">
        <f t="shared" si="96"/>
        <v>0.4</v>
      </c>
      <c r="I253" s="152">
        <f t="shared" si="96"/>
        <v>0.4</v>
      </c>
      <c r="J253" s="152">
        <f t="shared" si="96"/>
        <v>0.4</v>
      </c>
      <c r="K253" s="152">
        <f t="shared" si="96"/>
        <v>0.4</v>
      </c>
      <c r="L253" s="152">
        <f t="shared" si="96"/>
        <v>0.4</v>
      </c>
      <c r="M253" s="152">
        <f t="shared" si="96"/>
        <v>0.4</v>
      </c>
      <c r="N253" s="152">
        <f t="shared" si="96"/>
        <v>0.4</v>
      </c>
      <c r="O253" s="152">
        <f t="shared" si="96"/>
        <v>0.4</v>
      </c>
      <c r="P253" s="152">
        <f t="shared" si="96"/>
        <v>0.4</v>
      </c>
      <c r="Q253" s="152">
        <f t="shared" si="96"/>
        <v>0.4</v>
      </c>
      <c r="R253" s="152">
        <f t="shared" si="96"/>
        <v>0.4</v>
      </c>
      <c r="S253" s="152">
        <f t="shared" si="96"/>
        <v>0.4</v>
      </c>
      <c r="T253" s="152">
        <f t="shared" si="97"/>
        <v>0.4</v>
      </c>
      <c r="U253" s="152">
        <f t="shared" si="97"/>
        <v>0.4</v>
      </c>
      <c r="V253" s="152">
        <f t="shared" si="97"/>
        <v>0.4</v>
      </c>
      <c r="W253" s="152">
        <f t="shared" si="97"/>
        <v>0.4</v>
      </c>
      <c r="X253" s="152">
        <f t="shared" si="97"/>
        <v>0.4</v>
      </c>
      <c r="Y253" s="152">
        <f t="shared" si="97"/>
        <v>0.4</v>
      </c>
      <c r="Z253" s="152">
        <f t="shared" si="97"/>
        <v>0.4</v>
      </c>
      <c r="AA253" s="152">
        <f t="shared" si="97"/>
        <v>0.4</v>
      </c>
      <c r="AB253" s="152">
        <f t="shared" si="97"/>
        <v>0.4</v>
      </c>
      <c r="AC253" s="152">
        <f t="shared" si="97"/>
        <v>0.4</v>
      </c>
      <c r="AD253" s="152">
        <f t="shared" si="97"/>
        <v>0.4</v>
      </c>
      <c r="AE253" s="152">
        <f t="shared" si="97"/>
        <v>0.4</v>
      </c>
      <c r="AF253" s="152">
        <f t="shared" si="9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5"/>
        <v>0.64</v>
      </c>
      <c r="C254" s="157">
        <v>0.64</v>
      </c>
      <c r="D254" s="157">
        <f t="shared" si="96"/>
        <v>0.64</v>
      </c>
      <c r="E254" s="157">
        <f t="shared" si="96"/>
        <v>0.64</v>
      </c>
      <c r="F254" s="157">
        <f t="shared" si="96"/>
        <v>0.64</v>
      </c>
      <c r="G254" s="157">
        <f t="shared" si="96"/>
        <v>0.64</v>
      </c>
      <c r="H254" s="157">
        <f t="shared" si="96"/>
        <v>0.64</v>
      </c>
      <c r="I254" s="157">
        <f t="shared" si="96"/>
        <v>0.64</v>
      </c>
      <c r="J254" s="157">
        <f t="shared" si="96"/>
        <v>0.64</v>
      </c>
      <c r="K254" s="157">
        <f t="shared" si="96"/>
        <v>0.64</v>
      </c>
      <c r="L254" s="157">
        <f t="shared" si="96"/>
        <v>0.64</v>
      </c>
      <c r="M254" s="157">
        <f t="shared" si="96"/>
        <v>0.64</v>
      </c>
      <c r="N254" s="157">
        <f t="shared" si="96"/>
        <v>0.64</v>
      </c>
      <c r="O254" s="157">
        <f t="shared" si="96"/>
        <v>0.64</v>
      </c>
      <c r="P254" s="157">
        <f t="shared" si="96"/>
        <v>0.64</v>
      </c>
      <c r="Q254" s="157">
        <f t="shared" si="96"/>
        <v>0.64</v>
      </c>
      <c r="R254" s="157">
        <f t="shared" si="96"/>
        <v>0.64</v>
      </c>
      <c r="S254" s="157">
        <f t="shared" si="96"/>
        <v>0.64</v>
      </c>
      <c r="T254" s="157">
        <f t="shared" si="97"/>
        <v>0.64</v>
      </c>
      <c r="U254" s="157">
        <f t="shared" si="97"/>
        <v>0.64</v>
      </c>
      <c r="V254" s="157">
        <f t="shared" si="97"/>
        <v>0.64</v>
      </c>
      <c r="W254" s="157">
        <f t="shared" si="97"/>
        <v>0.64</v>
      </c>
      <c r="X254" s="157">
        <f t="shared" si="97"/>
        <v>0.64</v>
      </c>
      <c r="Y254" s="157">
        <f t="shared" si="97"/>
        <v>0.64</v>
      </c>
      <c r="Z254" s="157">
        <f t="shared" si="97"/>
        <v>0.64</v>
      </c>
      <c r="AA254" s="157">
        <f t="shared" si="97"/>
        <v>0.64</v>
      </c>
      <c r="AB254" s="157">
        <f t="shared" si="97"/>
        <v>0.64</v>
      </c>
      <c r="AC254" s="157">
        <f t="shared" si="97"/>
        <v>0.64</v>
      </c>
      <c r="AD254" s="157">
        <f t="shared" si="97"/>
        <v>0.64</v>
      </c>
      <c r="AE254" s="157">
        <f t="shared" si="97"/>
        <v>0.64</v>
      </c>
      <c r="AF254" s="157">
        <f t="shared" si="9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8">SUM(B249:B254)</f>
        <v>3.54</v>
      </c>
      <c r="C255" s="161">
        <f t="shared" si="98"/>
        <v>3.54</v>
      </c>
      <c r="D255" s="161">
        <f t="shared" si="98"/>
        <v>3.54</v>
      </c>
      <c r="E255" s="161">
        <f t="shared" si="98"/>
        <v>3.54</v>
      </c>
      <c r="F255" s="161">
        <f t="shared" si="98"/>
        <v>3.54</v>
      </c>
      <c r="G255" s="161">
        <f t="shared" si="98"/>
        <v>3.54</v>
      </c>
      <c r="H255" s="161">
        <f t="shared" si="98"/>
        <v>3.54</v>
      </c>
      <c r="I255" s="161">
        <f t="shared" si="98"/>
        <v>3.54</v>
      </c>
      <c r="J255" s="161">
        <f t="shared" si="98"/>
        <v>3.54</v>
      </c>
      <c r="K255" s="161">
        <f t="shared" si="98"/>
        <v>3.54</v>
      </c>
      <c r="L255" s="161">
        <f t="shared" si="98"/>
        <v>3.54</v>
      </c>
      <c r="M255" s="161">
        <f t="shared" si="98"/>
        <v>3.54</v>
      </c>
      <c r="N255" s="161">
        <f t="shared" si="98"/>
        <v>3.54</v>
      </c>
      <c r="O255" s="161">
        <f t="shared" si="98"/>
        <v>3.54</v>
      </c>
      <c r="P255" s="161">
        <f t="shared" si="98"/>
        <v>3.54</v>
      </c>
      <c r="Q255" s="161">
        <f t="shared" si="98"/>
        <v>3.54</v>
      </c>
      <c r="R255" s="161">
        <f t="shared" si="98"/>
        <v>3.54</v>
      </c>
      <c r="S255" s="161">
        <f t="shared" si="98"/>
        <v>3.54</v>
      </c>
      <c r="T255" s="161">
        <f t="shared" si="98"/>
        <v>3.54</v>
      </c>
      <c r="U255" s="161">
        <f t="shared" si="98"/>
        <v>3.54</v>
      </c>
      <c r="V255" s="161">
        <f t="shared" si="98"/>
        <v>3.54</v>
      </c>
      <c r="W255" s="161">
        <f t="shared" si="98"/>
        <v>3.54</v>
      </c>
      <c r="X255" s="161">
        <f t="shared" si="98"/>
        <v>3.54</v>
      </c>
      <c r="Y255" s="161">
        <f t="shared" si="98"/>
        <v>3.54</v>
      </c>
      <c r="Z255" s="161">
        <f t="shared" si="98"/>
        <v>3.54</v>
      </c>
      <c r="AA255" s="161">
        <f t="shared" si="98"/>
        <v>3.54</v>
      </c>
      <c r="AB255" s="161">
        <f t="shared" si="98"/>
        <v>3.54</v>
      </c>
      <c r="AC255" s="161">
        <f t="shared" si="98"/>
        <v>3.54</v>
      </c>
      <c r="AD255" s="161">
        <f t="shared" si="98"/>
        <v>3.54</v>
      </c>
      <c r="AE255" s="161">
        <f t="shared" si="98"/>
        <v>3.54</v>
      </c>
      <c r="AF255" s="161">
        <f t="shared" si="98"/>
        <v>3.54</v>
      </c>
      <c r="AG255" s="171">
        <f t="shared" si="9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1905.64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2080/10/23)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618" priority="80">
      <formula>$AH11=0</formula>
    </cfRule>
  </conditionalFormatting>
  <conditionalFormatting sqref="A89">
    <cfRule type="expression" dxfId="1617" priority="138">
      <formula>$AH94=0</formula>
    </cfRule>
  </conditionalFormatting>
  <conditionalFormatting sqref="A90:A94">
    <cfRule type="expression" dxfId="1616" priority="81">
      <formula>$AH89=0</formula>
    </cfRule>
  </conditionalFormatting>
  <conditionalFormatting sqref="B8">
    <cfRule type="expression" dxfId="1615" priority="134">
      <formula>AND(C$9&gt;=14/24,C$9&lt;20/24)</formula>
    </cfRule>
    <cfRule type="expression" dxfId="1614" priority="135">
      <formula>AND(C$9&gt;=8/24,C$9&lt;14/24)</formula>
    </cfRule>
    <cfRule type="expression" dxfId="1613" priority="136">
      <formula>C$9&lt;8/24</formula>
    </cfRule>
    <cfRule type="expression" dxfId="1612" priority="137">
      <formula>C$9&gt;=20/24</formula>
    </cfRule>
  </conditionalFormatting>
  <conditionalFormatting sqref="B11:L57 M15:Z57 E62:L64 B62:D71 E66:L77 B72:E77 G72:AF77 B80:AF102 B9:AF10 B104:AF120 B122:AF140 B247:AF247 B249:B255">
    <cfRule type="expression" dxfId="1611" priority="41">
      <formula>B$9&gt;=20/24</formula>
    </cfRule>
  </conditionalFormatting>
  <conditionalFormatting sqref="B9:AF10 B11:L57 M15:Z57 E62:L64 B62:D71 E66:L77 B72:E77 G72:AF77 B80:AF102 B104:AF120 B122:AF140 B247:AF247 B249:B255">
    <cfRule type="expression" dxfId="1610" priority="42">
      <formula>AND(B$9&gt;=14/24,B$9&lt;20/24)</formula>
    </cfRule>
    <cfRule type="expression" dxfId="1609" priority="43">
      <formula>AND(B$9&gt;=8/24,B$9&lt;14/24)</formula>
    </cfRule>
    <cfRule type="expression" dxfId="1608" priority="44">
      <formula>B$9&lt;8/24</formula>
    </cfRule>
  </conditionalFormatting>
  <conditionalFormatting sqref="B58:AF60">
    <cfRule type="expression" dxfId="1607" priority="37">
      <formula>B$9&gt;=20/24</formula>
    </cfRule>
    <cfRule type="expression" dxfId="1606" priority="38">
      <formula>AND(B$9&gt;=14/24,B$9&lt;20/24)</formula>
    </cfRule>
    <cfRule type="expression" dxfId="1605" priority="39">
      <formula>AND(B$9&gt;=8/24,B$9&lt;14/24)</formula>
    </cfRule>
    <cfRule type="expression" dxfId="1604" priority="49">
      <formula>B$9&lt;8/24</formula>
    </cfRule>
  </conditionalFormatting>
  <conditionalFormatting sqref="D249:AF255">
    <cfRule type="expression" dxfId="1603" priority="119">
      <formula>D$9&gt;=20/24</formula>
    </cfRule>
    <cfRule type="expression" dxfId="1602" priority="120">
      <formula>AND(D$9&gt;=14/24,D$9&lt;20/24)</formula>
    </cfRule>
    <cfRule type="expression" dxfId="1601" priority="121">
      <formula>AND(D$9&gt;=8/24,D$9&lt;14/24)</formula>
    </cfRule>
    <cfRule type="expression" dxfId="1600" priority="122">
      <formula>D$9&lt;8/24</formula>
    </cfRule>
  </conditionalFormatting>
  <conditionalFormatting sqref="E71:L71">
    <cfRule type="expression" dxfId="1599" priority="45">
      <formula>E$9&gt;=20/24</formula>
    </cfRule>
    <cfRule type="expression" dxfId="1598" priority="46">
      <formula>AND(E$9&gt;=14/24,E$9&lt;20/24)</formula>
    </cfRule>
    <cfRule type="expression" dxfId="1597" priority="47">
      <formula>AND(E$9&gt;=8/24,E$9&lt;14/24)</formula>
    </cfRule>
    <cfRule type="expression" dxfId="1596" priority="48">
      <formula>E$9&lt;8/24</formula>
    </cfRule>
  </conditionalFormatting>
  <conditionalFormatting sqref="E66:W70">
    <cfRule type="expression" dxfId="1595" priority="50">
      <formula>E$9&gt;=20/24</formula>
    </cfRule>
    <cfRule type="expression" dxfId="1594" priority="51">
      <formula>AND(E$9&gt;=14/24,E$9&lt;20/24)</formula>
    </cfRule>
    <cfRule type="expression" dxfId="1593" priority="52">
      <formula>AND(E$9&gt;=8/24,E$9&lt;14/24)</formula>
    </cfRule>
    <cfRule type="expression" dxfId="1592" priority="53">
      <formula>E$9&lt;8/24</formula>
    </cfRule>
  </conditionalFormatting>
  <conditionalFormatting sqref="E62:AF65">
    <cfRule type="expression" dxfId="1591" priority="60">
      <formula>E$9&gt;=20/24</formula>
    </cfRule>
    <cfRule type="expression" dxfId="1590" priority="61">
      <formula>AND(E$9&gt;=14/24,E$9&lt;20/24)</formula>
    </cfRule>
    <cfRule type="expression" dxfId="1589" priority="62">
      <formula>AND(E$9&gt;=8/24,E$9&lt;14/24)</formula>
    </cfRule>
    <cfRule type="expression" dxfId="1588" priority="63">
      <formula>E$9&lt;8/24</formula>
    </cfRule>
  </conditionalFormatting>
  <conditionalFormatting sqref="G11:L60 B11:F83 M15:S60 AA15:AF60 T15:Z83 B30:I30 AA61:AG61 G61:S83 AA62:AF64 AA65:AG65 AA66:AF83 AG83">
    <cfRule type="expression" dxfId="1587" priority="40">
      <formula>B11&gt;$AG11</formula>
    </cfRule>
  </conditionalFormatting>
  <conditionalFormatting sqref="G66:L68">
    <cfRule type="expression" dxfId="1586" priority="72">
      <formula>G$9&gt;=20/24</formula>
    </cfRule>
    <cfRule type="expression" dxfId="1585" priority="73">
      <formula>AND(G$9&gt;=14/24,G$9&lt;20/24)</formula>
    </cfRule>
    <cfRule type="expression" dxfId="1584" priority="74">
      <formula>AND(G$9&gt;=8/24,G$9&lt;14/24)</formula>
    </cfRule>
    <cfRule type="expression" dxfId="1583" priority="75">
      <formula>G$9&lt;8/24</formula>
    </cfRule>
  </conditionalFormatting>
  <conditionalFormatting sqref="L71:W71">
    <cfRule type="expression" dxfId="1582" priority="68">
      <formula>L$9&gt;=20/24</formula>
    </cfRule>
    <cfRule type="expression" dxfId="1581" priority="69">
      <formula>AND(L$9&gt;=14/24,L$9&lt;20/24)</formula>
    </cfRule>
    <cfRule type="expression" dxfId="1580" priority="70">
      <formula>AND(L$9&gt;=8/24,L$9&lt;14/24)</formula>
    </cfRule>
    <cfRule type="expression" dxfId="1579" priority="71">
      <formula>L$9&lt;8/24</formula>
    </cfRule>
  </conditionalFormatting>
  <conditionalFormatting sqref="M8 S8 AB8">
    <cfRule type="expression" dxfId="1578" priority="126">
      <formula>AND(N$9&gt;=14/24,N$9&lt;20/24)</formula>
    </cfRule>
    <cfRule type="expression" dxfId="1577" priority="127">
      <formula>AND(N$9&gt;=8/24,N$9&lt;14/24)</formula>
    </cfRule>
    <cfRule type="expression" dxfId="1576" priority="128">
      <formula>N$9&lt;8/24</formula>
    </cfRule>
  </conditionalFormatting>
  <conditionalFormatting sqref="M11:Z14 AA11:AF57">
    <cfRule type="expression" dxfId="1575" priority="55">
      <formula>M$9&gt;=20/24</formula>
    </cfRule>
    <cfRule type="expression" dxfId="1574" priority="56">
      <formula>AND(M$9&gt;=14/24,M$9&lt;20/24)</formula>
    </cfRule>
    <cfRule type="expression" dxfId="1573" priority="57">
      <formula>AND(M$9&gt;=8/24,M$9&lt;14/24)</formula>
    </cfRule>
    <cfRule type="expression" dxfId="1572" priority="58">
      <formula>M$9&lt;8/24</formula>
    </cfRule>
  </conditionalFormatting>
  <conditionalFormatting sqref="M11:AF14">
    <cfRule type="expression" dxfId="1571" priority="54">
      <formula>M11&gt;$AG11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570" priority="125">
      <formula>N$9&gt;=20/24</formula>
    </cfRule>
  </conditionalFormatting>
  <conditionalFormatting sqref="S8">
    <cfRule type="expression" dxfId="1569" priority="112">
      <formula>U$9&gt;=20/24</formula>
    </cfRule>
    <cfRule type="expression" dxfId="1568" priority="113">
      <formula>AND(U$9&gt;=14/24,U$9&lt;20/24)</formula>
    </cfRule>
    <cfRule type="expression" dxfId="1567" priority="114">
      <formula>AND(U$9&gt;=8/24,U$9&lt;14/24)</formula>
    </cfRule>
    <cfRule type="expression" dxfId="1566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X66:AF71">
    <cfRule type="expression" dxfId="1565" priority="64">
      <formula>X$9&gt;=20/24</formula>
    </cfRule>
    <cfRule type="expression" dxfId="1564" priority="65">
      <formula>AND(X$9&gt;=14/24,X$9&lt;20/24)</formula>
    </cfRule>
    <cfRule type="expression" dxfId="1563" priority="66">
      <formula>AND(X$9&gt;=8/24,X$9&lt;14/24)</formula>
    </cfRule>
    <cfRule type="expression" dxfId="1562" priority="67">
      <formula>X$9&lt;8/24</formula>
    </cfRule>
  </conditionalFormatting>
  <conditionalFormatting sqref="AB8">
    <cfRule type="expression" dxfId="1561" priority="108">
      <formula>AD$9&gt;=20/24</formula>
    </cfRule>
    <cfRule type="expression" dxfId="1560" priority="109">
      <formula>AND(AD$9&gt;=14/24,AD$9&lt;20/24)</formula>
    </cfRule>
    <cfRule type="expression" dxfId="1559" priority="110">
      <formula>AND(AD$9&gt;=8/24,AD$9&lt;14/24)</formula>
    </cfRule>
    <cfRule type="expression" dxfId="1558" priority="111">
      <formula>AD$9&lt;8/24</formula>
    </cfRule>
  </conditionalFormatting>
  <conditionalFormatting sqref="AG65">
    <cfRule type="expression" dxfId="1557" priority="87">
      <formula>AG$9&gt;=20/24</formula>
    </cfRule>
    <cfRule type="expression" dxfId="1556" priority="88">
      <formula>AND(AG$9&gt;=14/24,AG$9&lt;20/24)</formula>
    </cfRule>
    <cfRule type="expression" dxfId="1555" priority="89">
      <formula>AND(AG$9&gt;=8/24,AG$9&lt;14/24)</formula>
    </cfRule>
    <cfRule type="expression" dxfId="1554" priority="90">
      <formula>AG$9&lt;8/24</formula>
    </cfRule>
  </conditionalFormatting>
  <conditionalFormatting sqref="AG78:AG79">
    <cfRule type="expression" dxfId="1553" priority="82">
      <formula>AG78&gt;$AG78</formula>
    </cfRule>
  </conditionalFormatting>
  <conditionalFormatting sqref="AG83">
    <cfRule type="expression" dxfId="1552" priority="83">
      <formula>AG$9&gt;=20/24</formula>
    </cfRule>
    <cfRule type="expression" dxfId="1551" priority="84">
      <formula>AND(AG$9&gt;=14/24,AG$9&lt;20/24)</formula>
    </cfRule>
    <cfRule type="expression" dxfId="1550" priority="85">
      <formula>AND(AG$9&gt;=8/24,AG$9&lt;14/24)</formula>
    </cfRule>
    <cfRule type="expression" dxfId="1549" priority="86">
      <formula>AG$9&lt;8/24</formula>
    </cfRule>
  </conditionalFormatting>
  <conditionalFormatting sqref="AG100">
    <cfRule type="expression" dxfId="1548" priority="104">
      <formula>AG$9&gt;=20/24</formula>
    </cfRule>
    <cfRule type="expression" dxfId="1547" priority="105">
      <formula>AND(AG$9&gt;=14/24,AG$9&lt;20/24)</formula>
    </cfRule>
    <cfRule type="expression" dxfId="1546" priority="106">
      <formula>AND(AG$9&gt;=8/24,AG$9&lt;14/24)</formula>
    </cfRule>
    <cfRule type="expression" dxfId="154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544" priority="129">
      <formula>AJ$9&gt;=20/24</formula>
    </cfRule>
    <cfRule type="expression" dxfId="1543" priority="130">
      <formula>AND(AJ$9&gt;=14/24,AJ$9&lt;20/24)</formula>
    </cfRule>
    <cfRule type="expression" dxfId="1542" priority="131">
      <formula>AND(AJ$9&gt;=8/24,AJ$9&lt;14/24)</formula>
    </cfRule>
    <cfRule type="expression" dxfId="1541" priority="132">
      <formula>AJ$9&lt;8/24</formula>
    </cfRule>
  </conditionalFormatting>
  <conditionalFormatting sqref="AL86:AN86 AL92:AN92">
    <cfRule type="expression" dxfId="1540" priority="97">
      <formula>AL$9&gt;=20/24</formula>
    </cfRule>
    <cfRule type="expression" dxfId="1539" priority="98">
      <formula>AND(AL$9&gt;=14/24,AL$9&lt;20/24)</formula>
    </cfRule>
    <cfRule type="expression" dxfId="1538" priority="99">
      <formula>AND(AL$9&gt;=8/24,AL$9&lt;14/24)</formula>
    </cfRule>
    <cfRule type="expression" dxfId="1537" priority="100">
      <formula>AL$9&lt;8/24</formula>
    </cfRule>
  </conditionalFormatting>
  <conditionalFormatting sqref="AM15:AM21 AN16:AR21">
    <cfRule type="expression" dxfId="1536" priority="13">
      <formula>AX$9&gt;=20/24</formula>
    </cfRule>
    <cfRule type="expression" dxfId="1535" priority="14">
      <formula>AND(AX$9&gt;=14/24,AX$9&lt;20/24)</formula>
    </cfRule>
    <cfRule type="expression" dxfId="1534" priority="15">
      <formula>AND(AX$9&gt;=8/24,AX$9&lt;14/24)</formula>
    </cfRule>
    <cfRule type="expression" dxfId="1533" priority="16">
      <formula>AX$9&lt;8/24</formula>
    </cfRule>
  </conditionalFormatting>
  <conditionalFormatting sqref="AN87:AN90">
    <cfRule type="expression" dxfId="1532" priority="93">
      <formula>AN$9&gt;=20/24</formula>
    </cfRule>
    <cfRule type="expression" dxfId="1531" priority="94">
      <formula>AND(AN$9&gt;=14/24,AN$9&lt;20/24)</formula>
    </cfRule>
    <cfRule type="expression" dxfId="1530" priority="95">
      <formula>AND(AN$9&gt;=8/24,AN$9&lt;14/24)</formula>
    </cfRule>
    <cfRule type="expression" dxfId="1529" priority="96">
      <formula>AN$9&lt;8/24</formula>
    </cfRule>
  </conditionalFormatting>
  <conditionalFormatting sqref="AN15:AR15">
    <cfRule type="expression" dxfId="1528" priority="1">
      <formula>U$9&gt;=20/24</formula>
    </cfRule>
    <cfRule type="expression" dxfId="1527" priority="2">
      <formula>AND(U$9&gt;=14/24,U$9&lt;20/24)</formula>
    </cfRule>
    <cfRule type="expression" dxfId="1526" priority="3">
      <formula>AND(U$9&gt;=8/24,U$9&lt;14/24)</formula>
    </cfRule>
    <cfRule type="expression" dxfId="1525" priority="4">
      <formula>U$9&lt;8/24</formula>
    </cfRule>
  </conditionalFormatting>
  <conditionalFormatting sqref="AS15">
    <cfRule type="expression" dxfId="1524" priority="9">
      <formula>AA$9&gt;=20/24</formula>
    </cfRule>
    <cfRule type="expression" dxfId="1523" priority="10">
      <formula>AND(AA$9&gt;=14/24,AA$9&lt;20/24)</formula>
    </cfRule>
    <cfRule type="expression" dxfId="1522" priority="11">
      <formula>AND(AA$9&gt;=8/24,AA$9&lt;14/24)</formula>
    </cfRule>
    <cfRule type="expression" dxfId="1521" priority="12">
      <formula>AA$9&lt;8/24</formula>
    </cfRule>
  </conditionalFormatting>
  <conditionalFormatting sqref="AS16:AS21">
    <cfRule type="expression" dxfId="1520" priority="17">
      <formula>BE$9&gt;=20/24</formula>
    </cfRule>
    <cfRule type="expression" dxfId="1519" priority="18">
      <formula>AND(BE$9&gt;=14/24,BE$9&lt;20/24)</formula>
    </cfRule>
    <cfRule type="expression" dxfId="1518" priority="19">
      <formula>AND(BE$9&gt;=8/24,BE$9&lt;14/24)</formula>
    </cfRule>
    <cfRule type="expression" dxfId="1517" priority="20">
      <formula>BE$9&lt;8/24</formula>
    </cfRule>
  </conditionalFormatting>
  <conditionalFormatting sqref="AT15 AX15:BJ15">
    <cfRule type="expression" dxfId="1516" priority="21">
      <formula>AC$9&gt;=20/24</formula>
    </cfRule>
    <cfRule type="expression" dxfId="1515" priority="22">
      <formula>AND(AC$9&gt;=14/24,AC$9&lt;20/24)</formula>
    </cfRule>
    <cfRule type="expression" dxfId="1514" priority="23">
      <formula>AND(AC$9&gt;=8/24,AC$9&lt;14/24)</formula>
    </cfRule>
    <cfRule type="expression" dxfId="1513" priority="24">
      <formula>AC$9&lt;8/24</formula>
    </cfRule>
  </conditionalFormatting>
  <conditionalFormatting sqref="AT16:AT21">
    <cfRule type="expression" dxfId="1512" priority="25">
      <formula>BG$9&gt;=20/24</formula>
    </cfRule>
    <cfRule type="expression" dxfId="1511" priority="26">
      <formula>AND(BG$9&gt;=14/24,BG$9&lt;20/24)</formula>
    </cfRule>
    <cfRule type="expression" dxfId="1510" priority="27">
      <formula>AND(BG$9&gt;=8/24,BG$9&lt;14/24)</formula>
    </cfRule>
    <cfRule type="expression" dxfId="1509" priority="28">
      <formula>BG$9&lt;8/24</formula>
    </cfRule>
  </conditionalFormatting>
  <conditionalFormatting sqref="AU15:AV15">
    <cfRule type="expression" dxfId="1508" priority="29">
      <formula>AE$9&gt;=20/24</formula>
    </cfRule>
    <cfRule type="expression" dxfId="1507" priority="30">
      <formula>AND(AE$9&gt;=14/24,AE$9&lt;20/24)</formula>
    </cfRule>
    <cfRule type="expression" dxfId="1506" priority="31">
      <formula>AND(AE$9&gt;=8/24,AE$9&lt;14/24)</formula>
    </cfRule>
    <cfRule type="expression" dxfId="1505" priority="32">
      <formula>AE$9&lt;8/24</formula>
    </cfRule>
  </conditionalFormatting>
  <conditionalFormatting sqref="AU16:BJ21">
    <cfRule type="expression" dxfId="1504" priority="33">
      <formula>BI$9&gt;=20/24</formula>
    </cfRule>
    <cfRule type="expression" dxfId="1503" priority="34">
      <formula>AND(BI$9&gt;=14/24,BI$9&lt;20/24)</formula>
    </cfRule>
    <cfRule type="expression" dxfId="1502" priority="35">
      <formula>AND(BI$9&gt;=8/24,BI$9&lt;14/24)</formula>
    </cfRule>
    <cfRule type="expression" dxfId="1501" priority="36">
      <formula>BI$9&lt;8/24</formula>
    </cfRule>
  </conditionalFormatting>
  <conditionalFormatting sqref="AW15">
    <cfRule type="expression" dxfId="1500" priority="5">
      <formula>B$9&gt;=20/24</formula>
    </cfRule>
    <cfRule type="expression" dxfId="1499" priority="6">
      <formula>AND(B$9&gt;=14/24,B$9&lt;20/24)</formula>
    </cfRule>
    <cfRule type="expression" dxfId="1498" priority="7">
      <formula>AND(B$9&gt;=8/24,B$9&lt;14/24)</formula>
    </cfRule>
    <cfRule type="expression" dxfId="149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C06A-951E-4917-B4D6-B9D7EB676551}">
  <sheetPr codeName="Sheet25"/>
  <dimension ref="A1:CJ297"/>
  <sheetViews>
    <sheetView zoomScale="106" workbookViewId="0">
      <pane xSplit="1" ySplit="10" topLeftCell="B5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F80" sqref="AF8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2080/10/24</v>
      </c>
      <c r="C4" s="187"/>
      <c r="D4" s="187"/>
      <c r="E4" s="188" t="str">
        <f ca="1">"2080/"&amp;"10/"&amp;INT(MID(CELL("filename",G6),FIND("]",CELL("filename",G6))+1,200))</f>
        <v>2080/10/24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100.1</v>
      </c>
      <c r="C5" s="30">
        <f t="shared" si="0"/>
        <v>48</v>
      </c>
      <c r="D5" s="30">
        <f t="shared" si="0"/>
        <v>44.5</v>
      </c>
      <c r="E5" s="30">
        <f t="shared" si="0"/>
        <v>88</v>
      </c>
      <c r="F5" s="30">
        <f t="shared" si="0"/>
        <v>86</v>
      </c>
      <c r="G5" s="30">
        <f t="shared" si="0"/>
        <v>84.3</v>
      </c>
      <c r="H5" s="30">
        <f t="shared" si="0"/>
        <v>76.400000000000006</v>
      </c>
      <c r="I5" s="30">
        <f t="shared" si="0"/>
        <v>101.7</v>
      </c>
      <c r="J5" s="30">
        <f t="shared" si="0"/>
        <v>178.2</v>
      </c>
      <c r="K5" s="30">
        <f t="shared" si="0"/>
        <v>172.3</v>
      </c>
      <c r="L5" s="30">
        <f t="shared" si="0"/>
        <v>192.7</v>
      </c>
      <c r="M5" s="30">
        <f t="shared" si="0"/>
        <v>202.70000000000002</v>
      </c>
      <c r="N5" s="30">
        <f t="shared" si="0"/>
        <v>214.2</v>
      </c>
      <c r="O5" s="30">
        <f t="shared" si="0"/>
        <v>210.1</v>
      </c>
      <c r="P5" s="30">
        <f t="shared" si="0"/>
        <v>220.89999999999998</v>
      </c>
      <c r="Q5" s="30">
        <f t="shared" si="0"/>
        <v>211.29999999999998</v>
      </c>
      <c r="R5" s="30">
        <f t="shared" si="0"/>
        <v>238.70000000000002</v>
      </c>
      <c r="S5" s="30">
        <f t="shared" si="0"/>
        <v>237.10000000000002</v>
      </c>
      <c r="T5" s="30">
        <f t="shared" si="0"/>
        <v>309.60000000000002</v>
      </c>
      <c r="U5" s="30">
        <f t="shared" si="0"/>
        <v>257.60000000000002</v>
      </c>
      <c r="V5" s="30">
        <f t="shared" si="0"/>
        <v>311.90000000000003</v>
      </c>
      <c r="W5" s="30">
        <f t="shared" si="0"/>
        <v>302.7</v>
      </c>
      <c r="X5" s="30">
        <f t="shared" si="0"/>
        <v>86.800000000000011</v>
      </c>
      <c r="Y5" s="30">
        <f t="shared" si="0"/>
        <v>51.699999999999996</v>
      </c>
      <c r="Z5" s="30">
        <f t="shared" si="0"/>
        <v>63.3</v>
      </c>
      <c r="AA5" s="30">
        <f t="shared" si="0"/>
        <v>56.4</v>
      </c>
      <c r="AB5" s="30">
        <f t="shared" si="0"/>
        <v>64.300000000000011</v>
      </c>
      <c r="AC5" s="30">
        <f t="shared" si="0"/>
        <v>70</v>
      </c>
      <c r="AD5" s="30">
        <f t="shared" si="0"/>
        <v>79</v>
      </c>
      <c r="AE5" s="30">
        <f t="shared" si="0"/>
        <v>69</v>
      </c>
      <c r="AF5" s="30">
        <f>B95</f>
        <v>100.8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1738MW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Load=1376</v>
      </c>
      <c r="B7" s="35">
        <f t="shared" ref="B7:AF7" si="1">B103</f>
        <v>1482.94</v>
      </c>
      <c r="C7" s="35">
        <f t="shared" si="1"/>
        <v>1580.34</v>
      </c>
      <c r="D7" s="35">
        <f t="shared" si="1"/>
        <v>1503.0400000000002</v>
      </c>
      <c r="E7" s="35">
        <f t="shared" si="1"/>
        <v>1448.92</v>
      </c>
      <c r="F7" s="35">
        <f t="shared" si="1"/>
        <v>1375.72</v>
      </c>
      <c r="G7" s="35">
        <f t="shared" si="1"/>
        <v>1407.8200000000002</v>
      </c>
      <c r="H7" s="35">
        <f t="shared" si="1"/>
        <v>1450.82</v>
      </c>
      <c r="I7" s="35">
        <f t="shared" si="1"/>
        <v>1508.72</v>
      </c>
      <c r="J7" s="35">
        <f t="shared" si="1"/>
        <v>1432.5200000000002</v>
      </c>
      <c r="K7" s="35">
        <f t="shared" si="1"/>
        <v>1526.0200000000002</v>
      </c>
      <c r="L7" s="35">
        <f t="shared" si="1"/>
        <v>1558.12</v>
      </c>
      <c r="M7" s="35">
        <f t="shared" si="1"/>
        <v>1438.92</v>
      </c>
      <c r="N7" s="35">
        <f t="shared" si="1"/>
        <v>1528.32</v>
      </c>
      <c r="O7" s="35">
        <f t="shared" si="1"/>
        <v>1626.3200000000002</v>
      </c>
      <c r="P7" s="35">
        <f t="shared" si="1"/>
        <v>1690.36</v>
      </c>
      <c r="Q7" s="35">
        <f t="shared" si="1"/>
        <v>1684.7199999999998</v>
      </c>
      <c r="R7" s="35">
        <f t="shared" si="1"/>
        <v>1641.94</v>
      </c>
      <c r="S7" s="35">
        <f t="shared" si="1"/>
        <v>1743.8400000000001</v>
      </c>
      <c r="T7" s="35">
        <f t="shared" si="1"/>
        <v>1757.8400000000001</v>
      </c>
      <c r="U7" s="35">
        <f t="shared" si="1"/>
        <v>1667.44</v>
      </c>
      <c r="V7" s="35">
        <f t="shared" si="1"/>
        <v>1645.8400000000001</v>
      </c>
      <c r="W7" s="35">
        <f t="shared" si="1"/>
        <v>1623.6400000000003</v>
      </c>
      <c r="X7" s="35">
        <f t="shared" si="1"/>
        <v>1675.3400000000001</v>
      </c>
      <c r="Y7" s="35">
        <f t="shared" si="1"/>
        <v>1807.6399999999999</v>
      </c>
      <c r="Z7" s="35">
        <f t="shared" si="1"/>
        <v>1873.94</v>
      </c>
      <c r="AA7" s="35">
        <f t="shared" si="1"/>
        <v>1937.74</v>
      </c>
      <c r="AB7" s="35">
        <f t="shared" si="1"/>
        <v>1996.0400000000004</v>
      </c>
      <c r="AC7" s="35">
        <f t="shared" si="1"/>
        <v>1986.44</v>
      </c>
      <c r="AD7" s="35">
        <f t="shared" si="1"/>
        <v>1943.44</v>
      </c>
      <c r="AE7" s="35">
        <f t="shared" si="1"/>
        <v>1882.74</v>
      </c>
      <c r="AF7" s="35">
        <f t="shared" si="1"/>
        <v>1831.74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e">
        <f>"DAILY SYSTEM PEAK : "&amp;MAX(AM22:BJ22)&amp;" MW"</f>
        <v>#REF!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e">
        <f>"DAILY NATIONAL PEAK : "&amp;MAX(AM24:BJ24)&amp;" MW"</f>
        <v>#REF!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23.4</v>
      </c>
      <c r="C11" s="46">
        <v>22.7</v>
      </c>
      <c r="D11" s="46">
        <v>22.7</v>
      </c>
      <c r="E11" s="46">
        <v>18.8</v>
      </c>
      <c r="F11" s="46">
        <v>18.8</v>
      </c>
      <c r="G11" s="46">
        <v>21.2</v>
      </c>
      <c r="H11" s="46">
        <v>21.2</v>
      </c>
      <c r="I11" s="46">
        <v>20</v>
      </c>
      <c r="J11" s="46">
        <v>21.2</v>
      </c>
      <c r="K11" s="46">
        <v>21.2</v>
      </c>
      <c r="L11" s="46">
        <v>21.2</v>
      </c>
      <c r="M11" s="46">
        <v>15.2</v>
      </c>
      <c r="N11" s="46">
        <v>24.4</v>
      </c>
      <c r="O11" s="46">
        <v>24</v>
      </c>
      <c r="P11" s="46">
        <v>30.34</v>
      </c>
      <c r="Q11" s="46">
        <v>32.6</v>
      </c>
      <c r="R11" s="46">
        <v>28</v>
      </c>
      <c r="S11" s="46">
        <v>28</v>
      </c>
      <c r="T11" s="46">
        <v>28</v>
      </c>
      <c r="U11" s="46">
        <v>28</v>
      </c>
      <c r="V11" s="46">
        <v>28</v>
      </c>
      <c r="W11" s="46">
        <v>28</v>
      </c>
      <c r="X11" s="46">
        <v>28</v>
      </c>
      <c r="Y11" s="46">
        <v>28</v>
      </c>
      <c r="Z11" s="46">
        <v>28</v>
      </c>
      <c r="AA11" s="46">
        <v>28</v>
      </c>
      <c r="AB11" s="46">
        <v>25</v>
      </c>
      <c r="AC11" s="46">
        <v>25</v>
      </c>
      <c r="AD11" s="46">
        <v>25</v>
      </c>
      <c r="AE11" s="46">
        <v>25</v>
      </c>
      <c r="AF11" s="46">
        <v>25</v>
      </c>
      <c r="AG11" s="47">
        <v>86</v>
      </c>
      <c r="AH11" s="48">
        <f t="shared" ref="AH11:AH74" si="2">MAX(B11:AF11)</f>
        <v>32.6</v>
      </c>
      <c r="AI11" s="49">
        <f t="shared" ref="AI11:AI74" si="3">MIN(B11:AF11)</f>
        <v>15.2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28</v>
      </c>
      <c r="C12" s="46">
        <v>28</v>
      </c>
      <c r="D12" s="46">
        <v>28</v>
      </c>
      <c r="E12" s="46">
        <v>28</v>
      </c>
      <c r="F12" s="46">
        <v>28</v>
      </c>
      <c r="G12" s="46">
        <v>28</v>
      </c>
      <c r="H12" s="46">
        <v>28</v>
      </c>
      <c r="I12" s="46">
        <v>28</v>
      </c>
      <c r="J12" s="46">
        <v>28</v>
      </c>
      <c r="K12" s="46">
        <v>28</v>
      </c>
      <c r="L12" s="46">
        <v>28</v>
      </c>
      <c r="M12" s="46">
        <v>28</v>
      </c>
      <c r="N12" s="46">
        <v>28</v>
      </c>
      <c r="O12" s="46">
        <v>28</v>
      </c>
      <c r="P12" s="46">
        <v>28</v>
      </c>
      <c r="Q12" s="46">
        <v>28</v>
      </c>
      <c r="R12" s="46">
        <v>28</v>
      </c>
      <c r="S12" s="46">
        <v>28</v>
      </c>
      <c r="T12" s="46">
        <v>28</v>
      </c>
      <c r="U12" s="46">
        <v>28</v>
      </c>
      <c r="V12" s="46">
        <v>28</v>
      </c>
      <c r="W12" s="46">
        <v>28</v>
      </c>
      <c r="X12" s="46">
        <v>28</v>
      </c>
      <c r="Y12" s="46">
        <v>28</v>
      </c>
      <c r="Z12" s="46">
        <v>28</v>
      </c>
      <c r="AA12" s="46">
        <v>28</v>
      </c>
      <c r="AB12" s="46">
        <v>28</v>
      </c>
      <c r="AC12" s="46">
        <v>28</v>
      </c>
      <c r="AD12" s="46">
        <v>28</v>
      </c>
      <c r="AE12" s="46">
        <v>28</v>
      </c>
      <c r="AF12" s="46">
        <v>28</v>
      </c>
      <c r="AG12" s="50">
        <v>77</v>
      </c>
      <c r="AH12" s="48">
        <f t="shared" si="2"/>
        <v>28</v>
      </c>
      <c r="AI12" s="49">
        <f t="shared" si="3"/>
        <v>28</v>
      </c>
      <c r="AK12" s="51"/>
      <c r="AL12" s="52" t="str">
        <f ca="1">MID(CELL("filename",C7),FIND("]",CELL("filename",C7))+1,600)</f>
        <v>24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</v>
      </c>
      <c r="C13" s="46">
        <v>69</v>
      </c>
      <c r="D13" s="46">
        <v>69</v>
      </c>
      <c r="E13" s="46">
        <v>70.8</v>
      </c>
      <c r="F13" s="46">
        <v>70.8</v>
      </c>
      <c r="G13" s="46">
        <v>70.8</v>
      </c>
      <c r="H13" s="46">
        <v>70.8</v>
      </c>
      <c r="I13" s="46">
        <v>70.8</v>
      </c>
      <c r="J13" s="46">
        <v>70.8</v>
      </c>
      <c r="K13" s="46">
        <v>70.8</v>
      </c>
      <c r="L13" s="46">
        <v>70.8</v>
      </c>
      <c r="M13" s="46">
        <v>70.8</v>
      </c>
      <c r="N13" s="46">
        <v>70.8</v>
      </c>
      <c r="O13" s="46">
        <v>70.8</v>
      </c>
      <c r="P13" s="46">
        <v>70.8</v>
      </c>
      <c r="Q13" s="46">
        <v>70.8</v>
      </c>
      <c r="R13" s="46">
        <v>70.2</v>
      </c>
      <c r="S13" s="46">
        <v>70.2</v>
      </c>
      <c r="T13" s="46">
        <v>70.2</v>
      </c>
      <c r="U13" s="46">
        <v>70.2</v>
      </c>
      <c r="V13" s="46">
        <v>70.2</v>
      </c>
      <c r="W13" s="46">
        <v>70.2</v>
      </c>
      <c r="X13" s="46">
        <v>70.2</v>
      </c>
      <c r="Y13" s="46">
        <v>70.2</v>
      </c>
      <c r="Z13" s="46">
        <v>70.2</v>
      </c>
      <c r="AA13" s="46">
        <v>70.2</v>
      </c>
      <c r="AB13" s="46">
        <v>70.2</v>
      </c>
      <c r="AC13" s="46">
        <v>70.2</v>
      </c>
      <c r="AD13" s="46">
        <v>70.2</v>
      </c>
      <c r="AE13" s="46">
        <v>70.2</v>
      </c>
      <c r="AF13" s="46">
        <v>70.2</v>
      </c>
      <c r="AG13" s="50">
        <v>73</v>
      </c>
      <c r="AH13" s="48">
        <f t="shared" si="2"/>
        <v>70.8</v>
      </c>
      <c r="AI13" s="49">
        <f t="shared" si="3"/>
        <v>69</v>
      </c>
      <c r="AK13" s="51"/>
      <c r="AL13" s="52" t="str">
        <f ca="1">"Daily Load Curve(Excluding of Export) of Nepal ("&amp;A4&amp;" "&amp;B4&amp;")"</f>
        <v>Daily Load Curve(Excluding of Export) of Nepal (Nepali Date: 2080/10/24)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0</v>
      </c>
      <c r="C14" s="46">
        <v>39.299999999999997</v>
      </c>
      <c r="D14" s="46">
        <v>39.299999999999997</v>
      </c>
      <c r="E14" s="46">
        <v>36.799999999999997</v>
      </c>
      <c r="F14" s="46">
        <v>36.799999999999997</v>
      </c>
      <c r="G14" s="46">
        <v>36.799999999999997</v>
      </c>
      <c r="H14" s="46">
        <v>36.799999999999997</v>
      </c>
      <c r="I14" s="46">
        <v>36.799999999999997</v>
      </c>
      <c r="J14" s="46">
        <v>36.799999999999997</v>
      </c>
      <c r="K14" s="46">
        <v>36.799999999999997</v>
      </c>
      <c r="L14" s="46">
        <v>36.799999999999997</v>
      </c>
      <c r="M14" s="46">
        <v>36.799999999999997</v>
      </c>
      <c r="N14" s="46">
        <v>36.799999999999997</v>
      </c>
      <c r="O14" s="46">
        <v>36.799999999999997</v>
      </c>
      <c r="P14" s="46">
        <v>36.799999999999997</v>
      </c>
      <c r="Q14" s="46">
        <v>36.799999999999997</v>
      </c>
      <c r="R14" s="46">
        <v>30.4</v>
      </c>
      <c r="S14" s="46">
        <v>30.4</v>
      </c>
      <c r="T14" s="46">
        <v>30.4</v>
      </c>
      <c r="U14" s="46">
        <v>30.4</v>
      </c>
      <c r="V14" s="46">
        <v>30.4</v>
      </c>
      <c r="W14" s="46">
        <v>30.4</v>
      </c>
      <c r="X14" s="46">
        <v>30.4</v>
      </c>
      <c r="Y14" s="46">
        <v>30.4</v>
      </c>
      <c r="Z14" s="46">
        <v>30.4</v>
      </c>
      <c r="AA14" s="46">
        <v>30.4</v>
      </c>
      <c r="AB14" s="46">
        <v>40.6</v>
      </c>
      <c r="AC14" s="46">
        <v>40.6</v>
      </c>
      <c r="AD14" s="46">
        <v>40.6</v>
      </c>
      <c r="AE14" s="46">
        <v>40.6</v>
      </c>
      <c r="AF14" s="46">
        <v>40.6</v>
      </c>
      <c r="AG14" s="50">
        <v>71</v>
      </c>
      <c r="AH14" s="48">
        <f t="shared" si="2"/>
        <v>40.6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16.5</v>
      </c>
      <c r="C15" s="46">
        <v>16.5</v>
      </c>
      <c r="D15" s="46">
        <v>16.5</v>
      </c>
      <c r="E15" s="46">
        <v>16.5</v>
      </c>
      <c r="F15" s="46">
        <v>16.5</v>
      </c>
      <c r="G15" s="46">
        <v>16.5</v>
      </c>
      <c r="H15" s="46">
        <v>16.5</v>
      </c>
      <c r="I15" s="46">
        <v>16.5</v>
      </c>
      <c r="J15" s="46">
        <v>16.5</v>
      </c>
      <c r="K15" s="46">
        <v>16.5</v>
      </c>
      <c r="L15" s="46">
        <v>16.5</v>
      </c>
      <c r="M15" s="46">
        <v>16.5</v>
      </c>
      <c r="N15" s="46">
        <v>16.5</v>
      </c>
      <c r="O15" s="46">
        <v>16.5</v>
      </c>
      <c r="P15" s="46">
        <v>16.5</v>
      </c>
      <c r="Q15" s="46">
        <v>16.5</v>
      </c>
      <c r="R15" s="46">
        <v>16.5</v>
      </c>
      <c r="S15" s="46">
        <v>16.5</v>
      </c>
      <c r="T15" s="46">
        <v>16.5</v>
      </c>
      <c r="U15" s="46">
        <v>16.5</v>
      </c>
      <c r="V15" s="46">
        <v>16.5</v>
      </c>
      <c r="W15" s="46">
        <v>16.5</v>
      </c>
      <c r="X15" s="46">
        <v>16.5</v>
      </c>
      <c r="Y15" s="46">
        <v>16.5</v>
      </c>
      <c r="Z15" s="46">
        <v>16.5</v>
      </c>
      <c r="AA15" s="46">
        <v>16.5</v>
      </c>
      <c r="AB15" s="46">
        <v>16.5</v>
      </c>
      <c r="AC15" s="46">
        <v>16.5</v>
      </c>
      <c r="AD15" s="46">
        <v>16.5</v>
      </c>
      <c r="AE15" s="46">
        <v>16.5</v>
      </c>
      <c r="AF15" s="46">
        <v>16.5</v>
      </c>
      <c r="AG15" s="50">
        <v>54</v>
      </c>
      <c r="AH15" s="48">
        <f t="shared" si="2"/>
        <v>16.5</v>
      </c>
      <c r="AI15" s="49">
        <f t="shared" si="3"/>
        <v>16.5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20.9</v>
      </c>
      <c r="C16" s="46">
        <v>20.9</v>
      </c>
      <c r="D16" s="46">
        <v>20.9</v>
      </c>
      <c r="E16" s="46">
        <v>20.9</v>
      </c>
      <c r="F16" s="46">
        <v>20.9</v>
      </c>
      <c r="G16" s="46">
        <v>20.9</v>
      </c>
      <c r="H16" s="46">
        <v>20.9</v>
      </c>
      <c r="I16" s="46">
        <v>20.9</v>
      </c>
      <c r="J16" s="46">
        <v>20.9</v>
      </c>
      <c r="K16" s="46">
        <v>20.9</v>
      </c>
      <c r="L16" s="46">
        <v>20.9</v>
      </c>
      <c r="M16" s="46">
        <v>20.9</v>
      </c>
      <c r="N16" s="46">
        <v>20.9</v>
      </c>
      <c r="O16" s="46">
        <v>20.9</v>
      </c>
      <c r="P16" s="46">
        <v>20.9</v>
      </c>
      <c r="Q16" s="46">
        <v>20.9</v>
      </c>
      <c r="R16" s="46">
        <v>19.899999999999999</v>
      </c>
      <c r="S16" s="46">
        <v>19.899999999999999</v>
      </c>
      <c r="T16" s="46">
        <v>19.899999999999999</v>
      </c>
      <c r="U16" s="46">
        <v>19.899999999999999</v>
      </c>
      <c r="V16" s="46">
        <v>19.899999999999999</v>
      </c>
      <c r="W16" s="46">
        <v>19.899999999999999</v>
      </c>
      <c r="X16" s="46">
        <v>19.899999999999999</v>
      </c>
      <c r="Y16" s="46">
        <v>19.899999999999999</v>
      </c>
      <c r="Z16" s="46">
        <v>19.899999999999999</v>
      </c>
      <c r="AA16" s="46">
        <v>19.899999999999999</v>
      </c>
      <c r="AB16" s="46">
        <v>26.9</v>
      </c>
      <c r="AC16" s="46">
        <v>26.9</v>
      </c>
      <c r="AD16" s="46">
        <v>26.9</v>
      </c>
      <c r="AE16" s="46">
        <v>26.9</v>
      </c>
      <c r="AF16" s="46">
        <v>26.9</v>
      </c>
      <c r="AG16" s="50">
        <v>54</v>
      </c>
      <c r="AH16" s="48">
        <f t="shared" si="2"/>
        <v>26.9</v>
      </c>
      <c r="AI16" s="49">
        <f t="shared" si="3"/>
        <v>19.899999999999999</v>
      </c>
      <c r="AK16" s="51"/>
      <c r="AL16" s="54" t="s">
        <v>7</v>
      </c>
      <c r="AM16" s="59">
        <f t="shared" ref="AM16:AR16" si="4">B61</f>
        <v>588.5</v>
      </c>
      <c r="AN16" s="59">
        <f t="shared" si="4"/>
        <v>728.30000000000007</v>
      </c>
      <c r="AO16" s="59">
        <f t="shared" si="4"/>
        <v>728.30000000000007</v>
      </c>
      <c r="AP16" s="59">
        <f t="shared" si="4"/>
        <v>721.07999999999993</v>
      </c>
      <c r="AQ16" s="59">
        <f t="shared" si="4"/>
        <v>721.07999999999993</v>
      </c>
      <c r="AR16" s="59">
        <f t="shared" si="4"/>
        <v>723.48</v>
      </c>
      <c r="AS16" s="59">
        <f>I61</f>
        <v>722.28</v>
      </c>
      <c r="AT16" s="59">
        <f>K61</f>
        <v>723.48</v>
      </c>
      <c r="AU16" s="59">
        <f t="shared" ref="AU16:BD16" si="5">M61</f>
        <v>717.4799999999999</v>
      </c>
      <c r="AV16" s="59">
        <f t="shared" si="5"/>
        <v>726.68</v>
      </c>
      <c r="AW16" s="59">
        <f t="shared" si="5"/>
        <v>726.28</v>
      </c>
      <c r="AX16" s="59">
        <f t="shared" si="5"/>
        <v>732.61999999999989</v>
      </c>
      <c r="AY16" s="59">
        <f t="shared" si="5"/>
        <v>734.87999999999988</v>
      </c>
      <c r="AZ16" s="59">
        <f t="shared" si="5"/>
        <v>712.50000000000011</v>
      </c>
      <c r="BA16" s="59">
        <f t="shared" si="5"/>
        <v>712.50000000000011</v>
      </c>
      <c r="BB16" s="59">
        <f t="shared" si="5"/>
        <v>712.50000000000011</v>
      </c>
      <c r="BC16" s="59">
        <f t="shared" si="5"/>
        <v>712.50000000000011</v>
      </c>
      <c r="BD16" s="59">
        <f t="shared" si="5"/>
        <v>712.50000000000011</v>
      </c>
      <c r="BE16" s="60">
        <f>X61</f>
        <v>712.50000000000011</v>
      </c>
      <c r="BF16" s="60">
        <f>Z61</f>
        <v>712.50000000000011</v>
      </c>
      <c r="BG16" s="60">
        <f>AB61</f>
        <v>767.20000000000016</v>
      </c>
      <c r="BH16" s="60">
        <f>AD61</f>
        <v>767.20000000000016</v>
      </c>
      <c r="BI16" s="60">
        <f>AE61</f>
        <v>767.20000000000016</v>
      </c>
      <c r="BJ16" s="60">
        <f>AF61</f>
        <v>767.20000000000016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19.399999999999999</v>
      </c>
      <c r="C17" s="46">
        <v>19.399999999999999</v>
      </c>
      <c r="D17" s="46">
        <v>19.399999999999999</v>
      </c>
      <c r="E17" s="46">
        <v>19.899999999999999</v>
      </c>
      <c r="F17" s="46">
        <v>19.899999999999999</v>
      </c>
      <c r="G17" s="46">
        <v>19.899999999999999</v>
      </c>
      <c r="H17" s="46">
        <v>19.899999999999999</v>
      </c>
      <c r="I17" s="46">
        <v>19.899999999999999</v>
      </c>
      <c r="J17" s="46">
        <v>19.899999999999999</v>
      </c>
      <c r="K17" s="46">
        <v>19.899999999999999</v>
      </c>
      <c r="L17" s="46">
        <v>19.899999999999999</v>
      </c>
      <c r="M17" s="46">
        <v>19.899999999999999</v>
      </c>
      <c r="N17" s="46">
        <v>19.899999999999999</v>
      </c>
      <c r="O17" s="46">
        <v>19.899999999999999</v>
      </c>
      <c r="P17" s="46">
        <v>19.899999999999999</v>
      </c>
      <c r="Q17" s="46">
        <v>19.899999999999999</v>
      </c>
      <c r="R17" s="46">
        <v>19.399999999999999</v>
      </c>
      <c r="S17" s="46">
        <v>19.399999999999999</v>
      </c>
      <c r="T17" s="46">
        <v>19.399999999999999</v>
      </c>
      <c r="U17" s="46">
        <v>19.399999999999999</v>
      </c>
      <c r="V17" s="46">
        <v>19.399999999999999</v>
      </c>
      <c r="W17" s="46">
        <v>19.399999999999999</v>
      </c>
      <c r="X17" s="46">
        <v>19.399999999999999</v>
      </c>
      <c r="Y17" s="46">
        <v>19.399999999999999</v>
      </c>
      <c r="Z17" s="46">
        <v>19.399999999999999</v>
      </c>
      <c r="AA17" s="46">
        <v>19.399999999999999</v>
      </c>
      <c r="AB17" s="46">
        <v>19.600000000000001</v>
      </c>
      <c r="AC17" s="46">
        <v>19.600000000000001</v>
      </c>
      <c r="AD17" s="46">
        <v>19.600000000000001</v>
      </c>
      <c r="AE17" s="46">
        <v>19.600000000000001</v>
      </c>
      <c r="AF17" s="46">
        <v>19.600000000000001</v>
      </c>
      <c r="AG17" s="47">
        <v>52.4</v>
      </c>
      <c r="AH17" s="48">
        <f t="shared" si="2"/>
        <v>19.899999999999999</v>
      </c>
      <c r="AI17" s="49">
        <f t="shared" si="3"/>
        <v>19.399999999999999</v>
      </c>
      <c r="AK17" s="51"/>
      <c r="AL17" s="54" t="s">
        <v>27</v>
      </c>
      <c r="AM17" s="59">
        <f t="shared" ref="AM17:AR17" si="6">B65</f>
        <v>362.6</v>
      </c>
      <c r="AN17" s="59">
        <f t="shared" si="6"/>
        <v>243.79999999999998</v>
      </c>
      <c r="AO17" s="59">
        <f t="shared" si="6"/>
        <v>212.6</v>
      </c>
      <c r="AP17" s="59">
        <f t="shared" si="6"/>
        <v>163.19999999999999</v>
      </c>
      <c r="AQ17" s="59">
        <f t="shared" si="6"/>
        <v>92.5</v>
      </c>
      <c r="AR17" s="59">
        <f t="shared" si="6"/>
        <v>127.5</v>
      </c>
      <c r="AS17" s="59">
        <f>I65</f>
        <v>223.5</v>
      </c>
      <c r="AT17" s="59">
        <f>K65</f>
        <v>349.2</v>
      </c>
      <c r="AU17" s="59">
        <f t="shared" ref="AU17:BD17" si="7">M65</f>
        <v>439.5</v>
      </c>
      <c r="AV17" s="59">
        <f t="shared" si="7"/>
        <v>477.6</v>
      </c>
      <c r="AW17" s="59">
        <f t="shared" si="7"/>
        <v>458.5</v>
      </c>
      <c r="AX17" s="59">
        <f t="shared" si="7"/>
        <v>459.20000000000005</v>
      </c>
      <c r="AY17" s="59">
        <f t="shared" si="7"/>
        <v>533.6</v>
      </c>
      <c r="AZ17" s="59">
        <f t="shared" si="7"/>
        <v>402.6</v>
      </c>
      <c r="BA17" s="59">
        <f t="shared" si="7"/>
        <v>469.6</v>
      </c>
      <c r="BB17" s="59">
        <f t="shared" si="7"/>
        <v>487.6</v>
      </c>
      <c r="BC17" s="59">
        <f t="shared" si="7"/>
        <v>198.5</v>
      </c>
      <c r="BD17" s="59">
        <f t="shared" si="7"/>
        <v>259.5</v>
      </c>
      <c r="BE17" s="60">
        <f>X65</f>
        <v>129</v>
      </c>
      <c r="BF17" s="60">
        <f>Z65</f>
        <v>487.20000000000005</v>
      </c>
      <c r="BG17" s="60">
        <f>AB65</f>
        <v>535.30000000000007</v>
      </c>
      <c r="BH17" s="60">
        <f>AD65</f>
        <v>477.6</v>
      </c>
      <c r="BI17" s="60">
        <f>AE65</f>
        <v>417.6</v>
      </c>
      <c r="BJ17" s="60">
        <f>AF65</f>
        <v>377.6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50.4</v>
      </c>
      <c r="F18" s="46">
        <v>50.4</v>
      </c>
      <c r="G18" s="46">
        <v>50.4</v>
      </c>
      <c r="H18" s="46">
        <v>50.4</v>
      </c>
      <c r="I18" s="46">
        <v>50.4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50.5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237.44</v>
      </c>
      <c r="AN18" s="59">
        <f t="shared" si="8"/>
        <v>383.14000000000004</v>
      </c>
      <c r="AO18" s="59">
        <f t="shared" si="8"/>
        <v>394.14000000000004</v>
      </c>
      <c r="AP18" s="59">
        <f t="shared" si="8"/>
        <v>383.14000000000004</v>
      </c>
      <c r="AQ18" s="59">
        <f t="shared" si="8"/>
        <v>336.64000000000004</v>
      </c>
      <c r="AR18" s="59">
        <f t="shared" si="8"/>
        <v>335.84000000000003</v>
      </c>
      <c r="AS18" s="59">
        <f>I79</f>
        <v>344.54</v>
      </c>
      <c r="AT18" s="59">
        <f>K79</f>
        <v>337.14</v>
      </c>
      <c r="AU18" s="59">
        <f t="shared" ref="AU18:BD18" si="9">M79</f>
        <v>327.44000000000005</v>
      </c>
      <c r="AV18" s="59">
        <f t="shared" si="9"/>
        <v>331.34000000000003</v>
      </c>
      <c r="AW18" s="59">
        <f t="shared" si="9"/>
        <v>398.44</v>
      </c>
      <c r="AX18" s="59">
        <f t="shared" si="9"/>
        <v>411.74</v>
      </c>
      <c r="AY18" s="59">
        <f t="shared" si="9"/>
        <v>403.24000000000007</v>
      </c>
      <c r="AZ18" s="59">
        <f t="shared" si="9"/>
        <v>408.34</v>
      </c>
      <c r="BA18" s="59">
        <f t="shared" si="9"/>
        <v>406.03999999999996</v>
      </c>
      <c r="BB18" s="59">
        <f t="shared" si="9"/>
        <v>402.73999999999995</v>
      </c>
      <c r="BC18" s="59">
        <f t="shared" si="9"/>
        <v>424.34</v>
      </c>
      <c r="BD18" s="59">
        <f t="shared" si="9"/>
        <v>394.03999999999996</v>
      </c>
      <c r="BE18" s="60">
        <f>X79</f>
        <v>416.34</v>
      </c>
      <c r="BF18" s="60">
        <f>Z79</f>
        <v>414.93999999999994</v>
      </c>
      <c r="BG18" s="60">
        <f>AB79</f>
        <v>423.84000000000003</v>
      </c>
      <c r="BH18" s="60">
        <f>AD79</f>
        <v>416.34</v>
      </c>
      <c r="BI18" s="60">
        <f>AE79</f>
        <v>416.34</v>
      </c>
      <c r="BJ18" s="60">
        <f>AF79</f>
        <v>416.34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100.8</v>
      </c>
      <c r="AN19" s="59">
        <f t="shared" si="10"/>
        <v>100.1</v>
      </c>
      <c r="AO19" s="59">
        <f t="shared" si="10"/>
        <v>48</v>
      </c>
      <c r="AP19" s="59">
        <f t="shared" si="10"/>
        <v>44.5</v>
      </c>
      <c r="AQ19" s="59">
        <f t="shared" si="10"/>
        <v>88</v>
      </c>
      <c r="AR19" s="59">
        <f t="shared" si="10"/>
        <v>86</v>
      </c>
      <c r="AS19" s="59">
        <f>I95</f>
        <v>76.400000000000006</v>
      </c>
      <c r="AT19" s="59">
        <f>K95</f>
        <v>178.2</v>
      </c>
      <c r="AU19" s="59">
        <f t="shared" ref="AU19:BD19" si="11">M95</f>
        <v>192.7</v>
      </c>
      <c r="AV19" s="59">
        <f t="shared" si="11"/>
        <v>202.70000000000002</v>
      </c>
      <c r="AW19" s="59">
        <f t="shared" si="11"/>
        <v>214.2</v>
      </c>
      <c r="AX19" s="59">
        <f t="shared" si="11"/>
        <v>210.1</v>
      </c>
      <c r="AY19" s="59">
        <f t="shared" si="11"/>
        <v>220.89999999999998</v>
      </c>
      <c r="AZ19" s="59">
        <f t="shared" si="11"/>
        <v>211.29999999999998</v>
      </c>
      <c r="BA19" s="59">
        <f t="shared" si="11"/>
        <v>238.70000000000002</v>
      </c>
      <c r="BB19" s="59">
        <f t="shared" si="11"/>
        <v>237.10000000000002</v>
      </c>
      <c r="BC19" s="59">
        <f t="shared" si="11"/>
        <v>309.60000000000002</v>
      </c>
      <c r="BD19" s="59">
        <f t="shared" si="11"/>
        <v>257.60000000000002</v>
      </c>
      <c r="BE19" s="60">
        <f>X95</f>
        <v>302.7</v>
      </c>
      <c r="BF19" s="60">
        <f>Z95</f>
        <v>51.699999999999996</v>
      </c>
      <c r="BG19" s="60">
        <f>AB95</f>
        <v>56.4</v>
      </c>
      <c r="BH19" s="60">
        <f>AD95</f>
        <v>70</v>
      </c>
      <c r="BI19" s="60">
        <f>AE95</f>
        <v>79</v>
      </c>
      <c r="BJ19" s="60">
        <f>AF95</f>
        <v>69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0</v>
      </c>
      <c r="C20" s="46">
        <v>27.9</v>
      </c>
      <c r="D20" s="46">
        <v>27.9</v>
      </c>
      <c r="E20" s="46">
        <v>25.4</v>
      </c>
      <c r="F20" s="46">
        <v>25.4</v>
      </c>
      <c r="G20" s="46">
        <v>25.4</v>
      </c>
      <c r="H20" s="46">
        <v>25.4</v>
      </c>
      <c r="I20" s="46">
        <v>25.4</v>
      </c>
      <c r="J20" s="46">
        <v>25.4</v>
      </c>
      <c r="K20" s="46">
        <v>25.4</v>
      </c>
      <c r="L20" s="46">
        <v>25.4</v>
      </c>
      <c r="M20" s="46">
        <v>25.4</v>
      </c>
      <c r="N20" s="46">
        <v>25.4</v>
      </c>
      <c r="O20" s="46">
        <v>25.4</v>
      </c>
      <c r="P20" s="46">
        <v>25.4</v>
      </c>
      <c r="Q20" s="46">
        <v>25.4</v>
      </c>
      <c r="R20" s="46">
        <v>21.8</v>
      </c>
      <c r="S20" s="46">
        <v>21.8</v>
      </c>
      <c r="T20" s="46">
        <v>21.8</v>
      </c>
      <c r="U20" s="46">
        <v>21.8</v>
      </c>
      <c r="V20" s="46">
        <v>21.8</v>
      </c>
      <c r="W20" s="46">
        <v>21.8</v>
      </c>
      <c r="X20" s="46">
        <v>21.8</v>
      </c>
      <c r="Y20" s="46">
        <v>21.8</v>
      </c>
      <c r="Z20" s="46">
        <v>21.8</v>
      </c>
      <c r="AA20" s="46">
        <v>21.8</v>
      </c>
      <c r="AB20" s="46">
        <v>26</v>
      </c>
      <c r="AC20" s="46">
        <v>26</v>
      </c>
      <c r="AD20" s="46">
        <v>26</v>
      </c>
      <c r="AE20" s="46">
        <v>26</v>
      </c>
      <c r="AF20" s="46">
        <v>26</v>
      </c>
      <c r="AG20" s="50">
        <v>44</v>
      </c>
      <c r="AH20" s="48">
        <f t="shared" si="2"/>
        <v>27.9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61.599999999999994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18.899999999999999</v>
      </c>
      <c r="AX20" s="59">
        <f t="shared" si="13"/>
        <v>48.699999999999996</v>
      </c>
      <c r="AY20" s="59">
        <f t="shared" si="13"/>
        <v>17.099999999999998</v>
      </c>
      <c r="AZ20" s="59">
        <f t="shared" si="13"/>
        <v>22.2</v>
      </c>
      <c r="BA20" s="59">
        <f t="shared" si="13"/>
        <v>22.5</v>
      </c>
      <c r="BB20" s="59">
        <f t="shared" si="13"/>
        <v>22.5</v>
      </c>
      <c r="BC20" s="59">
        <f t="shared" si="13"/>
        <v>22.5</v>
      </c>
      <c r="BD20" s="59">
        <f t="shared" si="13"/>
        <v>22.2</v>
      </c>
      <c r="BE20" s="60">
        <f>X83</f>
        <v>14.8</v>
      </c>
      <c r="BF20" s="60">
        <f>Z83</f>
        <v>14.8</v>
      </c>
      <c r="BG20" s="60">
        <f>AB83</f>
        <v>65.3</v>
      </c>
      <c r="BH20" s="60">
        <f>AD83</f>
        <v>65.3</v>
      </c>
      <c r="BI20" s="60">
        <f>AE83</f>
        <v>60.6</v>
      </c>
      <c r="BJ20" s="60">
        <f>AF83</f>
        <v>60.6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250</v>
      </c>
      <c r="AN21" s="59">
        <f t="shared" si="14"/>
        <v>250</v>
      </c>
      <c r="AO21" s="59">
        <f t="shared" si="14"/>
        <v>250</v>
      </c>
      <c r="AP21" s="59">
        <f t="shared" si="14"/>
        <v>250</v>
      </c>
      <c r="AQ21" s="59">
        <f t="shared" si="14"/>
        <v>250</v>
      </c>
      <c r="AR21" s="59">
        <f t="shared" si="14"/>
        <v>250</v>
      </c>
      <c r="AS21" s="59">
        <f>I101</f>
        <v>250</v>
      </c>
      <c r="AT21" s="59">
        <f>K101</f>
        <v>100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100</v>
      </c>
      <c r="BF21" s="60">
        <f>Z101</f>
        <v>300</v>
      </c>
      <c r="BG21" s="60">
        <f>AB101</f>
        <v>250</v>
      </c>
      <c r="BH21" s="60" t="e">
        <f>#REF!</f>
        <v>#REF!</v>
      </c>
      <c r="BI21" s="60">
        <f>AE101</f>
        <v>250</v>
      </c>
      <c r="BJ21" s="60">
        <f>AF101</f>
        <v>250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21.3</v>
      </c>
      <c r="AC22" s="46">
        <v>21.3</v>
      </c>
      <c r="AD22" s="46">
        <v>21.3</v>
      </c>
      <c r="AE22" s="46">
        <v>21.3</v>
      </c>
      <c r="AF22" s="46">
        <v>21.3</v>
      </c>
      <c r="AG22" s="50">
        <v>38.46</v>
      </c>
      <c r="AH22" s="48">
        <f t="shared" si="2"/>
        <v>21.3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1600.9399999999998</v>
      </c>
      <c r="AN22" s="63">
        <f t="shared" si="16"/>
        <v>1705.34</v>
      </c>
      <c r="AO22" s="63">
        <f t="shared" si="16"/>
        <v>1633.0400000000002</v>
      </c>
      <c r="AP22" s="63">
        <f t="shared" si="16"/>
        <v>1561.92</v>
      </c>
      <c r="AQ22" s="63">
        <f t="shared" si="16"/>
        <v>1488.22</v>
      </c>
      <c r="AR22" s="63">
        <f t="shared" si="16"/>
        <v>1522.8200000000002</v>
      </c>
      <c r="AS22" s="63">
        <f t="shared" si="16"/>
        <v>1616.72</v>
      </c>
      <c r="AT22" s="63">
        <f t="shared" si="16"/>
        <v>1688.0200000000002</v>
      </c>
      <c r="AU22" s="63">
        <f t="shared" si="16"/>
        <v>1677.1200000000001</v>
      </c>
      <c r="AV22" s="63">
        <f t="shared" si="16"/>
        <v>1738.32</v>
      </c>
      <c r="AW22" s="63">
        <f t="shared" si="16"/>
        <v>1816.3200000000002</v>
      </c>
      <c r="AX22" s="63">
        <f t="shared" si="16"/>
        <v>1862.36</v>
      </c>
      <c r="AY22" s="63">
        <f t="shared" si="16"/>
        <v>1909.7199999999998</v>
      </c>
      <c r="AZ22" s="63">
        <f t="shared" si="16"/>
        <v>1756.94</v>
      </c>
      <c r="BA22" s="63">
        <f t="shared" si="16"/>
        <v>1849.3400000000001</v>
      </c>
      <c r="BB22" s="63">
        <f t="shared" si="16"/>
        <v>1862.44</v>
      </c>
      <c r="BC22" s="63">
        <f t="shared" si="16"/>
        <v>1667.44</v>
      </c>
      <c r="BD22" s="63">
        <f t="shared" si="16"/>
        <v>1645.84</v>
      </c>
      <c r="BE22" s="63">
        <f t="shared" si="16"/>
        <v>1675.3400000000001</v>
      </c>
      <c r="BF22" s="63">
        <f t="shared" si="16"/>
        <v>1981.1400000000003</v>
      </c>
      <c r="BG22" s="63">
        <f t="shared" si="16"/>
        <v>2098.04</v>
      </c>
      <c r="BH22" s="63" t="e">
        <f t="shared" si="16"/>
        <v>#REF!</v>
      </c>
      <c r="BI22" s="63">
        <f t="shared" si="16"/>
        <v>1990.74</v>
      </c>
      <c r="BJ22" s="63">
        <f t="shared" si="16"/>
        <v>1940.74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14.2</v>
      </c>
      <c r="AC23" s="46">
        <v>14.2</v>
      </c>
      <c r="AD23" s="46">
        <v>14.2</v>
      </c>
      <c r="AE23" s="46">
        <v>14.2</v>
      </c>
      <c r="AF23" s="46">
        <v>14.2</v>
      </c>
      <c r="AG23" s="50">
        <v>38.46</v>
      </c>
      <c r="AH23" s="48">
        <f t="shared" si="2"/>
        <v>14.2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-118</v>
      </c>
      <c r="AN23" s="63">
        <f t="shared" si="17"/>
        <v>-125</v>
      </c>
      <c r="AO23" s="63">
        <f t="shared" si="17"/>
        <v>-130</v>
      </c>
      <c r="AP23" s="63">
        <f t="shared" si="17"/>
        <v>-113</v>
      </c>
      <c r="AQ23" s="63">
        <f t="shared" si="17"/>
        <v>-112.5</v>
      </c>
      <c r="AR23" s="63">
        <f t="shared" si="17"/>
        <v>-115</v>
      </c>
      <c r="AS23" s="63">
        <f>I110*-1</f>
        <v>-108</v>
      </c>
      <c r="AT23" s="63">
        <f>K110*-1</f>
        <v>-162</v>
      </c>
      <c r="AU23" s="63">
        <f t="shared" ref="AU23:BD23" si="18">M110*-1</f>
        <v>-238.2</v>
      </c>
      <c r="AV23" s="63">
        <f t="shared" si="18"/>
        <v>-210</v>
      </c>
      <c r="AW23" s="63">
        <f t="shared" si="18"/>
        <v>-190</v>
      </c>
      <c r="AX23" s="63">
        <f t="shared" si="18"/>
        <v>-172</v>
      </c>
      <c r="AY23" s="63">
        <f t="shared" si="18"/>
        <v>-225</v>
      </c>
      <c r="AZ23" s="63">
        <f t="shared" si="18"/>
        <v>-115</v>
      </c>
      <c r="BA23" s="63">
        <f t="shared" si="18"/>
        <v>-105.5</v>
      </c>
      <c r="BB23" s="63">
        <f t="shared" si="18"/>
        <v>-104.6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-107.2</v>
      </c>
      <c r="BG23" s="63">
        <f>AB110*-1</f>
        <v>-102</v>
      </c>
      <c r="BH23" s="63">
        <f>AD110*-1</f>
        <v>-103</v>
      </c>
      <c r="BI23" s="63">
        <f>AE110*-1</f>
        <v>-108</v>
      </c>
      <c r="BJ23" s="63">
        <f>AF110*-1</f>
        <v>-109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1482.9399999999998</v>
      </c>
      <c r="AN24" s="63">
        <f t="shared" si="19"/>
        <v>1580.34</v>
      </c>
      <c r="AO24" s="63">
        <f t="shared" si="19"/>
        <v>1503.0400000000002</v>
      </c>
      <c r="AP24" s="63">
        <f t="shared" si="19"/>
        <v>1448.92</v>
      </c>
      <c r="AQ24" s="63">
        <f t="shared" si="19"/>
        <v>1375.72</v>
      </c>
      <c r="AR24" s="63">
        <f t="shared" si="19"/>
        <v>1407.8200000000002</v>
      </c>
      <c r="AS24" s="63">
        <f t="shared" si="19"/>
        <v>1508.72</v>
      </c>
      <c r="AT24" s="63">
        <f t="shared" si="19"/>
        <v>1526.0200000000002</v>
      </c>
      <c r="AU24" s="63">
        <f t="shared" si="19"/>
        <v>1438.92</v>
      </c>
      <c r="AV24" s="63">
        <f t="shared" si="19"/>
        <v>1528.32</v>
      </c>
      <c r="AW24" s="63">
        <f t="shared" si="19"/>
        <v>1626.3200000000002</v>
      </c>
      <c r="AX24" s="63">
        <f t="shared" si="19"/>
        <v>1690.36</v>
      </c>
      <c r="AY24" s="63">
        <f t="shared" si="19"/>
        <v>1684.7199999999998</v>
      </c>
      <c r="AZ24" s="63">
        <f t="shared" si="19"/>
        <v>1641.94</v>
      </c>
      <c r="BA24" s="63">
        <f t="shared" si="19"/>
        <v>1743.8400000000001</v>
      </c>
      <c r="BB24" s="63">
        <f t="shared" si="19"/>
        <v>1757.8400000000001</v>
      </c>
      <c r="BC24" s="63">
        <f t="shared" si="19"/>
        <v>1667.44</v>
      </c>
      <c r="BD24" s="63">
        <f t="shared" si="19"/>
        <v>1645.84</v>
      </c>
      <c r="BE24" s="63">
        <f t="shared" si="19"/>
        <v>1675.3400000000001</v>
      </c>
      <c r="BF24" s="63">
        <f t="shared" si="19"/>
        <v>1873.9400000000003</v>
      </c>
      <c r="BG24" s="63">
        <f t="shared" si="19"/>
        <v>1996.04</v>
      </c>
      <c r="BH24" s="63" t="e">
        <f t="shared" si="19"/>
        <v>#REF!</v>
      </c>
      <c r="BI24" s="63">
        <f t="shared" si="19"/>
        <v>1882.74</v>
      </c>
      <c r="BJ24" s="63">
        <f t="shared" si="19"/>
        <v>1831.74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13</v>
      </c>
      <c r="C25" s="46">
        <v>11.8</v>
      </c>
      <c r="D25" s="46">
        <v>11.8</v>
      </c>
      <c r="E25" s="46">
        <v>15.4</v>
      </c>
      <c r="F25" s="46">
        <v>15.4</v>
      </c>
      <c r="G25" s="46">
        <v>15.4</v>
      </c>
      <c r="H25" s="46">
        <v>15.4</v>
      </c>
      <c r="I25" s="46">
        <v>15.4</v>
      </c>
      <c r="J25" s="46">
        <v>15.4</v>
      </c>
      <c r="K25" s="46">
        <v>15.4</v>
      </c>
      <c r="L25" s="46">
        <v>15.4</v>
      </c>
      <c r="M25" s="46">
        <v>15.4</v>
      </c>
      <c r="N25" s="46">
        <v>15.4</v>
      </c>
      <c r="O25" s="46">
        <v>15.4</v>
      </c>
      <c r="P25" s="46">
        <v>15.4</v>
      </c>
      <c r="Q25" s="46">
        <v>15.4</v>
      </c>
      <c r="R25" s="46">
        <v>11.1</v>
      </c>
      <c r="S25" s="46">
        <v>11.1</v>
      </c>
      <c r="T25" s="46">
        <v>11.1</v>
      </c>
      <c r="U25" s="46">
        <v>11.1</v>
      </c>
      <c r="V25" s="46">
        <v>11.1</v>
      </c>
      <c r="W25" s="46">
        <v>11.1</v>
      </c>
      <c r="X25" s="46">
        <v>11.1</v>
      </c>
      <c r="Y25" s="46">
        <v>11.1</v>
      </c>
      <c r="Z25" s="46">
        <v>11.1</v>
      </c>
      <c r="AA25" s="46">
        <v>11.1</v>
      </c>
      <c r="AB25" s="46">
        <v>12.1</v>
      </c>
      <c r="AC25" s="46">
        <v>12.1</v>
      </c>
      <c r="AD25" s="46">
        <v>12.1</v>
      </c>
      <c r="AE25" s="46">
        <v>12.1</v>
      </c>
      <c r="AF25" s="46">
        <v>12.1</v>
      </c>
      <c r="AG25" s="61">
        <v>30</v>
      </c>
      <c r="AH25" s="48">
        <f t="shared" si="2"/>
        <v>15.4</v>
      </c>
      <c r="AI25" s="49">
        <f t="shared" si="3"/>
        <v>11.1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11.5</v>
      </c>
      <c r="C26" s="46">
        <v>11.5</v>
      </c>
      <c r="D26" s="46">
        <v>11.5</v>
      </c>
      <c r="E26" s="46">
        <v>11.5</v>
      </c>
      <c r="F26" s="46">
        <v>11.5</v>
      </c>
      <c r="G26" s="46">
        <v>11.5</v>
      </c>
      <c r="H26" s="46">
        <v>11.5</v>
      </c>
      <c r="I26" s="46">
        <v>11.5</v>
      </c>
      <c r="J26" s="46">
        <v>11.5</v>
      </c>
      <c r="K26" s="46">
        <v>11.5</v>
      </c>
      <c r="L26" s="46">
        <v>11.5</v>
      </c>
      <c r="M26" s="46">
        <v>11.5</v>
      </c>
      <c r="N26" s="46">
        <v>11.5</v>
      </c>
      <c r="O26" s="46">
        <v>11.5</v>
      </c>
      <c r="P26" s="46">
        <v>11.5</v>
      </c>
      <c r="Q26" s="46">
        <v>11.5</v>
      </c>
      <c r="R26" s="46">
        <v>9.6</v>
      </c>
      <c r="S26" s="46">
        <v>9.6</v>
      </c>
      <c r="T26" s="46">
        <v>9.6</v>
      </c>
      <c r="U26" s="46">
        <v>9.6</v>
      </c>
      <c r="V26" s="46">
        <v>9.6</v>
      </c>
      <c r="W26" s="46">
        <v>9.6</v>
      </c>
      <c r="X26" s="46">
        <v>9.6</v>
      </c>
      <c r="Y26" s="46">
        <v>9.6</v>
      </c>
      <c r="Z26" s="46">
        <v>9.6</v>
      </c>
      <c r="AA26" s="46">
        <v>9.6</v>
      </c>
      <c r="AB26" s="46">
        <v>9.6</v>
      </c>
      <c r="AC26" s="46">
        <v>9.6</v>
      </c>
      <c r="AD26" s="46">
        <v>9.6</v>
      </c>
      <c r="AE26" s="46">
        <v>9.6</v>
      </c>
      <c r="AF26" s="46">
        <v>9.6</v>
      </c>
      <c r="AG26" s="50">
        <v>24.2</v>
      </c>
      <c r="AH26" s="48">
        <f t="shared" si="2"/>
        <v>11.5</v>
      </c>
      <c r="AI26" s="49">
        <f t="shared" si="3"/>
        <v>9.6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12</v>
      </c>
      <c r="C27" s="46">
        <v>12</v>
      </c>
      <c r="D27" s="46">
        <v>12</v>
      </c>
      <c r="E27" s="46">
        <v>10</v>
      </c>
      <c r="F27" s="46">
        <v>10</v>
      </c>
      <c r="G27" s="46">
        <v>10</v>
      </c>
      <c r="H27" s="46">
        <v>10</v>
      </c>
      <c r="I27" s="46">
        <v>10</v>
      </c>
      <c r="J27" s="46">
        <v>10</v>
      </c>
      <c r="K27" s="46">
        <v>10</v>
      </c>
      <c r="L27" s="46">
        <v>10</v>
      </c>
      <c r="M27" s="46">
        <v>10</v>
      </c>
      <c r="N27" s="46">
        <v>10</v>
      </c>
      <c r="O27" s="46">
        <v>10</v>
      </c>
      <c r="P27" s="46">
        <v>10</v>
      </c>
      <c r="Q27" s="46">
        <v>10</v>
      </c>
      <c r="R27" s="46">
        <v>9.6</v>
      </c>
      <c r="S27" s="46">
        <v>9.6</v>
      </c>
      <c r="T27" s="46">
        <v>9.6</v>
      </c>
      <c r="U27" s="46">
        <v>9.6</v>
      </c>
      <c r="V27" s="46">
        <v>9.6</v>
      </c>
      <c r="W27" s="46">
        <v>9.6</v>
      </c>
      <c r="X27" s="46">
        <v>9.6</v>
      </c>
      <c r="Y27" s="46">
        <v>9.6</v>
      </c>
      <c r="Z27" s="46">
        <v>9.6</v>
      </c>
      <c r="AA27" s="46">
        <v>9.6</v>
      </c>
      <c r="AB27" s="46">
        <v>9.6</v>
      </c>
      <c r="AC27" s="46">
        <v>9.6</v>
      </c>
      <c r="AD27" s="46">
        <v>9.6</v>
      </c>
      <c r="AE27" s="46">
        <v>9.6</v>
      </c>
      <c r="AF27" s="46">
        <v>9.6</v>
      </c>
      <c r="AG27" s="50">
        <v>28</v>
      </c>
      <c r="AH27" s="48">
        <f t="shared" si="2"/>
        <v>12</v>
      </c>
      <c r="AI27" s="49">
        <f t="shared" si="3"/>
        <v>9.6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9.8000000000000007</v>
      </c>
      <c r="C28" s="46">
        <v>10.9</v>
      </c>
      <c r="D28" s="46">
        <v>10.9</v>
      </c>
      <c r="E28" s="46">
        <v>15.7</v>
      </c>
      <c r="F28" s="46">
        <v>15.7</v>
      </c>
      <c r="G28" s="46">
        <v>15.7</v>
      </c>
      <c r="H28" s="46">
        <v>15.7</v>
      </c>
      <c r="I28" s="46">
        <v>15.7</v>
      </c>
      <c r="J28" s="46">
        <v>15.7</v>
      </c>
      <c r="K28" s="46">
        <v>15.7</v>
      </c>
      <c r="L28" s="46">
        <v>15.7</v>
      </c>
      <c r="M28" s="46">
        <v>15.7</v>
      </c>
      <c r="N28" s="46">
        <v>15.7</v>
      </c>
      <c r="O28" s="46">
        <v>15.7</v>
      </c>
      <c r="P28" s="46">
        <v>15.7</v>
      </c>
      <c r="Q28" s="46">
        <v>15.7</v>
      </c>
      <c r="R28" s="46">
        <v>12.4</v>
      </c>
      <c r="S28" s="46">
        <v>12.4</v>
      </c>
      <c r="T28" s="46">
        <v>12.4</v>
      </c>
      <c r="U28" s="46">
        <v>12.4</v>
      </c>
      <c r="V28" s="46">
        <v>12.4</v>
      </c>
      <c r="W28" s="46">
        <v>12.4</v>
      </c>
      <c r="X28" s="46">
        <v>12.4</v>
      </c>
      <c r="Y28" s="46">
        <v>12.4</v>
      </c>
      <c r="Z28" s="46">
        <v>12.4</v>
      </c>
      <c r="AA28" s="46">
        <v>12.4</v>
      </c>
      <c r="AB28" s="46">
        <v>12</v>
      </c>
      <c r="AC28" s="46">
        <v>12</v>
      </c>
      <c r="AD28" s="46">
        <v>12</v>
      </c>
      <c r="AE28" s="46">
        <v>12</v>
      </c>
      <c r="AF28" s="46">
        <v>12</v>
      </c>
      <c r="AG28" s="61">
        <v>30</v>
      </c>
      <c r="AH28" s="48">
        <f t="shared" si="2"/>
        <v>15.7</v>
      </c>
      <c r="AI28" s="49">
        <f t="shared" si="3"/>
        <v>9.8000000000000007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0</v>
      </c>
      <c r="C29" s="46">
        <v>13.1</v>
      </c>
      <c r="D29" s="46">
        <v>13.1</v>
      </c>
      <c r="E29" s="46">
        <v>18.7</v>
      </c>
      <c r="F29" s="46">
        <v>18.7</v>
      </c>
      <c r="G29" s="46">
        <v>18.7</v>
      </c>
      <c r="H29" s="46">
        <v>18.7</v>
      </c>
      <c r="I29" s="46">
        <v>18.7</v>
      </c>
      <c r="J29" s="46">
        <v>18.7</v>
      </c>
      <c r="K29" s="46">
        <v>18.7</v>
      </c>
      <c r="L29" s="46">
        <v>18.7</v>
      </c>
      <c r="M29" s="46">
        <v>18.7</v>
      </c>
      <c r="N29" s="46">
        <v>18.7</v>
      </c>
      <c r="O29" s="46">
        <v>18.7</v>
      </c>
      <c r="P29" s="46">
        <v>18.7</v>
      </c>
      <c r="Q29" s="46">
        <v>18.7</v>
      </c>
      <c r="R29" s="46">
        <v>13.3</v>
      </c>
      <c r="S29" s="46">
        <v>13.3</v>
      </c>
      <c r="T29" s="46">
        <v>13.3</v>
      </c>
      <c r="U29" s="46">
        <v>13.3</v>
      </c>
      <c r="V29" s="46">
        <v>13.3</v>
      </c>
      <c r="W29" s="46">
        <v>13.3</v>
      </c>
      <c r="X29" s="46">
        <v>13.3</v>
      </c>
      <c r="Y29" s="46">
        <v>13.3</v>
      </c>
      <c r="Z29" s="46">
        <v>13.3</v>
      </c>
      <c r="AA29" s="46">
        <v>13.3</v>
      </c>
      <c r="AB29" s="46">
        <v>13.3</v>
      </c>
      <c r="AC29" s="46">
        <v>13.3</v>
      </c>
      <c r="AD29" s="46">
        <v>13.3</v>
      </c>
      <c r="AE29" s="46">
        <v>13.3</v>
      </c>
      <c r="AF29" s="46">
        <v>13.3</v>
      </c>
      <c r="AG29" s="50">
        <v>25</v>
      </c>
      <c r="AH29" s="48">
        <f t="shared" si="2"/>
        <v>18.7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21</v>
      </c>
      <c r="C30" s="46">
        <v>21</v>
      </c>
      <c r="D30" s="46">
        <v>21</v>
      </c>
      <c r="E30" s="46">
        <v>21</v>
      </c>
      <c r="F30" s="46">
        <v>21</v>
      </c>
      <c r="G30" s="46">
        <v>21</v>
      </c>
      <c r="H30" s="46">
        <v>21</v>
      </c>
      <c r="I30" s="46">
        <v>21</v>
      </c>
      <c r="J30" s="46">
        <v>21</v>
      </c>
      <c r="K30" s="46">
        <v>21</v>
      </c>
      <c r="L30" s="46">
        <v>21</v>
      </c>
      <c r="M30" s="46">
        <v>21</v>
      </c>
      <c r="N30" s="46">
        <v>21</v>
      </c>
      <c r="O30" s="46">
        <v>21</v>
      </c>
      <c r="P30" s="46">
        <v>21</v>
      </c>
      <c r="Q30" s="46">
        <v>21</v>
      </c>
      <c r="R30" s="46">
        <v>21</v>
      </c>
      <c r="S30" s="46">
        <v>21</v>
      </c>
      <c r="T30" s="46">
        <v>21</v>
      </c>
      <c r="U30" s="46">
        <v>21</v>
      </c>
      <c r="V30" s="46">
        <v>21</v>
      </c>
      <c r="W30" s="46">
        <v>21</v>
      </c>
      <c r="X30" s="46">
        <v>21</v>
      </c>
      <c r="Y30" s="46">
        <v>21</v>
      </c>
      <c r="Z30" s="46">
        <v>21</v>
      </c>
      <c r="AA30" s="46">
        <v>21</v>
      </c>
      <c r="AB30" s="46">
        <v>21</v>
      </c>
      <c r="AC30" s="46">
        <v>21</v>
      </c>
      <c r="AD30" s="46">
        <v>21</v>
      </c>
      <c r="AE30" s="46">
        <v>21</v>
      </c>
      <c r="AF30" s="46">
        <v>21</v>
      </c>
      <c r="AG30" s="50">
        <v>25</v>
      </c>
      <c r="AH30" s="48">
        <f t="shared" si="2"/>
        <v>21</v>
      </c>
      <c r="AI30" s="49">
        <f t="shared" si="3"/>
        <v>21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13.3</v>
      </c>
      <c r="C32" s="46">
        <v>13.3</v>
      </c>
      <c r="D32" s="46">
        <v>13.3</v>
      </c>
      <c r="E32" s="46">
        <v>13.3</v>
      </c>
      <c r="F32" s="46">
        <v>13.3</v>
      </c>
      <c r="G32" s="46">
        <v>13.3</v>
      </c>
      <c r="H32" s="46">
        <v>13.3</v>
      </c>
      <c r="I32" s="46">
        <v>13.3</v>
      </c>
      <c r="J32" s="46">
        <v>13.3</v>
      </c>
      <c r="K32" s="46">
        <v>13.3</v>
      </c>
      <c r="L32" s="46">
        <v>13.3</v>
      </c>
      <c r="M32" s="46">
        <v>13.3</v>
      </c>
      <c r="N32" s="46">
        <v>13.3</v>
      </c>
      <c r="O32" s="46">
        <v>13.3</v>
      </c>
      <c r="P32" s="46">
        <v>13.3</v>
      </c>
      <c r="Q32" s="46">
        <v>13.3</v>
      </c>
      <c r="R32" s="46">
        <v>13.2</v>
      </c>
      <c r="S32" s="46">
        <v>13.2</v>
      </c>
      <c r="T32" s="46">
        <v>13.2</v>
      </c>
      <c r="U32" s="46">
        <v>13.2</v>
      </c>
      <c r="V32" s="46">
        <v>13.2</v>
      </c>
      <c r="W32" s="46">
        <v>13.2</v>
      </c>
      <c r="X32" s="46">
        <v>13.2</v>
      </c>
      <c r="Y32" s="46">
        <v>13.2</v>
      </c>
      <c r="Z32" s="46">
        <v>13.2</v>
      </c>
      <c r="AA32" s="46">
        <v>13.2</v>
      </c>
      <c r="AB32" s="46">
        <v>13.2</v>
      </c>
      <c r="AC32" s="46">
        <v>13.2</v>
      </c>
      <c r="AD32" s="46">
        <v>13.2</v>
      </c>
      <c r="AE32" s="46">
        <v>13.2</v>
      </c>
      <c r="AF32" s="46">
        <v>13.2</v>
      </c>
      <c r="AG32" s="50">
        <v>25</v>
      </c>
      <c r="AH32" s="48">
        <f t="shared" si="2"/>
        <v>13.3</v>
      </c>
      <c r="AI32" s="49">
        <f t="shared" si="3"/>
        <v>13.2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5.5</v>
      </c>
      <c r="C33" s="46">
        <v>5.5</v>
      </c>
      <c r="D33" s="46">
        <v>5.5</v>
      </c>
      <c r="E33" s="46">
        <v>4.5999999999999996</v>
      </c>
      <c r="F33" s="46">
        <v>4.5999999999999996</v>
      </c>
      <c r="G33" s="46">
        <v>4.5999999999999996</v>
      </c>
      <c r="H33" s="46">
        <v>4.5999999999999996</v>
      </c>
      <c r="I33" s="46">
        <v>4.5999999999999996</v>
      </c>
      <c r="J33" s="46">
        <v>4.5999999999999996</v>
      </c>
      <c r="K33" s="46">
        <v>4.5999999999999996</v>
      </c>
      <c r="L33" s="46">
        <v>4.5999999999999996</v>
      </c>
      <c r="M33" s="46">
        <v>4.5999999999999996</v>
      </c>
      <c r="N33" s="46">
        <v>4.5999999999999996</v>
      </c>
      <c r="O33" s="46">
        <v>4.5999999999999996</v>
      </c>
      <c r="P33" s="46">
        <v>4.5999999999999996</v>
      </c>
      <c r="Q33" s="46">
        <v>4.5999999999999996</v>
      </c>
      <c r="R33" s="46">
        <v>8</v>
      </c>
      <c r="S33" s="46">
        <v>8</v>
      </c>
      <c r="T33" s="46">
        <v>8</v>
      </c>
      <c r="U33" s="46">
        <v>8</v>
      </c>
      <c r="V33" s="46">
        <v>8</v>
      </c>
      <c r="W33" s="46">
        <v>8</v>
      </c>
      <c r="X33" s="46">
        <v>8</v>
      </c>
      <c r="Y33" s="46">
        <v>8</v>
      </c>
      <c r="Z33" s="46">
        <v>8</v>
      </c>
      <c r="AA33" s="46">
        <v>8</v>
      </c>
      <c r="AB33" s="46">
        <v>8</v>
      </c>
      <c r="AC33" s="46">
        <v>8</v>
      </c>
      <c r="AD33" s="46">
        <v>8</v>
      </c>
      <c r="AE33" s="46">
        <v>8</v>
      </c>
      <c r="AF33" s="46">
        <v>8</v>
      </c>
      <c r="AG33" s="50">
        <v>23.5</v>
      </c>
      <c r="AH33" s="48">
        <f t="shared" si="2"/>
        <v>8</v>
      </c>
      <c r="AI33" s="49">
        <f t="shared" si="3"/>
        <v>4.5999999999999996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11</v>
      </c>
      <c r="C37" s="46">
        <v>11</v>
      </c>
      <c r="D37" s="46">
        <v>11</v>
      </c>
      <c r="E37" s="46">
        <v>12.2</v>
      </c>
      <c r="F37" s="46">
        <v>12.2</v>
      </c>
      <c r="G37" s="46">
        <v>12.2</v>
      </c>
      <c r="H37" s="46">
        <v>12.2</v>
      </c>
      <c r="I37" s="46">
        <v>12.2</v>
      </c>
      <c r="J37" s="46">
        <v>12.2</v>
      </c>
      <c r="K37" s="46">
        <v>12.2</v>
      </c>
      <c r="L37" s="46">
        <v>12.2</v>
      </c>
      <c r="M37" s="46">
        <v>12.2</v>
      </c>
      <c r="N37" s="46">
        <v>12.2</v>
      </c>
      <c r="O37" s="46">
        <v>12.2</v>
      </c>
      <c r="P37" s="46">
        <v>12.2</v>
      </c>
      <c r="Q37" s="46">
        <v>12.2</v>
      </c>
      <c r="R37" s="46">
        <v>19.899999999999999</v>
      </c>
      <c r="S37" s="46">
        <v>19.899999999999999</v>
      </c>
      <c r="T37" s="46">
        <v>19.899999999999999</v>
      </c>
      <c r="U37" s="46">
        <v>19.899999999999999</v>
      </c>
      <c r="V37" s="46">
        <v>19.899999999999999</v>
      </c>
      <c r="W37" s="46">
        <v>19.899999999999999</v>
      </c>
      <c r="X37" s="46">
        <v>19.899999999999999</v>
      </c>
      <c r="Y37" s="46">
        <v>19.899999999999999</v>
      </c>
      <c r="Z37" s="46">
        <v>19.899999999999999</v>
      </c>
      <c r="AA37" s="46">
        <v>19.899999999999999</v>
      </c>
      <c r="AB37" s="46">
        <v>19.899999999999999</v>
      </c>
      <c r="AC37" s="46">
        <v>19.899999999999999</v>
      </c>
      <c r="AD37" s="46">
        <v>19.899999999999999</v>
      </c>
      <c r="AE37" s="46">
        <v>19.899999999999999</v>
      </c>
      <c r="AF37" s="46">
        <v>19.899999999999999</v>
      </c>
      <c r="AG37" s="50">
        <v>22</v>
      </c>
      <c r="AH37" s="48">
        <f t="shared" si="2"/>
        <v>19.899999999999999</v>
      </c>
      <c r="AI37" s="49">
        <f t="shared" si="3"/>
        <v>11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0</v>
      </c>
      <c r="C38" s="46">
        <v>20</v>
      </c>
      <c r="D38" s="46">
        <v>20</v>
      </c>
      <c r="E38" s="46">
        <v>12.58</v>
      </c>
      <c r="F38" s="46">
        <v>12.58</v>
      </c>
      <c r="G38" s="46">
        <v>12.58</v>
      </c>
      <c r="H38" s="46">
        <v>12.58</v>
      </c>
      <c r="I38" s="46">
        <v>12.58</v>
      </c>
      <c r="J38" s="46">
        <v>12.58</v>
      </c>
      <c r="K38" s="46">
        <v>12.58</v>
      </c>
      <c r="L38" s="46">
        <v>12.58</v>
      </c>
      <c r="M38" s="46">
        <v>12.58</v>
      </c>
      <c r="N38" s="46">
        <v>12.58</v>
      </c>
      <c r="O38" s="46">
        <v>12.58</v>
      </c>
      <c r="P38" s="46">
        <v>12.58</v>
      </c>
      <c r="Q38" s="46">
        <v>12.58</v>
      </c>
      <c r="R38" s="46">
        <v>11.1</v>
      </c>
      <c r="S38" s="46">
        <v>11.1</v>
      </c>
      <c r="T38" s="46">
        <v>11.1</v>
      </c>
      <c r="U38" s="46">
        <v>11.1</v>
      </c>
      <c r="V38" s="46">
        <v>11.1</v>
      </c>
      <c r="W38" s="46">
        <v>11.1</v>
      </c>
      <c r="X38" s="46">
        <v>11.1</v>
      </c>
      <c r="Y38" s="46">
        <v>11.1</v>
      </c>
      <c r="Z38" s="46">
        <v>11.1</v>
      </c>
      <c r="AA38" s="46">
        <v>11.1</v>
      </c>
      <c r="AB38" s="46">
        <v>11.1</v>
      </c>
      <c r="AC38" s="46">
        <v>11.1</v>
      </c>
      <c r="AD38" s="46">
        <v>11.1</v>
      </c>
      <c r="AE38" s="46">
        <v>11.1</v>
      </c>
      <c r="AF38" s="46">
        <v>11.1</v>
      </c>
      <c r="AG38" s="50">
        <v>20</v>
      </c>
      <c r="AH38" s="48">
        <f t="shared" si="2"/>
        <v>20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0</v>
      </c>
      <c r="C40" s="46">
        <v>11.8</v>
      </c>
      <c r="D40" s="46">
        <v>11.8</v>
      </c>
      <c r="E40" s="46">
        <v>6.1</v>
      </c>
      <c r="F40" s="46">
        <v>6.1</v>
      </c>
      <c r="G40" s="46">
        <v>6.1</v>
      </c>
      <c r="H40" s="46">
        <v>6.1</v>
      </c>
      <c r="I40" s="46">
        <v>6.1</v>
      </c>
      <c r="J40" s="46">
        <v>6.1</v>
      </c>
      <c r="K40" s="46">
        <v>6.1</v>
      </c>
      <c r="L40" s="46">
        <v>6.1</v>
      </c>
      <c r="M40" s="46">
        <v>6.1</v>
      </c>
      <c r="N40" s="46">
        <v>6.1</v>
      </c>
      <c r="O40" s="46">
        <v>6.1</v>
      </c>
      <c r="P40" s="46">
        <v>6.1</v>
      </c>
      <c r="Q40" s="46">
        <v>6.1</v>
      </c>
      <c r="R40" s="46">
        <v>6.1</v>
      </c>
      <c r="S40" s="46">
        <v>6.1</v>
      </c>
      <c r="T40" s="46">
        <v>6.1</v>
      </c>
      <c r="U40" s="46">
        <v>6.1</v>
      </c>
      <c r="V40" s="46">
        <v>6.1</v>
      </c>
      <c r="W40" s="46">
        <v>6.1</v>
      </c>
      <c r="X40" s="46">
        <v>6.1</v>
      </c>
      <c r="Y40" s="46">
        <v>6.1</v>
      </c>
      <c r="Z40" s="46">
        <v>6.1</v>
      </c>
      <c r="AA40" s="46">
        <v>6.1</v>
      </c>
      <c r="AB40" s="46">
        <v>6.1</v>
      </c>
      <c r="AC40" s="46">
        <v>6.1</v>
      </c>
      <c r="AD40" s="46">
        <v>6.1</v>
      </c>
      <c r="AE40" s="46">
        <v>6.1</v>
      </c>
      <c r="AF40" s="46">
        <v>6.1</v>
      </c>
      <c r="AG40" s="50">
        <v>18</v>
      </c>
      <c r="AH40" s="48">
        <f t="shared" si="2"/>
        <v>11.8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0</v>
      </c>
      <c r="C46" s="46">
        <v>3</v>
      </c>
      <c r="D46" s="46">
        <v>3</v>
      </c>
      <c r="E46" s="46">
        <v>3.1</v>
      </c>
      <c r="F46" s="46">
        <v>3.1</v>
      </c>
      <c r="G46" s="46">
        <v>3.1</v>
      </c>
      <c r="H46" s="46">
        <v>3.1</v>
      </c>
      <c r="I46" s="46">
        <v>3.1</v>
      </c>
      <c r="J46" s="46">
        <v>3.1</v>
      </c>
      <c r="K46" s="46">
        <v>3.1</v>
      </c>
      <c r="L46" s="46">
        <v>3.1</v>
      </c>
      <c r="M46" s="46">
        <v>3.1</v>
      </c>
      <c r="N46" s="46">
        <v>3.1</v>
      </c>
      <c r="O46" s="46">
        <v>3.1</v>
      </c>
      <c r="P46" s="46">
        <v>3.1</v>
      </c>
      <c r="Q46" s="46">
        <v>3.1</v>
      </c>
      <c r="R46" s="46">
        <v>3.1</v>
      </c>
      <c r="S46" s="46">
        <v>3.1</v>
      </c>
      <c r="T46" s="46">
        <v>3.1</v>
      </c>
      <c r="U46" s="46">
        <v>3.1</v>
      </c>
      <c r="V46" s="46">
        <v>3.1</v>
      </c>
      <c r="W46" s="46">
        <v>3.1</v>
      </c>
      <c r="X46" s="46">
        <v>3.1</v>
      </c>
      <c r="Y46" s="46">
        <v>3.1</v>
      </c>
      <c r="Z46" s="46">
        <v>3.1</v>
      </c>
      <c r="AA46" s="46">
        <v>3.1</v>
      </c>
      <c r="AB46" s="46">
        <v>3.1</v>
      </c>
      <c r="AC46" s="46">
        <v>3.1</v>
      </c>
      <c r="AD46" s="46">
        <v>3.1</v>
      </c>
      <c r="AE46" s="46">
        <v>3.1</v>
      </c>
      <c r="AF46" s="46">
        <v>3.1</v>
      </c>
      <c r="AG46" s="50">
        <v>14</v>
      </c>
      <c r="AH46" s="48">
        <f t="shared" si="2"/>
        <v>3.1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0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0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0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0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0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28.9+43.7</f>
        <v>72.599999999999994</v>
      </c>
      <c r="C60" s="68">
        <v>72</v>
      </c>
      <c r="D60" s="68">
        <v>72</v>
      </c>
      <c r="E60" s="68">
        <v>66.599999999999994</v>
      </c>
      <c r="F60" s="68">
        <v>66.599999999999994</v>
      </c>
      <c r="G60" s="68">
        <v>63</v>
      </c>
      <c r="H60" s="68">
        <v>61</v>
      </c>
      <c r="I60" s="68">
        <v>61</v>
      </c>
      <c r="J60" s="68">
        <v>61</v>
      </c>
      <c r="K60" s="68">
        <v>61</v>
      </c>
      <c r="L60" s="68">
        <v>62</v>
      </c>
      <c r="M60" s="53">
        <f>31.6+20.5</f>
        <v>52.1</v>
      </c>
      <c r="N60" s="53">
        <f>29.7+18.3</f>
        <v>48</v>
      </c>
      <c r="O60" s="53">
        <f>33.4+22.9</f>
        <v>56.3</v>
      </c>
      <c r="P60" s="53">
        <f>33.3+23</f>
        <v>56.3</v>
      </c>
      <c r="Q60" s="53">
        <f>30.3+20.3</f>
        <v>50.6</v>
      </c>
      <c r="R60" s="53">
        <f>21.2+32.8</f>
        <v>54</v>
      </c>
      <c r="S60" s="53">
        <v>46.7</v>
      </c>
      <c r="T60" s="53">
        <v>49.6</v>
      </c>
      <c r="U60" s="53">
        <v>51.9</v>
      </c>
      <c r="V60" s="53">
        <v>63</v>
      </c>
      <c r="W60" s="53">
        <v>64.8</v>
      </c>
      <c r="X60" s="53">
        <f>26.4+46.1</f>
        <v>72.5</v>
      </c>
      <c r="Y60" s="53">
        <v>67.900000000000006</v>
      </c>
      <c r="Z60" s="53">
        <v>62.1</v>
      </c>
      <c r="AA60" s="68">
        <v>67</v>
      </c>
      <c r="AB60" s="68">
        <v>66.8</v>
      </c>
      <c r="AC60" s="68">
        <v>66.8</v>
      </c>
      <c r="AD60" s="68">
        <v>66.8</v>
      </c>
      <c r="AE60" s="68">
        <v>66.8</v>
      </c>
      <c r="AF60" s="68">
        <v>66.8</v>
      </c>
      <c r="AG60" s="66">
        <v>240</v>
      </c>
      <c r="AH60" s="48">
        <f t="shared" si="2"/>
        <v>72.599999999999994</v>
      </c>
      <c r="AI60" s="49">
        <f t="shared" si="3"/>
        <v>46.7</v>
      </c>
      <c r="AK60" s="51"/>
    </row>
    <row r="61" spans="1:88" ht="15.75" thickBot="1" x14ac:dyDescent="0.3">
      <c r="A61" s="70" t="s">
        <v>75</v>
      </c>
      <c r="B61" s="71">
        <f>SUM(B11:B59)</f>
        <v>588.5</v>
      </c>
      <c r="C61" s="71">
        <f t="shared" ref="C61:AG61" si="20">SUM(C11:C59)</f>
        <v>728.30000000000007</v>
      </c>
      <c r="D61" s="71">
        <f t="shared" si="20"/>
        <v>728.30000000000007</v>
      </c>
      <c r="E61" s="71">
        <f t="shared" si="20"/>
        <v>721.07999999999993</v>
      </c>
      <c r="F61" s="71">
        <f t="shared" si="20"/>
        <v>721.07999999999993</v>
      </c>
      <c r="G61" s="71">
        <f t="shared" si="20"/>
        <v>723.48</v>
      </c>
      <c r="H61" s="71">
        <f t="shared" si="20"/>
        <v>723.48</v>
      </c>
      <c r="I61" s="71">
        <f t="shared" si="20"/>
        <v>722.28</v>
      </c>
      <c r="J61" s="71">
        <f t="shared" si="20"/>
        <v>723.48</v>
      </c>
      <c r="K61" s="71">
        <f t="shared" si="20"/>
        <v>723.48</v>
      </c>
      <c r="L61" s="71">
        <f t="shared" si="20"/>
        <v>723.48</v>
      </c>
      <c r="M61" s="71">
        <f t="shared" si="20"/>
        <v>717.4799999999999</v>
      </c>
      <c r="N61" s="71">
        <f t="shared" si="20"/>
        <v>726.68</v>
      </c>
      <c r="O61" s="71">
        <f t="shared" si="20"/>
        <v>726.28</v>
      </c>
      <c r="P61" s="71">
        <f t="shared" si="20"/>
        <v>732.61999999999989</v>
      </c>
      <c r="Q61" s="71">
        <f t="shared" si="20"/>
        <v>734.87999999999988</v>
      </c>
      <c r="R61" s="71">
        <f t="shared" ref="R61:S61" si="21">SUM(R11:R59)</f>
        <v>712.50000000000011</v>
      </c>
      <c r="S61" s="71">
        <f t="shared" si="21"/>
        <v>712.50000000000011</v>
      </c>
      <c r="T61" s="71">
        <f t="shared" ref="T61:U61" si="22">SUM(T11:T59)</f>
        <v>712.50000000000011</v>
      </c>
      <c r="U61" s="71">
        <f t="shared" si="22"/>
        <v>712.50000000000011</v>
      </c>
      <c r="V61" s="71">
        <f t="shared" ref="V61:W61" si="23">SUM(V11:V59)</f>
        <v>712.50000000000011</v>
      </c>
      <c r="W61" s="71">
        <f t="shared" si="23"/>
        <v>712.50000000000011</v>
      </c>
      <c r="X61" s="71">
        <f t="shared" si="20"/>
        <v>712.50000000000011</v>
      </c>
      <c r="Y61" s="71">
        <f t="shared" ref="Y61:AA61" si="24">SUM(Y11:Y59)</f>
        <v>712.50000000000011</v>
      </c>
      <c r="Z61" s="71">
        <f t="shared" si="24"/>
        <v>712.50000000000011</v>
      </c>
      <c r="AA61" s="71">
        <f t="shared" si="24"/>
        <v>712.50000000000011</v>
      </c>
      <c r="AB61" s="71">
        <f t="shared" si="20"/>
        <v>767.20000000000016</v>
      </c>
      <c r="AC61" s="71">
        <f t="shared" si="20"/>
        <v>767.20000000000016</v>
      </c>
      <c r="AD61" s="71">
        <f t="shared" si="20"/>
        <v>767.20000000000016</v>
      </c>
      <c r="AE61" s="71">
        <f t="shared" si="20"/>
        <v>767.20000000000016</v>
      </c>
      <c r="AF61" s="71">
        <f t="shared" si="20"/>
        <v>767.20000000000016</v>
      </c>
      <c r="AG61" s="71">
        <f t="shared" si="20"/>
        <v>1466.0300000000002</v>
      </c>
      <c r="AH61" s="48">
        <f t="shared" si="2"/>
        <v>767.20000000000016</v>
      </c>
      <c r="AI61" s="49">
        <f t="shared" si="3"/>
        <v>588.5</v>
      </c>
      <c r="AK61" s="51"/>
    </row>
    <row r="62" spans="1:88" x14ac:dyDescent="0.25">
      <c r="A62" s="73" t="s">
        <v>76</v>
      </c>
      <c r="B62" s="46">
        <v>280</v>
      </c>
      <c r="C62" s="46">
        <v>161.19999999999999</v>
      </c>
      <c r="D62" s="46">
        <v>130</v>
      </c>
      <c r="E62" s="46">
        <v>80.599999999999994</v>
      </c>
      <c r="F62" s="46">
        <v>15</v>
      </c>
      <c r="G62" s="46">
        <v>50</v>
      </c>
      <c r="H62" s="46">
        <v>105</v>
      </c>
      <c r="I62" s="46">
        <v>146</v>
      </c>
      <c r="J62" s="46">
        <v>136.69999999999999</v>
      </c>
      <c r="K62" s="46">
        <v>271.7</v>
      </c>
      <c r="L62" s="46">
        <v>321.8</v>
      </c>
      <c r="M62" s="46">
        <v>361.9</v>
      </c>
      <c r="N62" s="74">
        <v>400</v>
      </c>
      <c r="O62" s="74">
        <v>381</v>
      </c>
      <c r="P62" s="74">
        <v>381.6</v>
      </c>
      <c r="Q62" s="74">
        <v>456</v>
      </c>
      <c r="R62" s="74">
        <v>325</v>
      </c>
      <c r="S62" s="74">
        <v>392</v>
      </c>
      <c r="T62" s="74">
        <v>410</v>
      </c>
      <c r="U62" s="74">
        <v>120.9</v>
      </c>
      <c r="V62" s="74">
        <v>181.9</v>
      </c>
      <c r="W62" s="74">
        <v>105.4</v>
      </c>
      <c r="X62" s="46">
        <v>51.4</v>
      </c>
      <c r="Y62" s="46">
        <v>322</v>
      </c>
      <c r="Z62" s="46">
        <v>409.6</v>
      </c>
      <c r="AA62" s="46">
        <v>457.9</v>
      </c>
      <c r="AB62" s="46">
        <v>457.7</v>
      </c>
      <c r="AC62" s="46">
        <v>457.7</v>
      </c>
      <c r="AD62" s="46">
        <v>400</v>
      </c>
      <c r="AE62" s="46">
        <v>340</v>
      </c>
      <c r="AF62" s="46">
        <v>300</v>
      </c>
      <c r="AG62" s="61">
        <v>456</v>
      </c>
      <c r="AH62" s="48">
        <f t="shared" si="2"/>
        <v>457.9</v>
      </c>
      <c r="AI62" s="49">
        <f t="shared" si="3"/>
        <v>15</v>
      </c>
      <c r="AK62" s="51"/>
    </row>
    <row r="63" spans="1:88" x14ac:dyDescent="0.25">
      <c r="A63" s="75" t="s">
        <v>77</v>
      </c>
      <c r="B63" s="76">
        <v>60</v>
      </c>
      <c r="C63" s="76">
        <v>60</v>
      </c>
      <c r="D63" s="76">
        <v>60</v>
      </c>
      <c r="E63" s="76">
        <v>60</v>
      </c>
      <c r="F63" s="76">
        <v>55</v>
      </c>
      <c r="G63" s="76">
        <v>55</v>
      </c>
      <c r="H63" s="76">
        <v>55</v>
      </c>
      <c r="I63" s="76">
        <v>55</v>
      </c>
      <c r="J63" s="76">
        <v>55</v>
      </c>
      <c r="K63" s="76">
        <v>55</v>
      </c>
      <c r="L63" s="76">
        <v>55</v>
      </c>
      <c r="M63" s="76">
        <v>55</v>
      </c>
      <c r="N63" s="76">
        <v>55</v>
      </c>
      <c r="O63" s="76">
        <v>55</v>
      </c>
      <c r="P63" s="76">
        <v>55</v>
      </c>
      <c r="Q63" s="76">
        <v>55</v>
      </c>
      <c r="R63" s="76">
        <v>55</v>
      </c>
      <c r="S63" s="76">
        <v>55</v>
      </c>
      <c r="T63" s="76">
        <v>55</v>
      </c>
      <c r="U63" s="76">
        <v>55</v>
      </c>
      <c r="V63" s="76">
        <v>55</v>
      </c>
      <c r="W63" s="76">
        <v>55</v>
      </c>
      <c r="X63" s="76">
        <v>55</v>
      </c>
      <c r="Y63" s="76">
        <v>55</v>
      </c>
      <c r="Z63" s="76">
        <v>55</v>
      </c>
      <c r="AA63" s="76">
        <v>55</v>
      </c>
      <c r="AB63" s="76">
        <v>55</v>
      </c>
      <c r="AC63" s="76">
        <v>55</v>
      </c>
      <c r="AD63" s="76">
        <v>55</v>
      </c>
      <c r="AE63" s="76">
        <v>55</v>
      </c>
      <c r="AF63" s="76">
        <v>55</v>
      </c>
      <c r="AG63" s="66">
        <v>60</v>
      </c>
      <c r="AH63" s="48">
        <f t="shared" si="2"/>
        <v>60</v>
      </c>
      <c r="AI63" s="49">
        <f t="shared" si="3"/>
        <v>55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22.6</v>
      </c>
      <c r="N64" s="78">
        <v>22.6</v>
      </c>
      <c r="O64" s="78">
        <v>22.5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5">SUM(B62:B64)</f>
        <v>362.6</v>
      </c>
      <c r="C65" s="71">
        <f t="shared" si="25"/>
        <v>243.79999999999998</v>
      </c>
      <c r="D65" s="71">
        <f t="shared" si="25"/>
        <v>212.6</v>
      </c>
      <c r="E65" s="71">
        <f t="shared" si="25"/>
        <v>163.19999999999999</v>
      </c>
      <c r="F65" s="71">
        <f t="shared" si="25"/>
        <v>92.5</v>
      </c>
      <c r="G65" s="71">
        <f t="shared" si="25"/>
        <v>127.5</v>
      </c>
      <c r="H65" s="71">
        <f t="shared" si="25"/>
        <v>182.5</v>
      </c>
      <c r="I65" s="71">
        <f t="shared" si="25"/>
        <v>223.5</v>
      </c>
      <c r="J65" s="71">
        <f t="shared" si="25"/>
        <v>214.2</v>
      </c>
      <c r="K65" s="71">
        <f t="shared" si="25"/>
        <v>349.2</v>
      </c>
      <c r="L65" s="71">
        <f t="shared" si="25"/>
        <v>399.3</v>
      </c>
      <c r="M65" s="71">
        <f t="shared" si="25"/>
        <v>439.5</v>
      </c>
      <c r="N65" s="71">
        <f t="shared" si="25"/>
        <v>477.6</v>
      </c>
      <c r="O65" s="71">
        <f t="shared" si="25"/>
        <v>458.5</v>
      </c>
      <c r="P65" s="71">
        <f t="shared" si="25"/>
        <v>459.20000000000005</v>
      </c>
      <c r="Q65" s="71">
        <f t="shared" si="25"/>
        <v>533.6</v>
      </c>
      <c r="R65" s="71">
        <f t="shared" ref="R65:S65" si="26">SUM(R62:R64)</f>
        <v>402.6</v>
      </c>
      <c r="S65" s="71">
        <f t="shared" si="26"/>
        <v>469.6</v>
      </c>
      <c r="T65" s="71">
        <f t="shared" ref="T65:U65" si="27">SUM(T62:T64)</f>
        <v>487.6</v>
      </c>
      <c r="U65" s="71">
        <f t="shared" si="27"/>
        <v>198.5</v>
      </c>
      <c r="V65" s="71">
        <f t="shared" ref="V65:W65" si="28">SUM(V62:V64)</f>
        <v>259.5</v>
      </c>
      <c r="W65" s="71">
        <f t="shared" si="28"/>
        <v>183</v>
      </c>
      <c r="X65" s="71">
        <f t="shared" si="25"/>
        <v>129</v>
      </c>
      <c r="Y65" s="71">
        <f t="shared" ref="Y65:AA65" si="29">SUM(Y62:Y64)</f>
        <v>399.6</v>
      </c>
      <c r="Z65" s="71">
        <f t="shared" si="29"/>
        <v>487.20000000000005</v>
      </c>
      <c r="AA65" s="71">
        <f t="shared" si="29"/>
        <v>535.5</v>
      </c>
      <c r="AB65" s="71">
        <f t="shared" si="25"/>
        <v>535.30000000000007</v>
      </c>
      <c r="AC65" s="71">
        <f t="shared" si="25"/>
        <v>535.30000000000007</v>
      </c>
      <c r="AD65" s="71">
        <f t="shared" si="25"/>
        <v>477.6</v>
      </c>
      <c r="AE65" s="71">
        <f t="shared" si="25"/>
        <v>417.6</v>
      </c>
      <c r="AF65" s="71">
        <f t="shared" si="25"/>
        <v>377.6</v>
      </c>
      <c r="AG65" s="72">
        <f t="shared" si="25"/>
        <v>538.1</v>
      </c>
      <c r="AH65" s="48">
        <f t="shared" si="2"/>
        <v>535.5</v>
      </c>
      <c r="AI65" s="49">
        <f t="shared" si="3"/>
        <v>92.5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0</v>
      </c>
      <c r="C66" s="46">
        <v>130</v>
      </c>
      <c r="D66" s="46">
        <v>141</v>
      </c>
      <c r="E66" s="46">
        <v>132</v>
      </c>
      <c r="F66" s="46">
        <v>85</v>
      </c>
      <c r="G66" s="46">
        <v>84.2</v>
      </c>
      <c r="H66" s="46">
        <v>83.6</v>
      </c>
      <c r="I66" s="46">
        <v>91.9</v>
      </c>
      <c r="J66" s="46">
        <v>86.3</v>
      </c>
      <c r="K66" s="46">
        <v>80.8</v>
      </c>
      <c r="L66" s="46">
        <v>70.599999999999994</v>
      </c>
      <c r="M66" s="46">
        <v>70.2</v>
      </c>
      <c r="N66" s="46">
        <v>70.8</v>
      </c>
      <c r="O66" s="46">
        <v>131</v>
      </c>
      <c r="P66" s="46">
        <v>144</v>
      </c>
      <c r="Q66" s="46">
        <v>133</v>
      </c>
      <c r="R66" s="46">
        <v>144.5</v>
      </c>
      <c r="S66" s="46">
        <v>144.5</v>
      </c>
      <c r="T66" s="46">
        <v>144.5</v>
      </c>
      <c r="U66" s="46">
        <v>144.5</v>
      </c>
      <c r="V66" s="46">
        <v>144.5</v>
      </c>
      <c r="W66" s="46">
        <v>144.5</v>
      </c>
      <c r="X66" s="46">
        <v>143.69999999999999</v>
      </c>
      <c r="Y66" s="46">
        <v>143.69999999999999</v>
      </c>
      <c r="Z66" s="46">
        <v>143.69999999999999</v>
      </c>
      <c r="AA66" s="46">
        <v>143.69999999999999</v>
      </c>
      <c r="AB66" s="46">
        <v>142.4</v>
      </c>
      <c r="AC66" s="46">
        <v>143</v>
      </c>
      <c r="AD66" s="46">
        <v>143</v>
      </c>
      <c r="AE66" s="46">
        <v>143</v>
      </c>
      <c r="AF66" s="46">
        <v>143</v>
      </c>
      <c r="AG66" s="61">
        <v>144</v>
      </c>
      <c r="AH66" s="48">
        <f t="shared" si="2"/>
        <v>144.5</v>
      </c>
      <c r="AI66" s="49">
        <f t="shared" si="3"/>
        <v>0</v>
      </c>
      <c r="AK66" s="51"/>
      <c r="AY66" s="1" t="s">
        <v>86</v>
      </c>
      <c r="AZ66" s="82">
        <f>ROUND(C84,0)</f>
        <v>50</v>
      </c>
      <c r="BA66" s="81">
        <f t="shared" ref="BA66:BD70" si="30">D84</f>
        <v>48</v>
      </c>
      <c r="BB66" s="81">
        <f t="shared" si="30"/>
        <v>44.5</v>
      </c>
      <c r="BC66" s="81">
        <f t="shared" si="30"/>
        <v>40</v>
      </c>
      <c r="BD66" s="81">
        <f t="shared" si="30"/>
        <v>39</v>
      </c>
      <c r="BE66" s="82">
        <f>I84</f>
        <v>40.4</v>
      </c>
      <c r="BF66" s="82">
        <f>K84</f>
        <v>47.3</v>
      </c>
      <c r="BG66" s="82">
        <f t="shared" ref="BG66:BP70" si="31">M84</f>
        <v>44.7</v>
      </c>
      <c r="BH66" s="82">
        <f t="shared" si="31"/>
        <v>59.4</v>
      </c>
      <c r="BI66" s="82">
        <f t="shared" si="31"/>
        <v>56.4</v>
      </c>
      <c r="BJ66" s="82">
        <f t="shared" si="31"/>
        <v>55.2</v>
      </c>
      <c r="BK66" s="82">
        <f t="shared" si="31"/>
        <v>67</v>
      </c>
      <c r="BL66" s="82">
        <f t="shared" si="31"/>
        <v>60.9</v>
      </c>
      <c r="BM66" s="82">
        <f t="shared" si="31"/>
        <v>71</v>
      </c>
      <c r="BN66" s="82">
        <f t="shared" si="31"/>
        <v>61.7</v>
      </c>
      <c r="BO66" s="82">
        <f t="shared" si="31"/>
        <v>53.6</v>
      </c>
      <c r="BP66" s="82">
        <f t="shared" si="31"/>
        <v>0</v>
      </c>
      <c r="BQ66" s="82">
        <f>X84</f>
        <v>49.4</v>
      </c>
      <c r="BR66" s="82">
        <f>Z84</f>
        <v>9.9</v>
      </c>
      <c r="BS66" s="81">
        <f>AB84</f>
        <v>12.5</v>
      </c>
      <c r="BT66" s="81">
        <f t="shared" ref="BT66:BV70" si="32">AD84</f>
        <v>26</v>
      </c>
      <c r="BU66" s="81">
        <f t="shared" si="32"/>
        <v>28</v>
      </c>
      <c r="BV66" s="81">
        <f t="shared" si="32"/>
        <v>17</v>
      </c>
      <c r="BW66" s="81">
        <f>B84</f>
        <v>49.5</v>
      </c>
    </row>
    <row r="67" spans="1:75" x14ac:dyDescent="0.25">
      <c r="A67" s="65" t="s">
        <v>81</v>
      </c>
      <c r="B67" s="76">
        <v>67.7</v>
      </c>
      <c r="C67" s="76">
        <v>70.7</v>
      </c>
      <c r="D67" s="76">
        <v>70.7</v>
      </c>
      <c r="E67" s="76">
        <v>69.2</v>
      </c>
      <c r="F67" s="76">
        <v>69.400000000000006</v>
      </c>
      <c r="G67" s="76">
        <v>69.400000000000006</v>
      </c>
      <c r="H67" s="76">
        <v>69.400000000000006</v>
      </c>
      <c r="I67" s="76">
        <v>69.400000000000006</v>
      </c>
      <c r="J67" s="76">
        <v>69.400000000000006</v>
      </c>
      <c r="K67" s="76">
        <v>69.400000000000006</v>
      </c>
      <c r="L67" s="76">
        <v>69.400000000000006</v>
      </c>
      <c r="M67" s="76">
        <v>68.900000000000006</v>
      </c>
      <c r="N67" s="76">
        <v>70.2</v>
      </c>
      <c r="O67" s="76">
        <v>70.2</v>
      </c>
      <c r="P67" s="76">
        <v>70.2</v>
      </c>
      <c r="Q67" s="76">
        <v>70.599999999999994</v>
      </c>
      <c r="R67" s="76">
        <v>70.5</v>
      </c>
      <c r="S67" s="76">
        <v>70.5</v>
      </c>
      <c r="T67" s="76">
        <v>70.5</v>
      </c>
      <c r="U67" s="76">
        <v>70.5</v>
      </c>
      <c r="V67" s="76">
        <v>70.5</v>
      </c>
      <c r="W67" s="76">
        <v>70.5</v>
      </c>
      <c r="X67" s="46">
        <v>72</v>
      </c>
      <c r="Y67" s="46">
        <v>72</v>
      </c>
      <c r="Z67" s="46">
        <v>72</v>
      </c>
      <c r="AA67" s="46">
        <v>72</v>
      </c>
      <c r="AB67" s="46">
        <v>71.7</v>
      </c>
      <c r="AC67" s="46">
        <v>71.7</v>
      </c>
      <c r="AD67" s="46">
        <v>71.7</v>
      </c>
      <c r="AE67" s="46">
        <v>71.7</v>
      </c>
      <c r="AF67" s="46">
        <v>71.7</v>
      </c>
      <c r="AG67" s="66">
        <v>70</v>
      </c>
      <c r="AH67" s="48">
        <f t="shared" si="2"/>
        <v>72</v>
      </c>
      <c r="AI67" s="49">
        <f t="shared" si="3"/>
        <v>67.7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71</v>
      </c>
      <c r="BH67" s="82">
        <f t="shared" si="31"/>
        <v>76.599999999999994</v>
      </c>
      <c r="BI67" s="82">
        <f t="shared" si="31"/>
        <v>85.1</v>
      </c>
      <c r="BJ67" s="82">
        <f t="shared" si="31"/>
        <v>83.3</v>
      </c>
      <c r="BK67" s="82">
        <f t="shared" si="31"/>
        <v>81.400000000000006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68.3</v>
      </c>
      <c r="C68" s="76">
        <v>68.400000000000006</v>
      </c>
      <c r="D68" s="76">
        <v>68.400000000000006</v>
      </c>
      <c r="E68" s="76">
        <v>67.900000000000006</v>
      </c>
      <c r="F68" s="76">
        <v>68.2</v>
      </c>
      <c r="G68" s="76">
        <v>68.2</v>
      </c>
      <c r="H68" s="76">
        <v>68.2</v>
      </c>
      <c r="I68" s="76">
        <v>68.2</v>
      </c>
      <c r="J68" s="76">
        <v>68.2</v>
      </c>
      <c r="K68" s="76">
        <v>68.2</v>
      </c>
      <c r="L68" s="76">
        <v>68.2</v>
      </c>
      <c r="M68" s="76">
        <v>68.5</v>
      </c>
      <c r="N68" s="76">
        <v>68.5</v>
      </c>
      <c r="O68" s="76">
        <v>68.5</v>
      </c>
      <c r="P68" s="76">
        <v>68.5</v>
      </c>
      <c r="Q68" s="76">
        <v>68</v>
      </c>
      <c r="R68" s="76">
        <v>67.900000000000006</v>
      </c>
      <c r="S68" s="76">
        <v>67.900000000000006</v>
      </c>
      <c r="T68" s="76">
        <v>67.900000000000006</v>
      </c>
      <c r="U68" s="76">
        <v>67.900000000000006</v>
      </c>
      <c r="V68" s="76">
        <v>67.900000000000006</v>
      </c>
      <c r="W68" s="76">
        <v>67.900000000000006</v>
      </c>
      <c r="X68" s="46">
        <v>69.099999999999994</v>
      </c>
      <c r="Y68" s="46">
        <v>69.099999999999994</v>
      </c>
      <c r="Z68" s="46">
        <v>69.099999999999994</v>
      </c>
      <c r="AA68" s="46">
        <v>69.099999999999994</v>
      </c>
      <c r="AB68" s="46">
        <v>68.8</v>
      </c>
      <c r="AC68" s="46">
        <v>68.8</v>
      </c>
      <c r="AD68" s="46">
        <v>68.8</v>
      </c>
      <c r="AE68" s="46">
        <v>68.8</v>
      </c>
      <c r="AF68" s="46">
        <v>68.8</v>
      </c>
      <c r="AG68" s="66">
        <v>69</v>
      </c>
      <c r="AH68" s="48">
        <f t="shared" si="2"/>
        <v>69.099999999999994</v>
      </c>
      <c r="AI68" s="49">
        <f t="shared" si="3"/>
        <v>67.900000000000006</v>
      </c>
      <c r="AK68" s="51"/>
      <c r="AL68" s="83"/>
      <c r="AO68" s="83"/>
      <c r="AY68" s="1" t="s">
        <v>90</v>
      </c>
      <c r="AZ68" s="82">
        <f>ROUND(C86,0)</f>
        <v>-125</v>
      </c>
      <c r="BA68" s="81">
        <f t="shared" si="30"/>
        <v>-130</v>
      </c>
      <c r="BB68" s="81">
        <f t="shared" si="30"/>
        <v>-113</v>
      </c>
      <c r="BC68" s="81">
        <f t="shared" si="30"/>
        <v>-112.5</v>
      </c>
      <c r="BD68" s="81">
        <f t="shared" si="30"/>
        <v>-115</v>
      </c>
      <c r="BE68" s="82">
        <f>I86</f>
        <v>-108</v>
      </c>
      <c r="BF68" s="82">
        <f>K86</f>
        <v>-162</v>
      </c>
      <c r="BG68" s="82">
        <f t="shared" si="31"/>
        <v>-238.2</v>
      </c>
      <c r="BH68" s="82">
        <f t="shared" si="31"/>
        <v>-210</v>
      </c>
      <c r="BI68" s="82">
        <f t="shared" si="31"/>
        <v>-190</v>
      </c>
      <c r="BJ68" s="82">
        <f t="shared" si="31"/>
        <v>-172</v>
      </c>
      <c r="BK68" s="82">
        <f t="shared" si="31"/>
        <v>-225</v>
      </c>
      <c r="BL68" s="82">
        <f t="shared" si="31"/>
        <v>-115</v>
      </c>
      <c r="BM68" s="82">
        <f t="shared" si="31"/>
        <v>-105.5</v>
      </c>
      <c r="BN68" s="82">
        <f t="shared" si="31"/>
        <v>-104.6</v>
      </c>
      <c r="BO68" s="82">
        <f t="shared" si="31"/>
        <v>81.2</v>
      </c>
      <c r="BP68" s="82">
        <f t="shared" si="31"/>
        <v>95.8</v>
      </c>
      <c r="BQ68" s="82">
        <f>X86</f>
        <v>100.2</v>
      </c>
      <c r="BR68" s="82">
        <f>Z86</f>
        <v>-107.2</v>
      </c>
      <c r="BS68" s="81">
        <f>AB86</f>
        <v>-102</v>
      </c>
      <c r="BT68" s="81">
        <f t="shared" si="32"/>
        <v>-103</v>
      </c>
      <c r="BU68" s="81">
        <f t="shared" si="32"/>
        <v>-108</v>
      </c>
      <c r="BV68" s="81">
        <f t="shared" si="32"/>
        <v>-109</v>
      </c>
      <c r="BW68" s="81">
        <f>B86</f>
        <v>-118</v>
      </c>
    </row>
    <row r="69" spans="1:75" s="83" customFormat="1" x14ac:dyDescent="0.25">
      <c r="A69" s="65" t="s">
        <v>83</v>
      </c>
      <c r="B69" s="76">
        <v>61.4</v>
      </c>
      <c r="C69" s="76">
        <v>61.4</v>
      </c>
      <c r="D69" s="76">
        <v>61.4</v>
      </c>
      <c r="E69" s="76">
        <v>61.4</v>
      </c>
      <c r="F69" s="76">
        <v>61.4</v>
      </c>
      <c r="G69" s="76">
        <v>61.4</v>
      </c>
      <c r="H69" s="76">
        <v>61.4</v>
      </c>
      <c r="I69" s="76">
        <v>61.4</v>
      </c>
      <c r="J69" s="76">
        <v>61.4</v>
      </c>
      <c r="K69" s="76">
        <v>61.4</v>
      </c>
      <c r="L69" s="76">
        <v>61.4</v>
      </c>
      <c r="M69" s="76">
        <v>61.4</v>
      </c>
      <c r="N69" s="76">
        <v>58.2</v>
      </c>
      <c r="O69" s="76">
        <v>58.2</v>
      </c>
      <c r="P69" s="76">
        <v>58.2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46">
        <v>60.4</v>
      </c>
      <c r="Y69" s="46">
        <v>60.4</v>
      </c>
      <c r="Z69" s="46">
        <v>60.4</v>
      </c>
      <c r="AA69" s="46">
        <v>60.4</v>
      </c>
      <c r="AB69" s="46">
        <v>60.4</v>
      </c>
      <c r="AC69" s="46">
        <v>60.4</v>
      </c>
      <c r="AD69" s="46">
        <v>60.4</v>
      </c>
      <c r="AE69" s="46">
        <v>60.4</v>
      </c>
      <c r="AF69" s="46">
        <v>60.4</v>
      </c>
      <c r="AG69" s="66">
        <v>60</v>
      </c>
      <c r="AH69" s="48">
        <f t="shared" si="2"/>
        <v>61.4</v>
      </c>
      <c r="AI69" s="49">
        <f t="shared" si="3"/>
        <v>58.2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26.6</v>
      </c>
      <c r="BG69" s="82">
        <f t="shared" si="31"/>
        <v>25.5</v>
      </c>
      <c r="BH69" s="82">
        <f t="shared" si="31"/>
        <v>27.8</v>
      </c>
      <c r="BI69" s="82">
        <f t="shared" si="31"/>
        <v>23.9</v>
      </c>
      <c r="BJ69" s="82">
        <f t="shared" si="31"/>
        <v>25.1</v>
      </c>
      <c r="BK69" s="82">
        <f t="shared" si="31"/>
        <v>25.7</v>
      </c>
      <c r="BL69" s="82">
        <f t="shared" si="31"/>
        <v>28.9</v>
      </c>
      <c r="BM69" s="82">
        <f t="shared" si="31"/>
        <v>25.5</v>
      </c>
      <c r="BN69" s="82">
        <f t="shared" si="31"/>
        <v>20.6</v>
      </c>
      <c r="BO69" s="82">
        <f t="shared" si="31"/>
        <v>28.9</v>
      </c>
      <c r="BP69" s="82">
        <f t="shared" si="31"/>
        <v>30.5</v>
      </c>
      <c r="BQ69" s="82">
        <f>X87</f>
        <v>24.3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0</v>
      </c>
      <c r="C70" s="46">
        <v>0</v>
      </c>
      <c r="D70" s="4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24.9</v>
      </c>
      <c r="V70" s="76">
        <v>0</v>
      </c>
      <c r="W70" s="76">
        <v>0</v>
      </c>
      <c r="X70" s="46">
        <v>24</v>
      </c>
      <c r="Y70" s="46">
        <v>23.4</v>
      </c>
      <c r="Z70" s="46">
        <v>23.4</v>
      </c>
      <c r="AA70" s="46">
        <v>22.6</v>
      </c>
      <c r="AB70" s="46">
        <v>23.1</v>
      </c>
      <c r="AC70" s="46">
        <v>15</v>
      </c>
      <c r="AD70" s="46">
        <v>15</v>
      </c>
      <c r="AE70" s="46">
        <v>15</v>
      </c>
      <c r="AF70" s="46">
        <v>15</v>
      </c>
      <c r="AG70" s="66">
        <v>30</v>
      </c>
      <c r="AH70" s="48">
        <f t="shared" si="2"/>
        <v>24.9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51.3</v>
      </c>
      <c r="BG70" s="82">
        <f t="shared" si="31"/>
        <v>0</v>
      </c>
      <c r="BH70" s="82">
        <f t="shared" si="31"/>
        <v>0</v>
      </c>
      <c r="BI70" s="82">
        <f t="shared" si="31"/>
        <v>0</v>
      </c>
      <c r="BJ70" s="82">
        <f t="shared" si="31"/>
        <v>0</v>
      </c>
      <c r="BK70" s="82">
        <f t="shared" si="31"/>
        <v>0</v>
      </c>
      <c r="BL70" s="82">
        <f t="shared" si="31"/>
        <v>79.900000000000006</v>
      </c>
      <c r="BM70" s="82">
        <f t="shared" si="31"/>
        <v>88.3</v>
      </c>
      <c r="BN70" s="82">
        <f t="shared" si="31"/>
        <v>105.3</v>
      </c>
      <c r="BO70" s="82">
        <f t="shared" si="31"/>
        <v>96.7</v>
      </c>
      <c r="BP70" s="82">
        <f t="shared" si="31"/>
        <v>83.2</v>
      </c>
      <c r="BQ70" s="82">
        <f>X88</f>
        <v>82.5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0.3</v>
      </c>
      <c r="I71" s="46">
        <v>1</v>
      </c>
      <c r="J71" s="46">
        <v>2.2000000000000002</v>
      </c>
      <c r="K71" s="46">
        <v>4.7</v>
      </c>
      <c r="L71" s="76">
        <v>5.8</v>
      </c>
      <c r="M71" s="76">
        <v>5.8</v>
      </c>
      <c r="N71" s="76">
        <v>11</v>
      </c>
      <c r="O71" s="76">
        <v>17.899999999999999</v>
      </c>
      <c r="P71" s="76">
        <v>18.2</v>
      </c>
      <c r="Q71" s="76">
        <v>18.3</v>
      </c>
      <c r="R71" s="76">
        <v>17.5</v>
      </c>
      <c r="S71" s="76">
        <v>15.2</v>
      </c>
      <c r="T71" s="76">
        <v>11.9</v>
      </c>
      <c r="U71" s="76">
        <v>8.6</v>
      </c>
      <c r="V71" s="76">
        <v>3.2</v>
      </c>
      <c r="W71" s="76">
        <v>3.2</v>
      </c>
      <c r="X71" s="46">
        <v>0.8</v>
      </c>
      <c r="Y71" s="46">
        <v>0.2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18.3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14.8</v>
      </c>
      <c r="C72" s="76">
        <v>14.8</v>
      </c>
      <c r="D72" s="76">
        <v>14.8</v>
      </c>
      <c r="E72" s="76">
        <v>14.8</v>
      </c>
      <c r="F72" s="76">
        <v>14.8</v>
      </c>
      <c r="G72" s="76">
        <v>14.8</v>
      </c>
      <c r="H72" s="76">
        <v>14.8</v>
      </c>
      <c r="I72" s="76">
        <v>14.8</v>
      </c>
      <c r="J72" s="76">
        <v>14.8</v>
      </c>
      <c r="K72" s="76">
        <v>14.8</v>
      </c>
      <c r="L72" s="76">
        <v>14.8</v>
      </c>
      <c r="M72" s="76">
        <v>14.8</v>
      </c>
      <c r="N72" s="76">
        <v>14.8</v>
      </c>
      <c r="O72" s="76">
        <v>14.8</v>
      </c>
      <c r="P72" s="76">
        <v>14.8</v>
      </c>
      <c r="Q72" s="76">
        <v>15.1</v>
      </c>
      <c r="R72" s="76">
        <v>15</v>
      </c>
      <c r="S72" s="76">
        <v>15</v>
      </c>
      <c r="T72" s="76">
        <v>15</v>
      </c>
      <c r="U72" s="76">
        <v>15</v>
      </c>
      <c r="V72" s="76">
        <v>15</v>
      </c>
      <c r="W72" s="76">
        <v>15</v>
      </c>
      <c r="X72" s="76">
        <v>13.8</v>
      </c>
      <c r="Y72" s="76">
        <v>13.8</v>
      </c>
      <c r="Z72" s="76">
        <v>13.8</v>
      </c>
      <c r="AA72" s="76">
        <v>13.8</v>
      </c>
      <c r="AB72" s="76">
        <v>16</v>
      </c>
      <c r="AC72" s="76">
        <v>16</v>
      </c>
      <c r="AD72" s="76">
        <v>16</v>
      </c>
      <c r="AE72" s="76">
        <v>16</v>
      </c>
      <c r="AF72" s="76">
        <v>16</v>
      </c>
      <c r="AG72" s="66">
        <v>24</v>
      </c>
      <c r="AH72" s="48">
        <f t="shared" si="2"/>
        <v>16</v>
      </c>
      <c r="AI72" s="49">
        <f t="shared" si="3"/>
        <v>13.8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0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0</v>
      </c>
      <c r="AK73" s="51"/>
      <c r="AZ73" s="82">
        <f t="shared" ref="AZ73:BW78" si="34">VALUE(AZ66)</f>
        <v>50</v>
      </c>
      <c r="BA73" s="82">
        <f t="shared" si="34"/>
        <v>48</v>
      </c>
      <c r="BB73" s="82">
        <f t="shared" si="34"/>
        <v>44.5</v>
      </c>
      <c r="BC73" s="82">
        <f t="shared" si="34"/>
        <v>40</v>
      </c>
      <c r="BD73" s="82">
        <f t="shared" si="34"/>
        <v>39</v>
      </c>
      <c r="BE73" s="82">
        <f t="shared" si="34"/>
        <v>40.4</v>
      </c>
      <c r="BF73" s="82">
        <f t="shared" si="34"/>
        <v>47.3</v>
      </c>
      <c r="BG73" s="82">
        <f t="shared" si="34"/>
        <v>44.7</v>
      </c>
      <c r="BH73" s="82">
        <f t="shared" si="34"/>
        <v>59.4</v>
      </c>
      <c r="BI73" s="82">
        <f t="shared" si="34"/>
        <v>56.4</v>
      </c>
      <c r="BJ73" s="82">
        <f t="shared" si="34"/>
        <v>55.2</v>
      </c>
      <c r="BK73" s="82">
        <f t="shared" si="34"/>
        <v>67</v>
      </c>
      <c r="BL73" s="82">
        <f t="shared" si="34"/>
        <v>60.9</v>
      </c>
      <c r="BM73" s="82">
        <f t="shared" si="34"/>
        <v>71</v>
      </c>
      <c r="BN73" s="82">
        <f t="shared" si="34"/>
        <v>61.7</v>
      </c>
      <c r="BO73" s="82">
        <f t="shared" si="34"/>
        <v>53.6</v>
      </c>
      <c r="BP73" s="82">
        <f t="shared" si="34"/>
        <v>0</v>
      </c>
      <c r="BQ73" s="82">
        <f t="shared" si="34"/>
        <v>49.4</v>
      </c>
      <c r="BR73" s="82">
        <f t="shared" si="34"/>
        <v>9.9</v>
      </c>
      <c r="BS73" s="82">
        <f t="shared" si="34"/>
        <v>12.5</v>
      </c>
      <c r="BT73" s="82">
        <f t="shared" si="34"/>
        <v>26</v>
      </c>
      <c r="BU73" s="82">
        <f t="shared" si="34"/>
        <v>28</v>
      </c>
      <c r="BV73" s="82">
        <f t="shared" si="34"/>
        <v>17</v>
      </c>
      <c r="BW73" s="82">
        <f t="shared" si="34"/>
        <v>49.5</v>
      </c>
    </row>
    <row r="74" spans="1:75" x14ac:dyDescent="0.25">
      <c r="A74" s="65" t="s">
        <v>91</v>
      </c>
      <c r="B74" s="76">
        <v>12.2</v>
      </c>
      <c r="C74" s="76">
        <v>12</v>
      </c>
      <c r="D74" s="76">
        <v>12</v>
      </c>
      <c r="E74" s="76">
        <v>12</v>
      </c>
      <c r="F74" s="76">
        <v>12</v>
      </c>
      <c r="G74" s="76">
        <v>12</v>
      </c>
      <c r="H74" s="76">
        <v>12</v>
      </c>
      <c r="I74" s="76">
        <v>12</v>
      </c>
      <c r="J74" s="76">
        <v>12</v>
      </c>
      <c r="K74" s="76">
        <v>12</v>
      </c>
      <c r="L74" s="76">
        <v>12</v>
      </c>
      <c r="M74" s="76">
        <v>12</v>
      </c>
      <c r="N74" s="76">
        <v>12</v>
      </c>
      <c r="O74" s="76">
        <v>12</v>
      </c>
      <c r="P74" s="76">
        <v>12</v>
      </c>
      <c r="Q74" s="76">
        <v>12</v>
      </c>
      <c r="R74" s="76">
        <v>5.4</v>
      </c>
      <c r="S74" s="76">
        <v>5.4</v>
      </c>
      <c r="T74" s="76">
        <v>5.4</v>
      </c>
      <c r="U74" s="76">
        <v>5.4</v>
      </c>
      <c r="V74" s="76">
        <v>5.4</v>
      </c>
      <c r="W74" s="76">
        <v>5.4</v>
      </c>
      <c r="X74" s="76">
        <v>5.4</v>
      </c>
      <c r="Y74" s="76">
        <v>5.4</v>
      </c>
      <c r="Z74" s="76">
        <v>5.4</v>
      </c>
      <c r="AA74" s="76">
        <v>5.4</v>
      </c>
      <c r="AB74" s="76">
        <v>12.9</v>
      </c>
      <c r="AC74" s="76">
        <v>12.9</v>
      </c>
      <c r="AD74" s="76">
        <v>12.9</v>
      </c>
      <c r="AE74" s="76">
        <v>12.9</v>
      </c>
      <c r="AF74" s="76">
        <v>12.9</v>
      </c>
      <c r="AG74" s="66">
        <v>14.1</v>
      </c>
      <c r="AH74" s="48">
        <f t="shared" si="2"/>
        <v>12.9</v>
      </c>
      <c r="AI74" s="49">
        <f t="shared" si="3"/>
        <v>5.4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71</v>
      </c>
      <c r="BH74" s="82">
        <f t="shared" si="34"/>
        <v>76.599999999999994</v>
      </c>
      <c r="BI74" s="82">
        <f t="shared" si="34"/>
        <v>85.1</v>
      </c>
      <c r="BJ74" s="82">
        <f t="shared" si="34"/>
        <v>83.3</v>
      </c>
      <c r="BK74" s="82">
        <f t="shared" si="34"/>
        <v>81.400000000000006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0</v>
      </c>
      <c r="C75" s="76">
        <v>7.5</v>
      </c>
      <c r="D75" s="76">
        <v>7.5</v>
      </c>
      <c r="E75" s="76">
        <v>7.5</v>
      </c>
      <c r="F75" s="76">
        <v>7.5</v>
      </c>
      <c r="G75" s="76">
        <v>7.5</v>
      </c>
      <c r="H75" s="76">
        <v>7.5</v>
      </c>
      <c r="I75" s="76">
        <v>7.5</v>
      </c>
      <c r="J75" s="76">
        <v>7.5</v>
      </c>
      <c r="K75" s="76">
        <v>7.5</v>
      </c>
      <c r="L75" s="76">
        <v>7.5</v>
      </c>
      <c r="M75" s="76">
        <v>7.5</v>
      </c>
      <c r="N75" s="76">
        <v>7.5</v>
      </c>
      <c r="O75" s="76">
        <v>7.5</v>
      </c>
      <c r="P75" s="76">
        <v>7.5</v>
      </c>
      <c r="Q75" s="76">
        <v>7.5</v>
      </c>
      <c r="R75" s="76">
        <v>8.8000000000000007</v>
      </c>
      <c r="S75" s="76">
        <v>8.8000000000000007</v>
      </c>
      <c r="T75" s="76">
        <v>8.8000000000000007</v>
      </c>
      <c r="U75" s="76">
        <v>8.8000000000000007</v>
      </c>
      <c r="V75" s="76">
        <v>8.8000000000000007</v>
      </c>
      <c r="W75" s="76">
        <v>8.8000000000000007</v>
      </c>
      <c r="X75" s="76">
        <v>8.8000000000000007</v>
      </c>
      <c r="Y75" s="76">
        <v>8.8000000000000007</v>
      </c>
      <c r="Z75" s="76">
        <v>8.8000000000000007</v>
      </c>
      <c r="AA75" s="76">
        <v>8.8000000000000007</v>
      </c>
      <c r="AB75" s="76">
        <v>10.199999999999999</v>
      </c>
      <c r="AC75" s="76">
        <v>10.199999999999999</v>
      </c>
      <c r="AD75" s="76">
        <v>10.199999999999999</v>
      </c>
      <c r="AE75" s="76">
        <v>10.199999999999999</v>
      </c>
      <c r="AF75" s="76">
        <v>10.199999999999999</v>
      </c>
      <c r="AG75" s="66">
        <v>14</v>
      </c>
      <c r="AH75" s="48">
        <f t="shared" ref="AH75:AH126" si="35">MAX(B75:AF75)</f>
        <v>10.199999999999999</v>
      </c>
      <c r="AI75" s="49">
        <f t="shared" ref="AI75:AI126" si="36">MIN(B75:AF75)</f>
        <v>0</v>
      </c>
      <c r="AK75" s="51"/>
      <c r="AZ75" s="82">
        <f t="shared" si="34"/>
        <v>-125</v>
      </c>
      <c r="BA75" s="82">
        <f t="shared" si="34"/>
        <v>-130</v>
      </c>
      <c r="BB75" s="82">
        <f t="shared" si="34"/>
        <v>-113</v>
      </c>
      <c r="BC75" s="82">
        <f t="shared" si="34"/>
        <v>-112.5</v>
      </c>
      <c r="BD75" s="82">
        <f t="shared" si="34"/>
        <v>-115</v>
      </c>
      <c r="BE75" s="82">
        <f t="shared" si="34"/>
        <v>-108</v>
      </c>
      <c r="BF75" s="82">
        <f t="shared" si="34"/>
        <v>-162</v>
      </c>
      <c r="BG75" s="82">
        <f t="shared" si="34"/>
        <v>-238.2</v>
      </c>
      <c r="BH75" s="82">
        <f t="shared" si="34"/>
        <v>-210</v>
      </c>
      <c r="BI75" s="82">
        <f t="shared" si="34"/>
        <v>-190</v>
      </c>
      <c r="BJ75" s="82">
        <f t="shared" si="34"/>
        <v>-172</v>
      </c>
      <c r="BK75" s="82">
        <f t="shared" si="34"/>
        <v>-225</v>
      </c>
      <c r="BL75" s="82">
        <f t="shared" si="34"/>
        <v>-115</v>
      </c>
      <c r="BM75" s="82">
        <f t="shared" si="34"/>
        <v>-105.5</v>
      </c>
      <c r="BN75" s="82">
        <f t="shared" si="34"/>
        <v>-104.6</v>
      </c>
      <c r="BO75" s="82">
        <f t="shared" si="34"/>
        <v>81.2</v>
      </c>
      <c r="BP75" s="82">
        <f t="shared" si="34"/>
        <v>95.8</v>
      </c>
      <c r="BQ75" s="82">
        <f t="shared" si="34"/>
        <v>100.2</v>
      </c>
      <c r="BR75" s="82">
        <f t="shared" si="34"/>
        <v>-107.2</v>
      </c>
      <c r="BS75" s="82">
        <f t="shared" si="34"/>
        <v>-102</v>
      </c>
      <c r="BT75" s="82">
        <f t="shared" si="34"/>
        <v>-103</v>
      </c>
      <c r="BU75" s="82">
        <f t="shared" si="34"/>
        <v>-108</v>
      </c>
      <c r="BV75" s="82">
        <f t="shared" si="34"/>
        <v>-109</v>
      </c>
      <c r="BW75" s="82">
        <f t="shared" si="34"/>
        <v>-118</v>
      </c>
    </row>
    <row r="76" spans="1:75" x14ac:dyDescent="0.25">
      <c r="A76" s="65" t="s">
        <v>95</v>
      </c>
      <c r="B76" s="76">
        <v>6.5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35"/>
        <v>8</v>
      </c>
      <c r="AI76" s="49">
        <f t="shared" si="36"/>
        <v>6.5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26.6</v>
      </c>
      <c r="BG76" s="82">
        <f t="shared" si="34"/>
        <v>25.5</v>
      </c>
      <c r="BH76" s="82">
        <f t="shared" si="34"/>
        <v>27.8</v>
      </c>
      <c r="BI76" s="82">
        <f t="shared" si="34"/>
        <v>23.9</v>
      </c>
      <c r="BJ76" s="82">
        <f t="shared" si="34"/>
        <v>25.1</v>
      </c>
      <c r="BK76" s="82">
        <f t="shared" si="34"/>
        <v>25.7</v>
      </c>
      <c r="BL76" s="82">
        <f t="shared" si="34"/>
        <v>28.9</v>
      </c>
      <c r="BM76" s="82">
        <f t="shared" si="34"/>
        <v>25.5</v>
      </c>
      <c r="BN76" s="82">
        <f t="shared" si="34"/>
        <v>20.6</v>
      </c>
      <c r="BO76" s="82">
        <f t="shared" si="34"/>
        <v>28.9</v>
      </c>
      <c r="BP76" s="82">
        <f t="shared" si="34"/>
        <v>30.5</v>
      </c>
      <c r="BQ76" s="82">
        <f t="shared" si="34"/>
        <v>24.3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5"/>
        <v>3</v>
      </c>
      <c r="AI77" s="49">
        <f t="shared" si="36"/>
        <v>3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51.3</v>
      </c>
      <c r="BG77" s="82">
        <f t="shared" si="34"/>
        <v>0</v>
      </c>
      <c r="BH77" s="82">
        <f t="shared" si="34"/>
        <v>0</v>
      </c>
      <c r="BI77" s="82">
        <f t="shared" si="34"/>
        <v>0</v>
      </c>
      <c r="BJ77" s="82">
        <f t="shared" si="34"/>
        <v>0</v>
      </c>
      <c r="BK77" s="82">
        <f t="shared" si="34"/>
        <v>0</v>
      </c>
      <c r="BL77" s="82">
        <f t="shared" si="34"/>
        <v>79.900000000000006</v>
      </c>
      <c r="BM77" s="82">
        <f t="shared" si="34"/>
        <v>88.3</v>
      </c>
      <c r="BN77" s="82">
        <f t="shared" si="34"/>
        <v>105.3</v>
      </c>
      <c r="BO77" s="82">
        <f t="shared" si="34"/>
        <v>96.7</v>
      </c>
      <c r="BP77" s="82">
        <f t="shared" si="34"/>
        <v>83.2</v>
      </c>
      <c r="BQ77" s="82">
        <f t="shared" si="34"/>
        <v>82.5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3.54</v>
      </c>
      <c r="AI78" s="49">
        <f t="shared" si="36"/>
        <v>3.54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AG79" si="37">SUM(B66:B78)</f>
        <v>237.44</v>
      </c>
      <c r="C79" s="71">
        <f t="shared" si="37"/>
        <v>383.14000000000004</v>
      </c>
      <c r="D79" s="71">
        <f t="shared" si="37"/>
        <v>394.14000000000004</v>
      </c>
      <c r="E79" s="71">
        <f t="shared" si="37"/>
        <v>383.14000000000004</v>
      </c>
      <c r="F79" s="71">
        <f t="shared" si="37"/>
        <v>336.64000000000004</v>
      </c>
      <c r="G79" s="71">
        <f t="shared" si="37"/>
        <v>335.84000000000003</v>
      </c>
      <c r="H79" s="71">
        <f t="shared" si="37"/>
        <v>335.54</v>
      </c>
      <c r="I79" s="71">
        <f t="shared" si="37"/>
        <v>344.54</v>
      </c>
      <c r="J79" s="71">
        <f t="shared" si="37"/>
        <v>340.14</v>
      </c>
      <c r="K79" s="71">
        <f t="shared" si="37"/>
        <v>337.14</v>
      </c>
      <c r="L79" s="71">
        <f t="shared" si="37"/>
        <v>328.04</v>
      </c>
      <c r="M79" s="71">
        <f t="shared" si="37"/>
        <v>327.44000000000005</v>
      </c>
      <c r="N79" s="71">
        <f t="shared" si="37"/>
        <v>331.34000000000003</v>
      </c>
      <c r="O79" s="71">
        <f t="shared" si="37"/>
        <v>398.44</v>
      </c>
      <c r="P79" s="71">
        <f t="shared" si="37"/>
        <v>411.74</v>
      </c>
      <c r="Q79" s="71">
        <f t="shared" si="37"/>
        <v>403.24000000000007</v>
      </c>
      <c r="R79" s="71">
        <f t="shared" ref="R79:S79" si="38">SUM(R66:R78)</f>
        <v>408.34</v>
      </c>
      <c r="S79" s="71">
        <f t="shared" si="38"/>
        <v>406.03999999999996</v>
      </c>
      <c r="T79" s="71">
        <f t="shared" ref="T79:U79" si="39">SUM(T66:T78)</f>
        <v>402.73999999999995</v>
      </c>
      <c r="U79" s="71">
        <f t="shared" si="39"/>
        <v>424.34</v>
      </c>
      <c r="V79" s="71">
        <f t="shared" ref="V79:W79" si="40">SUM(V66:V78)</f>
        <v>394.03999999999996</v>
      </c>
      <c r="W79" s="71">
        <f t="shared" si="40"/>
        <v>394.03999999999996</v>
      </c>
      <c r="X79" s="71">
        <f t="shared" si="37"/>
        <v>416.34</v>
      </c>
      <c r="Y79" s="71">
        <f t="shared" ref="Y79:AA79" si="41">SUM(Y66:Y78)</f>
        <v>415.13999999999993</v>
      </c>
      <c r="Z79" s="71">
        <f t="shared" si="41"/>
        <v>414.93999999999994</v>
      </c>
      <c r="AA79" s="71">
        <f t="shared" si="41"/>
        <v>414.14</v>
      </c>
      <c r="AB79" s="71">
        <f t="shared" si="37"/>
        <v>423.84000000000003</v>
      </c>
      <c r="AC79" s="71">
        <f t="shared" si="37"/>
        <v>416.34</v>
      </c>
      <c r="AD79" s="71">
        <f t="shared" si="37"/>
        <v>416.34</v>
      </c>
      <c r="AE79" s="71">
        <f t="shared" si="37"/>
        <v>416.34</v>
      </c>
      <c r="AF79" s="71">
        <f t="shared" si="37"/>
        <v>416.34</v>
      </c>
      <c r="AG79" s="72">
        <f t="shared" si="37"/>
        <v>489.91</v>
      </c>
      <c r="AH79" s="48">
        <f t="shared" si="35"/>
        <v>424.34</v>
      </c>
      <c r="AI79" s="49">
        <f t="shared" si="36"/>
        <v>237.44</v>
      </c>
      <c r="AK79" s="51"/>
      <c r="AY79" s="82"/>
    </row>
    <row r="80" spans="1:75" x14ac:dyDescent="0.25">
      <c r="A80" s="45" t="s">
        <v>100</v>
      </c>
      <c r="B80" s="46">
        <v>40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/>
      <c r="O80" s="46">
        <v>10</v>
      </c>
      <c r="P80" s="46">
        <v>28.9</v>
      </c>
      <c r="Q80" s="46">
        <v>10</v>
      </c>
      <c r="R80" s="46">
        <v>10.1</v>
      </c>
      <c r="S80" s="46">
        <v>13.9</v>
      </c>
      <c r="T80" s="46">
        <v>13.9</v>
      </c>
      <c r="U80" s="46">
        <v>13.9</v>
      </c>
      <c r="V80" s="46">
        <v>14</v>
      </c>
      <c r="W80" s="46">
        <v>14</v>
      </c>
      <c r="X80" s="46">
        <v>10.3</v>
      </c>
      <c r="Y80" s="46">
        <v>10.3</v>
      </c>
      <c r="Z80" s="46">
        <v>10.3</v>
      </c>
      <c r="AA80" s="46">
        <v>44.9</v>
      </c>
      <c r="AB80" s="46">
        <v>40</v>
      </c>
      <c r="AC80" s="46">
        <v>40</v>
      </c>
      <c r="AD80" s="46">
        <v>40</v>
      </c>
      <c r="AE80" s="46">
        <v>40</v>
      </c>
      <c r="AF80" s="46">
        <v>40</v>
      </c>
      <c r="AG80" s="61">
        <v>60</v>
      </c>
      <c r="AH80" s="48">
        <f t="shared" si="35"/>
        <v>44.9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15.8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/>
      <c r="O81" s="76">
        <v>6.9</v>
      </c>
      <c r="P81" s="76">
        <v>14.5</v>
      </c>
      <c r="Q81" s="76">
        <v>5.2</v>
      </c>
      <c r="R81" s="76">
        <v>8.9</v>
      </c>
      <c r="S81" s="76">
        <v>6.3</v>
      </c>
      <c r="T81" s="76">
        <v>6.3</v>
      </c>
      <c r="U81" s="76">
        <v>6.3</v>
      </c>
      <c r="V81" s="76">
        <v>6</v>
      </c>
      <c r="W81" s="76">
        <v>6</v>
      </c>
      <c r="X81" s="76">
        <v>3.3</v>
      </c>
      <c r="Y81" s="76">
        <v>3.3</v>
      </c>
      <c r="Z81" s="76">
        <v>3.3</v>
      </c>
      <c r="AA81" s="76">
        <v>3.3</v>
      </c>
      <c r="AB81" s="76">
        <v>18.5</v>
      </c>
      <c r="AC81" s="76">
        <v>18.5</v>
      </c>
      <c r="AD81" s="76">
        <v>18.5</v>
      </c>
      <c r="AE81" s="76">
        <v>15</v>
      </c>
      <c r="AF81" s="76">
        <v>15</v>
      </c>
      <c r="AG81" s="66">
        <v>32</v>
      </c>
      <c r="AH81" s="48">
        <f t="shared" si="35"/>
        <v>18.5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5.8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/>
      <c r="O82" s="78">
        <v>2</v>
      </c>
      <c r="P82" s="78">
        <v>5.3</v>
      </c>
      <c r="Q82" s="78">
        <v>1.9</v>
      </c>
      <c r="R82" s="78">
        <v>3.2</v>
      </c>
      <c r="S82" s="78">
        <v>2.2999999999999998</v>
      </c>
      <c r="T82" s="78">
        <v>2.2999999999999998</v>
      </c>
      <c r="U82" s="78">
        <v>2.2999999999999998</v>
      </c>
      <c r="V82" s="78">
        <v>2.2000000000000002</v>
      </c>
      <c r="W82" s="78">
        <v>2.2000000000000002</v>
      </c>
      <c r="X82" s="78">
        <v>1.2</v>
      </c>
      <c r="Y82" s="78">
        <v>1.2</v>
      </c>
      <c r="Z82" s="78">
        <v>1.2</v>
      </c>
      <c r="AA82" s="78">
        <v>1.2</v>
      </c>
      <c r="AB82" s="78">
        <v>6.8</v>
      </c>
      <c r="AC82" s="78">
        <v>6.8</v>
      </c>
      <c r="AD82" s="78">
        <v>6.8</v>
      </c>
      <c r="AE82" s="78">
        <v>5.6</v>
      </c>
      <c r="AF82" s="78">
        <v>5.6</v>
      </c>
      <c r="AG82" s="79">
        <v>14</v>
      </c>
      <c r="AH82" s="48">
        <f t="shared" si="35"/>
        <v>6.8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50</v>
      </c>
      <c r="BH82" s="82">
        <v>0</v>
      </c>
      <c r="BI82" s="82">
        <v>-125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42">B80+B81+B82</f>
        <v>61.599999999999994</v>
      </c>
      <c r="C83" s="71">
        <f t="shared" si="42"/>
        <v>0</v>
      </c>
      <c r="D83" s="71">
        <f t="shared" si="42"/>
        <v>0</v>
      </c>
      <c r="E83" s="71">
        <f t="shared" si="42"/>
        <v>0</v>
      </c>
      <c r="F83" s="71">
        <f t="shared" si="42"/>
        <v>0</v>
      </c>
      <c r="G83" s="71">
        <f t="shared" si="42"/>
        <v>0</v>
      </c>
      <c r="H83" s="71">
        <f t="shared" si="42"/>
        <v>0</v>
      </c>
      <c r="I83" s="71">
        <f t="shared" si="42"/>
        <v>0</v>
      </c>
      <c r="J83" s="71">
        <f t="shared" si="42"/>
        <v>0</v>
      </c>
      <c r="K83" s="71">
        <f t="shared" si="42"/>
        <v>0</v>
      </c>
      <c r="L83" s="71">
        <f t="shared" si="42"/>
        <v>0</v>
      </c>
      <c r="M83" s="71">
        <f t="shared" si="42"/>
        <v>0</v>
      </c>
      <c r="N83" s="71">
        <f t="shared" si="42"/>
        <v>0</v>
      </c>
      <c r="O83" s="71">
        <f t="shared" si="42"/>
        <v>18.899999999999999</v>
      </c>
      <c r="P83" s="71">
        <f t="shared" si="42"/>
        <v>48.699999999999996</v>
      </c>
      <c r="Q83" s="71">
        <f t="shared" si="42"/>
        <v>17.099999999999998</v>
      </c>
      <c r="R83" s="71">
        <f t="shared" ref="R83:S83" si="43">R80+R81+R82</f>
        <v>22.2</v>
      </c>
      <c r="S83" s="71">
        <f t="shared" si="43"/>
        <v>22.5</v>
      </c>
      <c r="T83" s="71">
        <f t="shared" ref="T83:U83" si="44">T80+T81+T82</f>
        <v>22.5</v>
      </c>
      <c r="U83" s="71">
        <f t="shared" si="44"/>
        <v>22.5</v>
      </c>
      <c r="V83" s="71">
        <f t="shared" ref="V83:W83" si="45">V80+V81+V82</f>
        <v>22.2</v>
      </c>
      <c r="W83" s="71">
        <f t="shared" si="45"/>
        <v>22.2</v>
      </c>
      <c r="X83" s="71">
        <f t="shared" si="42"/>
        <v>14.8</v>
      </c>
      <c r="Y83" s="71">
        <f t="shared" ref="Y83:AA83" si="46">Y80+Y81+Y82</f>
        <v>14.8</v>
      </c>
      <c r="Z83" s="71">
        <f t="shared" si="46"/>
        <v>14.8</v>
      </c>
      <c r="AA83" s="71">
        <f t="shared" si="46"/>
        <v>49.4</v>
      </c>
      <c r="AB83" s="71">
        <f t="shared" si="42"/>
        <v>65.3</v>
      </c>
      <c r="AC83" s="71">
        <f t="shared" si="42"/>
        <v>65.3</v>
      </c>
      <c r="AD83" s="71">
        <f t="shared" si="42"/>
        <v>65.3</v>
      </c>
      <c r="AE83" s="71">
        <f t="shared" si="42"/>
        <v>60.6</v>
      </c>
      <c r="AF83" s="71">
        <f t="shared" si="42"/>
        <v>60.6</v>
      </c>
      <c r="AG83" s="72">
        <f>SUM(AG80:AG82)</f>
        <v>106</v>
      </c>
      <c r="AH83" s="48">
        <f t="shared" si="35"/>
        <v>65.3</v>
      </c>
      <c r="AI83" s="49">
        <f t="shared" si="36"/>
        <v>0</v>
      </c>
      <c r="AK83" s="51"/>
      <c r="AY83" s="82"/>
      <c r="BF83" s="81"/>
      <c r="BG83" s="82">
        <v>48</v>
      </c>
      <c r="BH83" s="82">
        <v>0</v>
      </c>
      <c r="BI83" s="82">
        <v>-130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49.5</v>
      </c>
      <c r="C84" s="46">
        <v>49.8</v>
      </c>
      <c r="D84" s="46">
        <v>48</v>
      </c>
      <c r="E84" s="46">
        <v>44.5</v>
      </c>
      <c r="F84" s="46">
        <v>40</v>
      </c>
      <c r="G84" s="46">
        <v>39</v>
      </c>
      <c r="H84" s="46">
        <v>39.9</v>
      </c>
      <c r="I84" s="46">
        <v>40.4</v>
      </c>
      <c r="J84" s="46">
        <v>46</v>
      </c>
      <c r="K84" s="46">
        <v>47.3</v>
      </c>
      <c r="L84" s="46">
        <v>44.3</v>
      </c>
      <c r="M84" s="46">
        <v>44.7</v>
      </c>
      <c r="N84" s="46">
        <v>59.4</v>
      </c>
      <c r="O84" s="46">
        <v>56.4</v>
      </c>
      <c r="P84" s="46">
        <v>55.2</v>
      </c>
      <c r="Q84" s="46">
        <v>67</v>
      </c>
      <c r="R84" s="46">
        <v>60.9</v>
      </c>
      <c r="S84" s="46">
        <v>71</v>
      </c>
      <c r="T84" s="46">
        <v>61.7</v>
      </c>
      <c r="U84" s="46">
        <v>53.6</v>
      </c>
      <c r="V84" s="46">
        <v>0</v>
      </c>
      <c r="W84" s="46">
        <v>51.5</v>
      </c>
      <c r="X84" s="46">
        <v>49.4</v>
      </c>
      <c r="Y84" s="46">
        <v>44.7</v>
      </c>
      <c r="Z84" s="46">
        <v>9.9</v>
      </c>
      <c r="AA84" s="46">
        <v>19.899999999999999</v>
      </c>
      <c r="AB84" s="46">
        <v>12.5</v>
      </c>
      <c r="AC84" s="46">
        <v>21.6</v>
      </c>
      <c r="AD84" s="46">
        <v>26</v>
      </c>
      <c r="AE84" s="46">
        <v>28</v>
      </c>
      <c r="AF84" s="46">
        <v>17</v>
      </c>
      <c r="AG84" s="61"/>
      <c r="AH84" s="48">
        <f t="shared" si="35"/>
        <v>71</v>
      </c>
      <c r="AI84" s="49">
        <f t="shared" si="36"/>
        <v>0</v>
      </c>
      <c r="AK84" s="51"/>
      <c r="AY84" s="82"/>
      <c r="BF84" s="81"/>
      <c r="BG84" s="82">
        <v>44.5</v>
      </c>
      <c r="BH84" s="82">
        <v>0</v>
      </c>
      <c r="BI84" s="82">
        <v>-113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62.2</v>
      </c>
      <c r="M85" s="76">
        <v>71</v>
      </c>
      <c r="N85" s="76">
        <v>76.599999999999994</v>
      </c>
      <c r="O85" s="76">
        <v>85.1</v>
      </c>
      <c r="P85" s="76">
        <v>83.3</v>
      </c>
      <c r="Q85" s="76">
        <v>81.400000000000006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/>
      <c r="AE85" s="76"/>
      <c r="AF85" s="76"/>
      <c r="AG85" s="66"/>
      <c r="AH85" s="48">
        <f t="shared" si="35"/>
        <v>85.1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40</v>
      </c>
      <c r="BH85" s="82">
        <v>0</v>
      </c>
      <c r="BI85" s="82">
        <v>-112.5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-118</v>
      </c>
      <c r="C86" s="76">
        <v>-125</v>
      </c>
      <c r="D86" s="76">
        <v>-130</v>
      </c>
      <c r="E86" s="76">
        <v>-113</v>
      </c>
      <c r="F86" s="76">
        <v>-112.5</v>
      </c>
      <c r="G86" s="76">
        <v>-115</v>
      </c>
      <c r="H86" s="76">
        <v>-125</v>
      </c>
      <c r="I86" s="76">
        <v>-108</v>
      </c>
      <c r="J86" s="76">
        <v>-127</v>
      </c>
      <c r="K86" s="76">
        <v>-162</v>
      </c>
      <c r="L86" s="76">
        <v>-165</v>
      </c>
      <c r="M86" s="76">
        <v>-238.2</v>
      </c>
      <c r="N86" s="76">
        <v>-210</v>
      </c>
      <c r="O86" s="76">
        <v>-190</v>
      </c>
      <c r="P86" s="76">
        <v>-172</v>
      </c>
      <c r="Q86" s="76">
        <v>-225</v>
      </c>
      <c r="R86" s="76">
        <v>-115</v>
      </c>
      <c r="S86" s="76">
        <v>-105.5</v>
      </c>
      <c r="T86" s="76">
        <v>-104.6</v>
      </c>
      <c r="U86" s="76">
        <v>81.2</v>
      </c>
      <c r="V86" s="76">
        <v>95.8</v>
      </c>
      <c r="W86" s="76">
        <v>92.8</v>
      </c>
      <c r="X86" s="76">
        <v>100.2</v>
      </c>
      <c r="Y86" s="76">
        <v>-121.2</v>
      </c>
      <c r="Z86" s="76">
        <v>-107.2</v>
      </c>
      <c r="AA86" s="76">
        <v>-87.1</v>
      </c>
      <c r="AB86" s="76">
        <v>-102</v>
      </c>
      <c r="AC86" s="76">
        <v>-112</v>
      </c>
      <c r="AD86" s="76">
        <v>-103</v>
      </c>
      <c r="AE86" s="76">
        <v>-108</v>
      </c>
      <c r="AF86" s="76">
        <v>-109</v>
      </c>
      <c r="AG86" s="88"/>
      <c r="AH86" s="48">
        <f t="shared" si="35"/>
        <v>100.2</v>
      </c>
      <c r="AI86" s="49">
        <f t="shared" si="36"/>
        <v>-238.2</v>
      </c>
      <c r="AK86" s="92"/>
      <c r="AL86" s="93"/>
      <c r="AM86" s="93"/>
      <c r="AN86" s="94"/>
      <c r="AY86" s="82"/>
      <c r="BF86" s="82"/>
      <c r="BG86" s="82">
        <v>39</v>
      </c>
      <c r="BH86" s="82">
        <v>0</v>
      </c>
      <c r="BI86" s="82">
        <v>-115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9.6</v>
      </c>
      <c r="K87" s="89">
        <v>26.6</v>
      </c>
      <c r="L87" s="89">
        <v>23.6</v>
      </c>
      <c r="M87" s="89">
        <v>25.5</v>
      </c>
      <c r="N87" s="89">
        <v>27.8</v>
      </c>
      <c r="O87" s="89">
        <v>23.9</v>
      </c>
      <c r="P87" s="89">
        <v>25.1</v>
      </c>
      <c r="Q87" s="89">
        <v>25.7</v>
      </c>
      <c r="R87" s="89">
        <v>28.9</v>
      </c>
      <c r="S87" s="89">
        <v>25.5</v>
      </c>
      <c r="T87" s="89">
        <v>20.6</v>
      </c>
      <c r="U87" s="89">
        <v>28.9</v>
      </c>
      <c r="V87" s="89">
        <v>30.5</v>
      </c>
      <c r="W87" s="89">
        <v>32</v>
      </c>
      <c r="X87" s="89">
        <v>24.3</v>
      </c>
      <c r="Y87" s="89">
        <v>0</v>
      </c>
      <c r="Z87" s="89">
        <v>0</v>
      </c>
      <c r="AA87" s="89">
        <v>0</v>
      </c>
      <c r="AB87" s="89">
        <v>0</v>
      </c>
      <c r="AC87" s="89"/>
      <c r="AD87" s="89"/>
      <c r="AE87" s="89"/>
      <c r="AF87" s="89"/>
      <c r="AG87" s="88"/>
      <c r="AH87" s="48">
        <f t="shared" si="35"/>
        <v>32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40.4</v>
      </c>
      <c r="BH87" s="82">
        <v>0</v>
      </c>
      <c r="BI87" s="82">
        <v>-108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12.1</v>
      </c>
      <c r="K88" s="46">
        <v>51.3</v>
      </c>
      <c r="L88" s="46">
        <v>0</v>
      </c>
      <c r="M88" s="46"/>
      <c r="N88" s="46"/>
      <c r="O88" s="46"/>
      <c r="P88" s="46"/>
      <c r="Q88" s="46"/>
      <c r="R88" s="46">
        <v>79.900000000000006</v>
      </c>
      <c r="S88" s="46">
        <v>88.3</v>
      </c>
      <c r="T88" s="46">
        <v>105.3</v>
      </c>
      <c r="U88" s="46">
        <v>96.7</v>
      </c>
      <c r="V88" s="46">
        <v>83.2</v>
      </c>
      <c r="W88" s="46">
        <v>90.9</v>
      </c>
      <c r="X88" s="46">
        <v>82.5</v>
      </c>
      <c r="Y88" s="46">
        <v>0</v>
      </c>
      <c r="Z88" s="46">
        <v>0</v>
      </c>
      <c r="AA88" s="46">
        <v>0</v>
      </c>
      <c r="AB88" s="46">
        <v>0</v>
      </c>
      <c r="AC88" s="46"/>
      <c r="AD88" s="46"/>
      <c r="AE88" s="46"/>
      <c r="AF88" s="46"/>
      <c r="AG88" s="88"/>
      <c r="AH88" s="48">
        <f t="shared" si="35"/>
        <v>105.3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47.3</v>
      </c>
      <c r="BH88" s="82">
        <v>0</v>
      </c>
      <c r="BI88" s="82">
        <v>-162</v>
      </c>
      <c r="BJ88" s="82">
        <v>26.6</v>
      </c>
      <c r="BK88" s="82">
        <v>51.3</v>
      </c>
      <c r="BL88" s="82">
        <v>0</v>
      </c>
    </row>
    <row r="89" spans="1:64" ht="15.75" thickBot="1" x14ac:dyDescent="0.3">
      <c r="A89" s="97" t="s">
        <v>117</v>
      </c>
      <c r="B89" s="90">
        <v>51.3</v>
      </c>
      <c r="C89" s="90">
        <v>50.3</v>
      </c>
      <c r="D89" s="90">
        <v>0</v>
      </c>
      <c r="E89" s="90">
        <v>0</v>
      </c>
      <c r="F89" s="90">
        <v>48</v>
      </c>
      <c r="G89" s="90">
        <v>47</v>
      </c>
      <c r="H89" s="90">
        <v>44.4</v>
      </c>
      <c r="I89" s="90">
        <v>36</v>
      </c>
      <c r="J89" s="90">
        <v>34</v>
      </c>
      <c r="K89" s="90">
        <v>53</v>
      </c>
      <c r="L89" s="90">
        <v>42.2</v>
      </c>
      <c r="M89" s="90">
        <v>51.5</v>
      </c>
      <c r="N89" s="90">
        <v>38.9</v>
      </c>
      <c r="O89" s="90">
        <v>48.8</v>
      </c>
      <c r="P89" s="90">
        <v>46.5</v>
      </c>
      <c r="Q89" s="90">
        <v>46.8</v>
      </c>
      <c r="R89" s="90">
        <v>41.6</v>
      </c>
      <c r="S89" s="90">
        <v>53.9</v>
      </c>
      <c r="T89" s="90">
        <v>49.5</v>
      </c>
      <c r="U89" s="90">
        <v>49.2</v>
      </c>
      <c r="V89" s="90">
        <v>48.1</v>
      </c>
      <c r="W89" s="90">
        <v>44.7</v>
      </c>
      <c r="X89" s="90">
        <v>46.3</v>
      </c>
      <c r="Y89" s="90">
        <v>42.1</v>
      </c>
      <c r="Z89" s="90">
        <v>41.8</v>
      </c>
      <c r="AA89" s="90">
        <v>43.4</v>
      </c>
      <c r="AB89" s="90">
        <v>43.9</v>
      </c>
      <c r="AC89" s="90">
        <v>42.7</v>
      </c>
      <c r="AD89" s="90">
        <v>44</v>
      </c>
      <c r="AE89" s="90">
        <v>51</v>
      </c>
      <c r="AF89" s="90">
        <v>52</v>
      </c>
      <c r="AG89" s="88"/>
      <c r="AH89" s="48">
        <f>MAX(B89:AF89)</f>
        <v>53.9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44.7</v>
      </c>
      <c r="BH89" s="82">
        <v>71</v>
      </c>
      <c r="BI89" s="82">
        <v>-238.2</v>
      </c>
      <c r="BJ89" s="82">
        <v>25.5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2"/>
      <c r="AY90" s="82"/>
      <c r="BF90" s="82"/>
      <c r="BG90" s="82">
        <v>59.4</v>
      </c>
      <c r="BH90" s="82">
        <v>76.599999999999994</v>
      </c>
      <c r="BI90" s="82">
        <v>-210</v>
      </c>
      <c r="BJ90" s="82">
        <v>27.8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3"/>
      <c r="BF91" s="82"/>
      <c r="BG91" s="82">
        <v>56.4</v>
      </c>
      <c r="BH91" s="82">
        <v>85.1</v>
      </c>
      <c r="BI91" s="82">
        <v>-190</v>
      </c>
      <c r="BJ91" s="82">
        <v>23.9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55.2</v>
      </c>
      <c r="BH92" s="82">
        <v>83.3</v>
      </c>
      <c r="BI92" s="82">
        <v>-172</v>
      </c>
      <c r="BJ92" s="82">
        <v>25.1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67</v>
      </c>
      <c r="BH93" s="82">
        <v>81.400000000000006</v>
      </c>
      <c r="BI93" s="82">
        <v>-225</v>
      </c>
      <c r="BJ93" s="82">
        <v>25.7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60.9</v>
      </c>
      <c r="BH94" s="82">
        <v>0</v>
      </c>
      <c r="BI94" s="82">
        <v>-115</v>
      </c>
      <c r="BJ94" s="82">
        <v>28.9</v>
      </c>
      <c r="BK94" s="82">
        <v>79.900000000000006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100.8</v>
      </c>
      <c r="C95" s="71">
        <f>SUMIF(C84:C94,"&gt;0")</f>
        <v>100.1</v>
      </c>
      <c r="D95" s="71">
        <f t="shared" ref="D95:AF95" si="47">SUMIF(D84:D94,"&gt;0")</f>
        <v>48</v>
      </c>
      <c r="E95" s="71">
        <f t="shared" si="47"/>
        <v>44.5</v>
      </c>
      <c r="F95" s="71">
        <f t="shared" si="47"/>
        <v>88</v>
      </c>
      <c r="G95" s="71">
        <f t="shared" si="47"/>
        <v>86</v>
      </c>
      <c r="H95" s="71">
        <f t="shared" si="47"/>
        <v>84.3</v>
      </c>
      <c r="I95" s="71">
        <f t="shared" si="47"/>
        <v>76.400000000000006</v>
      </c>
      <c r="J95" s="71">
        <f t="shared" si="47"/>
        <v>101.7</v>
      </c>
      <c r="K95" s="71">
        <f t="shared" si="47"/>
        <v>178.2</v>
      </c>
      <c r="L95" s="71">
        <f t="shared" si="47"/>
        <v>172.3</v>
      </c>
      <c r="M95" s="71">
        <f t="shared" si="47"/>
        <v>192.7</v>
      </c>
      <c r="N95" s="71">
        <f t="shared" si="47"/>
        <v>202.70000000000002</v>
      </c>
      <c r="O95" s="71">
        <f t="shared" si="47"/>
        <v>214.2</v>
      </c>
      <c r="P95" s="71">
        <f t="shared" si="47"/>
        <v>210.1</v>
      </c>
      <c r="Q95" s="71">
        <f t="shared" si="47"/>
        <v>220.89999999999998</v>
      </c>
      <c r="R95" s="71">
        <f t="shared" si="47"/>
        <v>211.29999999999998</v>
      </c>
      <c r="S95" s="71">
        <f t="shared" ref="S95:T95" si="48">SUMIF(S84:S94,"&gt;0")</f>
        <v>238.70000000000002</v>
      </c>
      <c r="T95" s="71">
        <f t="shared" si="48"/>
        <v>237.10000000000002</v>
      </c>
      <c r="U95" s="71">
        <f t="shared" ref="U95:V95" si="49">SUMIF(U84:U94,"&gt;0")</f>
        <v>309.60000000000002</v>
      </c>
      <c r="V95" s="71">
        <f t="shared" si="49"/>
        <v>257.60000000000002</v>
      </c>
      <c r="W95" s="71">
        <f t="shared" ref="W95" si="50">SUMIF(W84:W94,"&gt;0")</f>
        <v>311.90000000000003</v>
      </c>
      <c r="X95" s="71">
        <f t="shared" si="47"/>
        <v>302.7</v>
      </c>
      <c r="Y95" s="71">
        <f t="shared" ref="Y95:AA95" si="51">SUMIF(Y84:Y94,"&gt;0")</f>
        <v>86.800000000000011</v>
      </c>
      <c r="Z95" s="71">
        <f t="shared" si="51"/>
        <v>51.699999999999996</v>
      </c>
      <c r="AA95" s="71">
        <f t="shared" si="51"/>
        <v>63.3</v>
      </c>
      <c r="AB95" s="71">
        <f t="shared" si="47"/>
        <v>56.4</v>
      </c>
      <c r="AC95" s="71">
        <f t="shared" si="47"/>
        <v>64.300000000000011</v>
      </c>
      <c r="AD95" s="71">
        <f t="shared" si="47"/>
        <v>70</v>
      </c>
      <c r="AE95" s="71">
        <f t="shared" si="47"/>
        <v>79</v>
      </c>
      <c r="AF95" s="71">
        <f t="shared" si="47"/>
        <v>69</v>
      </c>
      <c r="AG95" s="101">
        <f>SUM(AG84:AG94)</f>
        <v>0</v>
      </c>
      <c r="AH95" s="48">
        <f t="shared" si="35"/>
        <v>311.90000000000003</v>
      </c>
      <c r="AI95" s="49">
        <f t="shared" si="36"/>
        <v>44.5</v>
      </c>
      <c r="BF95" s="82"/>
      <c r="BG95" s="82">
        <v>71</v>
      </c>
      <c r="BH95" s="82">
        <v>0</v>
      </c>
      <c r="BI95" s="82">
        <v>-105.5</v>
      </c>
      <c r="BJ95" s="82">
        <v>25.5</v>
      </c>
      <c r="BK95" s="82">
        <v>88.3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61.7</v>
      </c>
      <c r="BH96" s="82">
        <v>0</v>
      </c>
      <c r="BI96" s="82">
        <v>-104.6</v>
      </c>
      <c r="BJ96" s="82">
        <v>20.6</v>
      </c>
      <c r="BK96" s="82">
        <v>105.3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53.6</v>
      </c>
      <c r="BH97" s="82">
        <v>0</v>
      </c>
      <c r="BI97" s="82">
        <v>81.2</v>
      </c>
      <c r="BJ97" s="82">
        <v>28.9</v>
      </c>
      <c r="BK97" s="82">
        <v>96.7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0</v>
      </c>
      <c r="BH98" s="82">
        <v>0</v>
      </c>
      <c r="BI98" s="82">
        <v>95.8</v>
      </c>
      <c r="BJ98" s="82">
        <v>30.5</v>
      </c>
      <c r="BK98" s="82">
        <v>83.2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>
        <v>0</v>
      </c>
      <c r="Z99" s="71">
        <v>0</v>
      </c>
      <c r="AA99" s="71">
        <v>0</v>
      </c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49.4</v>
      </c>
      <c r="BH99" s="82">
        <v>0</v>
      </c>
      <c r="BI99" s="82">
        <v>100.2</v>
      </c>
      <c r="BJ99" s="82">
        <v>24.3</v>
      </c>
      <c r="BK99" s="82">
        <v>82.5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52">B61+B65+B83+B79+B95+B99</f>
        <v>1350.94</v>
      </c>
      <c r="C100" s="108">
        <f t="shared" si="52"/>
        <v>1455.34</v>
      </c>
      <c r="D100" s="108">
        <f t="shared" si="52"/>
        <v>1383.0400000000002</v>
      </c>
      <c r="E100" s="108">
        <f t="shared" si="52"/>
        <v>1311.92</v>
      </c>
      <c r="F100" s="108">
        <f t="shared" si="52"/>
        <v>1238.22</v>
      </c>
      <c r="G100" s="108">
        <f t="shared" si="52"/>
        <v>1272.8200000000002</v>
      </c>
      <c r="H100" s="108">
        <f t="shared" si="52"/>
        <v>1325.82</v>
      </c>
      <c r="I100" s="108">
        <f t="shared" si="52"/>
        <v>1366.72</v>
      </c>
      <c r="J100" s="108">
        <f t="shared" si="52"/>
        <v>1379.5200000000002</v>
      </c>
      <c r="K100" s="108">
        <f t="shared" si="52"/>
        <v>1588.0200000000002</v>
      </c>
      <c r="L100" s="108">
        <f t="shared" si="52"/>
        <v>1623.12</v>
      </c>
      <c r="M100" s="108">
        <f t="shared" si="52"/>
        <v>1677.1200000000001</v>
      </c>
      <c r="N100" s="108">
        <f t="shared" si="52"/>
        <v>1738.32</v>
      </c>
      <c r="O100" s="108">
        <f t="shared" si="52"/>
        <v>1816.3200000000002</v>
      </c>
      <c r="P100" s="108">
        <f t="shared" si="52"/>
        <v>1862.36</v>
      </c>
      <c r="Q100" s="108">
        <f t="shared" si="52"/>
        <v>1909.7199999999998</v>
      </c>
      <c r="R100" s="108">
        <f t="shared" si="52"/>
        <v>1756.94</v>
      </c>
      <c r="S100" s="108">
        <f t="shared" ref="S100:T100" si="53">S61+S65+S83+S79+S95+S99</f>
        <v>1849.3400000000001</v>
      </c>
      <c r="T100" s="108">
        <f t="shared" si="53"/>
        <v>1862.44</v>
      </c>
      <c r="U100" s="108">
        <f t="shared" ref="U100:V100" si="54">U61+U65+U83+U79+U95+U99</f>
        <v>1667.44</v>
      </c>
      <c r="V100" s="108">
        <f t="shared" si="54"/>
        <v>1645.8400000000001</v>
      </c>
      <c r="W100" s="108">
        <f t="shared" ref="W100" si="55">W61+W65+W83+W79+W95+W99</f>
        <v>1623.6400000000003</v>
      </c>
      <c r="X100" s="108">
        <f t="shared" si="52"/>
        <v>1575.3400000000001</v>
      </c>
      <c r="Y100" s="108">
        <f t="shared" ref="Y100:AA100" si="56">Y61+Y65+Y83+Y79+Y95+Y99</f>
        <v>1628.84</v>
      </c>
      <c r="Z100" s="108">
        <f t="shared" si="56"/>
        <v>1681.14</v>
      </c>
      <c r="AA100" s="108">
        <f t="shared" si="56"/>
        <v>1774.84</v>
      </c>
      <c r="AB100" s="108">
        <f t="shared" si="52"/>
        <v>1848.0400000000004</v>
      </c>
      <c r="AC100" s="108">
        <f t="shared" si="52"/>
        <v>1848.44</v>
      </c>
      <c r="AD100" s="108">
        <f t="shared" si="52"/>
        <v>1796.44</v>
      </c>
      <c r="AE100" s="108">
        <f t="shared" si="52"/>
        <v>1740.74</v>
      </c>
      <c r="AF100" s="108">
        <f t="shared" si="52"/>
        <v>1690.74</v>
      </c>
      <c r="AG100" s="72">
        <f t="shared" si="52"/>
        <v>2655.44</v>
      </c>
      <c r="AH100" s="48">
        <f t="shared" si="35"/>
        <v>1909.7199999999998</v>
      </c>
      <c r="AI100" s="49">
        <f t="shared" si="36"/>
        <v>1238.22</v>
      </c>
      <c r="BF100" s="81"/>
      <c r="BG100" s="82">
        <v>9.9</v>
      </c>
      <c r="BH100" s="82">
        <v>0</v>
      </c>
      <c r="BI100" s="82">
        <v>-107.2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250</v>
      </c>
      <c r="C101" s="110">
        <v>250</v>
      </c>
      <c r="D101" s="110">
        <v>250</v>
      </c>
      <c r="E101" s="110">
        <v>250</v>
      </c>
      <c r="F101" s="110">
        <v>250</v>
      </c>
      <c r="G101" s="110">
        <v>250</v>
      </c>
      <c r="H101" s="110">
        <v>250</v>
      </c>
      <c r="I101" s="110">
        <v>250</v>
      </c>
      <c r="J101" s="110">
        <v>180</v>
      </c>
      <c r="K101" s="110">
        <v>100</v>
      </c>
      <c r="L101" s="110">
        <v>100</v>
      </c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>
        <v>100</v>
      </c>
      <c r="Y101" s="110">
        <v>300</v>
      </c>
      <c r="Z101" s="110">
        <v>300</v>
      </c>
      <c r="AA101" s="110">
        <v>250</v>
      </c>
      <c r="AB101" s="110">
        <v>250</v>
      </c>
      <c r="AC101" s="110">
        <v>250</v>
      </c>
      <c r="AD101" s="110">
        <v>250</v>
      </c>
      <c r="AE101" s="110">
        <v>250</v>
      </c>
      <c r="AF101" s="110">
        <v>250</v>
      </c>
      <c r="AG101" s="101"/>
      <c r="AH101" s="48">
        <f t="shared" si="35"/>
        <v>300</v>
      </c>
      <c r="AI101" s="49">
        <f t="shared" si="36"/>
        <v>100</v>
      </c>
      <c r="BF101" s="81"/>
      <c r="BG101" s="82">
        <v>12.5</v>
      </c>
      <c r="BH101" s="82">
        <v>0</v>
      </c>
      <c r="BI101" s="82">
        <v>-102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1600.94</v>
      </c>
      <c r="C102" s="108">
        <f t="shared" ref="C102:AF102" si="57">C100+C101</f>
        <v>1705.34</v>
      </c>
      <c r="D102" s="108">
        <f t="shared" si="57"/>
        <v>1633.0400000000002</v>
      </c>
      <c r="E102" s="108">
        <f t="shared" si="57"/>
        <v>1561.92</v>
      </c>
      <c r="F102" s="108">
        <f t="shared" si="57"/>
        <v>1488.22</v>
      </c>
      <c r="G102" s="108">
        <f t="shared" si="57"/>
        <v>1522.8200000000002</v>
      </c>
      <c r="H102" s="108">
        <f t="shared" si="57"/>
        <v>1575.82</v>
      </c>
      <c r="I102" s="108">
        <f t="shared" si="57"/>
        <v>1616.72</v>
      </c>
      <c r="J102" s="108">
        <f t="shared" si="57"/>
        <v>1559.5200000000002</v>
      </c>
      <c r="K102" s="108">
        <f t="shared" si="57"/>
        <v>1688.0200000000002</v>
      </c>
      <c r="L102" s="108">
        <f t="shared" si="57"/>
        <v>1723.12</v>
      </c>
      <c r="M102" s="108">
        <f t="shared" si="57"/>
        <v>1677.1200000000001</v>
      </c>
      <c r="N102" s="108">
        <f t="shared" si="57"/>
        <v>1738.32</v>
      </c>
      <c r="O102" s="108">
        <f t="shared" si="57"/>
        <v>1816.3200000000002</v>
      </c>
      <c r="P102" s="108">
        <f t="shared" si="57"/>
        <v>1862.36</v>
      </c>
      <c r="Q102" s="108">
        <f t="shared" si="57"/>
        <v>1909.7199999999998</v>
      </c>
      <c r="R102" s="108">
        <f t="shared" si="57"/>
        <v>1756.94</v>
      </c>
      <c r="S102" s="108">
        <f t="shared" ref="S102:T102" si="58">S100+S101</f>
        <v>1849.3400000000001</v>
      </c>
      <c r="T102" s="108">
        <f t="shared" si="58"/>
        <v>1862.44</v>
      </c>
      <c r="U102" s="108">
        <f t="shared" ref="U102:V102" si="59">U100+U101</f>
        <v>1667.44</v>
      </c>
      <c r="V102" s="108">
        <f t="shared" si="59"/>
        <v>1645.8400000000001</v>
      </c>
      <c r="W102" s="108">
        <f t="shared" ref="W102" si="60">W100+W101</f>
        <v>1623.6400000000003</v>
      </c>
      <c r="X102" s="108">
        <f t="shared" si="57"/>
        <v>1675.3400000000001</v>
      </c>
      <c r="Y102" s="108">
        <f t="shared" ref="Y102:AA102" si="61">Y100+Y101</f>
        <v>1928.84</v>
      </c>
      <c r="Z102" s="108">
        <f t="shared" si="61"/>
        <v>1981.14</v>
      </c>
      <c r="AA102" s="108">
        <f t="shared" si="61"/>
        <v>2024.84</v>
      </c>
      <c r="AB102" s="108">
        <f t="shared" si="57"/>
        <v>2098.0400000000004</v>
      </c>
      <c r="AC102" s="108">
        <f>AC100+AD101</f>
        <v>2098.44</v>
      </c>
      <c r="AD102" s="108">
        <f>AD100+AE101</f>
        <v>2046.44</v>
      </c>
      <c r="AE102" s="108">
        <f t="shared" si="57"/>
        <v>1990.74</v>
      </c>
      <c r="AF102" s="108">
        <f t="shared" si="57"/>
        <v>1940.74</v>
      </c>
      <c r="AG102" s="101">
        <f>AG99+AG95+AG83+AG79+AG61+AG101</f>
        <v>2117.34</v>
      </c>
      <c r="AH102" s="48">
        <f t="shared" si="35"/>
        <v>2098.44</v>
      </c>
      <c r="AI102" s="49">
        <f t="shared" si="36"/>
        <v>1488.22</v>
      </c>
      <c r="BF102" s="81"/>
      <c r="BG102" s="82">
        <v>26</v>
      </c>
      <c r="BH102" s="82">
        <v>0</v>
      </c>
      <c r="BI102" s="82">
        <v>-103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1482.94</v>
      </c>
      <c r="C103" s="108">
        <f t="shared" ref="C103:AF103" si="62">C102-(C110)</f>
        <v>1580.34</v>
      </c>
      <c r="D103" s="108">
        <f t="shared" si="62"/>
        <v>1503.0400000000002</v>
      </c>
      <c r="E103" s="108">
        <f t="shared" si="62"/>
        <v>1448.92</v>
      </c>
      <c r="F103" s="108">
        <f t="shared" si="62"/>
        <v>1375.72</v>
      </c>
      <c r="G103" s="108">
        <f t="shared" si="62"/>
        <v>1407.8200000000002</v>
      </c>
      <c r="H103" s="108">
        <f t="shared" si="62"/>
        <v>1450.82</v>
      </c>
      <c r="I103" s="108">
        <f t="shared" si="62"/>
        <v>1508.72</v>
      </c>
      <c r="J103" s="108">
        <f t="shared" si="62"/>
        <v>1432.5200000000002</v>
      </c>
      <c r="K103" s="108">
        <f t="shared" si="62"/>
        <v>1526.0200000000002</v>
      </c>
      <c r="L103" s="108">
        <f t="shared" si="62"/>
        <v>1558.12</v>
      </c>
      <c r="M103" s="108">
        <f t="shared" si="62"/>
        <v>1438.92</v>
      </c>
      <c r="N103" s="108">
        <f t="shared" si="62"/>
        <v>1528.32</v>
      </c>
      <c r="O103" s="108">
        <f t="shared" si="62"/>
        <v>1626.3200000000002</v>
      </c>
      <c r="P103" s="108">
        <f t="shared" si="62"/>
        <v>1690.36</v>
      </c>
      <c r="Q103" s="108">
        <f t="shared" si="62"/>
        <v>1684.7199999999998</v>
      </c>
      <c r="R103" s="108">
        <f t="shared" si="62"/>
        <v>1641.94</v>
      </c>
      <c r="S103" s="108">
        <f t="shared" ref="S103:T103" si="63">S102-(S110)</f>
        <v>1743.8400000000001</v>
      </c>
      <c r="T103" s="108">
        <f t="shared" si="63"/>
        <v>1757.8400000000001</v>
      </c>
      <c r="U103" s="108">
        <f t="shared" ref="U103:V103" si="64">U102-(U110)</f>
        <v>1667.44</v>
      </c>
      <c r="V103" s="108">
        <f t="shared" si="64"/>
        <v>1645.8400000000001</v>
      </c>
      <c r="W103" s="108">
        <f t="shared" ref="W103" si="65">W102-(W110)</f>
        <v>1623.6400000000003</v>
      </c>
      <c r="X103" s="108">
        <f t="shared" si="62"/>
        <v>1675.3400000000001</v>
      </c>
      <c r="Y103" s="108">
        <f t="shared" ref="Y103:AA103" si="66">Y102-(Y110)</f>
        <v>1807.6399999999999</v>
      </c>
      <c r="Z103" s="108">
        <f t="shared" si="66"/>
        <v>1873.94</v>
      </c>
      <c r="AA103" s="108">
        <f t="shared" si="66"/>
        <v>1937.74</v>
      </c>
      <c r="AB103" s="108">
        <f t="shared" si="62"/>
        <v>1996.0400000000004</v>
      </c>
      <c r="AC103" s="108">
        <f t="shared" si="62"/>
        <v>1986.44</v>
      </c>
      <c r="AD103" s="108">
        <f t="shared" ref="AD103" si="67">AD102-(AD110)</f>
        <v>1943.44</v>
      </c>
      <c r="AE103" s="108">
        <f t="shared" si="62"/>
        <v>1882.74</v>
      </c>
      <c r="AF103" s="108">
        <f t="shared" si="62"/>
        <v>1831.74</v>
      </c>
      <c r="AG103" s="101"/>
      <c r="AH103" s="48">
        <f t="shared" si="35"/>
        <v>1996.0400000000004</v>
      </c>
      <c r="AI103" s="49">
        <f t="shared" si="36"/>
        <v>1375.72</v>
      </c>
      <c r="BF103" s="81"/>
      <c r="BG103" s="82">
        <v>28</v>
      </c>
      <c r="BH103" s="82">
        <v>0</v>
      </c>
      <c r="BI103" s="82">
        <v>-108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68">IF(C84&lt;0,C84*-1,0)</f>
        <v>0</v>
      </c>
      <c r="D104" s="89">
        <f t="shared" si="68"/>
        <v>0</v>
      </c>
      <c r="E104" s="89">
        <f t="shared" si="68"/>
        <v>0</v>
      </c>
      <c r="F104" s="89">
        <f t="shared" si="68"/>
        <v>0</v>
      </c>
      <c r="G104" s="89">
        <f t="shared" si="68"/>
        <v>0</v>
      </c>
      <c r="H104" s="89">
        <f t="shared" si="68"/>
        <v>0</v>
      </c>
      <c r="I104" s="89">
        <f t="shared" si="68"/>
        <v>0</v>
      </c>
      <c r="J104" s="89">
        <f t="shared" si="68"/>
        <v>0</v>
      </c>
      <c r="K104" s="89">
        <f t="shared" si="68"/>
        <v>0</v>
      </c>
      <c r="L104" s="89">
        <f t="shared" si="68"/>
        <v>0</v>
      </c>
      <c r="M104" s="89">
        <f t="shared" si="68"/>
        <v>0</v>
      </c>
      <c r="N104" s="89">
        <f t="shared" si="68"/>
        <v>0</v>
      </c>
      <c r="O104" s="89">
        <f t="shared" si="68"/>
        <v>0</v>
      </c>
      <c r="P104" s="89">
        <f t="shared" si="68"/>
        <v>0</v>
      </c>
      <c r="Q104" s="89">
        <f t="shared" si="68"/>
        <v>0</v>
      </c>
      <c r="R104" s="89">
        <f t="shared" si="68"/>
        <v>0</v>
      </c>
      <c r="S104" s="89">
        <f t="shared" ref="S104:T104" si="69">IF(S84&lt;0,S84*-1,0)</f>
        <v>0</v>
      </c>
      <c r="T104" s="89">
        <f t="shared" si="69"/>
        <v>0</v>
      </c>
      <c r="U104" s="89">
        <f t="shared" ref="U104:V104" si="70">IF(U84&lt;0,U84*-1,0)</f>
        <v>0</v>
      </c>
      <c r="V104" s="89">
        <f t="shared" si="70"/>
        <v>0</v>
      </c>
      <c r="W104" s="89">
        <f t="shared" ref="W104" si="71">IF(W84&lt;0,W84*-1,0)</f>
        <v>0</v>
      </c>
      <c r="X104" s="89">
        <f t="shared" si="68"/>
        <v>0</v>
      </c>
      <c r="Y104" s="89">
        <f t="shared" ref="Y104:AA109" si="72">IF(Y84&lt;0,Y84*-1,0)</f>
        <v>0</v>
      </c>
      <c r="Z104" s="89">
        <f t="shared" si="72"/>
        <v>0</v>
      </c>
      <c r="AA104" s="89">
        <f t="shared" si="72"/>
        <v>0</v>
      </c>
      <c r="AB104" s="89">
        <f t="shared" si="68"/>
        <v>0</v>
      </c>
      <c r="AC104" s="89">
        <f t="shared" si="68"/>
        <v>0</v>
      </c>
      <c r="AD104" s="89">
        <f t="shared" si="68"/>
        <v>0</v>
      </c>
      <c r="AE104" s="89">
        <f t="shared" si="68"/>
        <v>0</v>
      </c>
      <c r="AF104" s="89">
        <f t="shared" si="68"/>
        <v>0</v>
      </c>
      <c r="AG104" s="61"/>
      <c r="AH104" s="48">
        <f t="shared" si="35"/>
        <v>0</v>
      </c>
      <c r="AI104" s="49">
        <f t="shared" si="36"/>
        <v>0</v>
      </c>
      <c r="BG104" s="82">
        <v>17</v>
      </c>
      <c r="BH104" s="82">
        <v>0</v>
      </c>
      <c r="BI104" s="82">
        <v>-109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73">IF(B85&lt;0,B85*-1,0)</f>
        <v>0</v>
      </c>
      <c r="C105" s="89">
        <f t="shared" si="73"/>
        <v>0</v>
      </c>
      <c r="D105" s="89">
        <f t="shared" si="73"/>
        <v>0</v>
      </c>
      <c r="E105" s="89">
        <f t="shared" si="73"/>
        <v>0</v>
      </c>
      <c r="F105" s="89">
        <f t="shared" si="73"/>
        <v>0</v>
      </c>
      <c r="G105" s="89">
        <f t="shared" si="73"/>
        <v>0</v>
      </c>
      <c r="H105" s="89">
        <f t="shared" si="73"/>
        <v>0</v>
      </c>
      <c r="I105" s="89">
        <f t="shared" si="73"/>
        <v>0</v>
      </c>
      <c r="J105" s="89">
        <f t="shared" si="73"/>
        <v>0</v>
      </c>
      <c r="K105" s="89">
        <f t="shared" si="73"/>
        <v>0</v>
      </c>
      <c r="L105" s="89">
        <f t="shared" si="73"/>
        <v>0</v>
      </c>
      <c r="M105" s="89">
        <f t="shared" si="73"/>
        <v>0</v>
      </c>
      <c r="N105" s="89">
        <f t="shared" si="73"/>
        <v>0</v>
      </c>
      <c r="O105" s="89">
        <f t="shared" si="73"/>
        <v>0</v>
      </c>
      <c r="P105" s="89">
        <f t="shared" si="73"/>
        <v>0</v>
      </c>
      <c r="Q105" s="89">
        <f t="shared" si="73"/>
        <v>0</v>
      </c>
      <c r="R105" s="89">
        <f t="shared" si="68"/>
        <v>0</v>
      </c>
      <c r="S105" s="89">
        <f t="shared" ref="S105:T105" si="74">IF(S85&lt;0,S85*-1,0)</f>
        <v>0</v>
      </c>
      <c r="T105" s="89">
        <f t="shared" si="74"/>
        <v>0</v>
      </c>
      <c r="U105" s="89">
        <f t="shared" ref="U105:V105" si="75">IF(U85&lt;0,U85*-1,0)</f>
        <v>0</v>
      </c>
      <c r="V105" s="89">
        <f t="shared" si="75"/>
        <v>0</v>
      </c>
      <c r="W105" s="89">
        <f t="shared" ref="W105" si="76">IF(W85&lt;0,W85*-1,0)</f>
        <v>0</v>
      </c>
      <c r="X105" s="89">
        <f t="shared" si="68"/>
        <v>0</v>
      </c>
      <c r="Y105" s="89">
        <f t="shared" ref="Y105:Z105" si="77">IF(Y85&lt;0,Y85*-1,0)</f>
        <v>0</v>
      </c>
      <c r="Z105" s="89">
        <f t="shared" si="77"/>
        <v>0</v>
      </c>
      <c r="AA105" s="89">
        <f t="shared" si="72"/>
        <v>0</v>
      </c>
      <c r="AB105" s="89">
        <f t="shared" si="68"/>
        <v>0</v>
      </c>
      <c r="AC105" s="89">
        <f t="shared" si="68"/>
        <v>0</v>
      </c>
      <c r="AD105" s="89">
        <f t="shared" si="68"/>
        <v>0</v>
      </c>
      <c r="AE105" s="89">
        <f t="shared" si="68"/>
        <v>0</v>
      </c>
      <c r="AF105" s="89">
        <f t="shared" si="68"/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49.5</v>
      </c>
      <c r="BH105" s="82">
        <v>0</v>
      </c>
      <c r="BI105" s="82">
        <v>-118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73"/>
        <v>118</v>
      </c>
      <c r="C106" s="89">
        <f t="shared" si="68"/>
        <v>125</v>
      </c>
      <c r="D106" s="89">
        <f t="shared" si="68"/>
        <v>130</v>
      </c>
      <c r="E106" s="89">
        <f t="shared" si="68"/>
        <v>113</v>
      </c>
      <c r="F106" s="89">
        <f t="shared" si="68"/>
        <v>112.5</v>
      </c>
      <c r="G106" s="89">
        <f t="shared" si="68"/>
        <v>115</v>
      </c>
      <c r="H106" s="89">
        <f t="shared" si="68"/>
        <v>125</v>
      </c>
      <c r="I106" s="89">
        <f t="shared" si="68"/>
        <v>108</v>
      </c>
      <c r="J106" s="89">
        <f t="shared" si="68"/>
        <v>127</v>
      </c>
      <c r="K106" s="89">
        <f t="shared" si="68"/>
        <v>162</v>
      </c>
      <c r="L106" s="89">
        <f t="shared" si="68"/>
        <v>165</v>
      </c>
      <c r="M106" s="89">
        <f t="shared" si="68"/>
        <v>238.2</v>
      </c>
      <c r="N106" s="89">
        <f t="shared" si="68"/>
        <v>210</v>
      </c>
      <c r="O106" s="89">
        <f t="shared" si="68"/>
        <v>190</v>
      </c>
      <c r="P106" s="89">
        <f t="shared" si="68"/>
        <v>172</v>
      </c>
      <c r="Q106" s="89">
        <f t="shared" si="68"/>
        <v>225</v>
      </c>
      <c r="R106" s="89">
        <f t="shared" si="68"/>
        <v>115</v>
      </c>
      <c r="S106" s="89">
        <f t="shared" ref="S106:T106" si="78">IF(S86&lt;0,S86*-1,0)</f>
        <v>105.5</v>
      </c>
      <c r="T106" s="89">
        <f t="shared" si="78"/>
        <v>104.6</v>
      </c>
      <c r="U106" s="89">
        <f t="shared" ref="U106:V106" si="79">IF(U86&lt;0,U86*-1,0)</f>
        <v>0</v>
      </c>
      <c r="V106" s="89">
        <f t="shared" si="79"/>
        <v>0</v>
      </c>
      <c r="W106" s="89">
        <f t="shared" ref="W106" si="80">IF(W86&lt;0,W86*-1,0)</f>
        <v>0</v>
      </c>
      <c r="X106" s="89">
        <f t="shared" si="68"/>
        <v>0</v>
      </c>
      <c r="Y106" s="89">
        <f t="shared" ref="Y106:Z106" si="81">IF(Y86&lt;0,Y86*-1,0)</f>
        <v>121.2</v>
      </c>
      <c r="Z106" s="89">
        <f t="shared" si="81"/>
        <v>107.2</v>
      </c>
      <c r="AA106" s="89">
        <f t="shared" si="72"/>
        <v>87.1</v>
      </c>
      <c r="AB106" s="89">
        <f t="shared" si="68"/>
        <v>102</v>
      </c>
      <c r="AC106" s="89">
        <f t="shared" si="68"/>
        <v>112</v>
      </c>
      <c r="AD106" s="89">
        <f t="shared" si="68"/>
        <v>103</v>
      </c>
      <c r="AE106" s="89">
        <f t="shared" si="68"/>
        <v>108</v>
      </c>
      <c r="AF106" s="89">
        <f t="shared" si="68"/>
        <v>109</v>
      </c>
      <c r="AG106" s="111"/>
      <c r="AH106" s="48">
        <f t="shared" si="35"/>
        <v>238.2</v>
      </c>
      <c r="AI106" s="49">
        <f t="shared" si="36"/>
        <v>0</v>
      </c>
    </row>
    <row r="107" spans="1:64" x14ac:dyDescent="0.25">
      <c r="A107" s="97" t="s">
        <v>107</v>
      </c>
      <c r="B107" s="89">
        <f t="shared" si="73"/>
        <v>0</v>
      </c>
      <c r="C107" s="89">
        <f t="shared" si="68"/>
        <v>0</v>
      </c>
      <c r="D107" s="89">
        <f t="shared" si="68"/>
        <v>0</v>
      </c>
      <c r="E107" s="89">
        <f t="shared" si="68"/>
        <v>0</v>
      </c>
      <c r="F107" s="89">
        <f t="shared" si="68"/>
        <v>0</v>
      </c>
      <c r="G107" s="89">
        <f t="shared" si="68"/>
        <v>0</v>
      </c>
      <c r="H107" s="89">
        <f t="shared" si="68"/>
        <v>0</v>
      </c>
      <c r="I107" s="89">
        <f t="shared" si="68"/>
        <v>0</v>
      </c>
      <c r="J107" s="89">
        <f t="shared" si="68"/>
        <v>0</v>
      </c>
      <c r="K107" s="89">
        <f t="shared" si="68"/>
        <v>0</v>
      </c>
      <c r="L107" s="89">
        <f t="shared" si="68"/>
        <v>0</v>
      </c>
      <c r="M107" s="89">
        <f t="shared" si="68"/>
        <v>0</v>
      </c>
      <c r="N107" s="89">
        <f t="shared" si="68"/>
        <v>0</v>
      </c>
      <c r="O107" s="89">
        <f t="shared" si="68"/>
        <v>0</v>
      </c>
      <c r="P107" s="89">
        <f t="shared" si="68"/>
        <v>0</v>
      </c>
      <c r="Q107" s="89">
        <f t="shared" si="68"/>
        <v>0</v>
      </c>
      <c r="R107" s="89">
        <f t="shared" si="68"/>
        <v>0</v>
      </c>
      <c r="S107" s="89">
        <f t="shared" ref="S107:T107" si="82">IF(S87&lt;0,S87*-1,0)</f>
        <v>0</v>
      </c>
      <c r="T107" s="89">
        <f t="shared" si="82"/>
        <v>0</v>
      </c>
      <c r="U107" s="89">
        <f t="shared" ref="U107:V107" si="83">IF(U87&lt;0,U87*-1,0)</f>
        <v>0</v>
      </c>
      <c r="V107" s="89">
        <f t="shared" si="83"/>
        <v>0</v>
      </c>
      <c r="W107" s="89">
        <f t="shared" ref="W107" si="84">IF(W87&lt;0,W87*-1,0)</f>
        <v>0</v>
      </c>
      <c r="X107" s="89">
        <f t="shared" si="68"/>
        <v>0</v>
      </c>
      <c r="Y107" s="89">
        <f t="shared" ref="Y107:Z107" si="85">IF(Y87&lt;0,Y87*-1,0)</f>
        <v>0</v>
      </c>
      <c r="Z107" s="89">
        <f t="shared" si="85"/>
        <v>0</v>
      </c>
      <c r="AA107" s="89">
        <f t="shared" si="72"/>
        <v>0</v>
      </c>
      <c r="AB107" s="89">
        <f t="shared" si="68"/>
        <v>0</v>
      </c>
      <c r="AC107" s="89">
        <f t="shared" si="68"/>
        <v>0</v>
      </c>
      <c r="AD107" s="89">
        <f t="shared" si="68"/>
        <v>0</v>
      </c>
      <c r="AE107" s="89">
        <f t="shared" si="68"/>
        <v>0</v>
      </c>
      <c r="AF107" s="89">
        <f t="shared" si="68"/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73"/>
        <v>0</v>
      </c>
      <c r="C108" s="89">
        <f t="shared" si="68"/>
        <v>0</v>
      </c>
      <c r="D108" s="89">
        <f t="shared" si="68"/>
        <v>0</v>
      </c>
      <c r="E108" s="89">
        <f t="shared" si="68"/>
        <v>0</v>
      </c>
      <c r="F108" s="89">
        <f t="shared" si="68"/>
        <v>0</v>
      </c>
      <c r="G108" s="89">
        <f t="shared" si="68"/>
        <v>0</v>
      </c>
      <c r="H108" s="89">
        <f t="shared" si="68"/>
        <v>0</v>
      </c>
      <c r="I108" s="89">
        <f t="shared" si="68"/>
        <v>0</v>
      </c>
      <c r="J108" s="89">
        <f t="shared" si="68"/>
        <v>0</v>
      </c>
      <c r="K108" s="89">
        <f t="shared" si="68"/>
        <v>0</v>
      </c>
      <c r="L108" s="89">
        <f t="shared" si="68"/>
        <v>0</v>
      </c>
      <c r="M108" s="89">
        <f t="shared" si="68"/>
        <v>0</v>
      </c>
      <c r="N108" s="89">
        <f t="shared" si="68"/>
        <v>0</v>
      </c>
      <c r="O108" s="89">
        <f t="shared" si="68"/>
        <v>0</v>
      </c>
      <c r="P108" s="89">
        <f t="shared" si="68"/>
        <v>0</v>
      </c>
      <c r="Q108" s="89">
        <f t="shared" si="68"/>
        <v>0</v>
      </c>
      <c r="R108" s="89">
        <f t="shared" si="68"/>
        <v>0</v>
      </c>
      <c r="S108" s="89">
        <f t="shared" ref="S108:T108" si="86">IF(S88&lt;0,S88*-1,0)</f>
        <v>0</v>
      </c>
      <c r="T108" s="89">
        <f t="shared" si="86"/>
        <v>0</v>
      </c>
      <c r="U108" s="89">
        <f t="shared" ref="U108:V108" si="87">IF(U88&lt;0,U88*-1,0)</f>
        <v>0</v>
      </c>
      <c r="V108" s="89">
        <f t="shared" si="87"/>
        <v>0</v>
      </c>
      <c r="W108" s="89">
        <f t="shared" ref="W108" si="88">IF(W88&lt;0,W88*-1,0)</f>
        <v>0</v>
      </c>
      <c r="X108" s="89">
        <f t="shared" si="68"/>
        <v>0</v>
      </c>
      <c r="Y108" s="89">
        <f t="shared" ref="Y108:Z108" si="89">IF(Y88&lt;0,Y88*-1,0)</f>
        <v>0</v>
      </c>
      <c r="Z108" s="89">
        <f t="shared" si="89"/>
        <v>0</v>
      </c>
      <c r="AA108" s="89">
        <f t="shared" si="72"/>
        <v>0</v>
      </c>
      <c r="AB108" s="89">
        <f t="shared" si="68"/>
        <v>0</v>
      </c>
      <c r="AC108" s="89">
        <f t="shared" si="68"/>
        <v>0</v>
      </c>
      <c r="AD108" s="89">
        <f t="shared" si="68"/>
        <v>0</v>
      </c>
      <c r="AE108" s="89">
        <f t="shared" si="68"/>
        <v>0</v>
      </c>
      <c r="AF108" s="89">
        <f t="shared" si="68"/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73"/>
        <v>0</v>
      </c>
      <c r="C109" s="89">
        <f t="shared" si="68"/>
        <v>0</v>
      </c>
      <c r="D109" s="89">
        <f t="shared" si="68"/>
        <v>0</v>
      </c>
      <c r="E109" s="89">
        <f t="shared" si="68"/>
        <v>0</v>
      </c>
      <c r="F109" s="89">
        <f t="shared" si="68"/>
        <v>0</v>
      </c>
      <c r="G109" s="89">
        <f t="shared" si="68"/>
        <v>0</v>
      </c>
      <c r="H109" s="89">
        <f t="shared" si="68"/>
        <v>0</v>
      </c>
      <c r="I109" s="89">
        <f t="shared" si="68"/>
        <v>0</v>
      </c>
      <c r="J109" s="89">
        <f t="shared" si="68"/>
        <v>0</v>
      </c>
      <c r="K109" s="89">
        <f t="shared" si="68"/>
        <v>0</v>
      </c>
      <c r="L109" s="89">
        <f t="shared" si="68"/>
        <v>0</v>
      </c>
      <c r="M109" s="89">
        <f t="shared" si="68"/>
        <v>0</v>
      </c>
      <c r="N109" s="89">
        <f t="shared" si="68"/>
        <v>0</v>
      </c>
      <c r="O109" s="89">
        <f t="shared" si="68"/>
        <v>0</v>
      </c>
      <c r="P109" s="89">
        <f t="shared" si="68"/>
        <v>0</v>
      </c>
      <c r="Q109" s="89">
        <f t="shared" si="68"/>
        <v>0</v>
      </c>
      <c r="R109" s="89">
        <f t="shared" si="68"/>
        <v>0</v>
      </c>
      <c r="S109" s="89">
        <f t="shared" ref="S109:T109" si="90">IF(S89&lt;0,S89*-1,0)</f>
        <v>0</v>
      </c>
      <c r="T109" s="89">
        <f t="shared" si="90"/>
        <v>0</v>
      </c>
      <c r="U109" s="89">
        <f t="shared" ref="U109:V109" si="91">IF(U89&lt;0,U89*-1,0)</f>
        <v>0</v>
      </c>
      <c r="V109" s="89">
        <f t="shared" si="91"/>
        <v>0</v>
      </c>
      <c r="W109" s="89">
        <f t="shared" ref="W109" si="92">IF(W89&lt;0,W89*-1,0)</f>
        <v>0</v>
      </c>
      <c r="X109" s="89">
        <f t="shared" si="68"/>
        <v>0</v>
      </c>
      <c r="Y109" s="89">
        <f t="shared" ref="Y109:Z109" si="93">IF(Y89&lt;0,Y89*-1,0)</f>
        <v>0</v>
      </c>
      <c r="Z109" s="89">
        <f t="shared" si="93"/>
        <v>0</v>
      </c>
      <c r="AA109" s="89">
        <f t="shared" si="72"/>
        <v>0</v>
      </c>
      <c r="AB109" s="89">
        <f t="shared" si="68"/>
        <v>0</v>
      </c>
      <c r="AC109" s="89">
        <f t="shared" si="68"/>
        <v>0</v>
      </c>
      <c r="AD109" s="89">
        <f t="shared" si="68"/>
        <v>0</v>
      </c>
      <c r="AE109" s="89">
        <f t="shared" si="68"/>
        <v>0</v>
      </c>
      <c r="AF109" s="89">
        <f t="shared" si="68"/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118</v>
      </c>
      <c r="C110" s="71">
        <f t="shared" ref="C110:AF110" si="94">SUM(C104:C109)</f>
        <v>125</v>
      </c>
      <c r="D110" s="71">
        <f t="shared" si="94"/>
        <v>130</v>
      </c>
      <c r="E110" s="71">
        <f t="shared" si="94"/>
        <v>113</v>
      </c>
      <c r="F110" s="71">
        <f t="shared" si="94"/>
        <v>112.5</v>
      </c>
      <c r="G110" s="71">
        <f t="shared" si="94"/>
        <v>115</v>
      </c>
      <c r="H110" s="71">
        <f t="shared" si="94"/>
        <v>125</v>
      </c>
      <c r="I110" s="71">
        <f t="shared" si="94"/>
        <v>108</v>
      </c>
      <c r="J110" s="71">
        <f t="shared" si="94"/>
        <v>127</v>
      </c>
      <c r="K110" s="71">
        <f t="shared" si="94"/>
        <v>162</v>
      </c>
      <c r="L110" s="71">
        <f t="shared" si="94"/>
        <v>165</v>
      </c>
      <c r="M110" s="71">
        <f t="shared" si="94"/>
        <v>238.2</v>
      </c>
      <c r="N110" s="71">
        <f t="shared" si="94"/>
        <v>210</v>
      </c>
      <c r="O110" s="71">
        <f t="shared" si="94"/>
        <v>190</v>
      </c>
      <c r="P110" s="71">
        <f t="shared" si="94"/>
        <v>172</v>
      </c>
      <c r="Q110" s="71">
        <f t="shared" si="94"/>
        <v>225</v>
      </c>
      <c r="R110" s="71">
        <f t="shared" si="94"/>
        <v>115</v>
      </c>
      <c r="S110" s="71">
        <f t="shared" ref="S110:T110" si="95">SUM(S104:S109)</f>
        <v>105.5</v>
      </c>
      <c r="T110" s="71">
        <f t="shared" si="95"/>
        <v>104.6</v>
      </c>
      <c r="U110" s="71">
        <f t="shared" ref="U110:V110" si="96">SUM(U104:U109)</f>
        <v>0</v>
      </c>
      <c r="V110" s="71">
        <f t="shared" si="96"/>
        <v>0</v>
      </c>
      <c r="W110" s="71">
        <f t="shared" ref="W110" si="97">SUM(W104:W109)</f>
        <v>0</v>
      </c>
      <c r="X110" s="71">
        <f t="shared" si="94"/>
        <v>0</v>
      </c>
      <c r="Y110" s="71">
        <f t="shared" ref="Y110:AA110" si="98">SUM(Y104:Y109)</f>
        <v>121.2</v>
      </c>
      <c r="Z110" s="71">
        <f t="shared" si="98"/>
        <v>107.2</v>
      </c>
      <c r="AA110" s="71">
        <f t="shared" si="98"/>
        <v>87.1</v>
      </c>
      <c r="AB110" s="71">
        <f t="shared" si="94"/>
        <v>102</v>
      </c>
      <c r="AC110" s="71">
        <f t="shared" si="94"/>
        <v>112</v>
      </c>
      <c r="AD110" s="71">
        <f t="shared" si="94"/>
        <v>103</v>
      </c>
      <c r="AE110" s="71">
        <f t="shared" si="94"/>
        <v>108</v>
      </c>
      <c r="AF110" s="71">
        <f t="shared" si="94"/>
        <v>109</v>
      </c>
      <c r="AG110" s="101"/>
      <c r="AH110" s="48">
        <f t="shared" si="35"/>
        <v>238.2</v>
      </c>
      <c r="AI110" s="49">
        <f t="shared" si="36"/>
        <v>0</v>
      </c>
    </row>
    <row r="111" spans="1:64" ht="15.75" thickBot="1" x14ac:dyDescent="0.3">
      <c r="A111" s="87" t="s">
        <v>131</v>
      </c>
      <c r="B111" s="71">
        <f t="shared" ref="B111:AF111" si="99">B95-B110</f>
        <v>-17.200000000000003</v>
      </c>
      <c r="C111" s="71">
        <f t="shared" si="99"/>
        <v>-24.900000000000006</v>
      </c>
      <c r="D111" s="71">
        <f t="shared" si="99"/>
        <v>-82</v>
      </c>
      <c r="E111" s="71">
        <f t="shared" si="99"/>
        <v>-68.5</v>
      </c>
      <c r="F111" s="71">
        <f t="shared" si="99"/>
        <v>-24.5</v>
      </c>
      <c r="G111" s="71">
        <f t="shared" si="99"/>
        <v>-29</v>
      </c>
      <c r="H111" s="71">
        <f t="shared" si="99"/>
        <v>-40.700000000000003</v>
      </c>
      <c r="I111" s="71">
        <f t="shared" si="99"/>
        <v>-31.599999999999994</v>
      </c>
      <c r="J111" s="71">
        <f t="shared" si="99"/>
        <v>-25.299999999999997</v>
      </c>
      <c r="K111" s="71">
        <f t="shared" si="99"/>
        <v>16.199999999999989</v>
      </c>
      <c r="L111" s="71">
        <f t="shared" si="99"/>
        <v>7.3000000000000114</v>
      </c>
      <c r="M111" s="71">
        <f t="shared" si="99"/>
        <v>-45.5</v>
      </c>
      <c r="N111" s="71">
        <f t="shared" si="99"/>
        <v>-7.2999999999999829</v>
      </c>
      <c r="O111" s="71">
        <f t="shared" si="99"/>
        <v>24.199999999999989</v>
      </c>
      <c r="P111" s="71">
        <f t="shared" si="99"/>
        <v>38.099999999999994</v>
      </c>
      <c r="Q111" s="71">
        <f t="shared" si="99"/>
        <v>-4.1000000000000227</v>
      </c>
      <c r="R111" s="71">
        <f t="shared" si="99"/>
        <v>96.299999999999983</v>
      </c>
      <c r="S111" s="71">
        <f t="shared" ref="S111:T111" si="100">S95-S110</f>
        <v>133.20000000000002</v>
      </c>
      <c r="T111" s="71">
        <f t="shared" si="100"/>
        <v>132.50000000000003</v>
      </c>
      <c r="U111" s="71">
        <f t="shared" ref="U111:V111" si="101">U95-U110</f>
        <v>309.60000000000002</v>
      </c>
      <c r="V111" s="71">
        <f t="shared" si="101"/>
        <v>257.60000000000002</v>
      </c>
      <c r="W111" s="71">
        <f t="shared" ref="W111" si="102">W95-W110</f>
        <v>311.90000000000003</v>
      </c>
      <c r="X111" s="71">
        <f t="shared" si="99"/>
        <v>302.7</v>
      </c>
      <c r="Y111" s="71">
        <f t="shared" ref="Y111:AA111" si="103">Y95-Y110</f>
        <v>-34.399999999999991</v>
      </c>
      <c r="Z111" s="71">
        <f t="shared" si="103"/>
        <v>-55.500000000000007</v>
      </c>
      <c r="AA111" s="71">
        <f t="shared" si="103"/>
        <v>-23.799999999999997</v>
      </c>
      <c r="AB111" s="71">
        <f t="shared" si="99"/>
        <v>-45.6</v>
      </c>
      <c r="AC111" s="71">
        <f t="shared" si="99"/>
        <v>-47.699999999999989</v>
      </c>
      <c r="AD111" s="71">
        <f t="shared" si="99"/>
        <v>-33</v>
      </c>
      <c r="AE111" s="71">
        <f t="shared" si="99"/>
        <v>-29</v>
      </c>
      <c r="AF111" s="71">
        <f t="shared" si="99"/>
        <v>-40</v>
      </c>
      <c r="AG111" s="101"/>
      <c r="AH111" s="48">
        <f t="shared" si="35"/>
        <v>311.90000000000003</v>
      </c>
      <c r="AI111" s="49">
        <f t="shared" si="36"/>
        <v>-82</v>
      </c>
    </row>
    <row r="112" spans="1:64" x14ac:dyDescent="0.25">
      <c r="A112" s="113" t="s">
        <v>132</v>
      </c>
      <c r="B112" s="114">
        <v>50.027000000000001</v>
      </c>
      <c r="C112" s="114">
        <v>49.945</v>
      </c>
      <c r="D112" s="114">
        <v>49.962000000000003</v>
      </c>
      <c r="E112" s="114">
        <v>50.054000000000002</v>
      </c>
      <c r="F112" s="114">
        <v>49.991</v>
      </c>
      <c r="G112" s="114">
        <v>50.033999999999999</v>
      </c>
      <c r="H112" s="114">
        <v>49.972999999999999</v>
      </c>
      <c r="I112" s="114">
        <v>50.042999999999999</v>
      </c>
      <c r="J112" s="114">
        <v>50.036000000000001</v>
      </c>
      <c r="K112" s="114">
        <v>49.981000000000002</v>
      </c>
      <c r="L112" s="114">
        <v>49.954000000000001</v>
      </c>
      <c r="M112" s="114">
        <v>50.064</v>
      </c>
      <c r="N112" s="114">
        <v>50.109000000000002</v>
      </c>
      <c r="O112" s="114">
        <v>49.85</v>
      </c>
      <c r="P112" s="114">
        <v>50.005000000000003</v>
      </c>
      <c r="Q112" s="114">
        <v>49.93</v>
      </c>
      <c r="R112" s="114">
        <v>49.93</v>
      </c>
      <c r="S112" s="114">
        <v>50.01</v>
      </c>
      <c r="T112" s="114">
        <v>50.02</v>
      </c>
      <c r="U112" s="114">
        <v>50</v>
      </c>
      <c r="V112" s="114">
        <v>50.03</v>
      </c>
      <c r="W112" s="114">
        <v>49.98</v>
      </c>
      <c r="X112" s="114">
        <v>49.954000000000001</v>
      </c>
      <c r="Y112" s="114">
        <v>50.05</v>
      </c>
      <c r="Z112" s="114">
        <v>50.12</v>
      </c>
      <c r="AA112" s="114">
        <v>50.05</v>
      </c>
      <c r="AB112" s="114">
        <v>50.018000000000001</v>
      </c>
      <c r="AC112" s="114">
        <v>50.018000000000001</v>
      </c>
      <c r="AD112" s="114">
        <v>49.985999999999997</v>
      </c>
      <c r="AE112" s="114">
        <v>50.063000000000002</v>
      </c>
      <c r="AF112" s="114">
        <v>49.965000000000003</v>
      </c>
      <c r="AG112" s="115"/>
      <c r="AH112" s="48">
        <f t="shared" si="35"/>
        <v>50.12</v>
      </c>
      <c r="AI112" s="49">
        <f t="shared" si="36"/>
        <v>49.85</v>
      </c>
    </row>
    <row r="113" spans="1:35" x14ac:dyDescent="0.25">
      <c r="A113" s="116" t="s">
        <v>133</v>
      </c>
      <c r="B113" s="76">
        <v>126.1</v>
      </c>
      <c r="C113" s="76">
        <v>128.4</v>
      </c>
      <c r="D113" s="76">
        <v>129</v>
      </c>
      <c r="E113" s="76">
        <v>129</v>
      </c>
      <c r="F113" s="76">
        <v>129</v>
      </c>
      <c r="G113" s="76">
        <v>127.6</v>
      </c>
      <c r="H113" s="76">
        <v>126</v>
      </c>
      <c r="I113" s="76">
        <v>126</v>
      </c>
      <c r="J113" s="76">
        <v>126</v>
      </c>
      <c r="K113" s="76">
        <v>126</v>
      </c>
      <c r="L113" s="76">
        <v>126</v>
      </c>
      <c r="M113" s="76">
        <v>122.4</v>
      </c>
      <c r="N113" s="76">
        <v>120.9</v>
      </c>
      <c r="O113" s="76">
        <v>123.2</v>
      </c>
      <c r="P113" s="76">
        <v>122.3</v>
      </c>
      <c r="Q113" s="76">
        <v>122.5</v>
      </c>
      <c r="R113" s="76">
        <v>124.9</v>
      </c>
      <c r="S113" s="76">
        <v>124.1</v>
      </c>
      <c r="T113" s="76">
        <v>122.8</v>
      </c>
      <c r="U113" s="76">
        <v>125.6</v>
      </c>
      <c r="V113" s="76">
        <v>125.5</v>
      </c>
      <c r="W113" s="76">
        <v>126.5</v>
      </c>
      <c r="X113" s="76">
        <v>126.7</v>
      </c>
      <c r="Y113" s="76">
        <v>126.3</v>
      </c>
      <c r="Z113" s="76">
        <v>125</v>
      </c>
      <c r="AA113" s="76">
        <v>124.6</v>
      </c>
      <c r="AB113" s="76">
        <v>127.7</v>
      </c>
      <c r="AC113" s="76">
        <v>127.7</v>
      </c>
      <c r="AD113" s="76">
        <v>128.80000000000001</v>
      </c>
      <c r="AE113" s="76">
        <v>129</v>
      </c>
      <c r="AF113" s="76">
        <v>127.8</v>
      </c>
      <c r="AG113" s="117"/>
      <c r="AH113" s="48">
        <f t="shared" si="35"/>
        <v>129</v>
      </c>
      <c r="AI113" s="49">
        <f t="shared" si="36"/>
        <v>120.9</v>
      </c>
    </row>
    <row r="114" spans="1:35" x14ac:dyDescent="0.25">
      <c r="A114" s="116" t="s">
        <v>134</v>
      </c>
      <c r="B114" s="76">
        <v>130.4</v>
      </c>
      <c r="C114" s="76">
        <v>131.4</v>
      </c>
      <c r="D114" s="76">
        <v>131.9</v>
      </c>
      <c r="E114" s="76">
        <v>131.9</v>
      </c>
      <c r="F114" s="76">
        <v>131.9</v>
      </c>
      <c r="G114" s="76">
        <v>131.9</v>
      </c>
      <c r="H114" s="76">
        <v>129.69999999999999</v>
      </c>
      <c r="I114" s="76">
        <v>129.69999999999999</v>
      </c>
      <c r="J114" s="76">
        <v>129.69999999999999</v>
      </c>
      <c r="K114" s="76">
        <v>129.69999999999999</v>
      </c>
      <c r="L114" s="76">
        <v>129.69999999999999</v>
      </c>
      <c r="M114" s="76">
        <v>125.9</v>
      </c>
      <c r="N114" s="76">
        <v>124.6</v>
      </c>
      <c r="O114" s="76">
        <v>126.2</v>
      </c>
      <c r="P114" s="76">
        <v>125.7</v>
      </c>
      <c r="Q114" s="76">
        <v>125.7</v>
      </c>
      <c r="R114" s="76">
        <v>127.4</v>
      </c>
      <c r="S114" s="76">
        <v>126.9</v>
      </c>
      <c r="T114" s="76">
        <v>126</v>
      </c>
      <c r="U114" s="76">
        <v>127.9</v>
      </c>
      <c r="V114" s="76">
        <v>127.9</v>
      </c>
      <c r="W114" s="76">
        <v>127.9</v>
      </c>
      <c r="X114" s="76">
        <v>129</v>
      </c>
      <c r="Y114" s="76">
        <v>128.5</v>
      </c>
      <c r="Z114" s="76">
        <v>128.19999999999999</v>
      </c>
      <c r="AA114" s="76">
        <v>127.5</v>
      </c>
      <c r="AB114" s="76">
        <v>130.19999999999999</v>
      </c>
      <c r="AC114" s="76">
        <v>130.19999999999999</v>
      </c>
      <c r="AD114" s="76">
        <v>131.9</v>
      </c>
      <c r="AE114" s="76">
        <v>132</v>
      </c>
      <c r="AF114" s="76">
        <v>131.5</v>
      </c>
      <c r="AG114" s="117"/>
      <c r="AH114" s="48">
        <f t="shared" si="35"/>
        <v>132</v>
      </c>
      <c r="AI114" s="49">
        <f t="shared" si="36"/>
        <v>124.6</v>
      </c>
    </row>
    <row r="115" spans="1:35" x14ac:dyDescent="0.25">
      <c r="A115" s="116" t="s">
        <v>135</v>
      </c>
      <c r="B115" s="76">
        <v>132.30000000000001</v>
      </c>
      <c r="C115" s="76">
        <v>130.6</v>
      </c>
      <c r="D115" s="76">
        <v>133.5</v>
      </c>
      <c r="E115" s="76">
        <v>133.5</v>
      </c>
      <c r="F115" s="76">
        <v>133.5</v>
      </c>
      <c r="G115" s="76">
        <v>133.5</v>
      </c>
      <c r="H115" s="76">
        <v>130</v>
      </c>
      <c r="I115" s="76">
        <v>130</v>
      </c>
      <c r="J115" s="76">
        <v>130</v>
      </c>
      <c r="K115" s="76">
        <v>130</v>
      </c>
      <c r="L115" s="76">
        <v>130</v>
      </c>
      <c r="M115" s="76">
        <v>132.1</v>
      </c>
      <c r="N115" s="76">
        <v>129.4</v>
      </c>
      <c r="O115" s="76">
        <v>127.8</v>
      </c>
      <c r="P115" s="76">
        <v>129.69999999999999</v>
      </c>
      <c r="Q115" s="76">
        <v>129.4</v>
      </c>
      <c r="R115" s="76">
        <v>124.9</v>
      </c>
      <c r="S115" s="76">
        <v>128.69999999999999</v>
      </c>
      <c r="T115" s="76">
        <v>130.1</v>
      </c>
      <c r="U115" s="76">
        <v>126.4</v>
      </c>
      <c r="V115" s="76">
        <v>127.1</v>
      </c>
      <c r="W115" s="76">
        <v>127.1</v>
      </c>
      <c r="X115" s="76">
        <v>131.4</v>
      </c>
      <c r="Y115" s="76">
        <v>130.4</v>
      </c>
      <c r="Z115" s="76">
        <v>130.4</v>
      </c>
      <c r="AA115" s="76">
        <v>127</v>
      </c>
      <c r="AB115" s="76">
        <v>126.8</v>
      </c>
      <c r="AC115" s="76">
        <v>126.8</v>
      </c>
      <c r="AD115" s="76">
        <v>127.5</v>
      </c>
      <c r="AE115" s="76">
        <v>128</v>
      </c>
      <c r="AF115" s="76">
        <v>131.6</v>
      </c>
      <c r="AG115" s="117"/>
      <c r="AH115" s="48">
        <f t="shared" si="35"/>
        <v>133.5</v>
      </c>
      <c r="AI115" s="49">
        <f t="shared" si="36"/>
        <v>124.9</v>
      </c>
    </row>
    <row r="116" spans="1:35" x14ac:dyDescent="0.25">
      <c r="A116" s="118" t="s">
        <v>136</v>
      </c>
      <c r="B116" s="76">
        <v>132.80000000000001</v>
      </c>
      <c r="C116" s="76">
        <v>131.9</v>
      </c>
      <c r="D116" s="76">
        <v>134.19999999999999</v>
      </c>
      <c r="E116" s="76">
        <v>134.19999999999999</v>
      </c>
      <c r="F116" s="76">
        <v>134.19999999999999</v>
      </c>
      <c r="G116" s="76">
        <v>134.19999999999999</v>
      </c>
      <c r="H116" s="76">
        <v>131</v>
      </c>
      <c r="I116" s="76">
        <v>131</v>
      </c>
      <c r="J116" s="76">
        <v>131</v>
      </c>
      <c r="K116" s="76">
        <v>131</v>
      </c>
      <c r="L116" s="76">
        <v>131</v>
      </c>
      <c r="M116" s="76">
        <v>129.69999999999999</v>
      </c>
      <c r="N116" s="76">
        <v>130</v>
      </c>
      <c r="O116" s="76">
        <v>129.4</v>
      </c>
      <c r="P116" s="76">
        <v>129</v>
      </c>
      <c r="Q116" s="76">
        <v>130.19999999999999</v>
      </c>
      <c r="R116" s="76">
        <v>124.6</v>
      </c>
      <c r="S116" s="76">
        <v>128.30000000000001</v>
      </c>
      <c r="T116" s="76">
        <v>131.19999999999999</v>
      </c>
      <c r="U116" s="76">
        <v>127.5</v>
      </c>
      <c r="V116" s="76">
        <v>128.80000000000001</v>
      </c>
      <c r="W116" s="76">
        <v>128.80000000000001</v>
      </c>
      <c r="X116" s="76">
        <v>132.6</v>
      </c>
      <c r="Y116" s="76">
        <v>130.9</v>
      </c>
      <c r="Z116" s="76">
        <v>130.69999999999999</v>
      </c>
      <c r="AA116" s="76">
        <v>127.7</v>
      </c>
      <c r="AB116" s="76">
        <v>128.30000000000001</v>
      </c>
      <c r="AC116" s="76">
        <v>128.30000000000001</v>
      </c>
      <c r="AD116" s="76">
        <v>129</v>
      </c>
      <c r="AE116" s="76">
        <v>130.5</v>
      </c>
      <c r="AF116" s="76">
        <v>132.1</v>
      </c>
      <c r="AG116" s="117"/>
      <c r="AH116" s="48">
        <f t="shared" si="35"/>
        <v>134.19999999999999</v>
      </c>
      <c r="AI116" s="49">
        <f t="shared" si="36"/>
        <v>124.6</v>
      </c>
    </row>
    <row r="117" spans="1:35" x14ac:dyDescent="0.25">
      <c r="A117" s="118" t="s">
        <v>137</v>
      </c>
      <c r="B117" s="119">
        <v>136</v>
      </c>
      <c r="C117" s="119">
        <v>130.69999999999999</v>
      </c>
      <c r="D117" s="119">
        <v>129.5</v>
      </c>
      <c r="E117" s="119">
        <v>129.5</v>
      </c>
      <c r="F117" s="119">
        <v>129.5</v>
      </c>
      <c r="G117" s="119">
        <v>129.5</v>
      </c>
      <c r="H117" s="119">
        <v>132</v>
      </c>
      <c r="I117" s="119">
        <v>132</v>
      </c>
      <c r="J117" s="119">
        <v>132</v>
      </c>
      <c r="K117" s="119">
        <v>132</v>
      </c>
      <c r="L117" s="119">
        <v>132</v>
      </c>
      <c r="M117" s="119">
        <v>129.5</v>
      </c>
      <c r="N117" s="119">
        <v>129.19999999999999</v>
      </c>
      <c r="O117" s="119">
        <v>137</v>
      </c>
      <c r="P117" s="119">
        <v>137</v>
      </c>
      <c r="Q117" s="119">
        <v>133</v>
      </c>
      <c r="R117" s="119">
        <v>133.80000000000001</v>
      </c>
      <c r="S117" s="119">
        <v>133</v>
      </c>
      <c r="T117" s="119">
        <v>136.19999999999999</v>
      </c>
      <c r="U117" s="119">
        <v>135.4</v>
      </c>
      <c r="V117" s="119">
        <v>133.1</v>
      </c>
      <c r="W117" s="119">
        <v>133.1</v>
      </c>
      <c r="X117" s="119">
        <v>134.9</v>
      </c>
      <c r="Y117" s="119">
        <v>135.19999999999999</v>
      </c>
      <c r="Z117" s="119">
        <v>133.19999999999999</v>
      </c>
      <c r="AA117" s="119">
        <v>131.19999999999999</v>
      </c>
      <c r="AB117" s="119">
        <v>133.9</v>
      </c>
      <c r="AC117" s="119">
        <v>133.9</v>
      </c>
      <c r="AD117" s="119">
        <v>133.1</v>
      </c>
      <c r="AE117" s="119">
        <v>134.19999999999999</v>
      </c>
      <c r="AF117" s="119">
        <v>134.5</v>
      </c>
      <c r="AG117" s="120"/>
      <c r="AH117" s="48">
        <f t="shared" si="35"/>
        <v>137</v>
      </c>
      <c r="AI117" s="49">
        <f t="shared" si="36"/>
        <v>129.19999999999999</v>
      </c>
    </row>
    <row r="118" spans="1:35" x14ac:dyDescent="0.25">
      <c r="A118" s="116" t="s">
        <v>138</v>
      </c>
      <c r="B118" s="76">
        <v>132.30000000000001</v>
      </c>
      <c r="C118" s="76">
        <v>127.5</v>
      </c>
      <c r="D118" s="76">
        <v>124.6</v>
      </c>
      <c r="E118" s="76">
        <v>124.6</v>
      </c>
      <c r="F118" s="76">
        <v>124.6</v>
      </c>
      <c r="G118" s="76">
        <v>124.6</v>
      </c>
      <c r="H118" s="76">
        <v>124</v>
      </c>
      <c r="I118" s="76">
        <v>124</v>
      </c>
      <c r="J118" s="76">
        <v>124</v>
      </c>
      <c r="K118" s="76">
        <v>124</v>
      </c>
      <c r="L118" s="76">
        <v>124</v>
      </c>
      <c r="M118" s="76">
        <v>129</v>
      </c>
      <c r="N118" s="76">
        <v>123.4</v>
      </c>
      <c r="O118" s="76">
        <v>130.30000000000001</v>
      </c>
      <c r="P118" s="76">
        <v>129</v>
      </c>
      <c r="Q118" s="76">
        <v>128</v>
      </c>
      <c r="R118" s="76">
        <v>129.6</v>
      </c>
      <c r="S118" s="76">
        <v>126.6</v>
      </c>
      <c r="T118" s="76">
        <v>129.6</v>
      </c>
      <c r="U118" s="76">
        <v>127.2</v>
      </c>
      <c r="V118" s="76">
        <v>133.30000000000001</v>
      </c>
      <c r="W118" s="76">
        <v>133.30000000000001</v>
      </c>
      <c r="X118" s="76">
        <v>129.30000000000001</v>
      </c>
      <c r="Y118" s="76">
        <v>125</v>
      </c>
      <c r="Z118" s="76">
        <v>123.1</v>
      </c>
      <c r="AA118" s="76">
        <v>119.3</v>
      </c>
      <c r="AB118" s="76">
        <v>122.5</v>
      </c>
      <c r="AC118" s="76">
        <v>122.5</v>
      </c>
      <c r="AD118" s="76">
        <v>127</v>
      </c>
      <c r="AE118" s="76">
        <v>126.3</v>
      </c>
      <c r="AF118" s="76"/>
      <c r="AG118" s="117"/>
      <c r="AH118" s="48">
        <f t="shared" si="35"/>
        <v>133.30000000000001</v>
      </c>
      <c r="AI118" s="49">
        <f t="shared" si="36"/>
        <v>119.3</v>
      </c>
    </row>
    <row r="119" spans="1:35" ht="15.75" thickBot="1" x14ac:dyDescent="0.3">
      <c r="A119" s="116" t="s">
        <v>139</v>
      </c>
      <c r="B119" s="105">
        <v>65.8</v>
      </c>
      <c r="C119" s="105">
        <v>65.900000000000006</v>
      </c>
      <c r="D119" s="105">
        <v>66.3</v>
      </c>
      <c r="E119" s="105">
        <v>66.3</v>
      </c>
      <c r="F119" s="105">
        <v>66.3</v>
      </c>
      <c r="G119" s="105">
        <v>65.7</v>
      </c>
      <c r="H119" s="105">
        <v>64.98</v>
      </c>
      <c r="I119" s="105">
        <v>64.98</v>
      </c>
      <c r="J119" s="105">
        <v>64.98</v>
      </c>
      <c r="K119" s="105">
        <v>64.98</v>
      </c>
      <c r="L119" s="105">
        <v>64.98</v>
      </c>
      <c r="M119" s="105">
        <v>62.9</v>
      </c>
      <c r="N119" s="105">
        <v>62.2</v>
      </c>
      <c r="O119" s="105">
        <v>63</v>
      </c>
      <c r="P119" s="105">
        <v>63</v>
      </c>
      <c r="Q119" s="105">
        <v>62.6</v>
      </c>
      <c r="R119" s="105">
        <v>63.7</v>
      </c>
      <c r="S119" s="105">
        <v>63.4</v>
      </c>
      <c r="T119" s="105">
        <v>63</v>
      </c>
      <c r="U119" s="105">
        <v>63.8</v>
      </c>
      <c r="V119" s="105">
        <v>64</v>
      </c>
      <c r="W119" s="105">
        <v>64</v>
      </c>
      <c r="X119" s="105">
        <v>64.5</v>
      </c>
      <c r="Y119" s="105">
        <v>64.599999999999994</v>
      </c>
      <c r="Z119" s="105">
        <v>64.3</v>
      </c>
      <c r="AA119" s="105">
        <v>64.099999999999994</v>
      </c>
      <c r="AB119" s="105">
        <v>65.5</v>
      </c>
      <c r="AC119" s="105">
        <v>65.5</v>
      </c>
      <c r="AD119" s="105">
        <v>66.400000000000006</v>
      </c>
      <c r="AE119" s="105">
        <v>66.400000000000006</v>
      </c>
      <c r="AF119" s="105">
        <v>66.2</v>
      </c>
      <c r="AG119" s="121"/>
      <c r="AH119" s="48">
        <f t="shared" si="35"/>
        <v>66.400000000000006</v>
      </c>
      <c r="AI119" s="49">
        <f t="shared" si="36"/>
        <v>62.2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 t="s">
        <v>140</v>
      </c>
      <c r="Z120" s="105" t="s">
        <v>140</v>
      </c>
      <c r="AA120" s="105" t="s">
        <v>140</v>
      </c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 t="shared" ref="B121:O121" si="104">SUM(B25,B31,B34:B35,B69,B71:B72,B74,B76,B122:B126,B158,B164,B170,B179,B181,B193,B200,B203:B204,B211,B213,B215,B219:B221,B223:B225,B230,B236:B237,B239:B241,B249,B254)</f>
        <v>116.23999999999998</v>
      </c>
      <c r="C121" s="124">
        <f t="shared" si="104"/>
        <v>127.14</v>
      </c>
      <c r="D121" s="124">
        <f t="shared" si="104"/>
        <v>119.83999999999999</v>
      </c>
      <c r="E121" s="124">
        <f t="shared" si="104"/>
        <v>124.54</v>
      </c>
      <c r="F121" s="124">
        <f t="shared" si="104"/>
        <v>138.04000000000002</v>
      </c>
      <c r="G121" s="124">
        <f t="shared" si="104"/>
        <v>147.73999999999998</v>
      </c>
      <c r="H121" s="124">
        <f t="shared" si="104"/>
        <v>155.53999999999996</v>
      </c>
      <c r="I121" s="124">
        <f t="shared" si="104"/>
        <v>153.33999999999997</v>
      </c>
      <c r="J121" s="124">
        <f t="shared" si="104"/>
        <v>154.54000000000002</v>
      </c>
      <c r="K121" s="124">
        <f t="shared" si="104"/>
        <v>199.14</v>
      </c>
      <c r="L121" s="124">
        <f t="shared" si="104"/>
        <v>188.73999999999995</v>
      </c>
      <c r="M121" s="124">
        <f t="shared" si="104"/>
        <v>207.24000000000004</v>
      </c>
      <c r="N121" s="124">
        <f t="shared" si="104"/>
        <v>163.23999999999995</v>
      </c>
      <c r="O121" s="124">
        <f t="shared" si="104"/>
        <v>207.14000000000001</v>
      </c>
      <c r="P121" s="124">
        <v>42</v>
      </c>
      <c r="Q121" s="124">
        <f t="shared" ref="Q121:AA121" si="105">SUM(Q25,Q31,Q34:Q35,Q69,Q71:Q72,Q74,Q76,Q122:Q126,Q158,Q164,Q170,Q179,Q181,Q193,Q200,Q203:Q204,Q211,Q213,Q215,Q219:Q221,Q223:Q225,Q230,Q236:Q237,Q239:Q241,Q249,Q254)</f>
        <v>178.73999999999998</v>
      </c>
      <c r="R121" s="124">
        <f t="shared" si="105"/>
        <v>192.84</v>
      </c>
      <c r="S121" s="124">
        <f t="shared" si="105"/>
        <v>182.44</v>
      </c>
      <c r="T121" s="124">
        <f t="shared" si="105"/>
        <v>181.74</v>
      </c>
      <c r="U121" s="124">
        <f t="shared" si="105"/>
        <v>242.83999999999997</v>
      </c>
      <c r="V121" s="124">
        <f t="shared" si="105"/>
        <v>201.44</v>
      </c>
      <c r="W121" s="124">
        <f t="shared" si="105"/>
        <v>224.34</v>
      </c>
      <c r="X121" s="124">
        <f t="shared" si="105"/>
        <v>214.74000000000004</v>
      </c>
      <c r="Y121" s="124">
        <f t="shared" si="105"/>
        <v>211.24</v>
      </c>
      <c r="Z121" s="124">
        <f t="shared" si="105"/>
        <v>204.94</v>
      </c>
      <c r="AA121" s="124">
        <f t="shared" si="105"/>
        <v>216.94</v>
      </c>
      <c r="AB121" s="124">
        <f>SUM(AB25,AB31,AB34:AB35,AB69,AB71:AB72,AB74,AB76,AB122:AB126,AB158,AB164,AB170,AB179,AB181,AB193,AB200,AB203:AB204,AB211,AB213,AB215,AB219:AB221,AB223:AB225,AB230,AB236:AB237,AB239:AB241,AB249,AB254)</f>
        <v>176.29</v>
      </c>
      <c r="AC121" s="124">
        <f>SUM(AC25,AC31,AC34:AC35,AC69,AC71:AC72,AC74,AC76,AC122:AC126,AC158,AC164,AC170,AC179,AC181,AC193,AC200,AC203:AC204,AC211,AC213,AC215,AC219:AC221,AC223:AC225,AC230,AC236:AC237,AC239:AC241,AC249,AC254)</f>
        <v>176.29</v>
      </c>
      <c r="AD121" s="124">
        <f t="shared" ref="AD121:AF121" si="106">SUM(AD25,AD31,AD34:AD35,AD69,AD71:AD72,AD74,AD76,AD122:AD126,AD158,AD164,AD170,AD179,AD181,AD193,AD200,AD203:AD204,AD211,AD213,AD215,AD219:AD221,AD223:AD225,AD230,AD236:AD237,AD239:AD241,AD249,AD254)</f>
        <v>167.24</v>
      </c>
      <c r="AE121" s="124">
        <f t="shared" si="106"/>
        <v>167.64</v>
      </c>
      <c r="AF121" s="124">
        <f t="shared" si="106"/>
        <v>149.94</v>
      </c>
      <c r="AG121" s="125"/>
      <c r="AH121" s="48">
        <f t="shared" si="35"/>
        <v>242.83999999999997</v>
      </c>
      <c r="AI121" s="49">
        <f t="shared" si="36"/>
        <v>42</v>
      </c>
    </row>
    <row r="122" spans="1:35" x14ac:dyDescent="0.25">
      <c r="A122" s="126" t="s">
        <v>142</v>
      </c>
      <c r="B122" s="127">
        <v>64</v>
      </c>
      <c r="C122" s="127">
        <v>54.3</v>
      </c>
      <c r="D122" s="127">
        <v>50.7</v>
      </c>
      <c r="E122" s="127">
        <v>51.7</v>
      </c>
      <c r="F122" s="127">
        <v>58.5</v>
      </c>
      <c r="G122" s="127">
        <v>67.5</v>
      </c>
      <c r="H122" s="127">
        <v>65.900000000000006</v>
      </c>
      <c r="I122" s="127">
        <v>56.8</v>
      </c>
      <c r="J122" s="127">
        <v>56.8</v>
      </c>
      <c r="K122" s="127">
        <v>58.2</v>
      </c>
      <c r="L122" s="127">
        <v>60.9</v>
      </c>
      <c r="M122" s="127">
        <v>68.8</v>
      </c>
      <c r="N122" s="127">
        <v>39.200000000000003</v>
      </c>
      <c r="O122" s="127">
        <v>44</v>
      </c>
      <c r="P122" s="127">
        <v>46.4</v>
      </c>
      <c r="Q122" s="127">
        <v>30.2</v>
      </c>
      <c r="R122" s="127">
        <v>35.299999999999997</v>
      </c>
      <c r="S122" s="127">
        <v>28.6</v>
      </c>
      <c r="T122" s="127">
        <v>31.2</v>
      </c>
      <c r="U122" s="127">
        <v>66.099999999999994</v>
      </c>
      <c r="V122" s="127">
        <v>42</v>
      </c>
      <c r="W122" s="127">
        <v>59.5</v>
      </c>
      <c r="X122" s="127">
        <v>63.9</v>
      </c>
      <c r="Y122" s="127">
        <v>71.8</v>
      </c>
      <c r="Z122" s="127">
        <v>60.3</v>
      </c>
      <c r="AA122" s="127">
        <v>41.9</v>
      </c>
      <c r="AB122" s="127">
        <v>36.700000000000003</v>
      </c>
      <c r="AC122" s="127">
        <v>36.700000000000003</v>
      </c>
      <c r="AD122" s="127">
        <v>35</v>
      </c>
      <c r="AE122" s="127">
        <v>42.3</v>
      </c>
      <c r="AF122" s="127">
        <v>50.9</v>
      </c>
      <c r="AG122" s="128">
        <v>75</v>
      </c>
      <c r="AH122" s="48">
        <f t="shared" si="35"/>
        <v>71.8</v>
      </c>
      <c r="AI122" s="49">
        <f t="shared" si="36"/>
        <v>28.6</v>
      </c>
    </row>
    <row r="123" spans="1:35" x14ac:dyDescent="0.25">
      <c r="A123" s="129" t="s">
        <v>143</v>
      </c>
      <c r="B123" s="130">
        <v>90</v>
      </c>
      <c r="C123" s="130">
        <v>79.2</v>
      </c>
      <c r="D123" s="130">
        <v>72.400000000000006</v>
      </c>
      <c r="E123" s="130">
        <v>75.599999999999994</v>
      </c>
      <c r="F123" s="130">
        <v>85</v>
      </c>
      <c r="G123" s="130">
        <v>94.6</v>
      </c>
      <c r="H123" s="130">
        <v>92.6</v>
      </c>
      <c r="I123" s="130">
        <v>84</v>
      </c>
      <c r="J123" s="130">
        <v>84</v>
      </c>
      <c r="K123" s="130">
        <v>80.7</v>
      </c>
      <c r="L123" s="130">
        <v>82.5</v>
      </c>
      <c r="M123" s="130">
        <v>92.4</v>
      </c>
      <c r="N123" s="130">
        <v>55</v>
      </c>
      <c r="O123" s="130">
        <v>61</v>
      </c>
      <c r="P123" s="130">
        <v>62.7</v>
      </c>
      <c r="Q123" s="130">
        <v>43.1</v>
      </c>
      <c r="R123" s="130">
        <v>48</v>
      </c>
      <c r="S123" s="130">
        <v>37.1</v>
      </c>
      <c r="T123" s="130">
        <v>43.4</v>
      </c>
      <c r="U123" s="130">
        <v>89.3</v>
      </c>
      <c r="V123" s="130">
        <v>61.6</v>
      </c>
      <c r="W123" s="130">
        <v>84.2</v>
      </c>
      <c r="X123" s="130">
        <v>90.7</v>
      </c>
      <c r="Y123" s="130">
        <v>101.8</v>
      </c>
      <c r="Z123" s="130">
        <v>86.5</v>
      </c>
      <c r="AA123" s="130">
        <v>61.6</v>
      </c>
      <c r="AB123" s="130">
        <v>56.7</v>
      </c>
      <c r="AC123" s="130">
        <v>56.7</v>
      </c>
      <c r="AD123" s="130">
        <v>53</v>
      </c>
      <c r="AE123" s="130">
        <v>65</v>
      </c>
      <c r="AF123" s="130">
        <v>72.7</v>
      </c>
      <c r="AG123" s="128">
        <v>240</v>
      </c>
      <c r="AH123" s="48">
        <f t="shared" si="35"/>
        <v>101.8</v>
      </c>
      <c r="AI123" s="49">
        <f t="shared" si="36"/>
        <v>37.1</v>
      </c>
    </row>
    <row r="124" spans="1:35" x14ac:dyDescent="0.25">
      <c r="A124" s="129" t="s">
        <v>144</v>
      </c>
      <c r="B124" s="130">
        <v>-160</v>
      </c>
      <c r="C124" s="130">
        <v>-116</v>
      </c>
      <c r="D124" s="130">
        <v>-112</v>
      </c>
      <c r="E124" s="130">
        <v>-114</v>
      </c>
      <c r="F124" s="130">
        <v>-115</v>
      </c>
      <c r="G124" s="130">
        <v>-122</v>
      </c>
      <c r="H124" s="130">
        <v>-114</v>
      </c>
      <c r="I124" s="130">
        <v>-100</v>
      </c>
      <c r="J124" s="130">
        <v>-100</v>
      </c>
      <c r="K124" s="130">
        <v>-71</v>
      </c>
      <c r="L124" s="130">
        <v>-84</v>
      </c>
      <c r="M124" s="130">
        <f>-41.7-45</f>
        <v>-86.7</v>
      </c>
      <c r="N124" s="130">
        <f>-31-32.8</f>
        <v>-63.8</v>
      </c>
      <c r="O124" s="130">
        <f>-25-32</f>
        <v>-57</v>
      </c>
      <c r="P124" s="130">
        <f>-26-32</f>
        <v>-58</v>
      </c>
      <c r="Q124" s="130">
        <f>-22-25</f>
        <v>-47</v>
      </c>
      <c r="R124" s="130">
        <f>-13.8-18.8</f>
        <v>-32.6</v>
      </c>
      <c r="S124" s="130">
        <v>-26</v>
      </c>
      <c r="T124" s="130">
        <v>-30</v>
      </c>
      <c r="U124" s="130">
        <v>-50</v>
      </c>
      <c r="V124" s="130">
        <v>-32.4</v>
      </c>
      <c r="W124" s="130">
        <v>-47</v>
      </c>
      <c r="X124" s="130">
        <f>-29.3-32.3</f>
        <v>-61.599999999999994</v>
      </c>
      <c r="Y124" s="130">
        <v>-84.2</v>
      </c>
      <c r="Z124" s="130">
        <v>-68</v>
      </c>
      <c r="AA124" s="130">
        <v>-34</v>
      </c>
      <c r="AB124" s="130">
        <v>-69.900000000000006</v>
      </c>
      <c r="AC124" s="130">
        <v>-69.900000000000006</v>
      </c>
      <c r="AD124" s="130">
        <v>-68</v>
      </c>
      <c r="AE124" s="130">
        <v>-85</v>
      </c>
      <c r="AF124" s="130">
        <v>-100</v>
      </c>
      <c r="AG124" s="128">
        <v>240</v>
      </c>
      <c r="AH124" s="48">
        <f t="shared" si="35"/>
        <v>-26</v>
      </c>
      <c r="AI124" s="49">
        <f t="shared" si="36"/>
        <v>-160</v>
      </c>
    </row>
    <row r="125" spans="1:35" ht="15.75" thickBot="1" x14ac:dyDescent="0.3">
      <c r="A125" s="129" t="s">
        <v>145</v>
      </c>
      <c r="B125" s="130">
        <v>-2.6</v>
      </c>
      <c r="C125" s="130">
        <v>-15.3</v>
      </c>
      <c r="D125" s="130">
        <v>-16.2</v>
      </c>
      <c r="E125" s="130">
        <v>-17.3</v>
      </c>
      <c r="F125" s="130">
        <v>-19</v>
      </c>
      <c r="G125" s="130">
        <v>-20.9</v>
      </c>
      <c r="H125" s="130">
        <v>-17.8</v>
      </c>
      <c r="I125" s="130">
        <v>-17</v>
      </c>
      <c r="J125" s="130">
        <v>-17</v>
      </c>
      <c r="K125" s="130">
        <v>-2</v>
      </c>
      <c r="L125" s="130">
        <v>-5</v>
      </c>
      <c r="M125" s="130">
        <v>-1.6</v>
      </c>
      <c r="N125" s="130">
        <v>-3.5</v>
      </c>
      <c r="O125" s="130">
        <v>15.9</v>
      </c>
      <c r="P125" s="130">
        <v>15.2</v>
      </c>
      <c r="Q125" s="130">
        <v>6.3</v>
      </c>
      <c r="R125" s="130">
        <v>7.8</v>
      </c>
      <c r="S125" s="130">
        <v>10.7</v>
      </c>
      <c r="T125" s="130">
        <v>8.4</v>
      </c>
      <c r="U125" s="130">
        <v>12</v>
      </c>
      <c r="V125" s="130">
        <v>10.199999999999999</v>
      </c>
      <c r="W125" s="130">
        <v>7.6</v>
      </c>
      <c r="X125" s="130">
        <v>5.3</v>
      </c>
      <c r="Y125" s="130">
        <v>6</v>
      </c>
      <c r="Z125" s="130">
        <v>10.5</v>
      </c>
      <c r="AA125" s="130">
        <v>31.8</v>
      </c>
      <c r="AB125" s="130">
        <v>26.45</v>
      </c>
      <c r="AC125" s="130">
        <v>26.45</v>
      </c>
      <c r="AD125" s="130">
        <v>20.9</v>
      </c>
      <c r="AE125" s="130">
        <v>19</v>
      </c>
      <c r="AF125" s="130">
        <v>0</v>
      </c>
      <c r="AG125" s="128">
        <v>60</v>
      </c>
      <c r="AH125" s="48">
        <f t="shared" si="35"/>
        <v>31.8</v>
      </c>
      <c r="AI125" s="49">
        <f t="shared" si="36"/>
        <v>-20.9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5"/>
        <v>0</v>
      </c>
      <c r="AI126" s="49">
        <f t="shared" si="36"/>
        <v>0</v>
      </c>
    </row>
    <row r="127" spans="1:35" x14ac:dyDescent="0.25">
      <c r="A127" s="129" t="s">
        <v>147</v>
      </c>
      <c r="B127" s="131">
        <v>33.5</v>
      </c>
      <c r="C127" s="131">
        <v>32.6</v>
      </c>
      <c r="D127" s="131">
        <v>30.6</v>
      </c>
      <c r="E127" s="131">
        <v>26.7</v>
      </c>
      <c r="F127" s="131">
        <v>20.5</v>
      </c>
      <c r="G127" s="131">
        <v>27.3</v>
      </c>
      <c r="H127" s="131">
        <v>36</v>
      </c>
      <c r="I127" s="131">
        <v>48.9</v>
      </c>
      <c r="J127" s="131">
        <v>48.9</v>
      </c>
      <c r="K127" s="131">
        <v>62.7</v>
      </c>
      <c r="L127" s="131">
        <v>78.900000000000006</v>
      </c>
      <c r="M127" s="131">
        <v>68.3</v>
      </c>
      <c r="N127" s="131">
        <v>91.5</v>
      </c>
      <c r="O127" s="131">
        <v>81</v>
      </c>
      <c r="P127" s="131">
        <v>81.400000000000006</v>
      </c>
      <c r="Q127" s="131">
        <v>96.5</v>
      </c>
      <c r="R127" s="131">
        <v>81.099999999999994</v>
      </c>
      <c r="S127" s="131">
        <v>82.5</v>
      </c>
      <c r="T127" s="131">
        <v>85.3</v>
      </c>
      <c r="U127" s="131">
        <v>59.7</v>
      </c>
      <c r="V127" s="131">
        <v>70.3</v>
      </c>
      <c r="W127" s="131">
        <v>56</v>
      </c>
      <c r="X127" s="131">
        <v>55.4</v>
      </c>
      <c r="Y127" s="131">
        <v>57.6</v>
      </c>
      <c r="Z127" s="131">
        <v>75.400000000000006</v>
      </c>
      <c r="AA127" s="131">
        <v>85.7</v>
      </c>
      <c r="AB127" s="131">
        <v>83.4</v>
      </c>
      <c r="AC127" s="131">
        <v>83.4</v>
      </c>
      <c r="AD127" s="131">
        <v>64</v>
      </c>
      <c r="AE127" s="131">
        <v>53</v>
      </c>
      <c r="AF127" s="131">
        <v>42</v>
      </c>
      <c r="AG127" s="132"/>
      <c r="AH127" s="48"/>
      <c r="AI127" s="49"/>
    </row>
    <row r="128" spans="1:35" x14ac:dyDescent="0.25">
      <c r="A128" s="129" t="s">
        <v>148</v>
      </c>
      <c r="B128" s="131">
        <v>-14</v>
      </c>
      <c r="C128" s="131">
        <v>-15.8</v>
      </c>
      <c r="D128" s="131">
        <v>-12.8</v>
      </c>
      <c r="E128" s="131">
        <v>-15.3</v>
      </c>
      <c r="F128" s="131">
        <v>-27.4</v>
      </c>
      <c r="G128" s="131">
        <v>-29.7</v>
      </c>
      <c r="H128" s="131">
        <v>-29</v>
      </c>
      <c r="I128" s="131">
        <v>-19</v>
      </c>
      <c r="J128" s="131">
        <v>-19</v>
      </c>
      <c r="K128" s="131">
        <v>-29.2</v>
      </c>
      <c r="L128" s="131">
        <v>-17.399999999999999</v>
      </c>
      <c r="M128" s="131">
        <v>-27.1</v>
      </c>
      <c r="N128" s="131">
        <v>-14.1</v>
      </c>
      <c r="O128" s="131">
        <v>1.4</v>
      </c>
      <c r="P128" s="131">
        <v>3</v>
      </c>
      <c r="Q128" s="131">
        <v>24.1</v>
      </c>
      <c r="R128" s="131">
        <v>-3.6</v>
      </c>
      <c r="S128" s="131">
        <v>11.8</v>
      </c>
      <c r="T128" s="131">
        <v>9.3000000000000007</v>
      </c>
      <c r="U128" s="131">
        <v>-45.5</v>
      </c>
      <c r="V128" s="131">
        <v>-22.8</v>
      </c>
      <c r="W128" s="131">
        <v>-45.5</v>
      </c>
      <c r="X128" s="131">
        <v>-52.5</v>
      </c>
      <c r="Y128" s="131">
        <v>-46</v>
      </c>
      <c r="Z128" s="131">
        <v>-31.4</v>
      </c>
      <c r="AA128" s="131">
        <v>-23.9</v>
      </c>
      <c r="AB128" s="131">
        <v>-16.3</v>
      </c>
      <c r="AC128" s="131">
        <v>-16.3</v>
      </c>
      <c r="AD128" s="131">
        <v>-7.7</v>
      </c>
      <c r="AE128" s="131">
        <v>-18</v>
      </c>
      <c r="AF128" s="131">
        <v>-6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26.1</v>
      </c>
      <c r="C129" s="131">
        <v>14.9</v>
      </c>
      <c r="D129" s="131">
        <v>3.4</v>
      </c>
      <c r="E129" s="131">
        <v>-3.6</v>
      </c>
      <c r="F129" s="131">
        <v>-9.3000000000000007</v>
      </c>
      <c r="G129" s="131">
        <v>-1.7</v>
      </c>
      <c r="H129" s="131">
        <v>8</v>
      </c>
      <c r="I129" s="131">
        <v>24.3</v>
      </c>
      <c r="J129" s="131">
        <v>24.3</v>
      </c>
      <c r="K129" s="131">
        <v>26.2</v>
      </c>
      <c r="L129" s="131">
        <v>57.4</v>
      </c>
      <c r="M129" s="131">
        <v>48</v>
      </c>
      <c r="N129" s="131">
        <v>70</v>
      </c>
      <c r="O129" s="131">
        <v>65.8</v>
      </c>
      <c r="P129" s="131">
        <v>65</v>
      </c>
      <c r="Q129" s="131">
        <v>82.7</v>
      </c>
      <c r="R129" s="131">
        <v>52.7</v>
      </c>
      <c r="S129" s="131">
        <v>57.5</v>
      </c>
      <c r="T129" s="131">
        <v>63.8</v>
      </c>
      <c r="U129" s="131">
        <v>40.4</v>
      </c>
      <c r="V129" s="131">
        <v>49.6</v>
      </c>
      <c r="W129" s="131">
        <v>36.200000000000003</v>
      </c>
      <c r="X129" s="131">
        <v>34</v>
      </c>
      <c r="Y129" s="131">
        <v>37.799999999999997</v>
      </c>
      <c r="Z129" s="131">
        <v>52.9</v>
      </c>
      <c r="AA129" s="131">
        <v>66</v>
      </c>
      <c r="AB129" s="131">
        <v>52.2</v>
      </c>
      <c r="AC129" s="131">
        <v>52.2</v>
      </c>
      <c r="AD129" s="131">
        <v>34</v>
      </c>
      <c r="AE129" s="131">
        <v>21</v>
      </c>
      <c r="AF129" s="131">
        <v>21</v>
      </c>
      <c r="AG129" s="128"/>
      <c r="AH129" s="48">
        <f>MAX(B129:AF129)</f>
        <v>82.7</v>
      </c>
      <c r="AI129" s="49">
        <f>MIN(B129:AF129)</f>
        <v>-9.3000000000000007</v>
      </c>
    </row>
    <row r="130" spans="1:37" x14ac:dyDescent="0.25">
      <c r="A130" s="126" t="s">
        <v>150</v>
      </c>
      <c r="B130" s="131">
        <v>-176.9</v>
      </c>
      <c r="C130" s="131">
        <v>-144.69999999999999</v>
      </c>
      <c r="D130" s="131">
        <v>-129.1</v>
      </c>
      <c r="E130" s="131">
        <v>-106.5</v>
      </c>
      <c r="F130" s="131">
        <v>-80.900000000000006</v>
      </c>
      <c r="G130" s="131">
        <v>-99.6</v>
      </c>
      <c r="H130" s="131">
        <v>-114.7</v>
      </c>
      <c r="I130" s="131">
        <v>-114.4</v>
      </c>
      <c r="J130" s="131">
        <v>-114.4</v>
      </c>
      <c r="K130" s="131">
        <v>-165.4</v>
      </c>
      <c r="L130" s="131">
        <v>-174</v>
      </c>
      <c r="M130" s="131">
        <v>-199.3</v>
      </c>
      <c r="N130" s="131">
        <v>-197.3</v>
      </c>
      <c r="O130" s="131">
        <v>-192.7</v>
      </c>
      <c r="P130" s="131">
        <v>-191.2</v>
      </c>
      <c r="Q130" s="131">
        <v>-212.3</v>
      </c>
      <c r="R130" s="131">
        <v>-164.3</v>
      </c>
      <c r="S130" s="131">
        <v>-187</v>
      </c>
      <c r="T130" s="131">
        <v>-196.8</v>
      </c>
      <c r="U130" s="131">
        <v>-81.8</v>
      </c>
      <c r="V130" s="131">
        <v>-99.9</v>
      </c>
      <c r="W130" s="131">
        <v>-78.400000000000006</v>
      </c>
      <c r="X130" s="131">
        <v>-65</v>
      </c>
      <c r="Y130" s="131">
        <v>-164.9</v>
      </c>
      <c r="Z130" s="131">
        <v>-207.1</v>
      </c>
      <c r="AA130" s="131">
        <v>-218.8</v>
      </c>
      <c r="AB130" s="131">
        <v>-228.2</v>
      </c>
      <c r="AC130" s="131">
        <v>-228.2</v>
      </c>
      <c r="AD130" s="131">
        <v>-218</v>
      </c>
      <c r="AE130" s="131">
        <v>-213</v>
      </c>
      <c r="AF130" s="131">
        <v>-200</v>
      </c>
      <c r="AG130" s="128"/>
      <c r="AH130" s="48">
        <f>MAX(B130:AF130)</f>
        <v>-65</v>
      </c>
      <c r="AI130" s="49">
        <f>MIN(B130:AF130)</f>
        <v>-228.2</v>
      </c>
    </row>
    <row r="131" spans="1:37" x14ac:dyDescent="0.25">
      <c r="A131" s="129" t="s">
        <v>151</v>
      </c>
      <c r="B131" s="119">
        <v>13.5</v>
      </c>
      <c r="C131" s="119">
        <v>15.2</v>
      </c>
      <c r="D131" s="119">
        <v>13.3</v>
      </c>
      <c r="E131" s="119">
        <v>11.8</v>
      </c>
      <c r="F131" s="119">
        <v>13.5</v>
      </c>
      <c r="G131" s="119">
        <v>9.6999999999999993</v>
      </c>
      <c r="H131" s="119">
        <v>6.7</v>
      </c>
      <c r="I131" s="119">
        <v>4.7</v>
      </c>
      <c r="J131" s="119">
        <v>4.7</v>
      </c>
      <c r="K131" s="119">
        <v>-5.6</v>
      </c>
      <c r="L131" s="119">
        <v>-4</v>
      </c>
      <c r="M131" s="119">
        <v>-19.899999999999999</v>
      </c>
      <c r="N131" s="119">
        <v>-14.5</v>
      </c>
      <c r="O131" s="119">
        <v>-10</v>
      </c>
      <c r="P131" s="119">
        <v>-14</v>
      </c>
      <c r="Q131" s="119">
        <v>-17</v>
      </c>
      <c r="R131" s="119">
        <v>-22.9</v>
      </c>
      <c r="S131" s="119">
        <v>-25</v>
      </c>
      <c r="T131" s="119">
        <v>-8.8000000000000007</v>
      </c>
      <c r="U131" s="119">
        <v>-9.9</v>
      </c>
      <c r="V131" s="119">
        <v>-4.3</v>
      </c>
      <c r="W131" s="119">
        <v>-7.3</v>
      </c>
      <c r="X131" s="119">
        <v>1.8</v>
      </c>
      <c r="Y131" s="119">
        <v>-8.1</v>
      </c>
      <c r="Z131" s="119">
        <v>-20.6</v>
      </c>
      <c r="AA131" s="119">
        <v>-19.399999999999999</v>
      </c>
      <c r="AB131" s="119">
        <v>-20.7</v>
      </c>
      <c r="AC131" s="119">
        <v>-20.7</v>
      </c>
      <c r="AD131" s="119">
        <v>-18</v>
      </c>
      <c r="AE131" s="119">
        <v>-15</v>
      </c>
      <c r="AF131" s="119">
        <v>-8.6</v>
      </c>
      <c r="AG131" s="128"/>
      <c r="AH131" s="48">
        <f>MAX(B131:AF131)</f>
        <v>15.2</v>
      </c>
      <c r="AI131" s="49">
        <f>MIN(B131:AF131)</f>
        <v>-25</v>
      </c>
    </row>
    <row r="132" spans="1:37" x14ac:dyDescent="0.25">
      <c r="A132" s="129" t="s">
        <v>152</v>
      </c>
      <c r="B132" s="119">
        <v>35.1</v>
      </c>
      <c r="C132" s="119">
        <v>33.200000000000003</v>
      </c>
      <c r="D132" s="119">
        <v>22.5</v>
      </c>
      <c r="E132" s="119">
        <v>24</v>
      </c>
      <c r="F132" s="119">
        <v>21.5</v>
      </c>
      <c r="G132" s="119">
        <v>19.8</v>
      </c>
      <c r="H132" s="119">
        <v>20.9</v>
      </c>
      <c r="I132" s="119">
        <v>23.7</v>
      </c>
      <c r="J132" s="119">
        <v>23.7</v>
      </c>
      <c r="K132" s="119">
        <v>42.6</v>
      </c>
      <c r="L132" s="119">
        <v>10.4</v>
      </c>
      <c r="M132" s="119">
        <v>20.7</v>
      </c>
      <c r="N132" s="119">
        <v>5.9</v>
      </c>
      <c r="O132" s="119">
        <v>14.6</v>
      </c>
      <c r="P132" s="119">
        <v>12</v>
      </c>
      <c r="Q132" s="119">
        <v>3</v>
      </c>
      <c r="R132" s="119">
        <v>39.9</v>
      </c>
      <c r="S132" s="119">
        <v>49</v>
      </c>
      <c r="T132" s="119">
        <v>40.5</v>
      </c>
      <c r="U132" s="119">
        <v>58.3</v>
      </c>
      <c r="V132" s="119">
        <v>66.599999999999994</v>
      </c>
      <c r="W132" s="119">
        <v>58.5</v>
      </c>
      <c r="X132" s="119">
        <v>47.9</v>
      </c>
      <c r="Y132" s="119">
        <v>48.3</v>
      </c>
      <c r="Z132" s="119">
        <v>64.400000000000006</v>
      </c>
      <c r="AA132" s="119">
        <v>71.400000000000006</v>
      </c>
      <c r="AB132" s="119">
        <v>84.4</v>
      </c>
      <c r="AC132" s="119">
        <v>84.4</v>
      </c>
      <c r="AD132" s="119">
        <v>88</v>
      </c>
      <c r="AE132" s="119">
        <v>87</v>
      </c>
      <c r="AF132" s="119">
        <v>73</v>
      </c>
      <c r="AG132" s="128"/>
      <c r="AH132" s="48">
        <f>MAX(B132:AF132)</f>
        <v>88</v>
      </c>
      <c r="AI132" s="49">
        <f>MIN(B132:AF132)</f>
        <v>3</v>
      </c>
    </row>
    <row r="133" spans="1:37" ht="15.75" thickBot="1" x14ac:dyDescent="0.3">
      <c r="A133" s="129" t="s">
        <v>153</v>
      </c>
      <c r="B133" s="119">
        <v>45.1</v>
      </c>
      <c r="C133" s="119">
        <v>48.8</v>
      </c>
      <c r="D133" s="119">
        <v>37.299999999999997</v>
      </c>
      <c r="E133" s="119">
        <v>32.799999999999997</v>
      </c>
      <c r="F133" s="119">
        <v>32.5</v>
      </c>
      <c r="G133" s="119">
        <v>32</v>
      </c>
      <c r="H133" s="119">
        <v>28.2</v>
      </c>
      <c r="I133" s="119">
        <v>30.8</v>
      </c>
      <c r="J133" s="119">
        <v>30.8</v>
      </c>
      <c r="K133" s="119">
        <v>56.4</v>
      </c>
      <c r="L133" s="119">
        <v>23.4</v>
      </c>
      <c r="M133" s="119">
        <v>27</v>
      </c>
      <c r="N133" s="119">
        <v>27</v>
      </c>
      <c r="O133" s="119">
        <v>35.9</v>
      </c>
      <c r="P133" s="119">
        <v>34</v>
      </c>
      <c r="Q133" s="119">
        <v>27</v>
      </c>
      <c r="R133" s="119">
        <v>45</v>
      </c>
      <c r="S133" s="119">
        <v>67.099999999999994</v>
      </c>
      <c r="T133" s="119">
        <v>63.5</v>
      </c>
      <c r="U133" s="119">
        <v>79.400000000000006</v>
      </c>
      <c r="V133" s="119">
        <v>74.2</v>
      </c>
      <c r="W133" s="119">
        <v>70.400000000000006</v>
      </c>
      <c r="X133" s="119">
        <v>60.2</v>
      </c>
      <c r="Y133" s="119">
        <v>63.2</v>
      </c>
      <c r="Z133" s="119">
        <v>73</v>
      </c>
      <c r="AA133" s="119">
        <v>79.7</v>
      </c>
      <c r="AB133" s="119">
        <v>91.3</v>
      </c>
      <c r="AC133" s="119">
        <v>91.3</v>
      </c>
      <c r="AD133" s="119">
        <v>96</v>
      </c>
      <c r="AE133" s="119">
        <v>93</v>
      </c>
      <c r="AF133" s="119">
        <v>83</v>
      </c>
      <c r="AG133" s="128"/>
      <c r="AH133" s="48">
        <f>MAX(B133:AF133)</f>
        <v>96</v>
      </c>
      <c r="AI133" s="49">
        <f>MIN(B133:AF133)</f>
        <v>23.4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1983.6</v>
      </c>
      <c r="C135" s="137">
        <v>1983.67</v>
      </c>
      <c r="D135" s="137">
        <v>1984.05</v>
      </c>
      <c r="E135" s="137">
        <v>1984.59</v>
      </c>
      <c r="F135" s="137">
        <v>1985.29</v>
      </c>
      <c r="G135" s="137">
        <v>1985.93</v>
      </c>
      <c r="H135" s="137"/>
      <c r="I135" s="137">
        <v>1986.3</v>
      </c>
      <c r="J135" s="137"/>
      <c r="K135" s="137">
        <v>1986.75</v>
      </c>
      <c r="L135" s="137"/>
      <c r="M135" s="137">
        <v>1986.52</v>
      </c>
      <c r="N135" s="137">
        <v>1986.4</v>
      </c>
      <c r="O135" s="137">
        <v>1986.08</v>
      </c>
      <c r="P135" s="137">
        <v>1985.7</v>
      </c>
      <c r="Q135" s="137">
        <v>1985.35</v>
      </c>
      <c r="R135" s="137">
        <v>1985</v>
      </c>
      <c r="S135" s="137">
        <v>1984.68</v>
      </c>
      <c r="T135" s="137">
        <v>1984.25</v>
      </c>
      <c r="U135" s="137">
        <v>1984.35</v>
      </c>
      <c r="V135" s="137">
        <v>1984.7</v>
      </c>
      <c r="W135" s="137"/>
      <c r="X135" s="137">
        <v>1985.08</v>
      </c>
      <c r="Y135" s="137"/>
      <c r="Z135" s="137">
        <v>1985.1</v>
      </c>
      <c r="AA135" s="137"/>
      <c r="AB135" s="137">
        <v>1984.5</v>
      </c>
      <c r="AC135" s="137"/>
      <c r="AD135" s="137">
        <v>1983.9</v>
      </c>
      <c r="AE135" s="137">
        <v>1983.3</v>
      </c>
      <c r="AF135" s="138">
        <v>1983.05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>
        <v>519.72</v>
      </c>
      <c r="D136" s="140">
        <v>519.71</v>
      </c>
      <c r="E136" s="140">
        <v>519.63</v>
      </c>
      <c r="F136" s="140">
        <v>519.82000000000005</v>
      </c>
      <c r="G136" s="140">
        <v>520.09</v>
      </c>
      <c r="H136" s="140"/>
      <c r="I136" s="140">
        <v>520.29999999999995</v>
      </c>
      <c r="J136" s="140"/>
      <c r="K136" s="140">
        <v>520.67999999999995</v>
      </c>
      <c r="L136" s="140"/>
      <c r="M136" s="140"/>
      <c r="N136" s="140">
        <v>521.59</v>
      </c>
      <c r="O136" s="140">
        <v>521.83000000000004</v>
      </c>
      <c r="P136" s="140">
        <v>521.74</v>
      </c>
      <c r="Q136" s="140"/>
      <c r="R136" s="140">
        <v>521.5</v>
      </c>
      <c r="S136" s="140">
        <v>521.38</v>
      </c>
      <c r="T136" s="140">
        <v>521.33000000000004</v>
      </c>
      <c r="U136" s="140">
        <v>521.23</v>
      </c>
      <c r="V136" s="140">
        <v>521.08000000000004</v>
      </c>
      <c r="W136" s="140"/>
      <c r="X136" s="140">
        <v>520.9</v>
      </c>
      <c r="Y136" s="140"/>
      <c r="Z136" s="140">
        <v>520.72</v>
      </c>
      <c r="AA136" s="140"/>
      <c r="AB136" s="140">
        <v>520.54</v>
      </c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>
        <v>524.55999999999995</v>
      </c>
      <c r="T137" s="140"/>
      <c r="U137" s="140"/>
      <c r="V137" s="140"/>
      <c r="W137" s="140"/>
      <c r="X137" s="140">
        <v>624.14</v>
      </c>
      <c r="Y137" s="140"/>
      <c r="Z137" s="140"/>
      <c r="AA137" s="140"/>
      <c r="AB137" s="140">
        <v>623.85</v>
      </c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>
        <v>335.5</v>
      </c>
      <c r="T138" s="140"/>
      <c r="U138" s="140"/>
      <c r="V138" s="140"/>
      <c r="W138" s="140"/>
      <c r="X138" s="140">
        <v>335.87</v>
      </c>
      <c r="Y138" s="140"/>
      <c r="Z138" s="140"/>
      <c r="AA138" s="140"/>
      <c r="AB138" s="140">
        <v>335.88</v>
      </c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>
        <v>886.8</v>
      </c>
      <c r="Y139" s="140"/>
      <c r="Z139" s="140"/>
      <c r="AA139" s="140"/>
      <c r="AB139" s="140">
        <v>884.5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1487.06</v>
      </c>
      <c r="C140" s="142"/>
      <c r="D140" s="142"/>
      <c r="E140" s="142"/>
      <c r="F140" s="142">
        <v>1487.05</v>
      </c>
      <c r="G140" s="142">
        <v>1487.06</v>
      </c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07">SUM(B142:B246)</f>
        <v>0</v>
      </c>
      <c r="C247" s="161">
        <f t="shared" si="107"/>
        <v>0</v>
      </c>
      <c r="D247" s="161">
        <f t="shared" si="107"/>
        <v>0</v>
      </c>
      <c r="E247" s="161">
        <f t="shared" si="107"/>
        <v>0</v>
      </c>
      <c r="F247" s="161">
        <f t="shared" si="107"/>
        <v>0</v>
      </c>
      <c r="G247" s="161">
        <f t="shared" si="107"/>
        <v>0</v>
      </c>
      <c r="H247" s="161">
        <f t="shared" si="107"/>
        <v>0</v>
      </c>
      <c r="I247" s="161">
        <f t="shared" si="107"/>
        <v>0</v>
      </c>
      <c r="J247" s="161">
        <f t="shared" si="107"/>
        <v>0</v>
      </c>
      <c r="K247" s="161">
        <f t="shared" si="107"/>
        <v>0</v>
      </c>
      <c r="L247" s="161">
        <f t="shared" si="107"/>
        <v>0</v>
      </c>
      <c r="M247" s="161">
        <f t="shared" si="107"/>
        <v>0</v>
      </c>
      <c r="N247" s="161">
        <f t="shared" si="107"/>
        <v>0</v>
      </c>
      <c r="O247" s="161">
        <f t="shared" si="107"/>
        <v>0</v>
      </c>
      <c r="P247" s="161">
        <f t="shared" si="107"/>
        <v>0</v>
      </c>
      <c r="Q247" s="161">
        <f t="shared" si="107"/>
        <v>0</v>
      </c>
      <c r="R247" s="161">
        <f t="shared" si="107"/>
        <v>0</v>
      </c>
      <c r="S247" s="161">
        <f t="shared" si="107"/>
        <v>0</v>
      </c>
      <c r="T247" s="161">
        <f t="shared" si="107"/>
        <v>0</v>
      </c>
      <c r="U247" s="161">
        <f t="shared" si="107"/>
        <v>0</v>
      </c>
      <c r="V247" s="161">
        <f t="shared" si="107"/>
        <v>0</v>
      </c>
      <c r="W247" s="161">
        <f t="shared" si="107"/>
        <v>0</v>
      </c>
      <c r="X247" s="161">
        <f t="shared" si="107"/>
        <v>0</v>
      </c>
      <c r="Y247" s="161">
        <f t="shared" si="107"/>
        <v>0</v>
      </c>
      <c r="Z247" s="161">
        <f t="shared" si="107"/>
        <v>0</v>
      </c>
      <c r="AA247" s="161">
        <f t="shared" si="107"/>
        <v>0</v>
      </c>
      <c r="AB247" s="161">
        <f t="shared" si="107"/>
        <v>0</v>
      </c>
      <c r="AC247" s="161">
        <f t="shared" si="107"/>
        <v>0</v>
      </c>
      <c r="AD247" s="161">
        <f t="shared" si="107"/>
        <v>0</v>
      </c>
      <c r="AE247" s="161">
        <f t="shared" si="107"/>
        <v>0</v>
      </c>
      <c r="AF247" s="162">
        <f t="shared" si="107"/>
        <v>0</v>
      </c>
      <c r="AG247" s="163">
        <f t="shared" si="107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08">AF249</f>
        <v>0.3</v>
      </c>
      <c r="C249" s="166">
        <v>0.3</v>
      </c>
      <c r="D249" s="166">
        <f t="shared" ref="D249:S254" si="109">C249</f>
        <v>0.3</v>
      </c>
      <c r="E249" s="166">
        <f t="shared" si="109"/>
        <v>0.3</v>
      </c>
      <c r="F249" s="166">
        <f t="shared" si="109"/>
        <v>0.3</v>
      </c>
      <c r="G249" s="166">
        <f t="shared" si="109"/>
        <v>0.3</v>
      </c>
      <c r="H249" s="166">
        <f t="shared" si="109"/>
        <v>0.3</v>
      </c>
      <c r="I249" s="166">
        <f t="shared" si="109"/>
        <v>0.3</v>
      </c>
      <c r="J249" s="166">
        <f t="shared" si="109"/>
        <v>0.3</v>
      </c>
      <c r="K249" s="166">
        <f t="shared" si="109"/>
        <v>0.3</v>
      </c>
      <c r="L249" s="166">
        <f t="shared" si="109"/>
        <v>0.3</v>
      </c>
      <c r="M249" s="166">
        <f t="shared" si="109"/>
        <v>0.3</v>
      </c>
      <c r="N249" s="166">
        <f t="shared" si="109"/>
        <v>0.3</v>
      </c>
      <c r="O249" s="166">
        <f t="shared" si="109"/>
        <v>0.3</v>
      </c>
      <c r="P249" s="166">
        <f t="shared" si="109"/>
        <v>0.3</v>
      </c>
      <c r="Q249" s="166">
        <f t="shared" si="109"/>
        <v>0.3</v>
      </c>
      <c r="R249" s="166">
        <f t="shared" si="109"/>
        <v>0.3</v>
      </c>
      <c r="S249" s="166">
        <f t="shared" si="109"/>
        <v>0.3</v>
      </c>
      <c r="T249" s="166">
        <f t="shared" ref="T249:AF254" si="110">S249</f>
        <v>0.3</v>
      </c>
      <c r="U249" s="166">
        <f t="shared" si="110"/>
        <v>0.3</v>
      </c>
      <c r="V249" s="166">
        <f t="shared" si="110"/>
        <v>0.3</v>
      </c>
      <c r="W249" s="166">
        <f t="shared" si="110"/>
        <v>0.3</v>
      </c>
      <c r="X249" s="166">
        <f t="shared" si="110"/>
        <v>0.3</v>
      </c>
      <c r="Y249" s="166">
        <f t="shared" si="110"/>
        <v>0.3</v>
      </c>
      <c r="Z249" s="166">
        <f t="shared" si="110"/>
        <v>0.3</v>
      </c>
      <c r="AA249" s="166">
        <f t="shared" si="110"/>
        <v>0.3</v>
      </c>
      <c r="AB249" s="166">
        <f t="shared" si="110"/>
        <v>0.3</v>
      </c>
      <c r="AC249" s="166">
        <f t="shared" si="110"/>
        <v>0.3</v>
      </c>
      <c r="AD249" s="166">
        <f t="shared" si="110"/>
        <v>0.3</v>
      </c>
      <c r="AE249" s="166">
        <f t="shared" si="110"/>
        <v>0.3</v>
      </c>
      <c r="AF249" s="166">
        <f t="shared" si="110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08"/>
        <v>0.4</v>
      </c>
      <c r="C250" s="152">
        <v>0.4</v>
      </c>
      <c r="D250" s="152">
        <f t="shared" si="109"/>
        <v>0.4</v>
      </c>
      <c r="E250" s="152">
        <f t="shared" si="109"/>
        <v>0.4</v>
      </c>
      <c r="F250" s="152">
        <f t="shared" si="109"/>
        <v>0.4</v>
      </c>
      <c r="G250" s="152">
        <f t="shared" si="109"/>
        <v>0.4</v>
      </c>
      <c r="H250" s="152">
        <f t="shared" si="109"/>
        <v>0.4</v>
      </c>
      <c r="I250" s="152">
        <f t="shared" si="109"/>
        <v>0.4</v>
      </c>
      <c r="J250" s="152">
        <f t="shared" si="109"/>
        <v>0.4</v>
      </c>
      <c r="K250" s="152">
        <f t="shared" si="109"/>
        <v>0.4</v>
      </c>
      <c r="L250" s="152">
        <f t="shared" si="109"/>
        <v>0.4</v>
      </c>
      <c r="M250" s="152">
        <f t="shared" si="109"/>
        <v>0.4</v>
      </c>
      <c r="N250" s="152">
        <f t="shared" si="109"/>
        <v>0.4</v>
      </c>
      <c r="O250" s="152">
        <f t="shared" si="109"/>
        <v>0.4</v>
      </c>
      <c r="P250" s="152">
        <f t="shared" si="109"/>
        <v>0.4</v>
      </c>
      <c r="Q250" s="152">
        <f t="shared" si="109"/>
        <v>0.4</v>
      </c>
      <c r="R250" s="152">
        <f t="shared" si="109"/>
        <v>0.4</v>
      </c>
      <c r="S250" s="152">
        <f t="shared" si="109"/>
        <v>0.4</v>
      </c>
      <c r="T250" s="152">
        <f t="shared" si="110"/>
        <v>0.4</v>
      </c>
      <c r="U250" s="152">
        <f t="shared" si="110"/>
        <v>0.4</v>
      </c>
      <c r="V250" s="152">
        <f t="shared" si="110"/>
        <v>0.4</v>
      </c>
      <c r="W250" s="152">
        <f t="shared" si="110"/>
        <v>0.4</v>
      </c>
      <c r="X250" s="152">
        <f t="shared" si="110"/>
        <v>0.4</v>
      </c>
      <c r="Y250" s="152">
        <f t="shared" si="110"/>
        <v>0.4</v>
      </c>
      <c r="Z250" s="152">
        <f t="shared" si="110"/>
        <v>0.4</v>
      </c>
      <c r="AA250" s="152">
        <f t="shared" si="110"/>
        <v>0.4</v>
      </c>
      <c r="AB250" s="152">
        <f t="shared" si="110"/>
        <v>0.4</v>
      </c>
      <c r="AC250" s="152">
        <f t="shared" si="110"/>
        <v>0.4</v>
      </c>
      <c r="AD250" s="152">
        <f t="shared" si="110"/>
        <v>0.4</v>
      </c>
      <c r="AE250" s="152">
        <f t="shared" si="110"/>
        <v>0.4</v>
      </c>
      <c r="AF250" s="152">
        <f t="shared" si="110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08"/>
        <v>1.5</v>
      </c>
      <c r="C251" s="152">
        <v>1.5</v>
      </c>
      <c r="D251" s="152">
        <f t="shared" si="109"/>
        <v>1.5</v>
      </c>
      <c r="E251" s="152">
        <f t="shared" si="109"/>
        <v>1.5</v>
      </c>
      <c r="F251" s="152">
        <f t="shared" si="109"/>
        <v>1.5</v>
      </c>
      <c r="G251" s="152">
        <f t="shared" si="109"/>
        <v>1.5</v>
      </c>
      <c r="H251" s="152">
        <f t="shared" si="109"/>
        <v>1.5</v>
      </c>
      <c r="I251" s="152">
        <f t="shared" si="109"/>
        <v>1.5</v>
      </c>
      <c r="J251" s="152">
        <f t="shared" si="109"/>
        <v>1.5</v>
      </c>
      <c r="K251" s="152">
        <f t="shared" si="109"/>
        <v>1.5</v>
      </c>
      <c r="L251" s="152">
        <f t="shared" si="109"/>
        <v>1.5</v>
      </c>
      <c r="M251" s="152">
        <f t="shared" si="109"/>
        <v>1.5</v>
      </c>
      <c r="N251" s="152">
        <f t="shared" si="109"/>
        <v>1.5</v>
      </c>
      <c r="O251" s="152">
        <f t="shared" si="109"/>
        <v>1.5</v>
      </c>
      <c r="P251" s="152">
        <f t="shared" si="109"/>
        <v>1.5</v>
      </c>
      <c r="Q251" s="152">
        <f t="shared" si="109"/>
        <v>1.5</v>
      </c>
      <c r="R251" s="152">
        <f t="shared" si="109"/>
        <v>1.5</v>
      </c>
      <c r="S251" s="152">
        <f t="shared" si="109"/>
        <v>1.5</v>
      </c>
      <c r="T251" s="152">
        <f t="shared" si="110"/>
        <v>1.5</v>
      </c>
      <c r="U251" s="152">
        <f t="shared" si="110"/>
        <v>1.5</v>
      </c>
      <c r="V251" s="152">
        <f t="shared" si="110"/>
        <v>1.5</v>
      </c>
      <c r="W251" s="152">
        <f t="shared" si="110"/>
        <v>1.5</v>
      </c>
      <c r="X251" s="152">
        <f t="shared" si="110"/>
        <v>1.5</v>
      </c>
      <c r="Y251" s="152">
        <f t="shared" si="110"/>
        <v>1.5</v>
      </c>
      <c r="Z251" s="152">
        <f t="shared" si="110"/>
        <v>1.5</v>
      </c>
      <c r="AA251" s="152">
        <f t="shared" si="110"/>
        <v>1.5</v>
      </c>
      <c r="AB251" s="152">
        <f t="shared" si="110"/>
        <v>1.5</v>
      </c>
      <c r="AC251" s="152">
        <f t="shared" si="110"/>
        <v>1.5</v>
      </c>
      <c r="AD251" s="152">
        <f t="shared" si="110"/>
        <v>1.5</v>
      </c>
      <c r="AE251" s="152">
        <f t="shared" si="110"/>
        <v>1.5</v>
      </c>
      <c r="AF251" s="152">
        <f t="shared" si="110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08"/>
        <v>0.3</v>
      </c>
      <c r="C252" s="152">
        <v>0.3</v>
      </c>
      <c r="D252" s="152">
        <f t="shared" si="109"/>
        <v>0.3</v>
      </c>
      <c r="E252" s="152">
        <f t="shared" si="109"/>
        <v>0.3</v>
      </c>
      <c r="F252" s="152">
        <f t="shared" si="109"/>
        <v>0.3</v>
      </c>
      <c r="G252" s="152">
        <f t="shared" si="109"/>
        <v>0.3</v>
      </c>
      <c r="H252" s="152">
        <f t="shared" si="109"/>
        <v>0.3</v>
      </c>
      <c r="I252" s="152">
        <f t="shared" si="109"/>
        <v>0.3</v>
      </c>
      <c r="J252" s="152">
        <f t="shared" si="109"/>
        <v>0.3</v>
      </c>
      <c r="K252" s="152">
        <f t="shared" si="109"/>
        <v>0.3</v>
      </c>
      <c r="L252" s="152">
        <f t="shared" si="109"/>
        <v>0.3</v>
      </c>
      <c r="M252" s="152">
        <f t="shared" si="109"/>
        <v>0.3</v>
      </c>
      <c r="N252" s="152">
        <f t="shared" si="109"/>
        <v>0.3</v>
      </c>
      <c r="O252" s="152">
        <f t="shared" si="109"/>
        <v>0.3</v>
      </c>
      <c r="P252" s="152">
        <f t="shared" si="109"/>
        <v>0.3</v>
      </c>
      <c r="Q252" s="152">
        <f t="shared" si="109"/>
        <v>0.3</v>
      </c>
      <c r="R252" s="152">
        <f t="shared" si="109"/>
        <v>0.3</v>
      </c>
      <c r="S252" s="152">
        <f t="shared" si="109"/>
        <v>0.3</v>
      </c>
      <c r="T252" s="152">
        <f t="shared" si="110"/>
        <v>0.3</v>
      </c>
      <c r="U252" s="152">
        <f t="shared" si="110"/>
        <v>0.3</v>
      </c>
      <c r="V252" s="152">
        <f t="shared" si="110"/>
        <v>0.3</v>
      </c>
      <c r="W252" s="152">
        <f t="shared" si="110"/>
        <v>0.3</v>
      </c>
      <c r="X252" s="152">
        <f t="shared" si="110"/>
        <v>0.3</v>
      </c>
      <c r="Y252" s="152">
        <f t="shared" si="110"/>
        <v>0.3</v>
      </c>
      <c r="Z252" s="152">
        <f t="shared" si="110"/>
        <v>0.3</v>
      </c>
      <c r="AA252" s="152">
        <f t="shared" si="110"/>
        <v>0.3</v>
      </c>
      <c r="AB252" s="152">
        <f t="shared" si="110"/>
        <v>0.3</v>
      </c>
      <c r="AC252" s="152">
        <f t="shared" si="110"/>
        <v>0.3</v>
      </c>
      <c r="AD252" s="152">
        <f t="shared" si="110"/>
        <v>0.3</v>
      </c>
      <c r="AE252" s="152">
        <f t="shared" si="110"/>
        <v>0.3</v>
      </c>
      <c r="AF252" s="152">
        <f t="shared" si="110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08"/>
        <v>0.4</v>
      </c>
      <c r="C253" s="152">
        <v>0.4</v>
      </c>
      <c r="D253" s="152">
        <f t="shared" si="109"/>
        <v>0.4</v>
      </c>
      <c r="E253" s="152">
        <f t="shared" si="109"/>
        <v>0.4</v>
      </c>
      <c r="F253" s="152">
        <f t="shared" si="109"/>
        <v>0.4</v>
      </c>
      <c r="G253" s="152">
        <f t="shared" si="109"/>
        <v>0.4</v>
      </c>
      <c r="H253" s="152">
        <f t="shared" si="109"/>
        <v>0.4</v>
      </c>
      <c r="I253" s="152">
        <f t="shared" si="109"/>
        <v>0.4</v>
      </c>
      <c r="J253" s="152">
        <f t="shared" si="109"/>
        <v>0.4</v>
      </c>
      <c r="K253" s="152">
        <f t="shared" si="109"/>
        <v>0.4</v>
      </c>
      <c r="L253" s="152">
        <f t="shared" si="109"/>
        <v>0.4</v>
      </c>
      <c r="M253" s="152">
        <f t="shared" si="109"/>
        <v>0.4</v>
      </c>
      <c r="N253" s="152">
        <f t="shared" si="109"/>
        <v>0.4</v>
      </c>
      <c r="O253" s="152">
        <f t="shared" si="109"/>
        <v>0.4</v>
      </c>
      <c r="P253" s="152">
        <f t="shared" si="109"/>
        <v>0.4</v>
      </c>
      <c r="Q253" s="152">
        <f t="shared" si="109"/>
        <v>0.4</v>
      </c>
      <c r="R253" s="152">
        <f t="shared" si="109"/>
        <v>0.4</v>
      </c>
      <c r="S253" s="152">
        <f t="shared" si="109"/>
        <v>0.4</v>
      </c>
      <c r="T253" s="152">
        <f t="shared" si="110"/>
        <v>0.4</v>
      </c>
      <c r="U253" s="152">
        <f t="shared" si="110"/>
        <v>0.4</v>
      </c>
      <c r="V253" s="152">
        <f t="shared" si="110"/>
        <v>0.4</v>
      </c>
      <c r="W253" s="152">
        <f t="shared" si="110"/>
        <v>0.4</v>
      </c>
      <c r="X253" s="152">
        <f t="shared" si="110"/>
        <v>0.4</v>
      </c>
      <c r="Y253" s="152">
        <f t="shared" si="110"/>
        <v>0.4</v>
      </c>
      <c r="Z253" s="152">
        <f t="shared" si="110"/>
        <v>0.4</v>
      </c>
      <c r="AA253" s="152">
        <f t="shared" si="110"/>
        <v>0.4</v>
      </c>
      <c r="AB253" s="152">
        <f t="shared" si="110"/>
        <v>0.4</v>
      </c>
      <c r="AC253" s="152">
        <f t="shared" si="110"/>
        <v>0.4</v>
      </c>
      <c r="AD253" s="152">
        <f t="shared" si="110"/>
        <v>0.4</v>
      </c>
      <c r="AE253" s="152">
        <f t="shared" si="110"/>
        <v>0.4</v>
      </c>
      <c r="AF253" s="152">
        <f t="shared" si="110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08"/>
        <v>0.64</v>
      </c>
      <c r="C254" s="157">
        <v>0.64</v>
      </c>
      <c r="D254" s="157">
        <f t="shared" si="109"/>
        <v>0.64</v>
      </c>
      <c r="E254" s="157">
        <f t="shared" si="109"/>
        <v>0.64</v>
      </c>
      <c r="F254" s="157">
        <f t="shared" si="109"/>
        <v>0.64</v>
      </c>
      <c r="G254" s="157">
        <f t="shared" si="109"/>
        <v>0.64</v>
      </c>
      <c r="H254" s="157">
        <f t="shared" si="109"/>
        <v>0.64</v>
      </c>
      <c r="I254" s="157">
        <f t="shared" si="109"/>
        <v>0.64</v>
      </c>
      <c r="J254" s="157">
        <f t="shared" si="109"/>
        <v>0.64</v>
      </c>
      <c r="K254" s="157">
        <f t="shared" si="109"/>
        <v>0.64</v>
      </c>
      <c r="L254" s="157">
        <f t="shared" si="109"/>
        <v>0.64</v>
      </c>
      <c r="M254" s="157">
        <f t="shared" si="109"/>
        <v>0.64</v>
      </c>
      <c r="N254" s="157">
        <f t="shared" si="109"/>
        <v>0.64</v>
      </c>
      <c r="O254" s="157">
        <f t="shared" si="109"/>
        <v>0.64</v>
      </c>
      <c r="P254" s="157">
        <f t="shared" si="109"/>
        <v>0.64</v>
      </c>
      <c r="Q254" s="157">
        <f t="shared" si="109"/>
        <v>0.64</v>
      </c>
      <c r="R254" s="157">
        <f t="shared" si="109"/>
        <v>0.64</v>
      </c>
      <c r="S254" s="157">
        <f t="shared" si="109"/>
        <v>0.64</v>
      </c>
      <c r="T254" s="157">
        <f t="shared" si="110"/>
        <v>0.64</v>
      </c>
      <c r="U254" s="157">
        <f t="shared" si="110"/>
        <v>0.64</v>
      </c>
      <c r="V254" s="157">
        <f t="shared" si="110"/>
        <v>0.64</v>
      </c>
      <c r="W254" s="157">
        <f t="shared" si="110"/>
        <v>0.64</v>
      </c>
      <c r="X254" s="157">
        <f t="shared" si="110"/>
        <v>0.64</v>
      </c>
      <c r="Y254" s="157">
        <f t="shared" si="110"/>
        <v>0.64</v>
      </c>
      <c r="Z254" s="157">
        <f t="shared" si="110"/>
        <v>0.64</v>
      </c>
      <c r="AA254" s="157">
        <f t="shared" si="110"/>
        <v>0.64</v>
      </c>
      <c r="AB254" s="157">
        <f t="shared" si="110"/>
        <v>0.64</v>
      </c>
      <c r="AC254" s="157">
        <f t="shared" si="110"/>
        <v>0.64</v>
      </c>
      <c r="AD254" s="157">
        <f t="shared" si="110"/>
        <v>0.64</v>
      </c>
      <c r="AE254" s="157">
        <f t="shared" si="110"/>
        <v>0.64</v>
      </c>
      <c r="AF254" s="157">
        <f t="shared" si="110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11">SUM(B249:B254)</f>
        <v>3.54</v>
      </c>
      <c r="C255" s="161">
        <f t="shared" si="111"/>
        <v>3.54</v>
      </c>
      <c r="D255" s="161">
        <f t="shared" si="111"/>
        <v>3.54</v>
      </c>
      <c r="E255" s="161">
        <f t="shared" si="111"/>
        <v>3.54</v>
      </c>
      <c r="F255" s="161">
        <f t="shared" si="111"/>
        <v>3.54</v>
      </c>
      <c r="G255" s="161">
        <f t="shared" si="111"/>
        <v>3.54</v>
      </c>
      <c r="H255" s="161">
        <f t="shared" si="111"/>
        <v>3.54</v>
      </c>
      <c r="I255" s="161">
        <f t="shared" si="111"/>
        <v>3.54</v>
      </c>
      <c r="J255" s="161">
        <f t="shared" si="111"/>
        <v>3.54</v>
      </c>
      <c r="K255" s="161">
        <f t="shared" si="111"/>
        <v>3.54</v>
      </c>
      <c r="L255" s="161">
        <f t="shared" si="111"/>
        <v>3.54</v>
      </c>
      <c r="M255" s="161">
        <f t="shared" si="111"/>
        <v>3.54</v>
      </c>
      <c r="N255" s="161">
        <f t="shared" si="111"/>
        <v>3.54</v>
      </c>
      <c r="O255" s="161">
        <f t="shared" si="111"/>
        <v>3.54</v>
      </c>
      <c r="P255" s="161">
        <f t="shared" si="111"/>
        <v>3.54</v>
      </c>
      <c r="Q255" s="161">
        <f t="shared" si="111"/>
        <v>3.54</v>
      </c>
      <c r="R255" s="161">
        <f t="shared" si="111"/>
        <v>3.54</v>
      </c>
      <c r="S255" s="161">
        <f t="shared" si="111"/>
        <v>3.54</v>
      </c>
      <c r="T255" s="161">
        <f t="shared" si="111"/>
        <v>3.54</v>
      </c>
      <c r="U255" s="161">
        <f t="shared" si="111"/>
        <v>3.54</v>
      </c>
      <c r="V255" s="161">
        <f t="shared" si="111"/>
        <v>3.54</v>
      </c>
      <c r="W255" s="161">
        <f t="shared" si="111"/>
        <v>3.54</v>
      </c>
      <c r="X255" s="161">
        <f t="shared" si="111"/>
        <v>3.54</v>
      </c>
      <c r="Y255" s="161">
        <f t="shared" si="111"/>
        <v>3.54</v>
      </c>
      <c r="Z255" s="161">
        <f t="shared" si="111"/>
        <v>3.54</v>
      </c>
      <c r="AA255" s="161">
        <f t="shared" si="111"/>
        <v>3.54</v>
      </c>
      <c r="AB255" s="161">
        <f t="shared" si="111"/>
        <v>3.54</v>
      </c>
      <c r="AC255" s="161">
        <f t="shared" si="111"/>
        <v>3.54</v>
      </c>
      <c r="AD255" s="161">
        <f t="shared" si="111"/>
        <v>3.54</v>
      </c>
      <c r="AE255" s="161">
        <f t="shared" si="111"/>
        <v>3.54</v>
      </c>
      <c r="AF255" s="161">
        <f t="shared" si="111"/>
        <v>3.54</v>
      </c>
      <c r="AG255" s="171">
        <f t="shared" si="111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1738.32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2080/10/24)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496" priority="80">
      <formula>$AH11=0</formula>
    </cfRule>
  </conditionalFormatting>
  <conditionalFormatting sqref="A89">
    <cfRule type="expression" dxfId="1495" priority="138">
      <formula>$AH94=0</formula>
    </cfRule>
  </conditionalFormatting>
  <conditionalFormatting sqref="A90:A94">
    <cfRule type="expression" dxfId="1494" priority="81">
      <formula>$AH89=0</formula>
    </cfRule>
  </conditionalFormatting>
  <conditionalFormatting sqref="B8">
    <cfRule type="expression" dxfId="1493" priority="134">
      <formula>AND(C$9&gt;=14/24,C$9&lt;20/24)</formula>
    </cfRule>
    <cfRule type="expression" dxfId="1492" priority="135">
      <formula>AND(C$9&gt;=8/24,C$9&lt;14/24)</formula>
    </cfRule>
    <cfRule type="expression" dxfId="1491" priority="136">
      <formula>C$9&lt;8/24</formula>
    </cfRule>
    <cfRule type="expression" dxfId="1490" priority="137">
      <formula>C$9&gt;=20/24</formula>
    </cfRule>
  </conditionalFormatting>
  <conditionalFormatting sqref="B11:L57 M12:Z57 B62:D71 D67:D77 B72:AF77 B80:AF102 B9:AF10 B104:AF120 B122:AF140 B247:AF247 B249:B255">
    <cfRule type="expression" dxfId="1489" priority="41">
      <formula>B$9&gt;=20/24</formula>
    </cfRule>
  </conditionalFormatting>
  <conditionalFormatting sqref="B11:L60 AA11:AF60 N12:N58 M12:M59 O12:Q60 R12:Z83 M59:N60 AA61:AG61 B61:Q83 AA62:AF64 AA65:AG65 AA66:AF83 AG83">
    <cfRule type="expression" dxfId="1488" priority="40">
      <formula>B11&gt;$AG11</formula>
    </cfRule>
  </conditionalFormatting>
  <conditionalFormatting sqref="B9:AF10 B11:L57 M12:Z57 B62:D71 D67:D77 B72:AF77 B80:AF102 B104:AF120 B122:AF140 B247:AF247 B249:B255">
    <cfRule type="expression" dxfId="1487" priority="42">
      <formula>AND(B$9&gt;=14/24,B$9&lt;20/24)</formula>
    </cfRule>
    <cfRule type="expression" dxfId="1486" priority="43">
      <formula>AND(B$9&gt;=8/24,B$9&lt;14/24)</formula>
    </cfRule>
    <cfRule type="expression" dxfId="1485" priority="44">
      <formula>B$9&lt;8/24</formula>
    </cfRule>
  </conditionalFormatting>
  <conditionalFormatting sqref="B58:AF60">
    <cfRule type="expression" dxfId="1484" priority="37">
      <formula>B$9&gt;=20/24</formula>
    </cfRule>
    <cfRule type="expression" dxfId="1483" priority="38">
      <formula>AND(B$9&gt;=14/24,B$9&lt;20/24)</formula>
    </cfRule>
    <cfRule type="expression" dxfId="1482" priority="39">
      <formula>AND(B$9&gt;=8/24,B$9&lt;14/24)</formula>
    </cfRule>
    <cfRule type="expression" dxfId="1481" priority="49">
      <formula>B$9&lt;8/24</formula>
    </cfRule>
  </conditionalFormatting>
  <conditionalFormatting sqref="D249:AF255">
    <cfRule type="expression" dxfId="1480" priority="119">
      <formula>D$9&gt;=20/24</formula>
    </cfRule>
    <cfRule type="expression" dxfId="1479" priority="120">
      <formula>AND(D$9&gt;=14/24,D$9&lt;20/24)</formula>
    </cfRule>
    <cfRule type="expression" dxfId="1478" priority="121">
      <formula>AND(D$9&gt;=8/24,D$9&lt;14/24)</formula>
    </cfRule>
    <cfRule type="expression" dxfId="1477" priority="122">
      <formula>D$9&lt;8/24</formula>
    </cfRule>
  </conditionalFormatting>
  <conditionalFormatting sqref="E66:I70 G67:L69 J67:J70 M69:M70 F70:L70">
    <cfRule type="expression" dxfId="1476" priority="50">
      <formula>E$9&gt;=20/24</formula>
    </cfRule>
    <cfRule type="expression" dxfId="1475" priority="51">
      <formula>AND(E$9&gt;=14/24,E$9&lt;20/24)</formula>
    </cfRule>
    <cfRule type="expression" dxfId="1474" priority="52">
      <formula>AND(E$9&gt;=8/24,E$9&lt;14/24)</formula>
    </cfRule>
    <cfRule type="expression" dxfId="1473" priority="53">
      <formula>E$9&lt;8/24</formula>
    </cfRule>
  </conditionalFormatting>
  <conditionalFormatting sqref="E71:W71">
    <cfRule type="expression" dxfId="1472" priority="45">
      <formula>E$9&gt;=20/24</formula>
    </cfRule>
    <cfRule type="expression" dxfId="1471" priority="46">
      <formula>AND(E$9&gt;=14/24,E$9&lt;20/24)</formula>
    </cfRule>
    <cfRule type="expression" dxfId="1470" priority="47">
      <formula>AND(E$9&gt;=8/24,E$9&lt;14/24)</formula>
    </cfRule>
    <cfRule type="expression" dxfId="1469" priority="48">
      <formula>E$9&lt;8/24</formula>
    </cfRule>
  </conditionalFormatting>
  <conditionalFormatting sqref="E11:Z11 AA11:AF57">
    <cfRule type="expression" dxfId="1468" priority="55">
      <formula>E$9&gt;=20/24</formula>
    </cfRule>
    <cfRule type="expression" dxfId="1467" priority="56">
      <formula>AND(E$9&gt;=14/24,E$9&lt;20/24)</formula>
    </cfRule>
    <cfRule type="expression" dxfId="1466" priority="57">
      <formula>AND(E$9&gt;=8/24,E$9&lt;14/24)</formula>
    </cfRule>
    <cfRule type="expression" dxfId="1465" priority="58">
      <formula>E$9&lt;8/24</formula>
    </cfRule>
  </conditionalFormatting>
  <conditionalFormatting sqref="E11:Z11">
    <cfRule type="expression" dxfId="1464" priority="54">
      <formula>E11&gt;$AG11</formula>
    </cfRule>
  </conditionalFormatting>
  <conditionalFormatting sqref="E62:AF65">
    <cfRule type="expression" dxfId="1463" priority="60">
      <formula>E$9&gt;=20/24</formula>
    </cfRule>
    <cfRule type="expression" dxfId="1462" priority="61">
      <formula>AND(E$9&gt;=14/24,E$9&lt;20/24)</formula>
    </cfRule>
    <cfRule type="expression" dxfId="1461" priority="62">
      <formula>AND(E$9&gt;=8/24,E$9&lt;14/24)</formula>
    </cfRule>
    <cfRule type="expression" dxfId="1460" priority="63">
      <formula>E$9&lt;8/24</formula>
    </cfRule>
  </conditionalFormatting>
  <conditionalFormatting sqref="F66:L68">
    <cfRule type="expression" dxfId="1459" priority="72">
      <formula>F$9&gt;=20/24</formula>
    </cfRule>
    <cfRule type="expression" dxfId="1458" priority="73">
      <formula>AND(F$9&gt;=14/24,F$9&lt;20/24)</formula>
    </cfRule>
    <cfRule type="expression" dxfId="1457" priority="74">
      <formula>AND(F$9&gt;=8/24,F$9&lt;14/24)</formula>
    </cfRule>
    <cfRule type="expression" dxfId="1456" priority="75">
      <formula>F$9&lt;8/24</formula>
    </cfRule>
  </conditionalFormatting>
  <conditionalFormatting sqref="M8 S8 AB8">
    <cfRule type="expression" dxfId="1455" priority="126">
      <formula>AND(N$9&gt;=14/24,N$9&lt;20/24)</formula>
    </cfRule>
    <cfRule type="expression" dxfId="1454" priority="127">
      <formula>AND(N$9&gt;=8/24,N$9&lt;14/24)</formula>
    </cfRule>
    <cfRule type="expression" dxfId="1453" priority="128">
      <formula>N$9&lt;8/24</formula>
    </cfRule>
  </conditionalFormatting>
  <conditionalFormatting sqref="M66:W70">
    <cfRule type="expression" dxfId="1452" priority="76">
      <formula>M$9&gt;=20/24</formula>
    </cfRule>
    <cfRule type="expression" dxfId="1451" priority="77">
      <formula>AND(M$9&gt;=14/24,M$9&lt;20/24)</formula>
    </cfRule>
    <cfRule type="expression" dxfId="1450" priority="78">
      <formula>AND(M$9&gt;=8/24,M$9&lt;14/24)</formula>
    </cfRule>
    <cfRule type="expression" dxfId="1449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448" priority="125">
      <formula>N$9&gt;=20/24</formula>
    </cfRule>
  </conditionalFormatting>
  <conditionalFormatting sqref="S8">
    <cfRule type="expression" dxfId="1447" priority="112">
      <formula>U$9&gt;=20/24</formula>
    </cfRule>
    <cfRule type="expression" dxfId="1446" priority="113">
      <formula>AND(U$9&gt;=14/24,U$9&lt;20/24)</formula>
    </cfRule>
    <cfRule type="expression" dxfId="1445" priority="114">
      <formula>AND(U$9&gt;=8/24,U$9&lt;14/24)</formula>
    </cfRule>
    <cfRule type="expression" dxfId="1444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X66:AF71">
    <cfRule type="expression" dxfId="1443" priority="64">
      <formula>X$9&gt;=20/24</formula>
    </cfRule>
    <cfRule type="expression" dxfId="1442" priority="65">
      <formula>AND(X$9&gt;=14/24,X$9&lt;20/24)</formula>
    </cfRule>
    <cfRule type="expression" dxfId="1441" priority="66">
      <formula>AND(X$9&gt;=8/24,X$9&lt;14/24)</formula>
    </cfRule>
    <cfRule type="expression" dxfId="1440" priority="67">
      <formula>X$9&lt;8/24</formula>
    </cfRule>
  </conditionalFormatting>
  <conditionalFormatting sqref="AB8">
    <cfRule type="expression" dxfId="1439" priority="108">
      <formula>AD$9&gt;=20/24</formula>
    </cfRule>
    <cfRule type="expression" dxfId="1438" priority="109">
      <formula>AND(AD$9&gt;=14/24,AD$9&lt;20/24)</formula>
    </cfRule>
    <cfRule type="expression" dxfId="1437" priority="110">
      <formula>AND(AD$9&gt;=8/24,AD$9&lt;14/24)</formula>
    </cfRule>
    <cfRule type="expression" dxfId="1436" priority="111">
      <formula>AD$9&lt;8/24</formula>
    </cfRule>
  </conditionalFormatting>
  <conditionalFormatting sqref="AG65">
    <cfRule type="expression" dxfId="1435" priority="87">
      <formula>AG$9&gt;=20/24</formula>
    </cfRule>
    <cfRule type="expression" dxfId="1434" priority="88">
      <formula>AND(AG$9&gt;=14/24,AG$9&lt;20/24)</formula>
    </cfRule>
    <cfRule type="expression" dxfId="1433" priority="89">
      <formula>AND(AG$9&gt;=8/24,AG$9&lt;14/24)</formula>
    </cfRule>
    <cfRule type="expression" dxfId="1432" priority="90">
      <formula>AG$9&lt;8/24</formula>
    </cfRule>
  </conditionalFormatting>
  <conditionalFormatting sqref="AG78:AG79">
    <cfRule type="expression" dxfId="1431" priority="82">
      <formula>AG78&gt;$AG78</formula>
    </cfRule>
  </conditionalFormatting>
  <conditionalFormatting sqref="AG83">
    <cfRule type="expression" dxfId="1430" priority="83">
      <formula>AG$9&gt;=20/24</formula>
    </cfRule>
    <cfRule type="expression" dxfId="1429" priority="84">
      <formula>AND(AG$9&gt;=14/24,AG$9&lt;20/24)</formula>
    </cfRule>
    <cfRule type="expression" dxfId="1428" priority="85">
      <formula>AND(AG$9&gt;=8/24,AG$9&lt;14/24)</formula>
    </cfRule>
    <cfRule type="expression" dxfId="1427" priority="86">
      <formula>AG$9&lt;8/24</formula>
    </cfRule>
  </conditionalFormatting>
  <conditionalFormatting sqref="AG100">
    <cfRule type="expression" dxfId="1426" priority="104">
      <formula>AG$9&gt;=20/24</formula>
    </cfRule>
    <cfRule type="expression" dxfId="1425" priority="105">
      <formula>AND(AG$9&gt;=14/24,AG$9&lt;20/24)</formula>
    </cfRule>
    <cfRule type="expression" dxfId="1424" priority="106">
      <formula>AND(AG$9&gt;=8/24,AG$9&lt;14/24)</formula>
    </cfRule>
    <cfRule type="expression" dxfId="1423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422" priority="129">
      <formula>AJ$9&gt;=20/24</formula>
    </cfRule>
    <cfRule type="expression" dxfId="1421" priority="130">
      <formula>AND(AJ$9&gt;=14/24,AJ$9&lt;20/24)</formula>
    </cfRule>
    <cfRule type="expression" dxfId="1420" priority="131">
      <formula>AND(AJ$9&gt;=8/24,AJ$9&lt;14/24)</formula>
    </cfRule>
    <cfRule type="expression" dxfId="1419" priority="132">
      <formula>AJ$9&lt;8/24</formula>
    </cfRule>
  </conditionalFormatting>
  <conditionalFormatting sqref="AL86:AN86 AL92:AN92">
    <cfRule type="expression" dxfId="1418" priority="97">
      <formula>AL$9&gt;=20/24</formula>
    </cfRule>
    <cfRule type="expression" dxfId="1417" priority="98">
      <formula>AND(AL$9&gt;=14/24,AL$9&lt;20/24)</formula>
    </cfRule>
    <cfRule type="expression" dxfId="1416" priority="99">
      <formula>AND(AL$9&gt;=8/24,AL$9&lt;14/24)</formula>
    </cfRule>
    <cfRule type="expression" dxfId="1415" priority="100">
      <formula>AL$9&lt;8/24</formula>
    </cfRule>
  </conditionalFormatting>
  <conditionalFormatting sqref="AM15:AM21 AN16:AR21">
    <cfRule type="expression" dxfId="1414" priority="13">
      <formula>AX$9&gt;=20/24</formula>
    </cfRule>
    <cfRule type="expression" dxfId="1413" priority="14">
      <formula>AND(AX$9&gt;=14/24,AX$9&lt;20/24)</formula>
    </cfRule>
    <cfRule type="expression" dxfId="1412" priority="15">
      <formula>AND(AX$9&gt;=8/24,AX$9&lt;14/24)</formula>
    </cfRule>
    <cfRule type="expression" dxfId="1411" priority="16">
      <formula>AX$9&lt;8/24</formula>
    </cfRule>
  </conditionalFormatting>
  <conditionalFormatting sqref="AN87:AN90">
    <cfRule type="expression" dxfId="1410" priority="93">
      <formula>AN$9&gt;=20/24</formula>
    </cfRule>
    <cfRule type="expression" dxfId="1409" priority="94">
      <formula>AND(AN$9&gt;=14/24,AN$9&lt;20/24)</formula>
    </cfRule>
    <cfRule type="expression" dxfId="1408" priority="95">
      <formula>AND(AN$9&gt;=8/24,AN$9&lt;14/24)</formula>
    </cfRule>
    <cfRule type="expression" dxfId="1407" priority="96">
      <formula>AN$9&lt;8/24</formula>
    </cfRule>
  </conditionalFormatting>
  <conditionalFormatting sqref="AN15:AR15">
    <cfRule type="expression" dxfId="1406" priority="1">
      <formula>U$9&gt;=20/24</formula>
    </cfRule>
    <cfRule type="expression" dxfId="1405" priority="2">
      <formula>AND(U$9&gt;=14/24,U$9&lt;20/24)</formula>
    </cfRule>
    <cfRule type="expression" dxfId="1404" priority="3">
      <formula>AND(U$9&gt;=8/24,U$9&lt;14/24)</formula>
    </cfRule>
    <cfRule type="expression" dxfId="1403" priority="4">
      <formula>U$9&lt;8/24</formula>
    </cfRule>
  </conditionalFormatting>
  <conditionalFormatting sqref="AS15">
    <cfRule type="expression" dxfId="1402" priority="9">
      <formula>AA$9&gt;=20/24</formula>
    </cfRule>
    <cfRule type="expression" dxfId="1401" priority="10">
      <formula>AND(AA$9&gt;=14/24,AA$9&lt;20/24)</formula>
    </cfRule>
    <cfRule type="expression" dxfId="1400" priority="11">
      <formula>AND(AA$9&gt;=8/24,AA$9&lt;14/24)</formula>
    </cfRule>
    <cfRule type="expression" dxfId="1399" priority="12">
      <formula>AA$9&lt;8/24</formula>
    </cfRule>
  </conditionalFormatting>
  <conditionalFormatting sqref="AS16:AS21">
    <cfRule type="expression" dxfId="1398" priority="17">
      <formula>BE$9&gt;=20/24</formula>
    </cfRule>
    <cfRule type="expression" dxfId="1397" priority="18">
      <formula>AND(BE$9&gt;=14/24,BE$9&lt;20/24)</formula>
    </cfRule>
    <cfRule type="expression" dxfId="1396" priority="19">
      <formula>AND(BE$9&gt;=8/24,BE$9&lt;14/24)</formula>
    </cfRule>
    <cfRule type="expression" dxfId="1395" priority="20">
      <formula>BE$9&lt;8/24</formula>
    </cfRule>
  </conditionalFormatting>
  <conditionalFormatting sqref="AT15 AX15:BJ15">
    <cfRule type="expression" dxfId="1394" priority="21">
      <formula>AC$9&gt;=20/24</formula>
    </cfRule>
    <cfRule type="expression" dxfId="1393" priority="22">
      <formula>AND(AC$9&gt;=14/24,AC$9&lt;20/24)</formula>
    </cfRule>
    <cfRule type="expression" dxfId="1392" priority="23">
      <formula>AND(AC$9&gt;=8/24,AC$9&lt;14/24)</formula>
    </cfRule>
    <cfRule type="expression" dxfId="1391" priority="24">
      <formula>AC$9&lt;8/24</formula>
    </cfRule>
  </conditionalFormatting>
  <conditionalFormatting sqref="AT16:AT21">
    <cfRule type="expression" dxfId="1390" priority="25">
      <formula>BG$9&gt;=20/24</formula>
    </cfRule>
    <cfRule type="expression" dxfId="1389" priority="26">
      <formula>AND(BG$9&gt;=14/24,BG$9&lt;20/24)</formula>
    </cfRule>
    <cfRule type="expression" dxfId="1388" priority="27">
      <formula>AND(BG$9&gt;=8/24,BG$9&lt;14/24)</formula>
    </cfRule>
    <cfRule type="expression" dxfId="1387" priority="28">
      <formula>BG$9&lt;8/24</formula>
    </cfRule>
  </conditionalFormatting>
  <conditionalFormatting sqref="AU15:AV15">
    <cfRule type="expression" dxfId="1386" priority="29">
      <formula>AE$9&gt;=20/24</formula>
    </cfRule>
    <cfRule type="expression" dxfId="1385" priority="30">
      <formula>AND(AE$9&gt;=14/24,AE$9&lt;20/24)</formula>
    </cfRule>
    <cfRule type="expression" dxfId="1384" priority="31">
      <formula>AND(AE$9&gt;=8/24,AE$9&lt;14/24)</formula>
    </cfRule>
    <cfRule type="expression" dxfId="1383" priority="32">
      <formula>AE$9&lt;8/24</formula>
    </cfRule>
  </conditionalFormatting>
  <conditionalFormatting sqref="AU16:BJ21">
    <cfRule type="expression" dxfId="1382" priority="33">
      <formula>BI$9&gt;=20/24</formula>
    </cfRule>
    <cfRule type="expression" dxfId="1381" priority="34">
      <formula>AND(BI$9&gt;=14/24,BI$9&lt;20/24)</formula>
    </cfRule>
    <cfRule type="expression" dxfId="1380" priority="35">
      <formula>AND(BI$9&gt;=8/24,BI$9&lt;14/24)</formula>
    </cfRule>
    <cfRule type="expression" dxfId="1379" priority="36">
      <formula>BI$9&lt;8/24</formula>
    </cfRule>
  </conditionalFormatting>
  <conditionalFormatting sqref="AW15">
    <cfRule type="expression" dxfId="1378" priority="5">
      <formula>B$9&gt;=20/24</formula>
    </cfRule>
    <cfRule type="expression" dxfId="1377" priority="6">
      <formula>AND(B$9&gt;=14/24,B$9&lt;20/24)</formula>
    </cfRule>
    <cfRule type="expression" dxfId="1376" priority="7">
      <formula>AND(B$9&gt;=8/24,B$9&lt;14/24)</formula>
    </cfRule>
    <cfRule type="expression" dxfId="1375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D29C-5863-4A7B-812C-7220DD273DB8}">
  <sheetPr codeName="Sheet26"/>
  <dimension ref="A1:CJ297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W91" sqref="W9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2080/10/25</v>
      </c>
      <c r="C4" s="187"/>
      <c r="D4" s="187"/>
      <c r="E4" s="188" t="str">
        <f ca="1">"2080/"&amp;"10/"&amp;INT(MID(CELL("filename",G6),FIND("]",CELL("filename",G6))+1,200))</f>
        <v>2080/10/25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66</v>
      </c>
      <c r="C5" s="30">
        <f t="shared" si="0"/>
        <v>65</v>
      </c>
      <c r="D5" s="30">
        <f t="shared" si="0"/>
        <v>65.7</v>
      </c>
      <c r="E5" s="30">
        <f t="shared" si="0"/>
        <v>64</v>
      </c>
      <c r="F5" s="30">
        <f t="shared" si="0"/>
        <v>76.800000000000011</v>
      </c>
      <c r="G5" s="30">
        <f t="shared" si="0"/>
        <v>62.400000000000006</v>
      </c>
      <c r="H5" s="30">
        <f t="shared" si="0"/>
        <v>61.6</v>
      </c>
      <c r="I5" s="30">
        <f t="shared" si="0"/>
        <v>185.10000000000002</v>
      </c>
      <c r="J5" s="30">
        <f t="shared" si="0"/>
        <v>226.3</v>
      </c>
      <c r="K5" s="30">
        <f t="shared" si="0"/>
        <v>223</v>
      </c>
      <c r="L5" s="30">
        <f t="shared" si="0"/>
        <v>410.1</v>
      </c>
      <c r="M5" s="30">
        <f t="shared" si="0"/>
        <v>242</v>
      </c>
      <c r="N5" s="30">
        <f t="shared" si="0"/>
        <v>251.39999999999998</v>
      </c>
      <c r="O5" s="30">
        <f t="shared" si="0"/>
        <v>573.9</v>
      </c>
      <c r="P5" s="30">
        <f t="shared" si="0"/>
        <v>593.80000000000007</v>
      </c>
      <c r="Q5" s="30">
        <f t="shared" si="0"/>
        <v>598.20000000000005</v>
      </c>
      <c r="R5" s="30">
        <f t="shared" si="0"/>
        <v>596.80000000000007</v>
      </c>
      <c r="S5" s="30">
        <f t="shared" si="0"/>
        <v>496</v>
      </c>
      <c r="T5" s="30">
        <f t="shared" si="0"/>
        <v>428</v>
      </c>
      <c r="U5" s="30">
        <f t="shared" si="0"/>
        <v>238</v>
      </c>
      <c r="V5" s="30">
        <f t="shared" si="0"/>
        <v>254.1</v>
      </c>
      <c r="W5" s="30">
        <f t="shared" si="0"/>
        <v>220.4</v>
      </c>
      <c r="X5" s="30">
        <f t="shared" si="0"/>
        <v>73</v>
      </c>
      <c r="Y5" s="30">
        <f t="shared" si="0"/>
        <v>68.400000000000006</v>
      </c>
      <c r="Z5" s="30">
        <f t="shared" si="0"/>
        <v>75.2</v>
      </c>
      <c r="AA5" s="30">
        <f t="shared" si="0"/>
        <v>73.599999999999994</v>
      </c>
      <c r="AB5" s="30">
        <f t="shared" si="0"/>
        <v>64.3</v>
      </c>
      <c r="AC5" s="30">
        <f t="shared" si="0"/>
        <v>63.6</v>
      </c>
      <c r="AD5" s="30">
        <f t="shared" si="0"/>
        <v>77</v>
      </c>
      <c r="AE5" s="30">
        <f t="shared" si="0"/>
        <v>75.900000000000006</v>
      </c>
      <c r="AF5" s="30">
        <f>B95</f>
        <v>59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1916MW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Load=1518</v>
      </c>
      <c r="B7" s="35">
        <f t="shared" ref="B7:AF7" si="1">B103</f>
        <v>1792.04</v>
      </c>
      <c r="C7" s="35">
        <f t="shared" si="1"/>
        <v>1751.44</v>
      </c>
      <c r="D7" s="35">
        <f t="shared" si="1"/>
        <v>1735.44</v>
      </c>
      <c r="E7" s="35">
        <f t="shared" si="1"/>
        <v>1676.3</v>
      </c>
      <c r="F7" s="35">
        <f t="shared" si="1"/>
        <v>1665</v>
      </c>
      <c r="G7" s="35">
        <f t="shared" si="1"/>
        <v>1671.8999999999999</v>
      </c>
      <c r="H7" s="35">
        <f t="shared" si="1"/>
        <v>1599.3</v>
      </c>
      <c r="I7" s="35">
        <f t="shared" si="1"/>
        <v>1650.7999999999997</v>
      </c>
      <c r="J7" s="35">
        <f t="shared" si="1"/>
        <v>1518.33</v>
      </c>
      <c r="K7" s="35">
        <f t="shared" si="1"/>
        <v>1638.0399999999997</v>
      </c>
      <c r="L7" s="35">
        <f t="shared" si="1"/>
        <v>1711.04</v>
      </c>
      <c r="M7" s="35">
        <f t="shared" si="1"/>
        <v>1737.7400000000002</v>
      </c>
      <c r="N7" s="35">
        <f t="shared" si="1"/>
        <v>1789.1100000000001</v>
      </c>
      <c r="O7" s="35">
        <f t="shared" si="1"/>
        <v>1852.9099999999999</v>
      </c>
      <c r="P7" s="35">
        <f t="shared" si="1"/>
        <v>1897.9100000000003</v>
      </c>
      <c r="Q7" s="35">
        <f t="shared" si="1"/>
        <v>1887.94</v>
      </c>
      <c r="R7" s="35">
        <f t="shared" si="1"/>
        <v>1905.14</v>
      </c>
      <c r="S7" s="35">
        <f t="shared" si="1"/>
        <v>1883.94</v>
      </c>
      <c r="T7" s="35">
        <f t="shared" si="1"/>
        <v>1868.8400000000001</v>
      </c>
      <c r="U7" s="35">
        <f t="shared" si="1"/>
        <v>1837.8400000000001</v>
      </c>
      <c r="V7" s="35">
        <f t="shared" si="1"/>
        <v>1773.7400000000002</v>
      </c>
      <c r="W7" s="35">
        <f t="shared" si="1"/>
        <v>1758.04</v>
      </c>
      <c r="X7" s="35">
        <f t="shared" si="1"/>
        <v>1655.3400000000001</v>
      </c>
      <c r="Y7" s="35">
        <f t="shared" si="1"/>
        <v>1741.5</v>
      </c>
      <c r="Z7" s="35">
        <f t="shared" si="1"/>
        <v>1864.9</v>
      </c>
      <c r="AA7" s="35">
        <f t="shared" si="1"/>
        <v>1946.7</v>
      </c>
      <c r="AB7" s="35">
        <f t="shared" si="1"/>
        <v>1926</v>
      </c>
      <c r="AC7" s="35">
        <f t="shared" si="1"/>
        <v>1925.2000000000003</v>
      </c>
      <c r="AD7" s="35">
        <f t="shared" si="1"/>
        <v>1929.6999999999998</v>
      </c>
      <c r="AE7" s="35">
        <f t="shared" si="1"/>
        <v>1924.1</v>
      </c>
      <c r="AF7" s="35">
        <f t="shared" si="1"/>
        <v>1926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2039.5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1929.7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</v>
      </c>
      <c r="C11" s="46">
        <v>25</v>
      </c>
      <c r="D11" s="46">
        <v>25</v>
      </c>
      <c r="E11" s="46">
        <v>21.4</v>
      </c>
      <c r="F11" s="46">
        <v>20.8</v>
      </c>
      <c r="G11" s="46">
        <v>21.4</v>
      </c>
      <c r="H11" s="46">
        <v>22.5</v>
      </c>
      <c r="I11" s="46">
        <v>22.5</v>
      </c>
      <c r="J11" s="46">
        <v>22.5</v>
      </c>
      <c r="K11" s="46">
        <v>22.5</v>
      </c>
      <c r="L11" s="46">
        <v>22.5</v>
      </c>
      <c r="M11" s="46">
        <v>22.3</v>
      </c>
      <c r="N11" s="46">
        <v>19.399999999999999</v>
      </c>
      <c r="O11" s="46">
        <v>26</v>
      </c>
      <c r="P11" s="46">
        <v>26.6</v>
      </c>
      <c r="Q11" s="46">
        <v>26.6</v>
      </c>
      <c r="R11" s="46">
        <v>25</v>
      </c>
      <c r="S11" s="46">
        <v>25</v>
      </c>
      <c r="T11" s="46">
        <v>25</v>
      </c>
      <c r="U11" s="46">
        <v>25</v>
      </c>
      <c r="V11" s="46">
        <v>25</v>
      </c>
      <c r="W11" s="46">
        <v>25</v>
      </c>
      <c r="X11" s="46">
        <v>25</v>
      </c>
      <c r="Y11" s="46">
        <v>25</v>
      </c>
      <c r="Z11" s="46">
        <v>25</v>
      </c>
      <c r="AA11" s="46">
        <v>25</v>
      </c>
      <c r="AB11" s="46">
        <v>25</v>
      </c>
      <c r="AC11" s="46">
        <v>25</v>
      </c>
      <c r="AD11" s="46">
        <v>25</v>
      </c>
      <c r="AE11" s="46">
        <v>25</v>
      </c>
      <c r="AF11" s="46">
        <v>25</v>
      </c>
      <c r="AG11" s="47">
        <v>86</v>
      </c>
      <c r="AH11" s="48">
        <f t="shared" ref="AH11:AH74" si="2">MAX(B11:AF11)</f>
        <v>26.6</v>
      </c>
      <c r="AI11" s="49">
        <f t="shared" ref="AI11:AI74" si="3">MIN(B11:AF11)</f>
        <v>19.399999999999999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28</v>
      </c>
      <c r="C12" s="46">
        <v>28</v>
      </c>
      <c r="D12" s="46">
        <v>28</v>
      </c>
      <c r="E12" s="46">
        <v>28</v>
      </c>
      <c r="F12" s="46">
        <v>28</v>
      </c>
      <c r="G12" s="46">
        <v>28</v>
      </c>
      <c r="H12" s="46">
        <v>28</v>
      </c>
      <c r="I12" s="46">
        <v>28</v>
      </c>
      <c r="J12" s="46">
        <v>22.69</v>
      </c>
      <c r="K12" s="46">
        <v>22.8</v>
      </c>
      <c r="L12" s="46">
        <v>22.8</v>
      </c>
      <c r="M12" s="46">
        <v>22.8</v>
      </c>
      <c r="N12" s="46">
        <v>22.8</v>
      </c>
      <c r="O12" s="46">
        <v>22.8</v>
      </c>
      <c r="P12" s="46">
        <v>22.8</v>
      </c>
      <c r="Q12" s="46">
        <v>22.8</v>
      </c>
      <c r="R12" s="46">
        <v>22.8</v>
      </c>
      <c r="S12" s="46">
        <v>22.8</v>
      </c>
      <c r="T12" s="46">
        <v>22.8</v>
      </c>
      <c r="U12" s="46">
        <v>22.8</v>
      </c>
      <c r="V12" s="46">
        <v>22.8</v>
      </c>
      <c r="W12" s="46">
        <v>22.8</v>
      </c>
      <c r="X12" s="46">
        <v>22.8</v>
      </c>
      <c r="Y12" s="46">
        <v>22.8</v>
      </c>
      <c r="Z12" s="46">
        <v>22.8</v>
      </c>
      <c r="AA12" s="46">
        <v>22.8</v>
      </c>
      <c r="AB12" s="46">
        <v>22.8</v>
      </c>
      <c r="AC12" s="46">
        <v>22.8</v>
      </c>
      <c r="AD12" s="46">
        <v>22.8</v>
      </c>
      <c r="AE12" s="46">
        <v>22.8</v>
      </c>
      <c r="AF12" s="46">
        <v>22.8</v>
      </c>
      <c r="AG12" s="50">
        <v>77</v>
      </c>
      <c r="AH12" s="48">
        <f t="shared" si="2"/>
        <v>28</v>
      </c>
      <c r="AI12" s="49">
        <f t="shared" si="3"/>
        <v>22.69</v>
      </c>
      <c r="AK12" s="51"/>
      <c r="AL12" s="52" t="str">
        <f ca="1">MID(CELL("filename",C7),FIND("]",CELL("filename",C7))+1,600)</f>
        <v>25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70.2</v>
      </c>
      <c r="C13" s="46">
        <v>70.2</v>
      </c>
      <c r="D13" s="46">
        <v>70.2</v>
      </c>
      <c r="E13" s="46">
        <v>70.2</v>
      </c>
      <c r="F13" s="46">
        <v>70.2</v>
      </c>
      <c r="G13" s="46">
        <v>70.3</v>
      </c>
      <c r="H13" s="46">
        <v>70.3</v>
      </c>
      <c r="I13" s="46">
        <v>70.3</v>
      </c>
      <c r="J13" s="46">
        <v>69.3</v>
      </c>
      <c r="K13" s="46">
        <v>69.599999999999994</v>
      </c>
      <c r="L13" s="46">
        <v>69.599999999999994</v>
      </c>
      <c r="M13" s="46">
        <v>69.599999999999994</v>
      </c>
      <c r="N13" s="46">
        <v>69.599999999999994</v>
      </c>
      <c r="O13" s="46">
        <v>69.599999999999994</v>
      </c>
      <c r="P13" s="46">
        <v>69.599999999999994</v>
      </c>
      <c r="Q13" s="46">
        <v>69.599999999999994</v>
      </c>
      <c r="R13" s="46">
        <v>70.099999999999994</v>
      </c>
      <c r="S13" s="46">
        <v>70.099999999999994</v>
      </c>
      <c r="T13" s="46">
        <v>70.099999999999994</v>
      </c>
      <c r="U13" s="46">
        <v>70.099999999999994</v>
      </c>
      <c r="V13" s="46">
        <v>70.099999999999994</v>
      </c>
      <c r="W13" s="46">
        <v>70.099999999999994</v>
      </c>
      <c r="X13" s="46">
        <v>70.099999999999994</v>
      </c>
      <c r="Y13" s="46">
        <v>70.099999999999994</v>
      </c>
      <c r="Z13" s="46">
        <v>70.099999999999994</v>
      </c>
      <c r="AA13" s="46">
        <v>70.099999999999994</v>
      </c>
      <c r="AB13" s="46">
        <v>70.099999999999994</v>
      </c>
      <c r="AC13" s="46">
        <v>70.099999999999994</v>
      </c>
      <c r="AD13" s="46">
        <v>70.099999999999994</v>
      </c>
      <c r="AE13" s="46">
        <v>70.099999999999994</v>
      </c>
      <c r="AF13" s="46">
        <v>70.099999999999994</v>
      </c>
      <c r="AG13" s="50">
        <v>73</v>
      </c>
      <c r="AH13" s="48">
        <f t="shared" si="2"/>
        <v>70.3</v>
      </c>
      <c r="AI13" s="49">
        <f t="shared" si="3"/>
        <v>69.3</v>
      </c>
      <c r="AK13" s="51"/>
      <c r="AL13" s="52" t="str">
        <f ca="1">"Daily Load Curve(Excluding of Export) of Nepal ("&amp;A4&amp;" "&amp;B4&amp;")"</f>
        <v>Daily Load Curve(Excluding of Export) of Nepal (Nepali Date: 2080/10/25)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40.6</v>
      </c>
      <c r="C14" s="46">
        <v>40.6</v>
      </c>
      <c r="D14" s="46">
        <v>40.6</v>
      </c>
      <c r="E14" s="46">
        <v>40</v>
      </c>
      <c r="F14" s="46">
        <v>40</v>
      </c>
      <c r="G14" s="46">
        <v>40</v>
      </c>
      <c r="H14" s="46">
        <v>40</v>
      </c>
      <c r="I14" s="46">
        <v>40</v>
      </c>
      <c r="J14" s="46">
        <v>35.4</v>
      </c>
      <c r="K14" s="46">
        <v>35.4</v>
      </c>
      <c r="L14" s="46">
        <v>35.4</v>
      </c>
      <c r="M14" s="46">
        <v>35.4</v>
      </c>
      <c r="N14" s="46">
        <v>35.4</v>
      </c>
      <c r="O14" s="46">
        <v>35.4</v>
      </c>
      <c r="P14" s="46">
        <v>35.4</v>
      </c>
      <c r="Q14" s="46">
        <v>35.4</v>
      </c>
      <c r="R14" s="46">
        <v>35.200000000000003</v>
      </c>
      <c r="S14" s="46">
        <v>35.200000000000003</v>
      </c>
      <c r="T14" s="46">
        <v>35.200000000000003</v>
      </c>
      <c r="U14" s="46">
        <v>35.200000000000003</v>
      </c>
      <c r="V14" s="46">
        <v>35.200000000000003</v>
      </c>
      <c r="W14" s="46">
        <v>35.200000000000003</v>
      </c>
      <c r="X14" s="46">
        <v>35.200000000000003</v>
      </c>
      <c r="Y14" s="46">
        <v>35.200000000000003</v>
      </c>
      <c r="Z14" s="46">
        <v>35.200000000000003</v>
      </c>
      <c r="AA14" s="46">
        <v>35.200000000000003</v>
      </c>
      <c r="AB14" s="46">
        <v>35.200000000000003</v>
      </c>
      <c r="AC14" s="46">
        <v>35.200000000000003</v>
      </c>
      <c r="AD14" s="46">
        <v>35.200000000000003</v>
      </c>
      <c r="AE14" s="46">
        <v>35.200000000000003</v>
      </c>
      <c r="AF14" s="46">
        <v>35.200000000000003</v>
      </c>
      <c r="AG14" s="50">
        <v>71</v>
      </c>
      <c r="AH14" s="48">
        <f t="shared" si="2"/>
        <v>40.6</v>
      </c>
      <c r="AI14" s="49">
        <f t="shared" si="3"/>
        <v>35.200000000000003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16.5</v>
      </c>
      <c r="C15" s="46">
        <v>16.5</v>
      </c>
      <c r="D15" s="46">
        <v>16.5</v>
      </c>
      <c r="E15" s="46">
        <v>16.600000000000001</v>
      </c>
      <c r="F15" s="46">
        <v>16.600000000000001</v>
      </c>
      <c r="G15" s="46">
        <v>16.600000000000001</v>
      </c>
      <c r="H15" s="46">
        <v>16.600000000000001</v>
      </c>
      <c r="I15" s="46">
        <v>16.600000000000001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14</v>
      </c>
      <c r="AA15" s="46">
        <v>14</v>
      </c>
      <c r="AB15" s="46">
        <v>14</v>
      </c>
      <c r="AC15" s="46">
        <v>14</v>
      </c>
      <c r="AD15" s="46">
        <v>14</v>
      </c>
      <c r="AE15" s="46">
        <v>14</v>
      </c>
      <c r="AF15" s="46">
        <v>14</v>
      </c>
      <c r="AG15" s="50">
        <v>54</v>
      </c>
      <c r="AH15" s="48">
        <f t="shared" si="2"/>
        <v>16.600000000000001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26.9</v>
      </c>
      <c r="E16" s="46">
        <v>24.4</v>
      </c>
      <c r="F16" s="46">
        <v>24.4</v>
      </c>
      <c r="G16" s="46">
        <v>24.4</v>
      </c>
      <c r="H16" s="46">
        <v>24.4</v>
      </c>
      <c r="I16" s="46">
        <v>24.4</v>
      </c>
      <c r="J16" s="46">
        <v>23</v>
      </c>
      <c r="K16" s="46">
        <v>23</v>
      </c>
      <c r="L16" s="46">
        <v>23</v>
      </c>
      <c r="M16" s="46">
        <v>23</v>
      </c>
      <c r="N16" s="46">
        <v>23</v>
      </c>
      <c r="O16" s="46">
        <v>23</v>
      </c>
      <c r="P16" s="46">
        <v>23</v>
      </c>
      <c r="Q16" s="46">
        <v>23</v>
      </c>
      <c r="R16" s="46">
        <v>19.8</v>
      </c>
      <c r="S16" s="46">
        <v>19.8</v>
      </c>
      <c r="T16" s="46">
        <v>19.8</v>
      </c>
      <c r="U16" s="46">
        <v>19.8</v>
      </c>
      <c r="V16" s="46">
        <v>19.8</v>
      </c>
      <c r="W16" s="46">
        <v>19.8</v>
      </c>
      <c r="X16" s="46">
        <v>19.8</v>
      </c>
      <c r="Y16" s="46">
        <v>19.8</v>
      </c>
      <c r="Z16" s="46">
        <v>19.8</v>
      </c>
      <c r="AA16" s="46">
        <v>19.8</v>
      </c>
      <c r="AB16" s="46">
        <v>19.8</v>
      </c>
      <c r="AC16" s="46">
        <v>19.8</v>
      </c>
      <c r="AD16" s="46">
        <v>19.8</v>
      </c>
      <c r="AE16" s="46">
        <v>19.8</v>
      </c>
      <c r="AF16" s="46">
        <v>19.8</v>
      </c>
      <c r="AG16" s="50">
        <v>54</v>
      </c>
      <c r="AH16" s="48">
        <f t="shared" si="2"/>
        <v>26.9</v>
      </c>
      <c r="AI16" s="49">
        <f t="shared" si="3"/>
        <v>19.8</v>
      </c>
      <c r="AK16" s="51"/>
      <c r="AL16" s="54" t="s">
        <v>7</v>
      </c>
      <c r="AM16" s="59">
        <f t="shared" ref="AM16:AR16" si="4">B61</f>
        <v>772.00000000000011</v>
      </c>
      <c r="AN16" s="59">
        <f t="shared" si="4"/>
        <v>772.00000000000011</v>
      </c>
      <c r="AO16" s="59">
        <f t="shared" si="4"/>
        <v>772.00000000000011</v>
      </c>
      <c r="AP16" s="59">
        <f t="shared" si="4"/>
        <v>778.3599999999999</v>
      </c>
      <c r="AQ16" s="59">
        <f t="shared" si="4"/>
        <v>777.76</v>
      </c>
      <c r="AR16" s="59">
        <f t="shared" si="4"/>
        <v>778.45999999999992</v>
      </c>
      <c r="AS16" s="59">
        <f>I61</f>
        <v>779.56</v>
      </c>
      <c r="AT16" s="59">
        <f>K61</f>
        <v>734</v>
      </c>
      <c r="AU16" s="59">
        <f t="shared" ref="AU16:BD16" si="5">M61</f>
        <v>753.80000000000007</v>
      </c>
      <c r="AV16" s="59">
        <f t="shared" si="5"/>
        <v>750.9</v>
      </c>
      <c r="AW16" s="59">
        <f t="shared" si="5"/>
        <v>757.5</v>
      </c>
      <c r="AX16" s="59">
        <f t="shared" si="5"/>
        <v>758.1</v>
      </c>
      <c r="AY16" s="59">
        <f t="shared" si="5"/>
        <v>758.1</v>
      </c>
      <c r="AZ16" s="59">
        <f t="shared" si="5"/>
        <v>734.2</v>
      </c>
      <c r="BA16" s="59">
        <f t="shared" si="5"/>
        <v>734.2</v>
      </c>
      <c r="BB16" s="59">
        <f t="shared" si="5"/>
        <v>734.2</v>
      </c>
      <c r="BC16" s="59">
        <f t="shared" si="5"/>
        <v>734.2</v>
      </c>
      <c r="BD16" s="59">
        <f t="shared" si="5"/>
        <v>734.2</v>
      </c>
      <c r="BE16" s="60">
        <f>X61</f>
        <v>734.2</v>
      </c>
      <c r="BF16" s="60">
        <f>Z61</f>
        <v>734.2</v>
      </c>
      <c r="BG16" s="60">
        <f>AB61</f>
        <v>734.2</v>
      </c>
      <c r="BH16" s="60">
        <f>AD61</f>
        <v>734.2</v>
      </c>
      <c r="BI16" s="60">
        <f>AE61</f>
        <v>734.2</v>
      </c>
      <c r="BJ16" s="60">
        <f>AF61</f>
        <v>734.2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19.600000000000001</v>
      </c>
      <c r="C17" s="46">
        <v>19.600000000000001</v>
      </c>
      <c r="D17" s="46">
        <v>19.600000000000001</v>
      </c>
      <c r="E17" s="46">
        <v>21.96</v>
      </c>
      <c r="F17" s="46">
        <v>21.96</v>
      </c>
      <c r="G17" s="46">
        <v>21.96</v>
      </c>
      <c r="H17" s="46">
        <v>21.96</v>
      </c>
      <c r="I17" s="46">
        <v>21.96</v>
      </c>
      <c r="J17" s="46">
        <v>22</v>
      </c>
      <c r="K17" s="46">
        <v>22</v>
      </c>
      <c r="L17" s="46">
        <v>22</v>
      </c>
      <c r="M17" s="46">
        <v>22</v>
      </c>
      <c r="N17" s="46">
        <v>22</v>
      </c>
      <c r="O17" s="46">
        <v>22</v>
      </c>
      <c r="P17" s="46">
        <v>22</v>
      </c>
      <c r="Q17" s="46">
        <v>22</v>
      </c>
      <c r="R17" s="46">
        <v>19.100000000000001</v>
      </c>
      <c r="S17" s="46">
        <v>19.100000000000001</v>
      </c>
      <c r="T17" s="46">
        <v>19.100000000000001</v>
      </c>
      <c r="U17" s="46">
        <v>19.100000000000001</v>
      </c>
      <c r="V17" s="46">
        <v>19.100000000000001</v>
      </c>
      <c r="W17" s="46">
        <v>19.100000000000001</v>
      </c>
      <c r="X17" s="46">
        <v>19.100000000000001</v>
      </c>
      <c r="Y17" s="46">
        <v>19.100000000000001</v>
      </c>
      <c r="Z17" s="46">
        <v>19.100000000000001</v>
      </c>
      <c r="AA17" s="46">
        <v>19.100000000000001</v>
      </c>
      <c r="AB17" s="46">
        <v>19.100000000000001</v>
      </c>
      <c r="AC17" s="46">
        <v>19.100000000000001</v>
      </c>
      <c r="AD17" s="46">
        <v>19.100000000000001</v>
      </c>
      <c r="AE17" s="46">
        <v>19.100000000000001</v>
      </c>
      <c r="AF17" s="46">
        <v>19.100000000000001</v>
      </c>
      <c r="AG17" s="47">
        <v>52.4</v>
      </c>
      <c r="AH17" s="48">
        <f t="shared" si="2"/>
        <v>22</v>
      </c>
      <c r="AI17" s="49">
        <f t="shared" si="3"/>
        <v>19.100000000000001</v>
      </c>
      <c r="AK17" s="51"/>
      <c r="AL17" s="54" t="s">
        <v>27</v>
      </c>
      <c r="AM17" s="59">
        <f t="shared" ref="AM17:AR17" si="6">B65</f>
        <v>366.6</v>
      </c>
      <c r="AN17" s="59">
        <f t="shared" si="6"/>
        <v>337.6</v>
      </c>
      <c r="AO17" s="59">
        <f t="shared" si="6"/>
        <v>337.6</v>
      </c>
      <c r="AP17" s="59">
        <f t="shared" si="6"/>
        <v>318.60000000000002</v>
      </c>
      <c r="AQ17" s="59">
        <f t="shared" si="6"/>
        <v>313.60000000000002</v>
      </c>
      <c r="AR17" s="59">
        <f t="shared" si="6"/>
        <v>313.60000000000002</v>
      </c>
      <c r="AS17" s="59">
        <f>I65</f>
        <v>389.6</v>
      </c>
      <c r="AT17" s="59">
        <f>K65</f>
        <v>421.6</v>
      </c>
      <c r="AU17" s="59">
        <f t="shared" ref="AU17:BD17" si="7">M65</f>
        <v>216.6</v>
      </c>
      <c r="AV17" s="59">
        <f t="shared" si="7"/>
        <v>517.6</v>
      </c>
      <c r="AW17" s="59">
        <f t="shared" si="7"/>
        <v>535.4</v>
      </c>
      <c r="AX17" s="59">
        <f t="shared" si="7"/>
        <v>137.6</v>
      </c>
      <c r="AY17" s="59">
        <f t="shared" si="7"/>
        <v>107.6</v>
      </c>
      <c r="AZ17" s="59">
        <f t="shared" si="7"/>
        <v>140.30000000000001</v>
      </c>
      <c r="BA17" s="59">
        <f t="shared" si="7"/>
        <v>143.6</v>
      </c>
      <c r="BB17" s="59">
        <f t="shared" si="7"/>
        <v>213.6</v>
      </c>
      <c r="BC17" s="59">
        <f t="shared" si="7"/>
        <v>250.6</v>
      </c>
      <c r="BD17" s="59">
        <f t="shared" si="7"/>
        <v>400.6</v>
      </c>
      <c r="BE17" s="60">
        <f>X65</f>
        <v>325.60000000000002</v>
      </c>
      <c r="BF17" s="60">
        <f>Z65</f>
        <v>509.6</v>
      </c>
      <c r="BG17" s="60">
        <f>AB65</f>
        <v>509.6</v>
      </c>
      <c r="BH17" s="60">
        <f>AD65</f>
        <v>509.6</v>
      </c>
      <c r="BI17" s="60">
        <f>AE65</f>
        <v>509.6</v>
      </c>
      <c r="BJ17" s="60">
        <f>AF65</f>
        <v>509.6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50.2</v>
      </c>
      <c r="F18" s="46">
        <v>50.2</v>
      </c>
      <c r="G18" s="46">
        <v>50.2</v>
      </c>
      <c r="H18" s="46">
        <v>50.2</v>
      </c>
      <c r="I18" s="46">
        <v>50.2</v>
      </c>
      <c r="J18" s="46">
        <v>50.4</v>
      </c>
      <c r="K18" s="46">
        <v>50.4</v>
      </c>
      <c r="L18" s="46">
        <v>50.4</v>
      </c>
      <c r="M18" s="46">
        <v>50.4</v>
      </c>
      <c r="N18" s="46">
        <v>50.4</v>
      </c>
      <c r="O18" s="46">
        <v>50.4</v>
      </c>
      <c r="P18" s="46">
        <v>50.4</v>
      </c>
      <c r="Q18" s="46">
        <v>50.4</v>
      </c>
      <c r="R18" s="46">
        <v>50.3</v>
      </c>
      <c r="S18" s="46">
        <v>50.3</v>
      </c>
      <c r="T18" s="46">
        <v>50.3</v>
      </c>
      <c r="U18" s="46">
        <v>50.3</v>
      </c>
      <c r="V18" s="46">
        <v>50.3</v>
      </c>
      <c r="W18" s="46">
        <v>50.3</v>
      </c>
      <c r="X18" s="46">
        <v>50.3</v>
      </c>
      <c r="Y18" s="46">
        <v>50.3</v>
      </c>
      <c r="Z18" s="46">
        <v>50.3</v>
      </c>
      <c r="AA18" s="53">
        <v>50.3</v>
      </c>
      <c r="AB18" s="53">
        <v>50.3</v>
      </c>
      <c r="AC18" s="53">
        <v>50.3</v>
      </c>
      <c r="AD18" s="53">
        <v>50.3</v>
      </c>
      <c r="AE18" s="53">
        <v>50.3</v>
      </c>
      <c r="AF18" s="53">
        <v>50.3</v>
      </c>
      <c r="AG18" s="50">
        <v>50</v>
      </c>
      <c r="AH18" s="48">
        <f t="shared" si="2"/>
        <v>50.5</v>
      </c>
      <c r="AI18" s="49">
        <f t="shared" si="3"/>
        <v>50.2</v>
      </c>
      <c r="AK18" s="51"/>
      <c r="AL18" s="54" t="s">
        <v>29</v>
      </c>
      <c r="AM18" s="59">
        <f t="shared" ref="AM18:AR18" si="8">B79</f>
        <v>416.34</v>
      </c>
      <c r="AN18" s="59">
        <f t="shared" si="8"/>
        <v>416.34</v>
      </c>
      <c r="AO18" s="59">
        <f t="shared" si="8"/>
        <v>403.34</v>
      </c>
      <c r="AP18" s="59">
        <f t="shared" si="8"/>
        <v>369.64</v>
      </c>
      <c r="AQ18" s="59">
        <f t="shared" si="8"/>
        <v>369.64</v>
      </c>
      <c r="AR18" s="59">
        <f t="shared" si="8"/>
        <v>369.04</v>
      </c>
      <c r="AS18" s="59">
        <f>I79</f>
        <v>369.04</v>
      </c>
      <c r="AT18" s="59">
        <f>K79</f>
        <v>369.04</v>
      </c>
      <c r="AU18" s="59">
        <f t="shared" ref="AU18:BD18" si="9">M79</f>
        <v>357.24</v>
      </c>
      <c r="AV18" s="59">
        <f t="shared" si="9"/>
        <v>391.61</v>
      </c>
      <c r="AW18" s="59">
        <f t="shared" si="9"/>
        <v>395.01000000000005</v>
      </c>
      <c r="AX18" s="59">
        <f t="shared" si="9"/>
        <v>397.11000000000007</v>
      </c>
      <c r="AY18" s="59">
        <f t="shared" si="9"/>
        <v>407.04</v>
      </c>
      <c r="AZ18" s="59">
        <f t="shared" si="9"/>
        <v>410.64</v>
      </c>
      <c r="BA18" s="59">
        <f t="shared" si="9"/>
        <v>387.54000000000008</v>
      </c>
      <c r="BB18" s="59">
        <f t="shared" si="9"/>
        <v>403.24000000000007</v>
      </c>
      <c r="BC18" s="59">
        <f t="shared" si="9"/>
        <v>403.24000000000007</v>
      </c>
      <c r="BD18" s="59">
        <f t="shared" si="9"/>
        <v>407.14000000000004</v>
      </c>
      <c r="BE18" s="60">
        <f>X79</f>
        <v>374.04</v>
      </c>
      <c r="BF18" s="60">
        <f>Z79</f>
        <v>425.1</v>
      </c>
      <c r="BG18" s="60">
        <f>AB79</f>
        <v>425.1</v>
      </c>
      <c r="BH18" s="60">
        <f>AD79</f>
        <v>425.1</v>
      </c>
      <c r="BI18" s="60">
        <f>AE79</f>
        <v>425.1</v>
      </c>
      <c r="BJ18" s="60">
        <f>AF79</f>
        <v>425.1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59</v>
      </c>
      <c r="AN19" s="59">
        <f t="shared" si="10"/>
        <v>66</v>
      </c>
      <c r="AO19" s="59">
        <f t="shared" si="10"/>
        <v>65</v>
      </c>
      <c r="AP19" s="59">
        <f t="shared" si="10"/>
        <v>65.7</v>
      </c>
      <c r="AQ19" s="59">
        <f t="shared" si="10"/>
        <v>64</v>
      </c>
      <c r="AR19" s="59">
        <f t="shared" si="10"/>
        <v>76.800000000000011</v>
      </c>
      <c r="AS19" s="59">
        <f>I95</f>
        <v>61.6</v>
      </c>
      <c r="AT19" s="59">
        <f>K95</f>
        <v>226.3</v>
      </c>
      <c r="AU19" s="59">
        <f t="shared" ref="AU19:BD19" si="11">M95</f>
        <v>410.1</v>
      </c>
      <c r="AV19" s="59">
        <f t="shared" si="11"/>
        <v>242</v>
      </c>
      <c r="AW19" s="59">
        <f t="shared" si="11"/>
        <v>251.39999999999998</v>
      </c>
      <c r="AX19" s="59">
        <f t="shared" si="11"/>
        <v>573.9</v>
      </c>
      <c r="AY19" s="59">
        <f t="shared" si="11"/>
        <v>593.80000000000007</v>
      </c>
      <c r="AZ19" s="59">
        <f t="shared" si="11"/>
        <v>598.20000000000005</v>
      </c>
      <c r="BA19" s="59">
        <f t="shared" si="11"/>
        <v>596.80000000000007</v>
      </c>
      <c r="BB19" s="59">
        <f t="shared" si="11"/>
        <v>496</v>
      </c>
      <c r="BC19" s="59">
        <f t="shared" si="11"/>
        <v>428</v>
      </c>
      <c r="BD19" s="59">
        <f t="shared" si="11"/>
        <v>238</v>
      </c>
      <c r="BE19" s="60">
        <f>X95</f>
        <v>220.4</v>
      </c>
      <c r="BF19" s="60">
        <f>Z95</f>
        <v>68.400000000000006</v>
      </c>
      <c r="BG19" s="60">
        <f>AB95</f>
        <v>73.599999999999994</v>
      </c>
      <c r="BH19" s="60">
        <f>AD95</f>
        <v>63.6</v>
      </c>
      <c r="BI19" s="60">
        <f>AE95</f>
        <v>77</v>
      </c>
      <c r="BJ19" s="60">
        <f>AF95</f>
        <v>75.900000000000006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26</v>
      </c>
      <c r="C20" s="46">
        <v>26</v>
      </c>
      <c r="D20" s="46">
        <v>26</v>
      </c>
      <c r="E20" s="46">
        <v>26</v>
      </c>
      <c r="F20" s="46">
        <v>26</v>
      </c>
      <c r="G20" s="46">
        <v>26</v>
      </c>
      <c r="H20" s="46">
        <v>26</v>
      </c>
      <c r="I20" s="46">
        <v>26</v>
      </c>
      <c r="J20" s="46">
        <v>26</v>
      </c>
      <c r="K20" s="46">
        <v>26</v>
      </c>
      <c r="L20" s="46">
        <v>26</v>
      </c>
      <c r="M20" s="46">
        <v>26</v>
      </c>
      <c r="N20" s="46">
        <v>26</v>
      </c>
      <c r="O20" s="46">
        <v>26</v>
      </c>
      <c r="P20" s="46">
        <v>26</v>
      </c>
      <c r="Q20" s="46">
        <v>26</v>
      </c>
      <c r="R20" s="46">
        <v>25.3</v>
      </c>
      <c r="S20" s="46">
        <v>25.3</v>
      </c>
      <c r="T20" s="46">
        <v>25.3</v>
      </c>
      <c r="U20" s="46">
        <v>25.3</v>
      </c>
      <c r="V20" s="46">
        <v>25.3</v>
      </c>
      <c r="W20" s="46">
        <v>25.3</v>
      </c>
      <c r="X20" s="46">
        <v>25.3</v>
      </c>
      <c r="Y20" s="46">
        <v>25.3</v>
      </c>
      <c r="Z20" s="46">
        <v>25.3</v>
      </c>
      <c r="AA20" s="46">
        <v>25.3</v>
      </c>
      <c r="AB20" s="46">
        <v>25.3</v>
      </c>
      <c r="AC20" s="46">
        <v>25.3</v>
      </c>
      <c r="AD20" s="46">
        <v>25.3</v>
      </c>
      <c r="AE20" s="46">
        <v>25.3</v>
      </c>
      <c r="AF20" s="46">
        <v>25.3</v>
      </c>
      <c r="AG20" s="50">
        <v>44</v>
      </c>
      <c r="AH20" s="48">
        <f t="shared" si="2"/>
        <v>26</v>
      </c>
      <c r="AI20" s="49">
        <f t="shared" si="3"/>
        <v>25.3</v>
      </c>
      <c r="AK20" s="51"/>
      <c r="AL20" s="54" t="s">
        <v>33</v>
      </c>
      <c r="AM20" s="59">
        <f t="shared" ref="AM20:AR20" si="12">B83</f>
        <v>43.1</v>
      </c>
      <c r="AN20" s="59">
        <f t="shared" si="12"/>
        <v>19.5</v>
      </c>
      <c r="AO20" s="59">
        <f t="shared" si="12"/>
        <v>19.5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13.5</v>
      </c>
      <c r="AW20" s="59">
        <f t="shared" si="13"/>
        <v>21.6</v>
      </c>
      <c r="AX20" s="59">
        <f t="shared" si="13"/>
        <v>31.2</v>
      </c>
      <c r="AY20" s="59">
        <f t="shared" si="13"/>
        <v>21.4</v>
      </c>
      <c r="AZ20" s="59">
        <f t="shared" si="13"/>
        <v>21.8</v>
      </c>
      <c r="BA20" s="59">
        <f t="shared" si="13"/>
        <v>21.8</v>
      </c>
      <c r="BB20" s="59">
        <f t="shared" si="13"/>
        <v>21.8</v>
      </c>
      <c r="BC20" s="59">
        <f t="shared" si="13"/>
        <v>21.8</v>
      </c>
      <c r="BD20" s="59">
        <f t="shared" si="13"/>
        <v>21.8</v>
      </c>
      <c r="BE20" s="60">
        <f>X83</f>
        <v>15.099999999999998</v>
      </c>
      <c r="BF20" s="60">
        <f>Z83</f>
        <v>39.6</v>
      </c>
      <c r="BG20" s="60">
        <f>AB83</f>
        <v>93.6</v>
      </c>
      <c r="BH20" s="60">
        <f>AD83</f>
        <v>93.6</v>
      </c>
      <c r="BI20" s="60">
        <f>AE83</f>
        <v>93.6</v>
      </c>
      <c r="BJ20" s="60">
        <f>AF83</f>
        <v>93.6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>B101</f>
        <v>250</v>
      </c>
      <c r="AN21" s="59">
        <f t="shared" ref="AN21:AR21" si="14">C101</f>
        <v>250</v>
      </c>
      <c r="AO21" s="59">
        <f t="shared" si="14"/>
        <v>250</v>
      </c>
      <c r="AP21" s="59">
        <f t="shared" si="14"/>
        <v>250</v>
      </c>
      <c r="AQ21" s="59">
        <f t="shared" si="14"/>
        <v>250</v>
      </c>
      <c r="AR21" s="59">
        <f t="shared" si="14"/>
        <v>250</v>
      </c>
      <c r="AS21" s="59">
        <f>I101</f>
        <v>150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200</v>
      </c>
      <c r="BG21" s="60">
        <f>AB101</f>
        <v>200</v>
      </c>
      <c r="BH21" s="60">
        <f>AD101</f>
        <v>210</v>
      </c>
      <c r="BI21" s="60">
        <f>AE101</f>
        <v>200</v>
      </c>
      <c r="BJ21" s="60">
        <f>AF101</f>
        <v>200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21.3</v>
      </c>
      <c r="C22" s="46">
        <v>21.3</v>
      </c>
      <c r="D22" s="46">
        <v>21.3</v>
      </c>
      <c r="E22" s="46">
        <v>23.1</v>
      </c>
      <c r="F22" s="46">
        <v>23.1</v>
      </c>
      <c r="G22" s="46">
        <v>23.1</v>
      </c>
      <c r="H22" s="46">
        <v>23.1</v>
      </c>
      <c r="I22" s="46">
        <v>23.1</v>
      </c>
      <c r="J22" s="46">
        <v>15</v>
      </c>
      <c r="K22" s="46">
        <v>15</v>
      </c>
      <c r="L22" s="46">
        <v>15</v>
      </c>
      <c r="M22" s="46">
        <v>15</v>
      </c>
      <c r="N22" s="46">
        <v>15</v>
      </c>
      <c r="O22" s="46">
        <v>15</v>
      </c>
      <c r="P22" s="46">
        <v>15</v>
      </c>
      <c r="Q22" s="46">
        <v>15</v>
      </c>
      <c r="R22" s="46">
        <v>20.399999999999999</v>
      </c>
      <c r="S22" s="46">
        <v>20.399999999999999</v>
      </c>
      <c r="T22" s="46">
        <v>20.399999999999999</v>
      </c>
      <c r="U22" s="46">
        <v>20.399999999999999</v>
      </c>
      <c r="V22" s="46">
        <v>20.399999999999999</v>
      </c>
      <c r="W22" s="46">
        <v>20.399999999999999</v>
      </c>
      <c r="X22" s="46">
        <v>20.399999999999999</v>
      </c>
      <c r="Y22" s="46">
        <v>20.399999999999999</v>
      </c>
      <c r="Z22" s="46">
        <v>20.399999999999999</v>
      </c>
      <c r="AA22" s="46">
        <v>20.399999999999999</v>
      </c>
      <c r="AB22" s="46">
        <v>20.399999999999999</v>
      </c>
      <c r="AC22" s="46">
        <v>20.399999999999999</v>
      </c>
      <c r="AD22" s="46">
        <v>20.399999999999999</v>
      </c>
      <c r="AE22" s="46">
        <v>20.399999999999999</v>
      </c>
      <c r="AF22" s="46">
        <v>20.399999999999999</v>
      </c>
      <c r="AG22" s="50">
        <v>38.46</v>
      </c>
      <c r="AH22" s="48">
        <f t="shared" si="2"/>
        <v>23.1</v>
      </c>
      <c r="AI22" s="49">
        <f t="shared" si="3"/>
        <v>15</v>
      </c>
      <c r="AK22" s="51"/>
      <c r="AL22" s="62" t="s">
        <v>37</v>
      </c>
      <c r="AM22" s="63">
        <f t="shared" ref="AM22:BJ22" si="16">SUM(AM16:AM21)</f>
        <v>1907.04</v>
      </c>
      <c r="AN22" s="63">
        <f t="shared" si="16"/>
        <v>1861.44</v>
      </c>
      <c r="AO22" s="63">
        <f t="shared" si="16"/>
        <v>1847.44</v>
      </c>
      <c r="AP22" s="63">
        <f t="shared" si="16"/>
        <v>1782.3</v>
      </c>
      <c r="AQ22" s="63">
        <f t="shared" si="16"/>
        <v>1775</v>
      </c>
      <c r="AR22" s="63">
        <f t="shared" si="16"/>
        <v>1787.8999999999999</v>
      </c>
      <c r="AS22" s="63">
        <f t="shared" si="16"/>
        <v>1749.7999999999997</v>
      </c>
      <c r="AT22" s="63">
        <f t="shared" si="16"/>
        <v>1750.9399999999998</v>
      </c>
      <c r="AU22" s="63">
        <f t="shared" si="16"/>
        <v>1737.7400000000002</v>
      </c>
      <c r="AV22" s="63">
        <f t="shared" si="16"/>
        <v>1915.6100000000001</v>
      </c>
      <c r="AW22" s="63">
        <f t="shared" si="16"/>
        <v>1960.9099999999999</v>
      </c>
      <c r="AX22" s="63">
        <f t="shared" si="16"/>
        <v>1897.91</v>
      </c>
      <c r="AY22" s="63">
        <f t="shared" si="16"/>
        <v>1887.94</v>
      </c>
      <c r="AZ22" s="63">
        <f t="shared" si="16"/>
        <v>1905.1399999999999</v>
      </c>
      <c r="BA22" s="63">
        <f t="shared" si="16"/>
        <v>1883.9400000000003</v>
      </c>
      <c r="BB22" s="63">
        <f t="shared" si="16"/>
        <v>1868.8400000000001</v>
      </c>
      <c r="BC22" s="63">
        <f t="shared" si="16"/>
        <v>1837.8400000000001</v>
      </c>
      <c r="BD22" s="63">
        <f t="shared" si="16"/>
        <v>1801.7400000000002</v>
      </c>
      <c r="BE22" s="63">
        <f t="shared" si="16"/>
        <v>1669.3400000000001</v>
      </c>
      <c r="BF22" s="63">
        <f t="shared" si="16"/>
        <v>1976.9</v>
      </c>
      <c r="BG22" s="63">
        <f t="shared" si="16"/>
        <v>2036.1</v>
      </c>
      <c r="BH22" s="63">
        <f t="shared" si="16"/>
        <v>2036.1</v>
      </c>
      <c r="BI22" s="63">
        <f t="shared" si="16"/>
        <v>2039.5</v>
      </c>
      <c r="BJ22" s="63">
        <f t="shared" si="16"/>
        <v>2038.4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14.2</v>
      </c>
      <c r="C23" s="46">
        <v>14.2</v>
      </c>
      <c r="D23" s="46">
        <v>14.2</v>
      </c>
      <c r="E23" s="46">
        <v>14.4</v>
      </c>
      <c r="F23" s="46">
        <v>14.4</v>
      </c>
      <c r="G23" s="46">
        <v>14.4</v>
      </c>
      <c r="H23" s="46">
        <v>14.4</v>
      </c>
      <c r="I23" s="46">
        <v>14.4</v>
      </c>
      <c r="J23" s="46">
        <v>14.5</v>
      </c>
      <c r="K23" s="46">
        <v>14.5</v>
      </c>
      <c r="L23" s="46">
        <v>14.5</v>
      </c>
      <c r="M23" s="46">
        <v>14.5</v>
      </c>
      <c r="N23" s="46">
        <v>14.5</v>
      </c>
      <c r="O23" s="46">
        <v>14.5</v>
      </c>
      <c r="P23" s="46">
        <v>14.5</v>
      </c>
      <c r="Q23" s="46">
        <v>14.5</v>
      </c>
      <c r="R23" s="46">
        <v>14.5</v>
      </c>
      <c r="S23" s="46">
        <v>14.5</v>
      </c>
      <c r="T23" s="46">
        <v>14.5</v>
      </c>
      <c r="U23" s="46">
        <v>14.5</v>
      </c>
      <c r="V23" s="46">
        <v>14.5</v>
      </c>
      <c r="W23" s="46">
        <v>14.5</v>
      </c>
      <c r="X23" s="46">
        <v>14.5</v>
      </c>
      <c r="Y23" s="46">
        <v>14.5</v>
      </c>
      <c r="Z23" s="46">
        <v>14.5</v>
      </c>
      <c r="AA23" s="46">
        <v>14.5</v>
      </c>
      <c r="AB23" s="46">
        <v>14.5</v>
      </c>
      <c r="AC23" s="46">
        <v>14.5</v>
      </c>
      <c r="AD23" s="46">
        <v>14.5</v>
      </c>
      <c r="AE23" s="46">
        <v>14.5</v>
      </c>
      <c r="AF23" s="46">
        <v>14.5</v>
      </c>
      <c r="AG23" s="50">
        <v>38.46</v>
      </c>
      <c r="AH23" s="48">
        <f t="shared" si="2"/>
        <v>14.5</v>
      </c>
      <c r="AI23" s="49">
        <f t="shared" si="3"/>
        <v>14.2</v>
      </c>
      <c r="AK23" s="51"/>
      <c r="AL23" s="62" t="s">
        <v>39</v>
      </c>
      <c r="AM23" s="63">
        <f t="shared" ref="AM23:AR23" si="17">B110*-1</f>
        <v>-115</v>
      </c>
      <c r="AN23" s="63">
        <f t="shared" si="17"/>
        <v>-110</v>
      </c>
      <c r="AO23" s="63">
        <f t="shared" si="17"/>
        <v>-112</v>
      </c>
      <c r="AP23" s="63">
        <f t="shared" si="17"/>
        <v>-106</v>
      </c>
      <c r="AQ23" s="63">
        <f t="shared" si="17"/>
        <v>-110</v>
      </c>
      <c r="AR23" s="63">
        <f t="shared" si="17"/>
        <v>-116</v>
      </c>
      <c r="AS23" s="63">
        <f>I110*-1</f>
        <v>-99</v>
      </c>
      <c r="AT23" s="63">
        <f>K110*-1</f>
        <v>-112.9</v>
      </c>
      <c r="AU23" s="63">
        <f t="shared" ref="AU23:BD23" si="18">M110*-1</f>
        <v>0</v>
      </c>
      <c r="AV23" s="63">
        <f t="shared" si="18"/>
        <v>-126.5</v>
      </c>
      <c r="AW23" s="63">
        <f t="shared" si="18"/>
        <v>-108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-28</v>
      </c>
      <c r="BE23" s="63">
        <f>X110*-1</f>
        <v>-14</v>
      </c>
      <c r="BF23" s="63">
        <f>Z110*-1</f>
        <v>-112</v>
      </c>
      <c r="BG23" s="63">
        <f>AB110*-1</f>
        <v>-110.1</v>
      </c>
      <c r="BH23" s="63">
        <f>AD110*-1</f>
        <v>-106.4</v>
      </c>
      <c r="BI23" s="63">
        <f>AE110*-1</f>
        <v>-115.4</v>
      </c>
      <c r="BJ23" s="63">
        <f>AF110*-1</f>
        <v>-112.4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1792.04</v>
      </c>
      <c r="AN24" s="63">
        <f t="shared" si="19"/>
        <v>1751.44</v>
      </c>
      <c r="AO24" s="63">
        <f t="shared" si="19"/>
        <v>1735.44</v>
      </c>
      <c r="AP24" s="63">
        <f t="shared" si="19"/>
        <v>1676.3</v>
      </c>
      <c r="AQ24" s="63">
        <f t="shared" si="19"/>
        <v>1665</v>
      </c>
      <c r="AR24" s="63">
        <f t="shared" si="19"/>
        <v>1671.8999999999999</v>
      </c>
      <c r="AS24" s="63">
        <f t="shared" si="19"/>
        <v>1650.7999999999997</v>
      </c>
      <c r="AT24" s="63">
        <f t="shared" si="19"/>
        <v>1638.0399999999997</v>
      </c>
      <c r="AU24" s="63">
        <f t="shared" si="19"/>
        <v>1737.7400000000002</v>
      </c>
      <c r="AV24" s="63">
        <f t="shared" si="19"/>
        <v>1789.1100000000001</v>
      </c>
      <c r="AW24" s="63">
        <f t="shared" si="19"/>
        <v>1852.9099999999999</v>
      </c>
      <c r="AX24" s="63">
        <f t="shared" si="19"/>
        <v>1897.91</v>
      </c>
      <c r="AY24" s="63">
        <f t="shared" si="19"/>
        <v>1887.94</v>
      </c>
      <c r="AZ24" s="63">
        <f t="shared" si="19"/>
        <v>1905.1399999999999</v>
      </c>
      <c r="BA24" s="63">
        <f t="shared" si="19"/>
        <v>1883.9400000000003</v>
      </c>
      <c r="BB24" s="63">
        <f t="shared" si="19"/>
        <v>1868.8400000000001</v>
      </c>
      <c r="BC24" s="63">
        <f t="shared" si="19"/>
        <v>1837.8400000000001</v>
      </c>
      <c r="BD24" s="63">
        <f t="shared" si="19"/>
        <v>1773.7400000000002</v>
      </c>
      <c r="BE24" s="63">
        <f t="shared" si="19"/>
        <v>1655.3400000000001</v>
      </c>
      <c r="BF24" s="63">
        <f t="shared" si="19"/>
        <v>1864.9</v>
      </c>
      <c r="BG24" s="63">
        <f t="shared" si="19"/>
        <v>1926</v>
      </c>
      <c r="BH24" s="63">
        <f t="shared" si="19"/>
        <v>1929.6999999999998</v>
      </c>
      <c r="BI24" s="63">
        <f t="shared" si="19"/>
        <v>1924.1</v>
      </c>
      <c r="BJ24" s="63">
        <f t="shared" si="19"/>
        <v>1926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12.1</v>
      </c>
      <c r="C25" s="46">
        <v>12.1</v>
      </c>
      <c r="D25" s="46">
        <v>12.1</v>
      </c>
      <c r="E25" s="46">
        <v>16.8</v>
      </c>
      <c r="F25" s="46">
        <v>16.8</v>
      </c>
      <c r="G25" s="46">
        <v>16.8</v>
      </c>
      <c r="H25" s="46">
        <v>16.8</v>
      </c>
      <c r="I25" s="46">
        <v>16.8</v>
      </c>
      <c r="J25" s="46">
        <v>13.9</v>
      </c>
      <c r="K25" s="46">
        <v>13.9</v>
      </c>
      <c r="L25" s="46">
        <v>13.9</v>
      </c>
      <c r="M25" s="46">
        <v>13.9</v>
      </c>
      <c r="N25" s="46">
        <v>13.9</v>
      </c>
      <c r="O25" s="46">
        <v>13.9</v>
      </c>
      <c r="P25" s="46">
        <v>13.9</v>
      </c>
      <c r="Q25" s="46">
        <v>13.9</v>
      </c>
      <c r="R25" s="46">
        <v>10</v>
      </c>
      <c r="S25" s="46">
        <v>10</v>
      </c>
      <c r="T25" s="46">
        <v>10</v>
      </c>
      <c r="U25" s="46">
        <v>10</v>
      </c>
      <c r="V25" s="46">
        <v>10</v>
      </c>
      <c r="W25" s="46">
        <v>10</v>
      </c>
      <c r="X25" s="46">
        <v>10</v>
      </c>
      <c r="Y25" s="46">
        <v>10</v>
      </c>
      <c r="Z25" s="46">
        <v>10</v>
      </c>
      <c r="AA25" s="46">
        <v>10</v>
      </c>
      <c r="AB25" s="46">
        <v>10</v>
      </c>
      <c r="AC25" s="46">
        <v>10</v>
      </c>
      <c r="AD25" s="46">
        <v>10</v>
      </c>
      <c r="AE25" s="46">
        <v>10</v>
      </c>
      <c r="AF25" s="46">
        <v>10</v>
      </c>
      <c r="AG25" s="61">
        <v>30</v>
      </c>
      <c r="AH25" s="48">
        <f t="shared" si="2"/>
        <v>16.8</v>
      </c>
      <c r="AI25" s="49">
        <f t="shared" si="3"/>
        <v>10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9.6</v>
      </c>
      <c r="C26" s="46">
        <v>9.6</v>
      </c>
      <c r="D26" s="46">
        <v>9.6</v>
      </c>
      <c r="E26" s="46">
        <v>9.6</v>
      </c>
      <c r="F26" s="46">
        <v>9.6</v>
      </c>
      <c r="G26" s="46">
        <v>9.6</v>
      </c>
      <c r="H26" s="46">
        <v>9.6</v>
      </c>
      <c r="I26" s="46">
        <v>9.6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24.2</v>
      </c>
      <c r="AH26" s="48">
        <f t="shared" si="2"/>
        <v>10</v>
      </c>
      <c r="AI26" s="49">
        <f t="shared" si="3"/>
        <v>9.6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9.6</v>
      </c>
      <c r="C27" s="46">
        <v>9.6</v>
      </c>
      <c r="D27" s="46">
        <v>9.6</v>
      </c>
      <c r="E27" s="46">
        <v>9.3000000000000007</v>
      </c>
      <c r="F27" s="46">
        <v>9.3000000000000007</v>
      </c>
      <c r="G27" s="46">
        <v>9.3000000000000007</v>
      </c>
      <c r="H27" s="46">
        <v>9.3000000000000007</v>
      </c>
      <c r="I27" s="46">
        <v>9.3000000000000007</v>
      </c>
      <c r="J27" s="46">
        <v>10</v>
      </c>
      <c r="K27" s="46">
        <v>10</v>
      </c>
      <c r="L27" s="46">
        <v>10</v>
      </c>
      <c r="M27" s="46">
        <v>10</v>
      </c>
      <c r="N27" s="46">
        <v>10</v>
      </c>
      <c r="O27" s="46">
        <v>10</v>
      </c>
      <c r="P27" s="46">
        <v>10</v>
      </c>
      <c r="Q27" s="46">
        <v>10</v>
      </c>
      <c r="R27" s="46">
        <v>11.6</v>
      </c>
      <c r="S27" s="46">
        <v>11.6</v>
      </c>
      <c r="T27" s="46">
        <v>11.6</v>
      </c>
      <c r="U27" s="46">
        <v>11.6</v>
      </c>
      <c r="V27" s="46">
        <v>11.6</v>
      </c>
      <c r="W27" s="46">
        <v>11.6</v>
      </c>
      <c r="X27" s="46">
        <v>11.6</v>
      </c>
      <c r="Y27" s="46">
        <v>11.6</v>
      </c>
      <c r="Z27" s="46">
        <v>11.6</v>
      </c>
      <c r="AA27" s="46">
        <v>11.6</v>
      </c>
      <c r="AB27" s="46">
        <v>11.6</v>
      </c>
      <c r="AC27" s="46">
        <v>11.6</v>
      </c>
      <c r="AD27" s="46">
        <v>11.6</v>
      </c>
      <c r="AE27" s="46">
        <v>11.6</v>
      </c>
      <c r="AF27" s="46">
        <v>11.6</v>
      </c>
      <c r="AG27" s="50">
        <v>28</v>
      </c>
      <c r="AH27" s="48">
        <f t="shared" si="2"/>
        <v>11.6</v>
      </c>
      <c r="AI27" s="49">
        <f t="shared" si="3"/>
        <v>9.3000000000000007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12</v>
      </c>
      <c r="C28" s="46">
        <v>12</v>
      </c>
      <c r="D28" s="46">
        <v>12</v>
      </c>
      <c r="E28" s="46">
        <v>14.2</v>
      </c>
      <c r="F28" s="46">
        <v>14.2</v>
      </c>
      <c r="G28" s="46">
        <v>14.2</v>
      </c>
      <c r="H28" s="46">
        <v>14.2</v>
      </c>
      <c r="I28" s="46">
        <v>14.2</v>
      </c>
      <c r="J28" s="46">
        <v>18.600000000000001</v>
      </c>
      <c r="K28" s="46">
        <v>18.600000000000001</v>
      </c>
      <c r="L28" s="46">
        <v>18.600000000000001</v>
      </c>
      <c r="M28" s="46">
        <v>18.600000000000001</v>
      </c>
      <c r="N28" s="46">
        <v>18.600000000000001</v>
      </c>
      <c r="O28" s="46">
        <v>18.600000000000001</v>
      </c>
      <c r="P28" s="46">
        <v>18.600000000000001</v>
      </c>
      <c r="Q28" s="46">
        <v>18.600000000000001</v>
      </c>
      <c r="R28" s="46">
        <v>10</v>
      </c>
      <c r="S28" s="46">
        <v>10</v>
      </c>
      <c r="T28" s="46">
        <v>10</v>
      </c>
      <c r="U28" s="46">
        <v>10</v>
      </c>
      <c r="V28" s="46">
        <v>10</v>
      </c>
      <c r="W28" s="46">
        <v>10</v>
      </c>
      <c r="X28" s="46">
        <v>10</v>
      </c>
      <c r="Y28" s="46">
        <v>10</v>
      </c>
      <c r="Z28" s="46">
        <v>10</v>
      </c>
      <c r="AA28" s="46">
        <v>10</v>
      </c>
      <c r="AB28" s="46">
        <v>10</v>
      </c>
      <c r="AC28" s="46">
        <v>10</v>
      </c>
      <c r="AD28" s="46">
        <v>10</v>
      </c>
      <c r="AE28" s="46">
        <v>10</v>
      </c>
      <c r="AF28" s="46">
        <v>10</v>
      </c>
      <c r="AG28" s="61">
        <v>30</v>
      </c>
      <c r="AH28" s="48">
        <f t="shared" si="2"/>
        <v>18.600000000000001</v>
      </c>
      <c r="AI28" s="49">
        <f t="shared" si="3"/>
        <v>10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13.3</v>
      </c>
      <c r="C29" s="46">
        <v>13.3</v>
      </c>
      <c r="D29" s="46">
        <v>13.3</v>
      </c>
      <c r="E29" s="46">
        <v>14.7</v>
      </c>
      <c r="F29" s="46">
        <v>14.7</v>
      </c>
      <c r="G29" s="46">
        <v>14.7</v>
      </c>
      <c r="H29" s="46">
        <v>14.7</v>
      </c>
      <c r="I29" s="46">
        <v>14.7</v>
      </c>
      <c r="J29" s="46">
        <v>12.3</v>
      </c>
      <c r="K29" s="46">
        <v>12.3</v>
      </c>
      <c r="L29" s="46">
        <v>12.3</v>
      </c>
      <c r="M29" s="46">
        <v>12.3</v>
      </c>
      <c r="N29" s="46">
        <v>12.3</v>
      </c>
      <c r="O29" s="46">
        <v>12.3</v>
      </c>
      <c r="P29" s="46">
        <v>12.3</v>
      </c>
      <c r="Q29" s="46">
        <v>12.3</v>
      </c>
      <c r="R29" s="46">
        <v>13.2</v>
      </c>
      <c r="S29" s="46">
        <v>13.2</v>
      </c>
      <c r="T29" s="46">
        <v>13.2</v>
      </c>
      <c r="U29" s="46">
        <v>13.2</v>
      </c>
      <c r="V29" s="46">
        <v>13.2</v>
      </c>
      <c r="W29" s="46">
        <v>13.2</v>
      </c>
      <c r="X29" s="46">
        <v>13.2</v>
      </c>
      <c r="Y29" s="46">
        <v>13.2</v>
      </c>
      <c r="Z29" s="46">
        <v>13.2</v>
      </c>
      <c r="AA29" s="46">
        <v>13.2</v>
      </c>
      <c r="AB29" s="46">
        <v>13.2</v>
      </c>
      <c r="AC29" s="46">
        <v>13.2</v>
      </c>
      <c r="AD29" s="46">
        <v>13.2</v>
      </c>
      <c r="AE29" s="46">
        <v>13.2</v>
      </c>
      <c r="AF29" s="46">
        <v>13.2</v>
      </c>
      <c r="AG29" s="50">
        <v>25</v>
      </c>
      <c r="AH29" s="48">
        <f t="shared" si="2"/>
        <v>14.7</v>
      </c>
      <c r="AI29" s="49">
        <f t="shared" si="3"/>
        <v>12.3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21</v>
      </c>
      <c r="C30" s="46">
        <v>21</v>
      </c>
      <c r="D30" s="46">
        <v>21</v>
      </c>
      <c r="E30" s="46">
        <v>21</v>
      </c>
      <c r="F30" s="46">
        <v>21</v>
      </c>
      <c r="G30" s="46">
        <v>21</v>
      </c>
      <c r="H30" s="46">
        <v>21</v>
      </c>
      <c r="I30" s="46">
        <v>21</v>
      </c>
      <c r="J30" s="46">
        <v>0</v>
      </c>
      <c r="K30" s="46">
        <v>0</v>
      </c>
      <c r="L30" s="46">
        <v>0</v>
      </c>
      <c r="M30" s="46">
        <v>20</v>
      </c>
      <c r="N30" s="46">
        <v>20</v>
      </c>
      <c r="O30" s="46">
        <v>20</v>
      </c>
      <c r="P30" s="46">
        <v>20</v>
      </c>
      <c r="Q30" s="46">
        <v>20</v>
      </c>
      <c r="R30" s="46">
        <v>20</v>
      </c>
      <c r="S30" s="46">
        <v>20</v>
      </c>
      <c r="T30" s="46">
        <v>20</v>
      </c>
      <c r="U30" s="46">
        <v>20</v>
      </c>
      <c r="V30" s="46">
        <v>20</v>
      </c>
      <c r="W30" s="46">
        <v>20</v>
      </c>
      <c r="X30" s="46">
        <v>20</v>
      </c>
      <c r="Y30" s="46">
        <v>20</v>
      </c>
      <c r="Z30" s="46">
        <v>20</v>
      </c>
      <c r="AA30" s="46">
        <v>20</v>
      </c>
      <c r="AB30" s="46">
        <v>20</v>
      </c>
      <c r="AC30" s="46">
        <v>20</v>
      </c>
      <c r="AD30" s="46">
        <v>20</v>
      </c>
      <c r="AE30" s="46">
        <v>20</v>
      </c>
      <c r="AF30" s="46">
        <v>20</v>
      </c>
      <c r="AG30" s="50">
        <v>25</v>
      </c>
      <c r="AH30" s="48">
        <f t="shared" si="2"/>
        <v>21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13.2</v>
      </c>
      <c r="C32" s="46">
        <v>13.2</v>
      </c>
      <c r="D32" s="46">
        <v>13.2</v>
      </c>
      <c r="E32" s="46">
        <v>18.399999999999999</v>
      </c>
      <c r="F32" s="46">
        <v>18.399999999999999</v>
      </c>
      <c r="G32" s="46">
        <v>18.399999999999999</v>
      </c>
      <c r="H32" s="46">
        <v>18.399999999999999</v>
      </c>
      <c r="I32" s="46">
        <v>18.399999999999999</v>
      </c>
      <c r="J32" s="46">
        <v>18.600000000000001</v>
      </c>
      <c r="K32" s="46">
        <v>18.600000000000001</v>
      </c>
      <c r="L32" s="46">
        <v>18.600000000000001</v>
      </c>
      <c r="M32" s="46">
        <v>18.600000000000001</v>
      </c>
      <c r="N32" s="46">
        <v>18.600000000000001</v>
      </c>
      <c r="O32" s="46">
        <v>18.600000000000001</v>
      </c>
      <c r="P32" s="46">
        <v>18.600000000000001</v>
      </c>
      <c r="Q32" s="46">
        <v>18.600000000000001</v>
      </c>
      <c r="R32" s="46">
        <v>13.7</v>
      </c>
      <c r="S32" s="46">
        <v>13.7</v>
      </c>
      <c r="T32" s="46">
        <v>13.7</v>
      </c>
      <c r="U32" s="46">
        <v>13.7</v>
      </c>
      <c r="V32" s="46">
        <v>13.7</v>
      </c>
      <c r="W32" s="46">
        <v>13.7</v>
      </c>
      <c r="X32" s="46">
        <v>13.7</v>
      </c>
      <c r="Y32" s="46">
        <v>13.7</v>
      </c>
      <c r="Z32" s="46">
        <v>13.7</v>
      </c>
      <c r="AA32" s="46">
        <v>13.7</v>
      </c>
      <c r="AB32" s="46">
        <v>13.7</v>
      </c>
      <c r="AC32" s="46">
        <v>13.7</v>
      </c>
      <c r="AD32" s="46">
        <v>13.7</v>
      </c>
      <c r="AE32" s="46">
        <v>13.7</v>
      </c>
      <c r="AF32" s="46">
        <v>13.7</v>
      </c>
      <c r="AG32" s="50">
        <v>25</v>
      </c>
      <c r="AH32" s="48">
        <f t="shared" si="2"/>
        <v>18.600000000000001</v>
      </c>
      <c r="AI32" s="49">
        <f t="shared" si="3"/>
        <v>13.2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8</v>
      </c>
      <c r="C33" s="46">
        <v>8</v>
      </c>
      <c r="D33" s="46">
        <v>8</v>
      </c>
      <c r="E33" s="46">
        <v>8</v>
      </c>
      <c r="F33" s="46">
        <v>8</v>
      </c>
      <c r="G33" s="46">
        <v>8</v>
      </c>
      <c r="H33" s="46">
        <v>8</v>
      </c>
      <c r="I33" s="46">
        <v>8</v>
      </c>
      <c r="J33" s="46">
        <v>8</v>
      </c>
      <c r="K33" s="46">
        <v>8</v>
      </c>
      <c r="L33" s="46">
        <v>8</v>
      </c>
      <c r="M33" s="46">
        <v>8</v>
      </c>
      <c r="N33" s="46">
        <v>8</v>
      </c>
      <c r="O33" s="46">
        <v>8</v>
      </c>
      <c r="P33" s="46">
        <v>8</v>
      </c>
      <c r="Q33" s="46">
        <v>8</v>
      </c>
      <c r="R33" s="46">
        <v>7.1</v>
      </c>
      <c r="S33" s="46">
        <v>7.1</v>
      </c>
      <c r="T33" s="46">
        <v>7.1</v>
      </c>
      <c r="U33" s="46">
        <v>7.1</v>
      </c>
      <c r="V33" s="46">
        <v>7.1</v>
      </c>
      <c r="W33" s="46">
        <v>7.1</v>
      </c>
      <c r="X33" s="46">
        <v>7.1</v>
      </c>
      <c r="Y33" s="46">
        <v>7.1</v>
      </c>
      <c r="Z33" s="46">
        <v>7.1</v>
      </c>
      <c r="AA33" s="46">
        <v>7.1</v>
      </c>
      <c r="AB33" s="46">
        <v>7.1</v>
      </c>
      <c r="AC33" s="46">
        <v>7.1</v>
      </c>
      <c r="AD33" s="46">
        <v>7.1</v>
      </c>
      <c r="AE33" s="46">
        <v>7.1</v>
      </c>
      <c r="AF33" s="46">
        <v>7.1</v>
      </c>
      <c r="AG33" s="50">
        <v>23.5</v>
      </c>
      <c r="AH33" s="48">
        <f t="shared" si="2"/>
        <v>8</v>
      </c>
      <c r="AI33" s="49">
        <f t="shared" si="3"/>
        <v>7.1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19.899999999999999</v>
      </c>
      <c r="C37" s="46">
        <v>19.899999999999999</v>
      </c>
      <c r="D37" s="46">
        <v>19.899999999999999</v>
      </c>
      <c r="E37" s="46">
        <v>10.4</v>
      </c>
      <c r="F37" s="46">
        <v>10.4</v>
      </c>
      <c r="G37" s="46">
        <v>10.4</v>
      </c>
      <c r="H37" s="46">
        <v>10.4</v>
      </c>
      <c r="I37" s="46">
        <v>10.4</v>
      </c>
      <c r="J37" s="46">
        <v>10</v>
      </c>
      <c r="K37" s="46">
        <v>10</v>
      </c>
      <c r="L37" s="46">
        <v>10</v>
      </c>
      <c r="M37" s="46">
        <v>10</v>
      </c>
      <c r="N37" s="46">
        <v>10</v>
      </c>
      <c r="O37" s="46">
        <v>10</v>
      </c>
      <c r="P37" s="46">
        <v>10</v>
      </c>
      <c r="Q37" s="46">
        <v>10</v>
      </c>
      <c r="R37" s="46">
        <v>5.6</v>
      </c>
      <c r="S37" s="46">
        <v>5.6</v>
      </c>
      <c r="T37" s="46">
        <v>5.6</v>
      </c>
      <c r="U37" s="46">
        <v>5.6</v>
      </c>
      <c r="V37" s="46">
        <v>5.6</v>
      </c>
      <c r="W37" s="46">
        <v>5.6</v>
      </c>
      <c r="X37" s="46">
        <v>5.6</v>
      </c>
      <c r="Y37" s="46">
        <v>5.6</v>
      </c>
      <c r="Z37" s="46">
        <v>5.6</v>
      </c>
      <c r="AA37" s="46">
        <v>5.6</v>
      </c>
      <c r="AB37" s="46">
        <v>5.6</v>
      </c>
      <c r="AC37" s="46">
        <v>5.6</v>
      </c>
      <c r="AD37" s="46">
        <v>5.6</v>
      </c>
      <c r="AE37" s="46">
        <v>5.6</v>
      </c>
      <c r="AF37" s="46">
        <v>5.6</v>
      </c>
      <c r="AG37" s="50">
        <v>22</v>
      </c>
      <c r="AH37" s="48">
        <f t="shared" si="2"/>
        <v>19.899999999999999</v>
      </c>
      <c r="AI37" s="49">
        <f t="shared" si="3"/>
        <v>5.6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11.1</v>
      </c>
      <c r="C38" s="46">
        <v>11.1</v>
      </c>
      <c r="D38" s="46">
        <v>11.1</v>
      </c>
      <c r="E38" s="46">
        <v>15.4</v>
      </c>
      <c r="F38" s="46">
        <v>15.4</v>
      </c>
      <c r="G38" s="46">
        <v>15.4</v>
      </c>
      <c r="H38" s="46">
        <v>15.4</v>
      </c>
      <c r="I38" s="46">
        <v>15.4</v>
      </c>
      <c r="J38" s="46">
        <v>13</v>
      </c>
      <c r="K38" s="46">
        <v>13</v>
      </c>
      <c r="L38" s="46">
        <v>13</v>
      </c>
      <c r="M38" s="46">
        <v>13</v>
      </c>
      <c r="N38" s="46">
        <v>13</v>
      </c>
      <c r="O38" s="46">
        <v>13</v>
      </c>
      <c r="P38" s="46">
        <v>13</v>
      </c>
      <c r="Q38" s="46">
        <v>13</v>
      </c>
      <c r="R38" s="46">
        <v>12.2</v>
      </c>
      <c r="S38" s="46">
        <v>12.2</v>
      </c>
      <c r="T38" s="46">
        <v>12.2</v>
      </c>
      <c r="U38" s="46">
        <v>12.2</v>
      </c>
      <c r="V38" s="46">
        <v>12.2</v>
      </c>
      <c r="W38" s="46">
        <v>12.2</v>
      </c>
      <c r="X38" s="46">
        <v>12.2</v>
      </c>
      <c r="Y38" s="46">
        <v>12.2</v>
      </c>
      <c r="Z38" s="46">
        <v>12.2</v>
      </c>
      <c r="AA38" s="46">
        <v>12.2</v>
      </c>
      <c r="AB38" s="46">
        <v>12.2</v>
      </c>
      <c r="AC38" s="46">
        <v>12.2</v>
      </c>
      <c r="AD38" s="46">
        <v>12.2</v>
      </c>
      <c r="AE38" s="46">
        <v>12.2</v>
      </c>
      <c r="AF38" s="46">
        <v>12.2</v>
      </c>
      <c r="AG38" s="50">
        <v>20</v>
      </c>
      <c r="AH38" s="48">
        <f t="shared" si="2"/>
        <v>15.4</v>
      </c>
      <c r="AI38" s="49">
        <f t="shared" si="3"/>
        <v>11.1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6.1</v>
      </c>
      <c r="C40" s="46">
        <v>6.1</v>
      </c>
      <c r="D40" s="46">
        <v>6.1</v>
      </c>
      <c r="E40" s="46">
        <v>7</v>
      </c>
      <c r="F40" s="46">
        <v>7</v>
      </c>
      <c r="G40" s="46">
        <v>7</v>
      </c>
      <c r="H40" s="46">
        <v>7</v>
      </c>
      <c r="I40" s="46">
        <v>7</v>
      </c>
      <c r="J40" s="46">
        <v>7.1</v>
      </c>
      <c r="K40" s="46">
        <v>7.1</v>
      </c>
      <c r="L40" s="46">
        <v>7.1</v>
      </c>
      <c r="M40" s="46">
        <v>7.1</v>
      </c>
      <c r="N40" s="46">
        <v>7.1</v>
      </c>
      <c r="O40" s="46">
        <v>7.1</v>
      </c>
      <c r="P40" s="46">
        <v>7.1</v>
      </c>
      <c r="Q40" s="46">
        <v>7.1</v>
      </c>
      <c r="R40" s="46">
        <v>7</v>
      </c>
      <c r="S40" s="46">
        <v>7</v>
      </c>
      <c r="T40" s="46">
        <v>7</v>
      </c>
      <c r="U40" s="46">
        <v>7</v>
      </c>
      <c r="V40" s="46">
        <v>7</v>
      </c>
      <c r="W40" s="46">
        <v>7</v>
      </c>
      <c r="X40" s="46">
        <v>7</v>
      </c>
      <c r="Y40" s="46">
        <v>7</v>
      </c>
      <c r="Z40" s="46">
        <v>7</v>
      </c>
      <c r="AA40" s="46">
        <v>7</v>
      </c>
      <c r="AB40" s="46">
        <v>7</v>
      </c>
      <c r="AC40" s="46">
        <v>7</v>
      </c>
      <c r="AD40" s="46">
        <v>7</v>
      </c>
      <c r="AE40" s="46">
        <v>7</v>
      </c>
      <c r="AF40" s="46">
        <v>7</v>
      </c>
      <c r="AG40" s="50">
        <v>18</v>
      </c>
      <c r="AH40" s="48">
        <f t="shared" si="2"/>
        <v>7.1</v>
      </c>
      <c r="AI40" s="49">
        <f t="shared" si="3"/>
        <v>6.1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8</v>
      </c>
      <c r="Y44" s="46">
        <v>8</v>
      </c>
      <c r="Z44" s="46">
        <v>8</v>
      </c>
      <c r="AA44" s="46">
        <v>8</v>
      </c>
      <c r="AB44" s="46">
        <v>8</v>
      </c>
      <c r="AC44" s="46">
        <v>8</v>
      </c>
      <c r="AD44" s="46">
        <v>8</v>
      </c>
      <c r="AE44" s="46">
        <v>8</v>
      </c>
      <c r="AF44" s="46">
        <v>8</v>
      </c>
      <c r="AG44" s="50">
        <v>14.8</v>
      </c>
      <c r="AH44" s="48">
        <f t="shared" si="2"/>
        <v>8</v>
      </c>
      <c r="AI44" s="49">
        <f t="shared" si="3"/>
        <v>8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3.1</v>
      </c>
      <c r="C46" s="46">
        <v>3.1</v>
      </c>
      <c r="D46" s="46">
        <v>3.1</v>
      </c>
      <c r="E46" s="46">
        <v>3.1</v>
      </c>
      <c r="F46" s="46">
        <v>3.1</v>
      </c>
      <c r="G46" s="46">
        <v>3.1</v>
      </c>
      <c r="H46" s="46">
        <v>3.1</v>
      </c>
      <c r="I46" s="46">
        <v>3.1</v>
      </c>
      <c r="J46" s="46">
        <v>3.1</v>
      </c>
      <c r="K46" s="46">
        <v>3.1</v>
      </c>
      <c r="L46" s="46">
        <v>3.1</v>
      </c>
      <c r="M46" s="46">
        <v>3.1</v>
      </c>
      <c r="N46" s="46">
        <v>3.1</v>
      </c>
      <c r="O46" s="46">
        <v>3.1</v>
      </c>
      <c r="P46" s="46">
        <v>3.1</v>
      </c>
      <c r="Q46" s="46">
        <v>3.1</v>
      </c>
      <c r="R46" s="46">
        <v>3.1</v>
      </c>
      <c r="S46" s="46">
        <v>3.1</v>
      </c>
      <c r="T46" s="46">
        <v>3.1</v>
      </c>
      <c r="U46" s="46">
        <v>3.1</v>
      </c>
      <c r="V46" s="46">
        <v>3.1</v>
      </c>
      <c r="W46" s="46">
        <v>3.1</v>
      </c>
      <c r="X46" s="46">
        <v>3.1</v>
      </c>
      <c r="Y46" s="46">
        <v>3.1</v>
      </c>
      <c r="Z46" s="46">
        <v>3.1</v>
      </c>
      <c r="AA46" s="46">
        <v>3.1</v>
      </c>
      <c r="AB46" s="46">
        <v>3.1</v>
      </c>
      <c r="AC46" s="46">
        <v>3.1</v>
      </c>
      <c r="AD46" s="46">
        <v>3.1</v>
      </c>
      <c r="AE46" s="46">
        <v>3.1</v>
      </c>
      <c r="AF46" s="46">
        <v>3.1</v>
      </c>
      <c r="AG46" s="50">
        <v>14</v>
      </c>
      <c r="AH46" s="48">
        <f t="shared" si="2"/>
        <v>3.1</v>
      </c>
      <c r="AI46" s="49">
        <f t="shared" si="3"/>
        <v>3.1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66.8</v>
      </c>
      <c r="C60" s="68">
        <v>66.8</v>
      </c>
      <c r="D60" s="68">
        <v>66.8</v>
      </c>
      <c r="E60" s="68">
        <v>66.900000000000006</v>
      </c>
      <c r="F60" s="68">
        <v>66.900000000000006</v>
      </c>
      <c r="G60" s="68">
        <v>66.900000000000006</v>
      </c>
      <c r="H60" s="68">
        <v>66.900000000000006</v>
      </c>
      <c r="I60" s="68">
        <v>66.900000000000006</v>
      </c>
      <c r="J60" s="68">
        <v>12.6</v>
      </c>
      <c r="K60" s="68">
        <v>12.6</v>
      </c>
      <c r="L60" s="68">
        <v>69.36</v>
      </c>
      <c r="M60" s="53">
        <f>38.4+25.9</f>
        <v>64.3</v>
      </c>
      <c r="N60" s="53">
        <f>38+25.5</f>
        <v>63.5</v>
      </c>
      <c r="O60" s="53">
        <f>38.3+28.8</f>
        <v>67.099999999999994</v>
      </c>
      <c r="P60" s="53">
        <f>38.3+28.8</f>
        <v>67.099999999999994</v>
      </c>
      <c r="Q60" s="53">
        <f>46+32.7</f>
        <v>78.7</v>
      </c>
      <c r="R60" s="53">
        <f>29.2+42.6</f>
        <v>71.8</v>
      </c>
      <c r="S60" s="53">
        <f>29.2+42.6</f>
        <v>71.8</v>
      </c>
      <c r="T60" s="53">
        <v>65</v>
      </c>
      <c r="U60" s="53">
        <v>65</v>
      </c>
      <c r="V60" s="53">
        <v>60.6</v>
      </c>
      <c r="W60" s="53">
        <v>60.6</v>
      </c>
      <c r="X60" s="53">
        <v>60.6</v>
      </c>
      <c r="Y60" s="53">
        <v>60.6</v>
      </c>
      <c r="Z60" s="53">
        <v>60.6</v>
      </c>
      <c r="AA60" s="68">
        <v>60.6</v>
      </c>
      <c r="AB60" s="68">
        <v>60.6</v>
      </c>
      <c r="AC60" s="68">
        <v>52.6</v>
      </c>
      <c r="AD60" s="68">
        <v>55.1</v>
      </c>
      <c r="AE60" s="68">
        <v>59.8</v>
      </c>
      <c r="AF60" s="68">
        <v>58</v>
      </c>
      <c r="AG60" s="66">
        <v>240</v>
      </c>
      <c r="AH60" s="48">
        <f t="shared" si="2"/>
        <v>78.7</v>
      </c>
      <c r="AI60" s="49">
        <f t="shared" si="3"/>
        <v>12.6</v>
      </c>
      <c r="AK60" s="51"/>
    </row>
    <row r="61" spans="1:88" ht="15.75" thickBot="1" x14ac:dyDescent="0.3">
      <c r="A61" s="70" t="s">
        <v>75</v>
      </c>
      <c r="B61" s="71">
        <f>SUM(B11:B59)</f>
        <v>772.00000000000011</v>
      </c>
      <c r="C61" s="71">
        <f t="shared" ref="C61:AG61" si="20">SUM(C11:C59)</f>
        <v>772.00000000000011</v>
      </c>
      <c r="D61" s="71">
        <f t="shared" si="20"/>
        <v>772.00000000000011</v>
      </c>
      <c r="E61" s="71">
        <f t="shared" si="20"/>
        <v>778.3599999999999</v>
      </c>
      <c r="F61" s="71">
        <f t="shared" ref="F61:G61" si="21">SUM(F11:F59)</f>
        <v>777.76</v>
      </c>
      <c r="G61" s="71">
        <f t="shared" si="21"/>
        <v>778.45999999999992</v>
      </c>
      <c r="H61" s="71">
        <f t="shared" ref="H61:I61" si="22">SUM(H11:H59)</f>
        <v>779.56</v>
      </c>
      <c r="I61" s="71">
        <f t="shared" si="22"/>
        <v>779.56</v>
      </c>
      <c r="J61" s="71">
        <f t="shared" si="20"/>
        <v>733.59</v>
      </c>
      <c r="K61" s="71">
        <f t="shared" ref="K61" si="23">SUM(K11:K59)</f>
        <v>734</v>
      </c>
      <c r="L61" s="71">
        <f t="shared" si="20"/>
        <v>734</v>
      </c>
      <c r="M61" s="71">
        <f t="shared" si="20"/>
        <v>753.80000000000007</v>
      </c>
      <c r="N61" s="71">
        <f t="shared" si="20"/>
        <v>750.9</v>
      </c>
      <c r="O61" s="71">
        <f t="shared" si="20"/>
        <v>757.5</v>
      </c>
      <c r="P61" s="71">
        <f t="shared" ref="P61" si="24">SUM(P11:P59)</f>
        <v>758.1</v>
      </c>
      <c r="Q61" s="71">
        <f t="shared" si="20"/>
        <v>758.1</v>
      </c>
      <c r="R61" s="71">
        <f t="shared" ref="R61" si="25">SUM(R11:R59)</f>
        <v>734.2</v>
      </c>
      <c r="S61" s="71">
        <f t="shared" si="20"/>
        <v>734.2</v>
      </c>
      <c r="T61" s="71">
        <f t="shared" si="20"/>
        <v>734.2</v>
      </c>
      <c r="U61" s="71">
        <f t="shared" si="20"/>
        <v>734.2</v>
      </c>
      <c r="V61" s="71">
        <f t="shared" si="20"/>
        <v>734.2</v>
      </c>
      <c r="W61" s="71">
        <f t="shared" si="20"/>
        <v>734.2</v>
      </c>
      <c r="X61" s="71">
        <f t="shared" si="20"/>
        <v>734.2</v>
      </c>
      <c r="Y61" s="71">
        <f t="shared" si="20"/>
        <v>734.2</v>
      </c>
      <c r="Z61" s="71">
        <f t="shared" si="20"/>
        <v>734.2</v>
      </c>
      <c r="AA61" s="71">
        <v>734.2</v>
      </c>
      <c r="AB61" s="71">
        <v>734.2</v>
      </c>
      <c r="AC61" s="71">
        <v>734.2</v>
      </c>
      <c r="AD61" s="71">
        <v>734.2</v>
      </c>
      <c r="AE61" s="71">
        <v>734.2</v>
      </c>
      <c r="AF61" s="71">
        <v>734.2</v>
      </c>
      <c r="AG61" s="71">
        <f t="shared" si="20"/>
        <v>1466.0300000000002</v>
      </c>
      <c r="AH61" s="48">
        <f t="shared" si="2"/>
        <v>779.56</v>
      </c>
      <c r="AI61" s="49">
        <f t="shared" si="3"/>
        <v>733.59</v>
      </c>
      <c r="AK61" s="51"/>
    </row>
    <row r="62" spans="1:88" x14ac:dyDescent="0.25">
      <c r="A62" s="73" t="s">
        <v>76</v>
      </c>
      <c r="B62" s="46">
        <v>289</v>
      </c>
      <c r="C62" s="46">
        <v>260</v>
      </c>
      <c r="D62" s="46">
        <v>260</v>
      </c>
      <c r="E62" s="46">
        <v>241</v>
      </c>
      <c r="F62" s="46">
        <v>236</v>
      </c>
      <c r="G62" s="46">
        <v>236</v>
      </c>
      <c r="H62" s="46">
        <v>221</v>
      </c>
      <c r="I62" s="46">
        <v>312</v>
      </c>
      <c r="J62" s="46">
        <v>259</v>
      </c>
      <c r="K62" s="46">
        <v>344</v>
      </c>
      <c r="L62" s="46">
        <v>311.2</v>
      </c>
      <c r="M62" s="46">
        <v>139</v>
      </c>
      <c r="N62" s="74">
        <v>440</v>
      </c>
      <c r="O62" s="74">
        <v>457.8</v>
      </c>
      <c r="P62" s="74">
        <v>60</v>
      </c>
      <c r="Q62" s="74">
        <v>30</v>
      </c>
      <c r="R62" s="74">
        <v>86.7</v>
      </c>
      <c r="S62" s="74">
        <v>90</v>
      </c>
      <c r="T62" s="74">
        <v>160</v>
      </c>
      <c r="U62" s="74">
        <v>197</v>
      </c>
      <c r="V62" s="74">
        <v>347</v>
      </c>
      <c r="W62" s="74">
        <v>347</v>
      </c>
      <c r="X62" s="74">
        <v>272</v>
      </c>
      <c r="Y62" s="74">
        <v>368</v>
      </c>
      <c r="Z62" s="74">
        <v>456</v>
      </c>
      <c r="AA62" s="46">
        <v>456</v>
      </c>
      <c r="AB62" s="46">
        <v>458.2</v>
      </c>
      <c r="AC62" s="46">
        <v>458.2</v>
      </c>
      <c r="AD62" s="46">
        <v>446.1</v>
      </c>
      <c r="AE62" s="46">
        <v>410</v>
      </c>
      <c r="AF62" s="46">
        <v>364.1</v>
      </c>
      <c r="AG62" s="61">
        <v>456</v>
      </c>
      <c r="AH62" s="48">
        <f t="shared" si="2"/>
        <v>458.2</v>
      </c>
      <c r="AI62" s="49">
        <f t="shared" si="3"/>
        <v>30</v>
      </c>
      <c r="AK62" s="51"/>
    </row>
    <row r="63" spans="1:88" x14ac:dyDescent="0.25">
      <c r="A63" s="75" t="s">
        <v>77</v>
      </c>
      <c r="B63" s="76">
        <v>55</v>
      </c>
      <c r="C63" s="76">
        <v>55</v>
      </c>
      <c r="D63" s="76">
        <v>55</v>
      </c>
      <c r="E63" s="76">
        <v>55</v>
      </c>
      <c r="F63" s="76">
        <v>55</v>
      </c>
      <c r="G63" s="76">
        <v>55</v>
      </c>
      <c r="H63" s="76">
        <v>55</v>
      </c>
      <c r="I63" s="76">
        <v>55</v>
      </c>
      <c r="J63" s="76">
        <v>55</v>
      </c>
      <c r="K63" s="76">
        <v>55</v>
      </c>
      <c r="L63" s="76">
        <v>55</v>
      </c>
      <c r="M63" s="76">
        <v>55</v>
      </c>
      <c r="N63" s="76">
        <v>55</v>
      </c>
      <c r="O63" s="76">
        <v>55</v>
      </c>
      <c r="P63" s="76">
        <v>55</v>
      </c>
      <c r="Q63" s="76">
        <v>55</v>
      </c>
      <c r="R63" s="76">
        <v>31</v>
      </c>
      <c r="S63" s="76">
        <v>31</v>
      </c>
      <c r="T63" s="76">
        <v>31</v>
      </c>
      <c r="U63" s="76">
        <v>31</v>
      </c>
      <c r="V63" s="76">
        <v>31</v>
      </c>
      <c r="W63" s="76">
        <v>31</v>
      </c>
      <c r="X63" s="76">
        <v>31</v>
      </c>
      <c r="Y63" s="76">
        <v>31</v>
      </c>
      <c r="Z63" s="76">
        <v>31</v>
      </c>
      <c r="AA63" s="76">
        <v>31</v>
      </c>
      <c r="AB63" s="76">
        <v>31</v>
      </c>
      <c r="AC63" s="76">
        <v>29</v>
      </c>
      <c r="AD63" s="76">
        <v>29</v>
      </c>
      <c r="AE63" s="76">
        <v>29</v>
      </c>
      <c r="AF63" s="76">
        <v>29</v>
      </c>
      <c r="AG63" s="66">
        <v>60</v>
      </c>
      <c r="AH63" s="48">
        <f t="shared" si="2"/>
        <v>55</v>
      </c>
      <c r="AI63" s="49">
        <f t="shared" si="3"/>
        <v>29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22.5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6">SUM(B62:B64)</f>
        <v>366.6</v>
      </c>
      <c r="C65" s="71">
        <f t="shared" si="26"/>
        <v>337.6</v>
      </c>
      <c r="D65" s="71">
        <f t="shared" si="26"/>
        <v>337.6</v>
      </c>
      <c r="E65" s="71">
        <f t="shared" si="26"/>
        <v>318.60000000000002</v>
      </c>
      <c r="F65" s="71">
        <f t="shared" si="26"/>
        <v>313.60000000000002</v>
      </c>
      <c r="G65" s="71">
        <f t="shared" ref="G65:H65" si="27">SUM(G62:G64)</f>
        <v>313.60000000000002</v>
      </c>
      <c r="H65" s="71">
        <f t="shared" si="27"/>
        <v>298.60000000000002</v>
      </c>
      <c r="I65" s="71">
        <f t="shared" ref="I65" si="28">SUM(I62:I64)</f>
        <v>389.6</v>
      </c>
      <c r="J65" s="71">
        <f t="shared" si="26"/>
        <v>336.6</v>
      </c>
      <c r="K65" s="71">
        <f t="shared" si="26"/>
        <v>421.6</v>
      </c>
      <c r="L65" s="71">
        <f t="shared" si="26"/>
        <v>388.7</v>
      </c>
      <c r="M65" s="71">
        <f t="shared" si="26"/>
        <v>216.6</v>
      </c>
      <c r="N65" s="71">
        <f t="shared" si="26"/>
        <v>517.6</v>
      </c>
      <c r="O65" s="71">
        <f t="shared" si="26"/>
        <v>535.4</v>
      </c>
      <c r="P65" s="71">
        <f t="shared" ref="P65" si="29">SUM(P62:P64)</f>
        <v>137.6</v>
      </c>
      <c r="Q65" s="71">
        <f t="shared" si="26"/>
        <v>107.6</v>
      </c>
      <c r="R65" s="71">
        <f t="shared" ref="R65" si="30">SUM(R62:R64)</f>
        <v>140.30000000000001</v>
      </c>
      <c r="S65" s="71">
        <f t="shared" si="26"/>
        <v>143.6</v>
      </c>
      <c r="T65" s="71">
        <f t="shared" si="26"/>
        <v>213.6</v>
      </c>
      <c r="U65" s="71">
        <f>SUM(U62:U64)</f>
        <v>250.6</v>
      </c>
      <c r="V65" s="71">
        <f t="shared" si="26"/>
        <v>400.6</v>
      </c>
      <c r="W65" s="71">
        <f t="shared" si="26"/>
        <v>400.6</v>
      </c>
      <c r="X65" s="71">
        <f t="shared" si="26"/>
        <v>325.60000000000002</v>
      </c>
      <c r="Y65" s="71">
        <f t="shared" si="26"/>
        <v>421.6</v>
      </c>
      <c r="Z65" s="71">
        <f t="shared" si="26"/>
        <v>509.6</v>
      </c>
      <c r="AA65" s="71">
        <v>509.6</v>
      </c>
      <c r="AB65" s="71">
        <v>509.6</v>
      </c>
      <c r="AC65" s="71">
        <v>509.6</v>
      </c>
      <c r="AD65" s="71">
        <v>509.6</v>
      </c>
      <c r="AE65" s="71">
        <v>509.6</v>
      </c>
      <c r="AF65" s="71">
        <v>509.6</v>
      </c>
      <c r="AG65" s="72">
        <f t="shared" si="26"/>
        <v>538.1</v>
      </c>
      <c r="AH65" s="48">
        <f t="shared" si="2"/>
        <v>535.4</v>
      </c>
      <c r="AI65" s="49">
        <f t="shared" si="3"/>
        <v>107.6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143</v>
      </c>
      <c r="C66" s="46">
        <v>143</v>
      </c>
      <c r="D66" s="46">
        <v>130</v>
      </c>
      <c r="E66" s="46">
        <v>101.5</v>
      </c>
      <c r="F66" s="46">
        <v>101.5</v>
      </c>
      <c r="G66" s="46">
        <v>101.5</v>
      </c>
      <c r="H66" s="46">
        <v>101.5</v>
      </c>
      <c r="I66" s="46">
        <v>101.5</v>
      </c>
      <c r="J66" s="46">
        <v>101.5</v>
      </c>
      <c r="K66" s="46">
        <v>101.5</v>
      </c>
      <c r="L66" s="46">
        <v>120.2</v>
      </c>
      <c r="M66" s="46">
        <v>92.1</v>
      </c>
      <c r="N66" s="46">
        <v>110.7</v>
      </c>
      <c r="O66" s="46">
        <v>111.5</v>
      </c>
      <c r="P66" s="46">
        <v>111.5</v>
      </c>
      <c r="Q66" s="46">
        <v>121.7</v>
      </c>
      <c r="R66" s="46">
        <v>121.3</v>
      </c>
      <c r="S66" s="46">
        <v>101.5</v>
      </c>
      <c r="T66" s="46">
        <v>122</v>
      </c>
      <c r="U66" s="46">
        <v>122</v>
      </c>
      <c r="V66" s="46">
        <v>122</v>
      </c>
      <c r="W66" s="46">
        <v>101</v>
      </c>
      <c r="X66" s="46">
        <v>91</v>
      </c>
      <c r="Y66" s="46">
        <v>120</v>
      </c>
      <c r="Z66" s="46">
        <v>142.5</v>
      </c>
      <c r="AA66" s="46">
        <v>142.5</v>
      </c>
      <c r="AB66" s="46">
        <v>142.5</v>
      </c>
      <c r="AC66" s="46">
        <v>142.5</v>
      </c>
      <c r="AD66" s="46">
        <v>144</v>
      </c>
      <c r="AE66" s="46">
        <v>144</v>
      </c>
      <c r="AF66" s="46">
        <v>144</v>
      </c>
      <c r="AG66" s="61">
        <v>144</v>
      </c>
      <c r="AH66" s="48">
        <f t="shared" si="2"/>
        <v>144</v>
      </c>
      <c r="AI66" s="49">
        <f t="shared" si="3"/>
        <v>91</v>
      </c>
      <c r="AK66" s="51"/>
      <c r="AY66" s="1" t="s">
        <v>86</v>
      </c>
      <c r="AZ66" s="82">
        <f>ROUND(C84,0)</f>
        <v>13</v>
      </c>
      <c r="BA66" s="81">
        <f t="shared" ref="BA66:BD70" si="31">D84</f>
        <v>13</v>
      </c>
      <c r="BB66" s="81">
        <f t="shared" si="31"/>
        <v>13.9</v>
      </c>
      <c r="BC66" s="81">
        <f t="shared" si="31"/>
        <v>13</v>
      </c>
      <c r="BD66" s="81">
        <f t="shared" si="31"/>
        <v>25.6</v>
      </c>
      <c r="BE66" s="82">
        <f>I84</f>
        <v>10.5</v>
      </c>
      <c r="BF66" s="82">
        <f>K84</f>
        <v>43.2</v>
      </c>
      <c r="BG66" s="82">
        <f t="shared" ref="BG66:BP70" si="32">M84</f>
        <v>47</v>
      </c>
      <c r="BH66" s="82">
        <f t="shared" si="32"/>
        <v>46</v>
      </c>
      <c r="BI66" s="82">
        <f t="shared" si="32"/>
        <v>58.9</v>
      </c>
      <c r="BJ66" s="82">
        <f t="shared" si="32"/>
        <v>64</v>
      </c>
      <c r="BK66" s="82">
        <f t="shared" si="32"/>
        <v>66</v>
      </c>
      <c r="BL66" s="82">
        <f t="shared" si="32"/>
        <v>62.1</v>
      </c>
      <c r="BM66" s="82">
        <f t="shared" si="32"/>
        <v>69.599999999999994</v>
      </c>
      <c r="BN66" s="82">
        <f t="shared" si="32"/>
        <v>62</v>
      </c>
      <c r="BO66" s="82">
        <f t="shared" si="32"/>
        <v>60</v>
      </c>
      <c r="BP66" s="82">
        <f t="shared" si="32"/>
        <v>64</v>
      </c>
      <c r="BQ66" s="82">
        <f>X84</f>
        <v>67.400000000000006</v>
      </c>
      <c r="BR66" s="82">
        <f>Z84</f>
        <v>22.4</v>
      </c>
      <c r="BS66" s="81">
        <f>AB84</f>
        <v>27.9</v>
      </c>
      <c r="BT66" s="81">
        <f t="shared" ref="BT66:BV70" si="33">AD84</f>
        <v>17.100000000000001</v>
      </c>
      <c r="BU66" s="81">
        <f t="shared" si="33"/>
        <v>25.1</v>
      </c>
      <c r="BV66" s="81">
        <f t="shared" si="33"/>
        <v>21.6</v>
      </c>
      <c r="BW66" s="81">
        <f>B84</f>
        <v>14</v>
      </c>
    </row>
    <row r="67" spans="1:75" x14ac:dyDescent="0.25">
      <c r="A67" s="65" t="s">
        <v>81</v>
      </c>
      <c r="B67" s="76">
        <v>71.7</v>
      </c>
      <c r="C67" s="76">
        <v>71.7</v>
      </c>
      <c r="D67" s="76">
        <v>71.7</v>
      </c>
      <c r="E67" s="76">
        <v>70</v>
      </c>
      <c r="F67" s="76">
        <v>70</v>
      </c>
      <c r="G67" s="76">
        <v>70</v>
      </c>
      <c r="H67" s="76">
        <v>70</v>
      </c>
      <c r="I67" s="76">
        <v>70</v>
      </c>
      <c r="J67" s="76">
        <v>70</v>
      </c>
      <c r="K67" s="76">
        <v>70</v>
      </c>
      <c r="L67" s="76">
        <v>70</v>
      </c>
      <c r="M67" s="76">
        <v>70</v>
      </c>
      <c r="N67" s="76">
        <v>70.3</v>
      </c>
      <c r="O67" s="76">
        <v>70.3</v>
      </c>
      <c r="P67" s="76">
        <v>70.3</v>
      </c>
      <c r="Q67" s="76">
        <v>70.2</v>
      </c>
      <c r="R67" s="76">
        <v>71.3</v>
      </c>
      <c r="S67" s="76">
        <v>71.3</v>
      </c>
      <c r="T67" s="76">
        <v>71.3</v>
      </c>
      <c r="U67" s="76">
        <v>71.3</v>
      </c>
      <c r="V67" s="76">
        <v>71.3</v>
      </c>
      <c r="W67" s="76">
        <v>71.3</v>
      </c>
      <c r="X67" s="76">
        <v>71.3</v>
      </c>
      <c r="Y67" s="76">
        <v>71.3</v>
      </c>
      <c r="Z67" s="76">
        <v>71.3</v>
      </c>
      <c r="AA67" s="46">
        <v>71.3</v>
      </c>
      <c r="AB67" s="46">
        <v>71.3</v>
      </c>
      <c r="AC67" s="46">
        <v>71.3</v>
      </c>
      <c r="AD67" s="46">
        <v>70.8</v>
      </c>
      <c r="AE67" s="46">
        <v>70.8</v>
      </c>
      <c r="AF67" s="46">
        <v>70.8</v>
      </c>
      <c r="AG67" s="66">
        <v>70</v>
      </c>
      <c r="AH67" s="48">
        <f t="shared" si="2"/>
        <v>71.7</v>
      </c>
      <c r="AI67" s="49">
        <f t="shared" si="3"/>
        <v>70</v>
      </c>
      <c r="AK67" s="51"/>
      <c r="AY67" s="1" t="s">
        <v>88</v>
      </c>
      <c r="AZ67" s="82">
        <f>ROUND(C85,0)</f>
        <v>0</v>
      </c>
      <c r="BA67" s="81">
        <f t="shared" si="31"/>
        <v>0</v>
      </c>
      <c r="BB67" s="81">
        <f t="shared" si="31"/>
        <v>0</v>
      </c>
      <c r="BC67" s="81">
        <f t="shared" si="31"/>
        <v>0</v>
      </c>
      <c r="BD67" s="81">
        <f t="shared" si="31"/>
        <v>0</v>
      </c>
      <c r="BE67" s="82">
        <f>I85</f>
        <v>0</v>
      </c>
      <c r="BF67" s="82">
        <f>K85</f>
        <v>0</v>
      </c>
      <c r="BG67" s="82">
        <f t="shared" si="32"/>
        <v>0</v>
      </c>
      <c r="BH67" s="82">
        <f t="shared" si="32"/>
        <v>0</v>
      </c>
      <c r="BI67" s="82">
        <f t="shared" si="32"/>
        <v>0</v>
      </c>
      <c r="BJ67" s="82">
        <f t="shared" si="32"/>
        <v>0</v>
      </c>
      <c r="BK67" s="82">
        <f t="shared" si="32"/>
        <v>0</v>
      </c>
      <c r="BL67" s="82">
        <f t="shared" si="32"/>
        <v>0</v>
      </c>
      <c r="BM67" s="82">
        <f t="shared" si="32"/>
        <v>0</v>
      </c>
      <c r="BN67" s="82">
        <f t="shared" si="32"/>
        <v>0</v>
      </c>
      <c r="BO67" s="82">
        <f t="shared" si="32"/>
        <v>0</v>
      </c>
      <c r="BP67" s="82">
        <f t="shared" si="32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3"/>
        <v>0</v>
      </c>
      <c r="BU67" s="81">
        <f t="shared" si="33"/>
        <v>0</v>
      </c>
      <c r="BV67" s="81">
        <f t="shared" si="33"/>
        <v>0</v>
      </c>
      <c r="BW67" s="81">
        <f>B85</f>
        <v>0</v>
      </c>
    </row>
    <row r="68" spans="1:75" x14ac:dyDescent="0.25">
      <c r="A68" s="65" t="s">
        <v>82</v>
      </c>
      <c r="B68" s="76">
        <v>68.8</v>
      </c>
      <c r="C68" s="76">
        <v>68.8</v>
      </c>
      <c r="D68" s="76">
        <v>68.8</v>
      </c>
      <c r="E68" s="76">
        <v>68.2</v>
      </c>
      <c r="F68" s="76">
        <v>68.2</v>
      </c>
      <c r="G68" s="76">
        <v>68.2</v>
      </c>
      <c r="H68" s="76">
        <v>68.2</v>
      </c>
      <c r="I68" s="76">
        <v>68.2</v>
      </c>
      <c r="J68" s="76">
        <v>68.2</v>
      </c>
      <c r="K68" s="76">
        <v>68.2</v>
      </c>
      <c r="L68" s="76">
        <v>68</v>
      </c>
      <c r="M68" s="76">
        <v>68</v>
      </c>
      <c r="N68" s="76">
        <v>69.400000000000006</v>
      </c>
      <c r="O68" s="76">
        <v>69.400000000000006</v>
      </c>
      <c r="P68" s="76">
        <v>69.400000000000006</v>
      </c>
      <c r="Q68" s="76">
        <v>69.7</v>
      </c>
      <c r="R68" s="76">
        <v>69.400000000000006</v>
      </c>
      <c r="S68" s="76">
        <v>69.400000000000006</v>
      </c>
      <c r="T68" s="76">
        <v>69.400000000000006</v>
      </c>
      <c r="U68" s="76">
        <v>69.400000000000006</v>
      </c>
      <c r="V68" s="76">
        <v>69.400000000000006</v>
      </c>
      <c r="W68" s="76">
        <v>69.400000000000006</v>
      </c>
      <c r="X68" s="76">
        <v>69.400000000000006</v>
      </c>
      <c r="Y68" s="76">
        <v>69.400000000000006</v>
      </c>
      <c r="Z68" s="76">
        <v>69.400000000000006</v>
      </c>
      <c r="AA68" s="46">
        <v>69.400000000000006</v>
      </c>
      <c r="AB68" s="46">
        <v>69.400000000000006</v>
      </c>
      <c r="AC68" s="46">
        <v>69.400000000000006</v>
      </c>
      <c r="AD68" s="46">
        <v>69.400000000000006</v>
      </c>
      <c r="AE68" s="46">
        <v>69.400000000000006</v>
      </c>
      <c r="AF68" s="46">
        <v>69.400000000000006</v>
      </c>
      <c r="AG68" s="66">
        <v>69</v>
      </c>
      <c r="AH68" s="48">
        <f t="shared" si="2"/>
        <v>69.7</v>
      </c>
      <c r="AI68" s="49">
        <f t="shared" si="3"/>
        <v>68</v>
      </c>
      <c r="AK68" s="51"/>
      <c r="AL68" s="83"/>
      <c r="AO68" s="83"/>
      <c r="AY68" s="1" t="s">
        <v>90</v>
      </c>
      <c r="AZ68" s="82">
        <f>ROUND(C86,0)</f>
        <v>-110</v>
      </c>
      <c r="BA68" s="81">
        <f t="shared" si="31"/>
        <v>-112</v>
      </c>
      <c r="BB68" s="81">
        <f t="shared" si="31"/>
        <v>-106</v>
      </c>
      <c r="BC68" s="81">
        <f t="shared" si="31"/>
        <v>-110</v>
      </c>
      <c r="BD68" s="81">
        <f t="shared" si="31"/>
        <v>-116</v>
      </c>
      <c r="BE68" s="82">
        <f>I86</f>
        <v>-99</v>
      </c>
      <c r="BF68" s="82">
        <f>K86</f>
        <v>-112.9</v>
      </c>
      <c r="BG68" s="82">
        <f t="shared" si="32"/>
        <v>179</v>
      </c>
      <c r="BH68" s="82">
        <f t="shared" si="32"/>
        <v>-126.5</v>
      </c>
      <c r="BI68" s="82">
        <f t="shared" si="32"/>
        <v>-108</v>
      </c>
      <c r="BJ68" s="82">
        <f t="shared" si="32"/>
        <v>322</v>
      </c>
      <c r="BK68" s="82">
        <f t="shared" si="32"/>
        <v>321</v>
      </c>
      <c r="BL68" s="82">
        <f t="shared" si="32"/>
        <v>320.60000000000002</v>
      </c>
      <c r="BM68" s="82">
        <f t="shared" si="32"/>
        <v>328</v>
      </c>
      <c r="BN68" s="82">
        <f t="shared" si="32"/>
        <v>216</v>
      </c>
      <c r="BO68" s="82">
        <f t="shared" si="32"/>
        <v>150</v>
      </c>
      <c r="BP68" s="82">
        <f t="shared" si="32"/>
        <v>-28</v>
      </c>
      <c r="BQ68" s="82">
        <f>X86</f>
        <v>-14</v>
      </c>
      <c r="BR68" s="82">
        <f>Z86</f>
        <v>-112</v>
      </c>
      <c r="BS68" s="81">
        <f>AB86</f>
        <v>-110.1</v>
      </c>
      <c r="BT68" s="81">
        <f t="shared" si="33"/>
        <v>-106.4</v>
      </c>
      <c r="BU68" s="81">
        <f t="shared" si="33"/>
        <v>-115.4</v>
      </c>
      <c r="BV68" s="81">
        <f t="shared" si="33"/>
        <v>-112.4</v>
      </c>
      <c r="BW68" s="81">
        <f>B86</f>
        <v>-115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60.4</v>
      </c>
      <c r="F69" s="76">
        <v>60.4</v>
      </c>
      <c r="G69" s="76">
        <v>60.4</v>
      </c>
      <c r="H69" s="76">
        <v>60.4</v>
      </c>
      <c r="I69" s="76">
        <v>60.4</v>
      </c>
      <c r="J69" s="76">
        <v>60.4</v>
      </c>
      <c r="K69" s="76">
        <v>60.4</v>
      </c>
      <c r="L69" s="68">
        <v>60.4</v>
      </c>
      <c r="M69" s="68">
        <v>60.4</v>
      </c>
      <c r="N69" s="76">
        <v>60.4</v>
      </c>
      <c r="O69" s="76">
        <v>60.4</v>
      </c>
      <c r="P69" s="76">
        <v>60.4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46">
        <v>60.4</v>
      </c>
      <c r="AB69" s="46">
        <v>60.4</v>
      </c>
      <c r="AC69" s="46">
        <v>60.4</v>
      </c>
      <c r="AD69" s="46">
        <v>60.4</v>
      </c>
      <c r="AE69" s="46">
        <v>60.4</v>
      </c>
      <c r="AF69" s="46">
        <v>60.4</v>
      </c>
      <c r="AG69" s="66">
        <v>60</v>
      </c>
      <c r="AH69" s="48">
        <f t="shared" si="2"/>
        <v>60.4</v>
      </c>
      <c r="AI69" s="49">
        <f t="shared" si="3"/>
        <v>60.4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1"/>
        <v>0</v>
      </c>
      <c r="BB69" s="81">
        <f t="shared" si="31"/>
        <v>0</v>
      </c>
      <c r="BC69" s="81">
        <f t="shared" si="31"/>
        <v>0</v>
      </c>
      <c r="BD69" s="81">
        <f t="shared" si="31"/>
        <v>0</v>
      </c>
      <c r="BE69" s="82">
        <f>I87</f>
        <v>0</v>
      </c>
      <c r="BF69" s="82">
        <f>K87</f>
        <v>29.1</v>
      </c>
      <c r="BG69" s="82">
        <f t="shared" si="32"/>
        <v>31.7</v>
      </c>
      <c r="BH69" s="82">
        <f t="shared" si="32"/>
        <v>34.9</v>
      </c>
      <c r="BI69" s="82">
        <f t="shared" si="32"/>
        <v>32.200000000000003</v>
      </c>
      <c r="BJ69" s="82">
        <f t="shared" si="32"/>
        <v>29.5</v>
      </c>
      <c r="BK69" s="82">
        <f t="shared" si="32"/>
        <v>29.1</v>
      </c>
      <c r="BL69" s="82">
        <f t="shared" si="32"/>
        <v>29.2</v>
      </c>
      <c r="BM69" s="82">
        <f t="shared" si="32"/>
        <v>31</v>
      </c>
      <c r="BN69" s="82">
        <f t="shared" si="32"/>
        <v>34</v>
      </c>
      <c r="BO69" s="82">
        <f t="shared" si="32"/>
        <v>34</v>
      </c>
      <c r="BP69" s="82">
        <f t="shared" si="32"/>
        <v>36</v>
      </c>
      <c r="BQ69" s="82">
        <f>X87</f>
        <v>26</v>
      </c>
      <c r="BR69" s="82">
        <f>Z87</f>
        <v>0</v>
      </c>
      <c r="BS69" s="81">
        <f>AB87</f>
        <v>0</v>
      </c>
      <c r="BT69" s="81">
        <f t="shared" si="33"/>
        <v>0</v>
      </c>
      <c r="BU69" s="81">
        <f t="shared" si="33"/>
        <v>0</v>
      </c>
      <c r="BV69" s="81">
        <f t="shared" si="33"/>
        <v>0</v>
      </c>
      <c r="BW69" s="81">
        <f>B87</f>
        <v>0</v>
      </c>
    </row>
    <row r="70" spans="1:75" x14ac:dyDescent="0.25">
      <c r="A70" s="65" t="s">
        <v>84</v>
      </c>
      <c r="B70" s="46">
        <v>15</v>
      </c>
      <c r="C70" s="46">
        <v>15</v>
      </c>
      <c r="D70" s="46">
        <v>15</v>
      </c>
      <c r="E70" s="76">
        <v>10.7</v>
      </c>
      <c r="F70" s="76">
        <v>10.7</v>
      </c>
      <c r="G70" s="76">
        <v>10.1</v>
      </c>
      <c r="H70" s="76">
        <v>10.1</v>
      </c>
      <c r="I70" s="76">
        <v>10.1</v>
      </c>
      <c r="J70" s="76">
        <v>10.1</v>
      </c>
      <c r="K70" s="76">
        <v>10.1</v>
      </c>
      <c r="L70" s="68">
        <v>10.199999999999999</v>
      </c>
      <c r="M70" s="68">
        <v>10.199999999999999</v>
      </c>
      <c r="N70" s="76">
        <v>10.87</v>
      </c>
      <c r="O70" s="76">
        <v>10.87</v>
      </c>
      <c r="P70" s="76">
        <v>10.87</v>
      </c>
      <c r="Q70" s="76">
        <v>10.6</v>
      </c>
      <c r="R70" s="76">
        <v>14.8</v>
      </c>
      <c r="S70" s="76">
        <v>14.8</v>
      </c>
      <c r="T70" s="76">
        <v>10</v>
      </c>
      <c r="U70" s="76">
        <v>10</v>
      </c>
      <c r="V70" s="76">
        <v>24</v>
      </c>
      <c r="W70" s="76">
        <v>24</v>
      </c>
      <c r="X70" s="76">
        <v>24</v>
      </c>
      <c r="Y70" s="76">
        <v>24</v>
      </c>
      <c r="Z70" s="76">
        <v>22</v>
      </c>
      <c r="AA70" s="46">
        <v>22</v>
      </c>
      <c r="AB70" s="46">
        <v>23.2</v>
      </c>
      <c r="AC70" s="46">
        <v>24.7</v>
      </c>
      <c r="AD70" s="46">
        <v>24.7</v>
      </c>
      <c r="AE70" s="46">
        <v>14.9</v>
      </c>
      <c r="AF70" s="46">
        <v>14.9</v>
      </c>
      <c r="AG70" s="66">
        <v>30</v>
      </c>
      <c r="AH70" s="48">
        <f t="shared" si="2"/>
        <v>24.7</v>
      </c>
      <c r="AI70" s="49">
        <f t="shared" si="3"/>
        <v>10</v>
      </c>
      <c r="AK70" s="51"/>
      <c r="AY70" s="1" t="s">
        <v>94</v>
      </c>
      <c r="AZ70" s="82">
        <f>ROUND(C88,0)</f>
        <v>0</v>
      </c>
      <c r="BA70" s="81">
        <f t="shared" si="31"/>
        <v>0</v>
      </c>
      <c r="BB70" s="81">
        <f t="shared" si="31"/>
        <v>0</v>
      </c>
      <c r="BC70" s="81">
        <f t="shared" si="31"/>
        <v>0</v>
      </c>
      <c r="BD70" s="81">
        <f t="shared" si="31"/>
        <v>0</v>
      </c>
      <c r="BE70" s="82">
        <f>I88</f>
        <v>0</v>
      </c>
      <c r="BF70" s="82">
        <f>K88</f>
        <v>107.8</v>
      </c>
      <c r="BG70" s="82">
        <f t="shared" si="32"/>
        <v>101.8</v>
      </c>
      <c r="BH70" s="82">
        <f t="shared" si="32"/>
        <v>111.4</v>
      </c>
      <c r="BI70" s="82">
        <f t="shared" si="32"/>
        <v>107.1</v>
      </c>
      <c r="BJ70" s="82">
        <f t="shared" si="32"/>
        <v>106.4</v>
      </c>
      <c r="BK70" s="82">
        <f t="shared" si="32"/>
        <v>125</v>
      </c>
      <c r="BL70" s="82">
        <f t="shared" si="32"/>
        <v>135</v>
      </c>
      <c r="BM70" s="82">
        <f t="shared" si="32"/>
        <v>114</v>
      </c>
      <c r="BN70" s="82">
        <f t="shared" si="32"/>
        <v>129</v>
      </c>
      <c r="BO70" s="82">
        <f t="shared" si="32"/>
        <v>129</v>
      </c>
      <c r="BP70" s="82">
        <f t="shared" si="32"/>
        <v>89</v>
      </c>
      <c r="BQ70" s="82">
        <f>X88</f>
        <v>76</v>
      </c>
      <c r="BR70" s="82">
        <f>Z88</f>
        <v>0</v>
      </c>
      <c r="BS70" s="81">
        <f>AB88</f>
        <v>0</v>
      </c>
      <c r="BT70" s="81">
        <f t="shared" si="33"/>
        <v>0</v>
      </c>
      <c r="BU70" s="81">
        <f t="shared" si="33"/>
        <v>0</v>
      </c>
      <c r="BV70" s="81">
        <f t="shared" si="33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76">
        <v>0</v>
      </c>
      <c r="M71" s="76">
        <v>0</v>
      </c>
      <c r="N71" s="76">
        <v>13.4</v>
      </c>
      <c r="O71" s="76">
        <v>16</v>
      </c>
      <c r="P71" s="76">
        <v>18.100000000000001</v>
      </c>
      <c r="Q71" s="76">
        <v>17.899999999999999</v>
      </c>
      <c r="R71" s="76">
        <v>17.7</v>
      </c>
      <c r="S71" s="76">
        <v>12.6</v>
      </c>
      <c r="T71" s="76">
        <v>12.6</v>
      </c>
      <c r="U71" s="76">
        <v>12.6</v>
      </c>
      <c r="V71" s="76">
        <v>2.5</v>
      </c>
      <c r="W71" s="76">
        <v>1.4</v>
      </c>
      <c r="X71" s="76">
        <v>0.4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18.100000000000001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4">M94</f>
        <v>0</v>
      </c>
      <c r="BH71" s="82">
        <f t="shared" si="34"/>
        <v>0</v>
      </c>
      <c r="BI71" s="82">
        <f t="shared" si="34"/>
        <v>0</v>
      </c>
      <c r="BJ71" s="82">
        <f t="shared" si="34"/>
        <v>0</v>
      </c>
      <c r="BK71" s="82">
        <f t="shared" si="34"/>
        <v>0</v>
      </c>
      <c r="BL71" s="82">
        <f t="shared" si="34"/>
        <v>0</v>
      </c>
      <c r="BM71" s="82">
        <f t="shared" si="34"/>
        <v>0</v>
      </c>
      <c r="BN71" s="82">
        <f t="shared" si="34"/>
        <v>0</v>
      </c>
      <c r="BO71" s="82">
        <f t="shared" si="34"/>
        <v>0</v>
      </c>
      <c r="BP71" s="82">
        <f t="shared" si="34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16</v>
      </c>
      <c r="C72" s="76">
        <v>16</v>
      </c>
      <c r="D72" s="76">
        <v>16</v>
      </c>
      <c r="E72" s="76">
        <v>15.5</v>
      </c>
      <c r="F72" s="76">
        <v>15.5</v>
      </c>
      <c r="G72" s="76">
        <v>15.5</v>
      </c>
      <c r="H72" s="76">
        <v>15.5</v>
      </c>
      <c r="I72" s="76">
        <v>15.5</v>
      </c>
      <c r="J72" s="76">
        <v>15.5</v>
      </c>
      <c r="K72" s="76">
        <v>15.5</v>
      </c>
      <c r="L72" s="76">
        <v>15.5</v>
      </c>
      <c r="M72" s="76">
        <v>15.5</v>
      </c>
      <c r="N72" s="76">
        <v>15.5</v>
      </c>
      <c r="O72" s="76">
        <v>15.5</v>
      </c>
      <c r="P72" s="76">
        <v>15.5</v>
      </c>
      <c r="Q72" s="76">
        <v>15.5</v>
      </c>
      <c r="R72" s="76">
        <v>15.7</v>
      </c>
      <c r="S72" s="76">
        <v>15.7</v>
      </c>
      <c r="T72" s="76">
        <v>15.7</v>
      </c>
      <c r="U72" s="76">
        <v>15.7</v>
      </c>
      <c r="V72" s="76">
        <v>15.7</v>
      </c>
      <c r="W72" s="76">
        <v>15.7</v>
      </c>
      <c r="X72" s="76">
        <v>15.7</v>
      </c>
      <c r="Y72" s="76">
        <v>15.7</v>
      </c>
      <c r="Z72" s="76">
        <v>15.7</v>
      </c>
      <c r="AA72" s="76">
        <v>15.7</v>
      </c>
      <c r="AB72" s="76">
        <v>15.7</v>
      </c>
      <c r="AC72" s="76">
        <v>15.7</v>
      </c>
      <c r="AD72" s="76">
        <v>15.7</v>
      </c>
      <c r="AE72" s="76">
        <v>15.7</v>
      </c>
      <c r="AF72" s="76">
        <v>15.7</v>
      </c>
      <c r="AG72" s="66">
        <v>24</v>
      </c>
      <c r="AH72" s="48">
        <f t="shared" si="2"/>
        <v>16</v>
      </c>
      <c r="AI72" s="49">
        <f t="shared" si="3"/>
        <v>15.5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35">VALUE(AZ66)</f>
        <v>13</v>
      </c>
      <c r="BA73" s="82">
        <f t="shared" si="35"/>
        <v>13</v>
      </c>
      <c r="BB73" s="82">
        <f t="shared" si="35"/>
        <v>13.9</v>
      </c>
      <c r="BC73" s="82">
        <f t="shared" si="35"/>
        <v>13</v>
      </c>
      <c r="BD73" s="82">
        <f t="shared" si="35"/>
        <v>25.6</v>
      </c>
      <c r="BE73" s="82">
        <f t="shared" si="35"/>
        <v>10.5</v>
      </c>
      <c r="BF73" s="82">
        <f t="shared" si="35"/>
        <v>43.2</v>
      </c>
      <c r="BG73" s="82">
        <f t="shared" si="35"/>
        <v>47</v>
      </c>
      <c r="BH73" s="82">
        <f t="shared" si="35"/>
        <v>46</v>
      </c>
      <c r="BI73" s="82">
        <f t="shared" si="35"/>
        <v>58.9</v>
      </c>
      <c r="BJ73" s="82">
        <f t="shared" si="35"/>
        <v>64</v>
      </c>
      <c r="BK73" s="82">
        <f t="shared" si="35"/>
        <v>66</v>
      </c>
      <c r="BL73" s="82">
        <f t="shared" si="35"/>
        <v>62.1</v>
      </c>
      <c r="BM73" s="82">
        <f t="shared" si="35"/>
        <v>69.599999999999994</v>
      </c>
      <c r="BN73" s="82">
        <f t="shared" si="35"/>
        <v>62</v>
      </c>
      <c r="BO73" s="82">
        <f t="shared" si="35"/>
        <v>60</v>
      </c>
      <c r="BP73" s="82">
        <f t="shared" si="35"/>
        <v>64</v>
      </c>
      <c r="BQ73" s="82">
        <f t="shared" si="35"/>
        <v>67.400000000000006</v>
      </c>
      <c r="BR73" s="82">
        <f t="shared" si="35"/>
        <v>22.4</v>
      </c>
      <c r="BS73" s="82">
        <f t="shared" si="35"/>
        <v>27.9</v>
      </c>
      <c r="BT73" s="82">
        <f t="shared" si="35"/>
        <v>17.100000000000001</v>
      </c>
      <c r="BU73" s="82">
        <f t="shared" si="35"/>
        <v>25.1</v>
      </c>
      <c r="BV73" s="82">
        <f t="shared" si="35"/>
        <v>21.6</v>
      </c>
      <c r="BW73" s="82">
        <f t="shared" si="35"/>
        <v>14</v>
      </c>
    </row>
    <row r="74" spans="1:75" x14ac:dyDescent="0.25">
      <c r="A74" s="65" t="s">
        <v>91</v>
      </c>
      <c r="B74" s="76">
        <v>12.9</v>
      </c>
      <c r="C74" s="76">
        <v>12.9</v>
      </c>
      <c r="D74" s="76">
        <v>12.9</v>
      </c>
      <c r="E74" s="76">
        <v>13.3</v>
      </c>
      <c r="F74" s="76">
        <v>13.3</v>
      </c>
      <c r="G74" s="76">
        <v>13.3</v>
      </c>
      <c r="H74" s="76">
        <v>13.3</v>
      </c>
      <c r="I74" s="76">
        <v>13.3</v>
      </c>
      <c r="J74" s="76">
        <v>13.3</v>
      </c>
      <c r="K74" s="76">
        <v>13.3</v>
      </c>
      <c r="L74" s="76">
        <v>12.8</v>
      </c>
      <c r="M74" s="76">
        <v>12.8</v>
      </c>
      <c r="N74" s="76">
        <v>12.8</v>
      </c>
      <c r="O74" s="76">
        <v>12.8</v>
      </c>
      <c r="P74" s="76">
        <v>12.8</v>
      </c>
      <c r="Q74" s="76">
        <v>12.8</v>
      </c>
      <c r="R74" s="76">
        <v>11.9</v>
      </c>
      <c r="S74" s="76">
        <v>11.9</v>
      </c>
      <c r="T74" s="76">
        <v>11.9</v>
      </c>
      <c r="U74" s="76">
        <v>11.9</v>
      </c>
      <c r="V74" s="76">
        <v>11.9</v>
      </c>
      <c r="W74" s="76">
        <v>11.9</v>
      </c>
      <c r="X74" s="76">
        <v>11.9</v>
      </c>
      <c r="Y74" s="76">
        <v>11.9</v>
      </c>
      <c r="Z74" s="76">
        <v>11.9</v>
      </c>
      <c r="AA74" s="76">
        <v>11.9</v>
      </c>
      <c r="AB74" s="76">
        <v>11.9</v>
      </c>
      <c r="AC74" s="76">
        <v>11.9</v>
      </c>
      <c r="AD74" s="76">
        <v>11.9</v>
      </c>
      <c r="AE74" s="76">
        <v>11.9</v>
      </c>
      <c r="AF74" s="76">
        <v>11.9</v>
      </c>
      <c r="AG74" s="66">
        <v>14.1</v>
      </c>
      <c r="AH74" s="48">
        <f t="shared" si="2"/>
        <v>13.3</v>
      </c>
      <c r="AI74" s="49">
        <f t="shared" si="3"/>
        <v>11.9</v>
      </c>
      <c r="AK74" s="51"/>
      <c r="AZ74" s="82">
        <f t="shared" si="35"/>
        <v>0</v>
      </c>
      <c r="BA74" s="82">
        <f t="shared" si="35"/>
        <v>0</v>
      </c>
      <c r="BB74" s="82">
        <f t="shared" si="35"/>
        <v>0</v>
      </c>
      <c r="BC74" s="82">
        <f t="shared" si="35"/>
        <v>0</v>
      </c>
      <c r="BD74" s="82">
        <f t="shared" si="35"/>
        <v>0</v>
      </c>
      <c r="BE74" s="82">
        <f t="shared" si="35"/>
        <v>0</v>
      </c>
      <c r="BF74" s="82">
        <f t="shared" si="35"/>
        <v>0</v>
      </c>
      <c r="BG74" s="82">
        <f t="shared" si="35"/>
        <v>0</v>
      </c>
      <c r="BH74" s="82">
        <f t="shared" si="35"/>
        <v>0</v>
      </c>
      <c r="BI74" s="82">
        <f t="shared" si="35"/>
        <v>0</v>
      </c>
      <c r="BJ74" s="82">
        <f t="shared" si="35"/>
        <v>0</v>
      </c>
      <c r="BK74" s="82">
        <f t="shared" si="35"/>
        <v>0</v>
      </c>
      <c r="BL74" s="82">
        <f t="shared" si="35"/>
        <v>0</v>
      </c>
      <c r="BM74" s="82">
        <f t="shared" si="35"/>
        <v>0</v>
      </c>
      <c r="BN74" s="82">
        <f t="shared" si="35"/>
        <v>0</v>
      </c>
      <c r="BO74" s="82">
        <f t="shared" si="35"/>
        <v>0</v>
      </c>
      <c r="BP74" s="82">
        <f t="shared" si="35"/>
        <v>0</v>
      </c>
      <c r="BQ74" s="82">
        <f t="shared" si="35"/>
        <v>0</v>
      </c>
      <c r="BR74" s="82">
        <f t="shared" si="35"/>
        <v>0</v>
      </c>
      <c r="BS74" s="82">
        <f t="shared" si="35"/>
        <v>0</v>
      </c>
      <c r="BT74" s="82">
        <f t="shared" si="35"/>
        <v>0</v>
      </c>
      <c r="BU74" s="82">
        <f t="shared" si="35"/>
        <v>0</v>
      </c>
      <c r="BV74" s="82">
        <f t="shared" si="35"/>
        <v>0</v>
      </c>
      <c r="BW74" s="82">
        <f t="shared" si="35"/>
        <v>0</v>
      </c>
    </row>
    <row r="75" spans="1:75" x14ac:dyDescent="0.25">
      <c r="A75" s="84" t="s">
        <v>93</v>
      </c>
      <c r="B75" s="76">
        <v>10.199999999999999</v>
      </c>
      <c r="C75" s="76">
        <v>10.199999999999999</v>
      </c>
      <c r="D75" s="76">
        <v>10.199999999999999</v>
      </c>
      <c r="E75" s="76">
        <v>11.7</v>
      </c>
      <c r="F75" s="76">
        <v>11.7</v>
      </c>
      <c r="G75" s="76">
        <v>11.7</v>
      </c>
      <c r="H75" s="76">
        <v>11.7</v>
      </c>
      <c r="I75" s="76">
        <v>11.7</v>
      </c>
      <c r="J75" s="76">
        <v>11.7</v>
      </c>
      <c r="K75" s="76">
        <v>11.7</v>
      </c>
      <c r="L75" s="76">
        <v>9.9</v>
      </c>
      <c r="M75" s="76">
        <v>9.9</v>
      </c>
      <c r="N75" s="76">
        <v>9.9</v>
      </c>
      <c r="O75" s="76">
        <v>9.9</v>
      </c>
      <c r="P75" s="76">
        <v>9.9</v>
      </c>
      <c r="Q75" s="76">
        <v>9.9</v>
      </c>
      <c r="R75" s="76">
        <v>9.8000000000000007</v>
      </c>
      <c r="S75" s="76">
        <v>11.6</v>
      </c>
      <c r="T75" s="76">
        <v>11.6</v>
      </c>
      <c r="U75" s="76">
        <v>11.6</v>
      </c>
      <c r="V75" s="76">
        <v>11.6</v>
      </c>
      <c r="W75" s="76">
        <v>11.6</v>
      </c>
      <c r="X75" s="76">
        <v>11.6</v>
      </c>
      <c r="Y75" s="76">
        <v>11.6</v>
      </c>
      <c r="Z75" s="76">
        <v>11.6</v>
      </c>
      <c r="AA75" s="76">
        <v>11.6</v>
      </c>
      <c r="AB75" s="76">
        <v>11.6</v>
      </c>
      <c r="AC75" s="76">
        <v>11.6</v>
      </c>
      <c r="AD75" s="76">
        <v>11.6</v>
      </c>
      <c r="AE75" s="76">
        <v>11.6</v>
      </c>
      <c r="AF75" s="76">
        <v>11.6</v>
      </c>
      <c r="AG75" s="66">
        <v>14</v>
      </c>
      <c r="AH75" s="48">
        <f t="shared" ref="AH75:AH126" si="36">MAX(B75:AF75)</f>
        <v>11.7</v>
      </c>
      <c r="AI75" s="49">
        <f t="shared" ref="AI75:AI126" si="37">MIN(B75:AF75)</f>
        <v>9.8000000000000007</v>
      </c>
      <c r="AK75" s="51"/>
      <c r="AZ75" s="82">
        <f t="shared" si="35"/>
        <v>-110</v>
      </c>
      <c r="BA75" s="82">
        <f t="shared" si="35"/>
        <v>-112</v>
      </c>
      <c r="BB75" s="82">
        <f t="shared" si="35"/>
        <v>-106</v>
      </c>
      <c r="BC75" s="82">
        <f t="shared" si="35"/>
        <v>-110</v>
      </c>
      <c r="BD75" s="82">
        <f t="shared" si="35"/>
        <v>-116</v>
      </c>
      <c r="BE75" s="82">
        <f t="shared" si="35"/>
        <v>-99</v>
      </c>
      <c r="BF75" s="82">
        <f t="shared" si="35"/>
        <v>-112.9</v>
      </c>
      <c r="BG75" s="82">
        <f t="shared" si="35"/>
        <v>179</v>
      </c>
      <c r="BH75" s="82">
        <f t="shared" si="35"/>
        <v>-126.5</v>
      </c>
      <c r="BI75" s="82">
        <f t="shared" si="35"/>
        <v>-108</v>
      </c>
      <c r="BJ75" s="82">
        <f t="shared" si="35"/>
        <v>322</v>
      </c>
      <c r="BK75" s="82">
        <f t="shared" si="35"/>
        <v>321</v>
      </c>
      <c r="BL75" s="82">
        <f t="shared" si="35"/>
        <v>320.60000000000002</v>
      </c>
      <c r="BM75" s="82">
        <f t="shared" si="35"/>
        <v>328</v>
      </c>
      <c r="BN75" s="82">
        <f t="shared" si="35"/>
        <v>216</v>
      </c>
      <c r="BO75" s="82">
        <f t="shared" si="35"/>
        <v>150</v>
      </c>
      <c r="BP75" s="82">
        <f t="shared" si="35"/>
        <v>-28</v>
      </c>
      <c r="BQ75" s="82">
        <f t="shared" si="35"/>
        <v>-14</v>
      </c>
      <c r="BR75" s="82">
        <f t="shared" si="35"/>
        <v>-112</v>
      </c>
      <c r="BS75" s="82">
        <f t="shared" si="35"/>
        <v>-110.1</v>
      </c>
      <c r="BT75" s="82">
        <f t="shared" si="35"/>
        <v>-106.4</v>
      </c>
      <c r="BU75" s="82">
        <f t="shared" si="35"/>
        <v>-115.4</v>
      </c>
      <c r="BV75" s="82">
        <f t="shared" si="35"/>
        <v>-112.4</v>
      </c>
      <c r="BW75" s="82">
        <f t="shared" si="35"/>
        <v>-115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36"/>
        <v>8</v>
      </c>
      <c r="AI76" s="49">
        <f t="shared" si="37"/>
        <v>8</v>
      </c>
      <c r="AK76" s="51"/>
      <c r="AZ76" s="82">
        <f t="shared" si="35"/>
        <v>0</v>
      </c>
      <c r="BA76" s="82">
        <f t="shared" si="35"/>
        <v>0</v>
      </c>
      <c r="BB76" s="82">
        <f t="shared" si="35"/>
        <v>0</v>
      </c>
      <c r="BC76" s="82">
        <f t="shared" si="35"/>
        <v>0</v>
      </c>
      <c r="BD76" s="82">
        <f t="shared" si="35"/>
        <v>0</v>
      </c>
      <c r="BE76" s="82">
        <f t="shared" si="35"/>
        <v>0</v>
      </c>
      <c r="BF76" s="82">
        <f t="shared" si="35"/>
        <v>29.1</v>
      </c>
      <c r="BG76" s="82">
        <f t="shared" si="35"/>
        <v>31.7</v>
      </c>
      <c r="BH76" s="82">
        <f t="shared" si="35"/>
        <v>34.9</v>
      </c>
      <c r="BI76" s="82">
        <f t="shared" si="35"/>
        <v>32.200000000000003</v>
      </c>
      <c r="BJ76" s="82">
        <f t="shared" si="35"/>
        <v>29.5</v>
      </c>
      <c r="BK76" s="82">
        <f t="shared" si="35"/>
        <v>29.1</v>
      </c>
      <c r="BL76" s="82">
        <f t="shared" si="35"/>
        <v>29.2</v>
      </c>
      <c r="BM76" s="82">
        <f t="shared" si="35"/>
        <v>31</v>
      </c>
      <c r="BN76" s="82">
        <f t="shared" si="35"/>
        <v>34</v>
      </c>
      <c r="BO76" s="82">
        <f t="shared" si="35"/>
        <v>34</v>
      </c>
      <c r="BP76" s="82">
        <f t="shared" si="35"/>
        <v>36</v>
      </c>
      <c r="BQ76" s="82">
        <f t="shared" si="35"/>
        <v>26</v>
      </c>
      <c r="BR76" s="82">
        <f t="shared" si="35"/>
        <v>0</v>
      </c>
      <c r="BS76" s="82">
        <f t="shared" si="35"/>
        <v>0</v>
      </c>
      <c r="BT76" s="82">
        <f t="shared" si="35"/>
        <v>0</v>
      </c>
      <c r="BU76" s="82">
        <f t="shared" si="35"/>
        <v>0</v>
      </c>
      <c r="BV76" s="82">
        <f t="shared" si="35"/>
        <v>0</v>
      </c>
      <c r="BW76" s="82">
        <f t="shared" si="35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6"/>
        <v>3</v>
      </c>
      <c r="AI77" s="49">
        <f t="shared" si="37"/>
        <v>3</v>
      </c>
      <c r="AK77" s="51"/>
      <c r="AZ77" s="82">
        <f t="shared" si="35"/>
        <v>0</v>
      </c>
      <c r="BA77" s="82">
        <f t="shared" si="35"/>
        <v>0</v>
      </c>
      <c r="BB77" s="82">
        <f t="shared" si="35"/>
        <v>0</v>
      </c>
      <c r="BC77" s="82">
        <f t="shared" si="35"/>
        <v>0</v>
      </c>
      <c r="BD77" s="82">
        <f t="shared" si="35"/>
        <v>0</v>
      </c>
      <c r="BE77" s="82">
        <f t="shared" si="35"/>
        <v>0</v>
      </c>
      <c r="BF77" s="82">
        <f t="shared" si="35"/>
        <v>107.8</v>
      </c>
      <c r="BG77" s="82">
        <f t="shared" si="35"/>
        <v>101.8</v>
      </c>
      <c r="BH77" s="82">
        <f t="shared" si="35"/>
        <v>111.4</v>
      </c>
      <c r="BI77" s="82">
        <f t="shared" si="35"/>
        <v>107.1</v>
      </c>
      <c r="BJ77" s="82">
        <f t="shared" si="35"/>
        <v>106.4</v>
      </c>
      <c r="BK77" s="82">
        <f t="shared" si="35"/>
        <v>125</v>
      </c>
      <c r="BL77" s="82">
        <f t="shared" si="35"/>
        <v>135</v>
      </c>
      <c r="BM77" s="82">
        <f t="shared" si="35"/>
        <v>114</v>
      </c>
      <c r="BN77" s="82">
        <f t="shared" si="35"/>
        <v>129</v>
      </c>
      <c r="BO77" s="82">
        <f t="shared" si="35"/>
        <v>129</v>
      </c>
      <c r="BP77" s="82">
        <f t="shared" si="35"/>
        <v>89</v>
      </c>
      <c r="BQ77" s="82">
        <f t="shared" si="35"/>
        <v>76</v>
      </c>
      <c r="BR77" s="82">
        <f t="shared" si="35"/>
        <v>0</v>
      </c>
      <c r="BS77" s="82">
        <f t="shared" si="35"/>
        <v>0</v>
      </c>
      <c r="BT77" s="82">
        <f t="shared" si="35"/>
        <v>0</v>
      </c>
      <c r="BU77" s="82">
        <f t="shared" si="35"/>
        <v>0</v>
      </c>
      <c r="BV77" s="82">
        <f t="shared" si="35"/>
        <v>0</v>
      </c>
      <c r="BW77" s="82">
        <f t="shared" si="35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5.5</v>
      </c>
      <c r="AC78" s="85">
        <v>5.5</v>
      </c>
      <c r="AD78" s="85">
        <v>5.5</v>
      </c>
      <c r="AE78" s="85">
        <v>5.5</v>
      </c>
      <c r="AF78" s="85">
        <v>5.5</v>
      </c>
      <c r="AG78" s="86">
        <f>AG255</f>
        <v>8.56</v>
      </c>
      <c r="AH78" s="48">
        <f t="shared" si="36"/>
        <v>5.5</v>
      </c>
      <c r="AI78" s="49">
        <f t="shared" si="37"/>
        <v>3.5</v>
      </c>
      <c r="AK78" s="51"/>
      <c r="AZ78" s="82">
        <f t="shared" si="35"/>
        <v>0</v>
      </c>
      <c r="BA78" s="82">
        <f t="shared" si="35"/>
        <v>0</v>
      </c>
      <c r="BB78" s="82">
        <f t="shared" si="35"/>
        <v>0</v>
      </c>
      <c r="BC78" s="82">
        <f t="shared" si="35"/>
        <v>0</v>
      </c>
      <c r="BD78" s="82">
        <f t="shared" si="35"/>
        <v>0</v>
      </c>
      <c r="BE78" s="82">
        <f t="shared" si="35"/>
        <v>0</v>
      </c>
      <c r="BF78" s="82">
        <f t="shared" si="35"/>
        <v>0</v>
      </c>
      <c r="BG78" s="82">
        <f t="shared" si="35"/>
        <v>0</v>
      </c>
      <c r="BH78" s="82">
        <f t="shared" si="35"/>
        <v>0</v>
      </c>
      <c r="BI78" s="82">
        <f t="shared" si="35"/>
        <v>0</v>
      </c>
      <c r="BJ78" s="82">
        <f t="shared" si="35"/>
        <v>0</v>
      </c>
      <c r="BK78" s="82">
        <f t="shared" si="35"/>
        <v>0</v>
      </c>
      <c r="BL78" s="82">
        <f t="shared" si="35"/>
        <v>0</v>
      </c>
      <c r="BM78" s="82">
        <f t="shared" si="35"/>
        <v>0</v>
      </c>
      <c r="BN78" s="82">
        <f t="shared" si="35"/>
        <v>0</v>
      </c>
      <c r="BO78" s="82">
        <f t="shared" si="35"/>
        <v>0</v>
      </c>
      <c r="BP78" s="82">
        <f t="shared" si="35"/>
        <v>0</v>
      </c>
      <c r="BQ78" s="82">
        <f t="shared" si="35"/>
        <v>0</v>
      </c>
      <c r="BR78" s="82">
        <f t="shared" si="35"/>
        <v>0</v>
      </c>
      <c r="BS78" s="82">
        <f t="shared" si="35"/>
        <v>0</v>
      </c>
      <c r="BT78" s="82">
        <f t="shared" si="35"/>
        <v>0</v>
      </c>
      <c r="BU78" s="82">
        <f t="shared" si="35"/>
        <v>0</v>
      </c>
      <c r="BV78" s="82">
        <f t="shared" si="35"/>
        <v>0</v>
      </c>
      <c r="BW78" s="82">
        <f t="shared" si="35"/>
        <v>0</v>
      </c>
    </row>
    <row r="79" spans="1:75" ht="15.75" thickBot="1" x14ac:dyDescent="0.3">
      <c r="A79" s="87" t="s">
        <v>99</v>
      </c>
      <c r="B79" s="71">
        <f t="shared" ref="B79:AG79" si="38">SUM(B66:B78)</f>
        <v>416.34</v>
      </c>
      <c r="C79" s="71">
        <f t="shared" si="38"/>
        <v>416.34</v>
      </c>
      <c r="D79" s="71">
        <f t="shared" si="38"/>
        <v>403.34</v>
      </c>
      <c r="E79" s="71">
        <f t="shared" si="38"/>
        <v>369.64</v>
      </c>
      <c r="F79" s="71">
        <f t="shared" si="38"/>
        <v>369.64</v>
      </c>
      <c r="G79" s="71">
        <f t="shared" si="38"/>
        <v>369.04</v>
      </c>
      <c r="H79" s="71">
        <f t="shared" si="38"/>
        <v>369.04</v>
      </c>
      <c r="I79" s="71">
        <f t="shared" si="38"/>
        <v>369.04</v>
      </c>
      <c r="J79" s="71">
        <f t="shared" si="38"/>
        <v>369.04</v>
      </c>
      <c r="K79" s="71">
        <f t="shared" si="38"/>
        <v>369.04</v>
      </c>
      <c r="L79" s="71">
        <f t="shared" si="38"/>
        <v>385.34</v>
      </c>
      <c r="M79" s="71">
        <f t="shared" si="38"/>
        <v>357.24</v>
      </c>
      <c r="N79" s="71">
        <f t="shared" si="38"/>
        <v>391.61</v>
      </c>
      <c r="O79" s="71">
        <f t="shared" si="38"/>
        <v>395.01000000000005</v>
      </c>
      <c r="P79" s="71">
        <f t="shared" si="38"/>
        <v>397.11000000000007</v>
      </c>
      <c r="Q79" s="71">
        <f t="shared" si="38"/>
        <v>407.04</v>
      </c>
      <c r="R79" s="71">
        <f t="shared" ref="R79" si="39">SUM(R66:R78)</f>
        <v>410.64</v>
      </c>
      <c r="S79" s="71">
        <f t="shared" si="38"/>
        <v>387.54000000000008</v>
      </c>
      <c r="T79" s="71">
        <f t="shared" si="38"/>
        <v>403.24000000000007</v>
      </c>
      <c r="U79" s="71">
        <f t="shared" si="38"/>
        <v>403.24000000000007</v>
      </c>
      <c r="V79" s="71">
        <f t="shared" si="38"/>
        <v>407.14000000000004</v>
      </c>
      <c r="W79" s="71">
        <f t="shared" si="38"/>
        <v>385.04</v>
      </c>
      <c r="X79" s="71">
        <f t="shared" si="38"/>
        <v>374.04</v>
      </c>
      <c r="Y79" s="71">
        <f t="shared" si="38"/>
        <v>402.6</v>
      </c>
      <c r="Z79" s="71">
        <f t="shared" si="38"/>
        <v>425.1</v>
      </c>
      <c r="AA79" s="71">
        <v>425.1</v>
      </c>
      <c r="AB79" s="71">
        <v>425.1</v>
      </c>
      <c r="AC79" s="71">
        <v>425.1</v>
      </c>
      <c r="AD79" s="71">
        <v>425.1</v>
      </c>
      <c r="AE79" s="71">
        <v>425.1</v>
      </c>
      <c r="AF79" s="71">
        <v>425.1</v>
      </c>
      <c r="AG79" s="72">
        <f t="shared" si="38"/>
        <v>489.91</v>
      </c>
      <c r="AH79" s="48">
        <f t="shared" si="36"/>
        <v>425.1</v>
      </c>
      <c r="AI79" s="49">
        <f t="shared" si="37"/>
        <v>357.24</v>
      </c>
      <c r="AK79" s="51"/>
      <c r="AY79" s="82"/>
    </row>
    <row r="80" spans="1:75" x14ac:dyDescent="0.25">
      <c r="A80" s="45" t="s">
        <v>100</v>
      </c>
      <c r="B80" s="46">
        <v>30</v>
      </c>
      <c r="C80" s="46">
        <v>14</v>
      </c>
      <c r="D80" s="46">
        <v>14</v>
      </c>
      <c r="E80" s="46">
        <v>0</v>
      </c>
      <c r="F80" s="46">
        <v>0</v>
      </c>
      <c r="G80" s="46"/>
      <c r="H80" s="46"/>
      <c r="I80" s="46"/>
      <c r="J80" s="46"/>
      <c r="K80" s="46"/>
      <c r="L80" s="46"/>
      <c r="M80" s="46"/>
      <c r="N80" s="46">
        <v>13.5</v>
      </c>
      <c r="O80" s="46">
        <v>13.7</v>
      </c>
      <c r="P80" s="46">
        <v>20</v>
      </c>
      <c r="Q80" s="46">
        <v>14</v>
      </c>
      <c r="R80" s="46">
        <v>13.7</v>
      </c>
      <c r="S80" s="46">
        <v>13.7</v>
      </c>
      <c r="T80" s="46">
        <v>13.7</v>
      </c>
      <c r="U80" s="46">
        <v>13.7</v>
      </c>
      <c r="V80" s="46">
        <v>13.7</v>
      </c>
      <c r="W80" s="46">
        <v>10.7</v>
      </c>
      <c r="X80" s="46">
        <v>10.7</v>
      </c>
      <c r="Y80" s="46">
        <v>10.7</v>
      </c>
      <c r="Z80" s="46">
        <v>30.7</v>
      </c>
      <c r="AA80" s="46">
        <v>60</v>
      </c>
      <c r="AB80" s="46">
        <v>60</v>
      </c>
      <c r="AC80" s="46">
        <v>60</v>
      </c>
      <c r="AD80" s="46">
        <v>14.5</v>
      </c>
      <c r="AE80" s="46">
        <v>0</v>
      </c>
      <c r="AF80" s="46">
        <v>0</v>
      </c>
      <c r="AG80" s="61">
        <v>60</v>
      </c>
      <c r="AH80" s="48">
        <f t="shared" si="36"/>
        <v>60</v>
      </c>
      <c r="AI80" s="49">
        <f t="shared" si="37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9.6</v>
      </c>
      <c r="C81" s="76">
        <v>4</v>
      </c>
      <c r="D81" s="76">
        <v>4</v>
      </c>
      <c r="E81" s="76">
        <v>0</v>
      </c>
      <c r="F81" s="76">
        <v>0</v>
      </c>
      <c r="G81" s="76"/>
      <c r="H81" s="76"/>
      <c r="I81" s="76"/>
      <c r="J81" s="76"/>
      <c r="K81" s="76"/>
      <c r="L81" s="76"/>
      <c r="M81" s="76"/>
      <c r="N81" s="76">
        <v>0</v>
      </c>
      <c r="O81" s="76">
        <v>5.8</v>
      </c>
      <c r="P81" s="76">
        <v>8.1999999999999993</v>
      </c>
      <c r="Q81" s="76">
        <v>5.4</v>
      </c>
      <c r="R81" s="76">
        <v>5.9</v>
      </c>
      <c r="S81" s="76">
        <v>5.9</v>
      </c>
      <c r="T81" s="76">
        <v>5.9</v>
      </c>
      <c r="U81" s="76">
        <v>5.9</v>
      </c>
      <c r="V81" s="76">
        <v>5.9</v>
      </c>
      <c r="W81" s="76">
        <v>3.2</v>
      </c>
      <c r="X81" s="76">
        <v>3.2</v>
      </c>
      <c r="Y81" s="76">
        <v>3.2</v>
      </c>
      <c r="Z81" s="76">
        <v>6.5</v>
      </c>
      <c r="AA81" s="76">
        <v>24.6</v>
      </c>
      <c r="AB81" s="76">
        <v>24.6</v>
      </c>
      <c r="AC81" s="76">
        <v>24.6</v>
      </c>
      <c r="AD81" s="76">
        <v>5.9</v>
      </c>
      <c r="AE81" s="76">
        <v>0</v>
      </c>
      <c r="AF81" s="76">
        <v>0</v>
      </c>
      <c r="AG81" s="66">
        <v>32</v>
      </c>
      <c r="AH81" s="48">
        <f t="shared" si="36"/>
        <v>24.6</v>
      </c>
      <c r="AI81" s="49">
        <f t="shared" si="37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3.5</v>
      </c>
      <c r="C82" s="78">
        <v>1.5</v>
      </c>
      <c r="D82" s="78">
        <v>1.5</v>
      </c>
      <c r="E82" s="78">
        <v>0</v>
      </c>
      <c r="F82" s="78">
        <v>0</v>
      </c>
      <c r="G82" s="78"/>
      <c r="H82" s="78"/>
      <c r="I82" s="78"/>
      <c r="J82" s="78"/>
      <c r="K82" s="78"/>
      <c r="L82" s="78"/>
      <c r="M82" s="78"/>
      <c r="N82" s="78">
        <v>0</v>
      </c>
      <c r="O82" s="78">
        <v>2.1</v>
      </c>
      <c r="P82" s="78">
        <v>3</v>
      </c>
      <c r="Q82" s="78">
        <v>2</v>
      </c>
      <c r="R82" s="78">
        <v>2.2000000000000002</v>
      </c>
      <c r="S82" s="78">
        <v>2.2000000000000002</v>
      </c>
      <c r="T82" s="78">
        <v>2.2000000000000002</v>
      </c>
      <c r="U82" s="78">
        <v>2.2000000000000002</v>
      </c>
      <c r="V82" s="78">
        <v>2.2000000000000002</v>
      </c>
      <c r="W82" s="78">
        <v>1.2</v>
      </c>
      <c r="X82" s="78">
        <v>1.2</v>
      </c>
      <c r="Y82" s="78">
        <v>1.2</v>
      </c>
      <c r="Z82" s="78">
        <v>2.4</v>
      </c>
      <c r="AA82" s="78">
        <v>9</v>
      </c>
      <c r="AB82" s="78">
        <v>9</v>
      </c>
      <c r="AC82" s="78">
        <v>9</v>
      </c>
      <c r="AD82" s="78">
        <v>2.2000000000000002</v>
      </c>
      <c r="AE82" s="78">
        <v>0</v>
      </c>
      <c r="AF82" s="78">
        <v>0</v>
      </c>
      <c r="AG82" s="79">
        <v>14</v>
      </c>
      <c r="AH82" s="48">
        <f t="shared" si="36"/>
        <v>9</v>
      </c>
      <c r="AI82" s="49">
        <f t="shared" si="37"/>
        <v>0</v>
      </c>
      <c r="AK82" s="51"/>
      <c r="AY82" s="82"/>
      <c r="BF82" s="81"/>
      <c r="BG82" s="82">
        <f t="array" ref="BG82:BL105">TRANSPOSE(AZ66:BW71)</f>
        <v>13</v>
      </c>
      <c r="BH82" s="82">
        <v>0</v>
      </c>
      <c r="BI82" s="82">
        <v>-110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Z83" si="40">B80+B81+B82</f>
        <v>43.1</v>
      </c>
      <c r="C83" s="71">
        <f t="shared" si="40"/>
        <v>19.5</v>
      </c>
      <c r="D83" s="71">
        <f t="shared" si="40"/>
        <v>19.5</v>
      </c>
      <c r="E83" s="71">
        <f t="shared" si="40"/>
        <v>0</v>
      </c>
      <c r="F83" s="71">
        <f t="shared" si="40"/>
        <v>0</v>
      </c>
      <c r="G83" s="71">
        <f t="shared" si="40"/>
        <v>0</v>
      </c>
      <c r="H83" s="71">
        <f t="shared" si="40"/>
        <v>0</v>
      </c>
      <c r="I83" s="71">
        <f t="shared" si="40"/>
        <v>0</v>
      </c>
      <c r="J83" s="71">
        <f t="shared" si="40"/>
        <v>0</v>
      </c>
      <c r="K83" s="71">
        <f t="shared" si="40"/>
        <v>0</v>
      </c>
      <c r="L83" s="71">
        <f t="shared" si="40"/>
        <v>0</v>
      </c>
      <c r="M83" s="71">
        <f t="shared" si="40"/>
        <v>0</v>
      </c>
      <c r="N83" s="71">
        <f t="shared" si="40"/>
        <v>13.5</v>
      </c>
      <c r="O83" s="71">
        <f t="shared" si="40"/>
        <v>21.6</v>
      </c>
      <c r="P83" s="71">
        <f t="shared" si="40"/>
        <v>31.2</v>
      </c>
      <c r="Q83" s="71">
        <f t="shared" si="40"/>
        <v>21.4</v>
      </c>
      <c r="R83" s="71">
        <f t="shared" ref="R83" si="41">R80+R81+R82</f>
        <v>21.8</v>
      </c>
      <c r="S83" s="71">
        <f t="shared" si="40"/>
        <v>21.8</v>
      </c>
      <c r="T83" s="71">
        <f t="shared" si="40"/>
        <v>21.8</v>
      </c>
      <c r="U83" s="71">
        <f t="shared" si="40"/>
        <v>21.8</v>
      </c>
      <c r="V83" s="71">
        <f t="shared" si="40"/>
        <v>21.8</v>
      </c>
      <c r="W83" s="71">
        <f t="shared" si="40"/>
        <v>15.099999999999998</v>
      </c>
      <c r="X83" s="71">
        <f t="shared" si="40"/>
        <v>15.099999999999998</v>
      </c>
      <c r="Y83" s="71">
        <f t="shared" si="40"/>
        <v>15.099999999999998</v>
      </c>
      <c r="Z83" s="71">
        <f t="shared" si="40"/>
        <v>39.6</v>
      </c>
      <c r="AA83" s="71">
        <v>93.6</v>
      </c>
      <c r="AB83" s="71">
        <v>93.6</v>
      </c>
      <c r="AC83" s="71">
        <v>93.6</v>
      </c>
      <c r="AD83" s="71">
        <v>93.6</v>
      </c>
      <c r="AE83" s="71">
        <v>93.6</v>
      </c>
      <c r="AF83" s="71">
        <v>93.6</v>
      </c>
      <c r="AG83" s="72">
        <f>SUM(AG80:AG82)</f>
        <v>106</v>
      </c>
      <c r="AH83" s="48">
        <f t="shared" si="36"/>
        <v>93.6</v>
      </c>
      <c r="AI83" s="49">
        <f t="shared" si="37"/>
        <v>0</v>
      </c>
      <c r="AK83" s="51"/>
      <c r="AY83" s="82"/>
      <c r="BF83" s="81"/>
      <c r="BG83" s="82">
        <v>13</v>
      </c>
      <c r="BH83" s="82">
        <v>0</v>
      </c>
      <c r="BI83" s="82">
        <v>-112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14</v>
      </c>
      <c r="C84" s="46">
        <v>13</v>
      </c>
      <c r="D84" s="46">
        <v>13</v>
      </c>
      <c r="E84" s="46">
        <v>13.9</v>
      </c>
      <c r="F84" s="46">
        <v>13</v>
      </c>
      <c r="G84" s="46">
        <v>25.6</v>
      </c>
      <c r="H84" s="46">
        <v>12.2</v>
      </c>
      <c r="I84" s="46">
        <v>10.5</v>
      </c>
      <c r="J84" s="46">
        <v>46.2</v>
      </c>
      <c r="K84" s="46">
        <v>43.2</v>
      </c>
      <c r="L84" s="46">
        <v>44.6</v>
      </c>
      <c r="M84" s="46">
        <v>47</v>
      </c>
      <c r="N84" s="46">
        <v>46</v>
      </c>
      <c r="O84" s="46">
        <v>58.9</v>
      </c>
      <c r="P84" s="46">
        <v>64</v>
      </c>
      <c r="Q84" s="46">
        <v>66</v>
      </c>
      <c r="R84" s="46">
        <v>62.1</v>
      </c>
      <c r="S84" s="46">
        <v>69.599999999999994</v>
      </c>
      <c r="T84" s="46">
        <v>62</v>
      </c>
      <c r="U84" s="46">
        <v>60</v>
      </c>
      <c r="V84" s="46">
        <v>64</v>
      </c>
      <c r="W84" s="46">
        <v>67</v>
      </c>
      <c r="X84" s="46">
        <v>67.400000000000006</v>
      </c>
      <c r="Y84" s="46">
        <v>27</v>
      </c>
      <c r="Z84" s="46">
        <v>22.4</v>
      </c>
      <c r="AA84" s="46">
        <v>30</v>
      </c>
      <c r="AB84" s="46">
        <v>27.9</v>
      </c>
      <c r="AC84" s="46">
        <v>15.5</v>
      </c>
      <c r="AD84" s="46">
        <v>17.100000000000001</v>
      </c>
      <c r="AE84" s="46">
        <v>25.1</v>
      </c>
      <c r="AF84" s="46">
        <v>21.6</v>
      </c>
      <c r="AG84" s="61"/>
      <c r="AH84" s="48">
        <f t="shared" si="36"/>
        <v>69.599999999999994</v>
      </c>
      <c r="AI84" s="49">
        <f t="shared" si="37"/>
        <v>10.5</v>
      </c>
      <c r="AK84" s="51"/>
      <c r="AY84" s="82"/>
      <c r="BF84" s="81"/>
      <c r="BG84" s="82">
        <v>13.9</v>
      </c>
      <c r="BH84" s="82">
        <v>0</v>
      </c>
      <c r="BI84" s="82">
        <v>-106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6"/>
        <v>0</v>
      </c>
      <c r="AI85" s="49">
        <f t="shared" si="37"/>
        <v>0</v>
      </c>
      <c r="AK85" s="51"/>
      <c r="AL85" s="91" t="s">
        <v>111</v>
      </c>
      <c r="AM85" s="91"/>
      <c r="AY85" s="82"/>
      <c r="BF85" s="82"/>
      <c r="BG85" s="82">
        <v>13</v>
      </c>
      <c r="BH85" s="82">
        <v>0</v>
      </c>
      <c r="BI85" s="82">
        <v>-110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-115</v>
      </c>
      <c r="C86" s="76">
        <v>-110</v>
      </c>
      <c r="D86" s="76">
        <v>-112</v>
      </c>
      <c r="E86" s="76">
        <v>-106</v>
      </c>
      <c r="F86" s="76">
        <v>-110</v>
      </c>
      <c r="G86" s="76">
        <v>-116</v>
      </c>
      <c r="H86" s="76">
        <v>-110.3</v>
      </c>
      <c r="I86" s="76">
        <v>-99</v>
      </c>
      <c r="J86" s="76">
        <v>-106</v>
      </c>
      <c r="K86" s="76">
        <v>-112.9</v>
      </c>
      <c r="L86" s="76">
        <v>-20</v>
      </c>
      <c r="M86" s="76">
        <v>179</v>
      </c>
      <c r="N86" s="76">
        <v>-126.5</v>
      </c>
      <c r="O86" s="76">
        <v>-108</v>
      </c>
      <c r="P86" s="76">
        <v>322</v>
      </c>
      <c r="Q86" s="76">
        <v>321</v>
      </c>
      <c r="R86" s="76">
        <v>320.60000000000002</v>
      </c>
      <c r="S86" s="76">
        <v>328</v>
      </c>
      <c r="T86" s="76">
        <v>216</v>
      </c>
      <c r="U86" s="76">
        <v>150</v>
      </c>
      <c r="V86" s="76">
        <v>-28</v>
      </c>
      <c r="W86" s="76">
        <v>-31</v>
      </c>
      <c r="X86" s="76">
        <v>-14</v>
      </c>
      <c r="Y86" s="76">
        <v>-105</v>
      </c>
      <c r="Z86" s="76">
        <v>-112</v>
      </c>
      <c r="AA86" s="76">
        <v>-91</v>
      </c>
      <c r="AB86" s="76">
        <v>-110.1</v>
      </c>
      <c r="AC86" s="76">
        <v>-131.6</v>
      </c>
      <c r="AD86" s="76">
        <v>-106.4</v>
      </c>
      <c r="AE86" s="76">
        <v>-115.4</v>
      </c>
      <c r="AF86" s="76">
        <v>-112.4</v>
      </c>
      <c r="AG86" s="88"/>
      <c r="AH86" s="48">
        <f t="shared" si="36"/>
        <v>328</v>
      </c>
      <c r="AI86" s="49">
        <f t="shared" si="37"/>
        <v>-131.6</v>
      </c>
      <c r="AK86" s="92"/>
      <c r="AL86" s="93"/>
      <c r="AM86" s="93"/>
      <c r="AN86" s="94"/>
      <c r="AY86" s="82"/>
      <c r="BF86" s="82"/>
      <c r="BG86" s="82">
        <v>25.6</v>
      </c>
      <c r="BH86" s="82">
        <v>0</v>
      </c>
      <c r="BI86" s="82">
        <v>-116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>
        <v>19.399999999999999</v>
      </c>
      <c r="K87" s="89">
        <v>29.1</v>
      </c>
      <c r="L87" s="89">
        <v>29</v>
      </c>
      <c r="M87" s="89">
        <v>31.7</v>
      </c>
      <c r="N87" s="89">
        <v>34.9</v>
      </c>
      <c r="O87" s="89">
        <v>32.200000000000003</v>
      </c>
      <c r="P87" s="89">
        <v>29.5</v>
      </c>
      <c r="Q87" s="89">
        <v>29.1</v>
      </c>
      <c r="R87" s="89">
        <v>29.2</v>
      </c>
      <c r="S87" s="89">
        <v>31</v>
      </c>
      <c r="T87" s="89">
        <v>34</v>
      </c>
      <c r="U87" s="89">
        <v>34</v>
      </c>
      <c r="V87" s="89">
        <v>36</v>
      </c>
      <c r="W87" s="89">
        <v>36</v>
      </c>
      <c r="X87" s="89">
        <v>26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36"/>
        <v>36</v>
      </c>
      <c r="AI87" s="49">
        <f t="shared" si="37"/>
        <v>0</v>
      </c>
      <c r="AK87" s="95" t="s">
        <v>114</v>
      </c>
      <c r="AL87" s="76"/>
      <c r="AM87" s="89"/>
      <c r="AN87" s="96"/>
      <c r="AY87" s="82"/>
      <c r="BF87" s="82"/>
      <c r="BG87" s="82">
        <v>10.5</v>
      </c>
      <c r="BH87" s="82">
        <v>0</v>
      </c>
      <c r="BI87" s="82">
        <v>-99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71.7</v>
      </c>
      <c r="K88" s="46">
        <v>107.8</v>
      </c>
      <c r="L88" s="46">
        <v>97.9</v>
      </c>
      <c r="M88" s="46">
        <v>101.8</v>
      </c>
      <c r="N88" s="46">
        <v>111.4</v>
      </c>
      <c r="O88" s="46">
        <v>107.1</v>
      </c>
      <c r="P88" s="46">
        <v>106.4</v>
      </c>
      <c r="Q88" s="46">
        <v>125</v>
      </c>
      <c r="R88" s="46">
        <v>135</v>
      </c>
      <c r="S88" s="46">
        <v>114</v>
      </c>
      <c r="T88" s="46">
        <v>129</v>
      </c>
      <c r="U88" s="46">
        <v>129</v>
      </c>
      <c r="V88" s="46">
        <v>89</v>
      </c>
      <c r="W88" s="46">
        <v>100</v>
      </c>
      <c r="X88" s="46">
        <v>76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6"/>
        <v>135</v>
      </c>
      <c r="AI88" s="49">
        <f t="shared" si="37"/>
        <v>0</v>
      </c>
      <c r="AK88" s="95" t="s">
        <v>116</v>
      </c>
      <c r="AL88" s="89"/>
      <c r="AM88" s="89"/>
      <c r="AN88" s="96"/>
      <c r="AY88" s="82"/>
      <c r="BF88" s="82"/>
      <c r="BG88" s="82">
        <v>43.2</v>
      </c>
      <c r="BH88" s="82">
        <v>0</v>
      </c>
      <c r="BI88" s="82">
        <v>-112.9</v>
      </c>
      <c r="BJ88" s="82">
        <v>29.1</v>
      </c>
      <c r="BK88" s="82">
        <v>107.8</v>
      </c>
      <c r="BL88" s="82">
        <v>0</v>
      </c>
    </row>
    <row r="89" spans="1:64" ht="15.75" thickBot="1" x14ac:dyDescent="0.3">
      <c r="A89" s="97" t="s">
        <v>117</v>
      </c>
      <c r="B89" s="90">
        <v>45</v>
      </c>
      <c r="C89" s="90">
        <v>53</v>
      </c>
      <c r="D89" s="90">
        <v>52</v>
      </c>
      <c r="E89" s="90">
        <v>51.8</v>
      </c>
      <c r="F89" s="90">
        <v>51</v>
      </c>
      <c r="G89" s="90">
        <v>51.2</v>
      </c>
      <c r="H89" s="90">
        <v>50.2</v>
      </c>
      <c r="I89" s="90">
        <v>51.1</v>
      </c>
      <c r="J89" s="90">
        <v>47.8</v>
      </c>
      <c r="K89" s="90">
        <v>46.2</v>
      </c>
      <c r="L89" s="90">
        <v>51.5</v>
      </c>
      <c r="M89" s="90">
        <v>50.6</v>
      </c>
      <c r="N89" s="90">
        <v>49.7</v>
      </c>
      <c r="O89" s="90">
        <v>53.2</v>
      </c>
      <c r="P89" s="90">
        <v>52</v>
      </c>
      <c r="Q89" s="90">
        <v>52.7</v>
      </c>
      <c r="R89" s="90">
        <v>51.3</v>
      </c>
      <c r="S89" s="90">
        <v>54.2</v>
      </c>
      <c r="T89" s="90">
        <v>55</v>
      </c>
      <c r="U89" s="90">
        <v>55</v>
      </c>
      <c r="V89" s="90">
        <v>49</v>
      </c>
      <c r="W89" s="90">
        <v>51.1</v>
      </c>
      <c r="X89" s="90">
        <v>51</v>
      </c>
      <c r="Y89" s="90">
        <v>46</v>
      </c>
      <c r="Z89" s="90">
        <v>46</v>
      </c>
      <c r="AA89" s="90">
        <v>45.2</v>
      </c>
      <c r="AB89" s="90">
        <v>45.7</v>
      </c>
      <c r="AC89" s="90">
        <v>48.8</v>
      </c>
      <c r="AD89" s="90">
        <v>46.5</v>
      </c>
      <c r="AE89" s="90">
        <v>51.9</v>
      </c>
      <c r="AF89" s="90">
        <v>54.3</v>
      </c>
      <c r="AG89" s="88"/>
      <c r="AH89" s="48">
        <f>MAX(B89:AF89)</f>
        <v>55</v>
      </c>
      <c r="AI89" s="49">
        <f t="shared" si="37"/>
        <v>45</v>
      </c>
      <c r="AK89" s="99"/>
      <c r="AL89" s="46"/>
      <c r="AM89" s="46"/>
      <c r="AN89" s="100"/>
      <c r="AY89" s="82"/>
      <c r="BF89" s="82"/>
      <c r="BG89" s="82">
        <v>47</v>
      </c>
      <c r="BH89" s="82">
        <v>0</v>
      </c>
      <c r="BI89" s="82">
        <v>179</v>
      </c>
      <c r="BJ89" s="82">
        <v>31.7</v>
      </c>
      <c r="BK89" s="82">
        <v>101.8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6"/>
        <v>0</v>
      </c>
      <c r="AI90" s="49">
        <f t="shared" si="37"/>
        <v>0</v>
      </c>
      <c r="AK90" s="99"/>
      <c r="AL90" s="90"/>
      <c r="AM90" s="102"/>
      <c r="AN90" s="202"/>
      <c r="AY90" s="82"/>
      <c r="BF90" s="82"/>
      <c r="BG90" s="82">
        <v>46</v>
      </c>
      <c r="BH90" s="82">
        <v>0</v>
      </c>
      <c r="BI90" s="82">
        <v>-126.5</v>
      </c>
      <c r="BJ90" s="82">
        <v>34.9</v>
      </c>
      <c r="BK90" s="82">
        <v>111.4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6"/>
        <v>0</v>
      </c>
      <c r="AI91" s="49">
        <f t="shared" si="37"/>
        <v>0</v>
      </c>
      <c r="AK91" s="99"/>
      <c r="AL91" s="90"/>
      <c r="AM91" s="90"/>
      <c r="AN91" s="203"/>
      <c r="BF91" s="82"/>
      <c r="BG91" s="82">
        <v>58.9</v>
      </c>
      <c r="BH91" s="82">
        <v>0</v>
      </c>
      <c r="BI91" s="82">
        <v>-108</v>
      </c>
      <c r="BJ91" s="82">
        <v>32.200000000000003</v>
      </c>
      <c r="BK91" s="82">
        <v>107.1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6"/>
        <v>0</v>
      </c>
      <c r="AI92" s="49">
        <f t="shared" si="37"/>
        <v>0</v>
      </c>
      <c r="AK92" s="104"/>
      <c r="AL92" s="105"/>
      <c r="AM92" s="105"/>
      <c r="AN92" s="106"/>
      <c r="BF92" s="82"/>
      <c r="BG92" s="82">
        <v>64</v>
      </c>
      <c r="BH92" s="82">
        <v>0</v>
      </c>
      <c r="BI92" s="82">
        <v>322</v>
      </c>
      <c r="BJ92" s="82">
        <v>29.5</v>
      </c>
      <c r="BK92" s="82">
        <v>106.4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6"/>
        <v>0</v>
      </c>
      <c r="AI93" s="49">
        <f t="shared" si="37"/>
        <v>0</v>
      </c>
      <c r="BF93" s="82"/>
      <c r="BG93" s="82">
        <v>66</v>
      </c>
      <c r="BH93" s="82">
        <v>0</v>
      </c>
      <c r="BI93" s="82">
        <v>321</v>
      </c>
      <c r="BJ93" s="82">
        <v>29.1</v>
      </c>
      <c r="BK93" s="82">
        <v>125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6"/>
        <v>0</v>
      </c>
      <c r="AI94" s="49">
        <f t="shared" si="37"/>
        <v>0</v>
      </c>
      <c r="BF94" s="82"/>
      <c r="BG94" s="82">
        <v>62.1</v>
      </c>
      <c r="BH94" s="82">
        <v>0</v>
      </c>
      <c r="BI94" s="82">
        <v>320.60000000000002</v>
      </c>
      <c r="BJ94" s="82">
        <v>29.2</v>
      </c>
      <c r="BK94" s="82">
        <v>135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59</v>
      </c>
      <c r="C95" s="71">
        <f>SUMIF(C84:C94,"&gt;0")</f>
        <v>66</v>
      </c>
      <c r="D95" s="71">
        <f t="shared" ref="D95:AA95" si="42">SUMIF(D84:D94,"&gt;0")</f>
        <v>65</v>
      </c>
      <c r="E95" s="71">
        <f t="shared" si="42"/>
        <v>65.7</v>
      </c>
      <c r="F95" s="71">
        <f t="shared" si="42"/>
        <v>64</v>
      </c>
      <c r="G95" s="71">
        <f t="shared" si="42"/>
        <v>76.800000000000011</v>
      </c>
      <c r="H95" s="71">
        <f t="shared" si="42"/>
        <v>62.400000000000006</v>
      </c>
      <c r="I95" s="71">
        <f t="shared" si="42"/>
        <v>61.6</v>
      </c>
      <c r="J95" s="71">
        <f t="shared" si="42"/>
        <v>185.10000000000002</v>
      </c>
      <c r="K95" s="71">
        <f t="shared" si="42"/>
        <v>226.3</v>
      </c>
      <c r="L95" s="71">
        <f t="shared" si="42"/>
        <v>223</v>
      </c>
      <c r="M95" s="71">
        <f t="shared" si="42"/>
        <v>410.1</v>
      </c>
      <c r="N95" s="71">
        <f t="shared" si="42"/>
        <v>242</v>
      </c>
      <c r="O95" s="71">
        <f t="shared" si="42"/>
        <v>251.39999999999998</v>
      </c>
      <c r="P95" s="71">
        <f t="shared" si="42"/>
        <v>573.9</v>
      </c>
      <c r="Q95" s="71">
        <f t="shared" si="42"/>
        <v>593.80000000000007</v>
      </c>
      <c r="R95" s="71">
        <f t="shared" si="42"/>
        <v>598.20000000000005</v>
      </c>
      <c r="S95" s="71">
        <f t="shared" si="42"/>
        <v>596.80000000000007</v>
      </c>
      <c r="T95" s="71">
        <f t="shared" si="42"/>
        <v>496</v>
      </c>
      <c r="U95" s="71">
        <f>SUMIF(U84:U94,"&gt;0")</f>
        <v>428</v>
      </c>
      <c r="V95" s="71">
        <f t="shared" si="42"/>
        <v>238</v>
      </c>
      <c r="W95" s="71">
        <f t="shared" si="42"/>
        <v>254.1</v>
      </c>
      <c r="X95" s="71">
        <f t="shared" si="42"/>
        <v>220.4</v>
      </c>
      <c r="Y95" s="71">
        <f t="shared" si="42"/>
        <v>73</v>
      </c>
      <c r="Z95" s="71">
        <f t="shared" si="42"/>
        <v>68.400000000000006</v>
      </c>
      <c r="AA95" s="71">
        <f t="shared" si="42"/>
        <v>75.2</v>
      </c>
      <c r="AB95" s="71">
        <f t="shared" ref="AB95:AC95" si="43">SUMIF(AB84:AB94,"&gt;0")</f>
        <v>73.599999999999994</v>
      </c>
      <c r="AC95" s="71">
        <f t="shared" si="43"/>
        <v>64.3</v>
      </c>
      <c r="AD95" s="71">
        <f t="shared" ref="AD95:AE95" si="44">SUMIF(AD84:AD94,"&gt;0")</f>
        <v>63.6</v>
      </c>
      <c r="AE95" s="71">
        <f t="shared" si="44"/>
        <v>77</v>
      </c>
      <c r="AF95" s="71">
        <f t="shared" ref="AF95" si="45">SUMIF(AF84:AF94,"&gt;0")</f>
        <v>75.900000000000006</v>
      </c>
      <c r="AG95" s="101">
        <f>SUM(AG84:AG94)</f>
        <v>0</v>
      </c>
      <c r="AH95" s="48">
        <f t="shared" si="36"/>
        <v>598.20000000000005</v>
      </c>
      <c r="AI95" s="49">
        <f t="shared" si="37"/>
        <v>59</v>
      </c>
      <c r="BF95" s="82"/>
      <c r="BG95" s="82">
        <v>69.599999999999994</v>
      </c>
      <c r="BH95" s="82">
        <v>0</v>
      </c>
      <c r="BI95" s="82">
        <v>328</v>
      </c>
      <c r="BJ95" s="82">
        <v>31</v>
      </c>
      <c r="BK95" s="82">
        <v>114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6"/>
        <v>0</v>
      </c>
      <c r="AI96" s="49">
        <f t="shared" si="37"/>
        <v>0</v>
      </c>
      <c r="BF96" s="82"/>
      <c r="BG96" s="82">
        <v>62</v>
      </c>
      <c r="BH96" s="82">
        <v>0</v>
      </c>
      <c r="BI96" s="82">
        <v>216</v>
      </c>
      <c r="BJ96" s="82">
        <v>34</v>
      </c>
      <c r="BK96" s="82">
        <v>129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6"/>
        <v>0</v>
      </c>
      <c r="AI97" s="49">
        <f t="shared" si="37"/>
        <v>0</v>
      </c>
      <c r="BF97" s="82"/>
      <c r="BG97" s="82">
        <v>60</v>
      </c>
      <c r="BH97" s="82">
        <v>0</v>
      </c>
      <c r="BI97" s="82">
        <v>150</v>
      </c>
      <c r="BJ97" s="82">
        <v>34</v>
      </c>
      <c r="BK97" s="82">
        <v>129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6"/>
        <v>0</v>
      </c>
      <c r="AI98" s="49">
        <f t="shared" si="37"/>
        <v>0</v>
      </c>
      <c r="BF98" s="82"/>
      <c r="BG98" s="82">
        <v>64</v>
      </c>
      <c r="BH98" s="82">
        <v>0</v>
      </c>
      <c r="BI98" s="82">
        <v>-28</v>
      </c>
      <c r="BJ98" s="82">
        <v>36</v>
      </c>
      <c r="BK98" s="82">
        <v>89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6"/>
        <v>0</v>
      </c>
      <c r="AI99" s="49">
        <f t="shared" si="37"/>
        <v>0</v>
      </c>
      <c r="BF99" s="81"/>
      <c r="BG99" s="82">
        <v>67.400000000000006</v>
      </c>
      <c r="BH99" s="82">
        <v>0</v>
      </c>
      <c r="BI99" s="82">
        <v>-14</v>
      </c>
      <c r="BJ99" s="82">
        <v>26</v>
      </c>
      <c r="BK99" s="82">
        <v>76</v>
      </c>
      <c r="BL99" s="82">
        <v>0</v>
      </c>
    </row>
    <row r="100" spans="1:64" ht="15.75" thickBot="1" x14ac:dyDescent="0.3">
      <c r="A100" s="87" t="s">
        <v>123</v>
      </c>
      <c r="B100" s="108">
        <f>B61+B65+B83+B79+B95+B99</f>
        <v>1657.04</v>
      </c>
      <c r="C100" s="108">
        <f t="shared" ref="C100:AG100" si="46">C61+C65+C83+C79+C95+C99</f>
        <v>1611.44</v>
      </c>
      <c r="D100" s="108">
        <f t="shared" si="46"/>
        <v>1597.44</v>
      </c>
      <c r="E100" s="108">
        <f t="shared" si="46"/>
        <v>1532.3</v>
      </c>
      <c r="F100" s="108">
        <f t="shared" si="46"/>
        <v>1525</v>
      </c>
      <c r="G100" s="108">
        <f t="shared" si="46"/>
        <v>1537.8999999999999</v>
      </c>
      <c r="H100" s="108">
        <f t="shared" si="46"/>
        <v>1509.6</v>
      </c>
      <c r="I100" s="108">
        <f t="shared" si="46"/>
        <v>1599.7999999999997</v>
      </c>
      <c r="J100" s="108">
        <f t="shared" si="46"/>
        <v>1624.33</v>
      </c>
      <c r="K100" s="108">
        <f t="shared" si="46"/>
        <v>1750.9399999999998</v>
      </c>
      <c r="L100" s="108">
        <f t="shared" si="46"/>
        <v>1731.04</v>
      </c>
      <c r="M100" s="108">
        <f t="shared" si="46"/>
        <v>1737.7400000000002</v>
      </c>
      <c r="N100" s="108">
        <f t="shared" si="46"/>
        <v>1915.6100000000001</v>
      </c>
      <c r="O100" s="108">
        <f t="shared" si="46"/>
        <v>1960.9099999999999</v>
      </c>
      <c r="P100" s="108">
        <f t="shared" si="46"/>
        <v>1897.9100000000003</v>
      </c>
      <c r="Q100" s="108">
        <f t="shared" si="46"/>
        <v>1887.94</v>
      </c>
      <c r="R100" s="108">
        <f t="shared" si="46"/>
        <v>1905.14</v>
      </c>
      <c r="S100" s="108">
        <f t="shared" si="46"/>
        <v>1883.94</v>
      </c>
      <c r="T100" s="108">
        <f t="shared" si="46"/>
        <v>1868.8400000000001</v>
      </c>
      <c r="U100" s="108">
        <f t="shared" si="46"/>
        <v>1837.8400000000001</v>
      </c>
      <c r="V100" s="108">
        <f t="shared" si="46"/>
        <v>1801.7400000000002</v>
      </c>
      <c r="W100" s="108">
        <f t="shared" si="46"/>
        <v>1789.04</v>
      </c>
      <c r="X100" s="108">
        <f t="shared" si="46"/>
        <v>1669.3400000000001</v>
      </c>
      <c r="Y100" s="108">
        <f t="shared" si="46"/>
        <v>1646.5</v>
      </c>
      <c r="Z100" s="108">
        <f t="shared" si="46"/>
        <v>1776.9</v>
      </c>
      <c r="AA100" s="108">
        <f t="shared" si="46"/>
        <v>1837.7</v>
      </c>
      <c r="AB100" s="108">
        <f t="shared" ref="AB100:AC100" si="47">AB61+AB65+AB83+AB79+AB95+AB99</f>
        <v>1836.1</v>
      </c>
      <c r="AC100" s="108">
        <f t="shared" si="47"/>
        <v>1826.8</v>
      </c>
      <c r="AD100" s="108">
        <f t="shared" ref="AD100:AE100" si="48">AD61+AD65+AD83+AD79+AD95+AD99</f>
        <v>1826.1</v>
      </c>
      <c r="AE100" s="108">
        <f t="shared" si="48"/>
        <v>1839.5</v>
      </c>
      <c r="AF100" s="108">
        <f t="shared" ref="AF100" si="49">AF61+AF65+AF83+AF79+AF95+AF99</f>
        <v>1838.4</v>
      </c>
      <c r="AG100" s="72">
        <f t="shared" si="46"/>
        <v>2655.44</v>
      </c>
      <c r="AH100" s="48">
        <f t="shared" si="36"/>
        <v>1960.9099999999999</v>
      </c>
      <c r="AI100" s="49">
        <f t="shared" si="37"/>
        <v>1509.6</v>
      </c>
      <c r="BF100" s="81"/>
      <c r="BG100" s="82">
        <v>22.4</v>
      </c>
      <c r="BH100" s="82">
        <v>0</v>
      </c>
      <c r="BI100" s="82">
        <v>-112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250</v>
      </c>
      <c r="C101" s="110">
        <v>250</v>
      </c>
      <c r="D101" s="110">
        <v>250</v>
      </c>
      <c r="E101" s="110">
        <v>250</v>
      </c>
      <c r="F101" s="110">
        <v>250</v>
      </c>
      <c r="G101" s="110">
        <v>250</v>
      </c>
      <c r="H101" s="110">
        <v>200</v>
      </c>
      <c r="I101" s="110">
        <v>150</v>
      </c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200</v>
      </c>
      <c r="Z101" s="110">
        <v>200</v>
      </c>
      <c r="AA101" s="110">
        <v>200</v>
      </c>
      <c r="AB101" s="110">
        <v>200</v>
      </c>
      <c r="AC101" s="110">
        <v>230</v>
      </c>
      <c r="AD101" s="110">
        <v>210</v>
      </c>
      <c r="AE101" s="110">
        <v>200</v>
      </c>
      <c r="AF101" s="110">
        <v>200</v>
      </c>
      <c r="AG101" s="101"/>
      <c r="AH101" s="48">
        <f>MAX(B101:AF101)</f>
        <v>250</v>
      </c>
      <c r="AI101" s="49">
        <f>MIN(B101:AF101)</f>
        <v>150</v>
      </c>
      <c r="BF101" s="81"/>
      <c r="BG101" s="82">
        <v>27.9</v>
      </c>
      <c r="BH101" s="82">
        <v>0</v>
      </c>
      <c r="BI101" s="82">
        <v>-110.1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1907.04</v>
      </c>
      <c r="C102" s="108">
        <f t="shared" ref="C102:AA102" si="50">C100+C101</f>
        <v>1861.44</v>
      </c>
      <c r="D102" s="108">
        <f t="shared" si="50"/>
        <v>1847.44</v>
      </c>
      <c r="E102" s="108">
        <f t="shared" si="50"/>
        <v>1782.3</v>
      </c>
      <c r="F102" s="108">
        <f t="shared" si="50"/>
        <v>1775</v>
      </c>
      <c r="G102" s="108">
        <f t="shared" si="50"/>
        <v>1787.8999999999999</v>
      </c>
      <c r="H102" s="108">
        <f t="shared" si="50"/>
        <v>1709.6</v>
      </c>
      <c r="I102" s="108">
        <f t="shared" si="50"/>
        <v>1749.7999999999997</v>
      </c>
      <c r="J102" s="108">
        <f t="shared" si="50"/>
        <v>1624.33</v>
      </c>
      <c r="K102" s="108">
        <f t="shared" si="50"/>
        <v>1750.9399999999998</v>
      </c>
      <c r="L102" s="108">
        <f t="shared" si="50"/>
        <v>1731.04</v>
      </c>
      <c r="M102" s="108">
        <f t="shared" si="50"/>
        <v>1737.7400000000002</v>
      </c>
      <c r="N102" s="108">
        <f t="shared" si="50"/>
        <v>1915.6100000000001</v>
      </c>
      <c r="O102" s="108">
        <f t="shared" si="50"/>
        <v>1960.9099999999999</v>
      </c>
      <c r="P102" s="108">
        <f t="shared" si="50"/>
        <v>1897.9100000000003</v>
      </c>
      <c r="Q102" s="108">
        <f t="shared" si="50"/>
        <v>1887.94</v>
      </c>
      <c r="R102" s="108">
        <f t="shared" si="50"/>
        <v>1905.14</v>
      </c>
      <c r="S102" s="108">
        <f t="shared" si="50"/>
        <v>1883.94</v>
      </c>
      <c r="T102" s="108">
        <f t="shared" si="50"/>
        <v>1868.8400000000001</v>
      </c>
      <c r="U102" s="108">
        <f t="shared" si="50"/>
        <v>1837.8400000000001</v>
      </c>
      <c r="V102" s="108">
        <f t="shared" si="50"/>
        <v>1801.7400000000002</v>
      </c>
      <c r="W102" s="108">
        <f t="shared" si="50"/>
        <v>1789.04</v>
      </c>
      <c r="X102" s="108">
        <f t="shared" si="50"/>
        <v>1669.3400000000001</v>
      </c>
      <c r="Y102" s="108">
        <f t="shared" si="50"/>
        <v>1846.5</v>
      </c>
      <c r="Z102" s="108">
        <f t="shared" si="50"/>
        <v>1976.9</v>
      </c>
      <c r="AA102" s="108">
        <f t="shared" si="50"/>
        <v>2037.7</v>
      </c>
      <c r="AB102" s="108">
        <f t="shared" ref="AB102:AC102" si="51">AB100+AB101</f>
        <v>2036.1</v>
      </c>
      <c r="AC102" s="108">
        <f t="shared" si="51"/>
        <v>2056.8000000000002</v>
      </c>
      <c r="AD102" s="108">
        <f t="shared" ref="AD102:AE102" si="52">AD100+AD101</f>
        <v>2036.1</v>
      </c>
      <c r="AE102" s="108">
        <f t="shared" si="52"/>
        <v>2039.5</v>
      </c>
      <c r="AF102" s="108">
        <f t="shared" ref="AF102" si="53">AF100+AF101</f>
        <v>2038.4</v>
      </c>
      <c r="AG102" s="101">
        <f>AG99+AG95+AG83+AG79+AG61+AG101</f>
        <v>2117.34</v>
      </c>
      <c r="AH102" s="48">
        <f t="shared" si="36"/>
        <v>2056.8000000000002</v>
      </c>
      <c r="AI102" s="49">
        <f t="shared" si="37"/>
        <v>1624.33</v>
      </c>
      <c r="BF102" s="81"/>
      <c r="BG102" s="82">
        <v>17.100000000000001</v>
      </c>
      <c r="BH102" s="82">
        <v>0</v>
      </c>
      <c r="BI102" s="82">
        <v>-106.4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1792.04</v>
      </c>
      <c r="C103" s="108">
        <f t="shared" ref="C103:AA103" si="54">C102-(C110)</f>
        <v>1751.44</v>
      </c>
      <c r="D103" s="108">
        <f t="shared" si="54"/>
        <v>1735.44</v>
      </c>
      <c r="E103" s="108">
        <f t="shared" si="54"/>
        <v>1676.3</v>
      </c>
      <c r="F103" s="108">
        <f t="shared" si="54"/>
        <v>1665</v>
      </c>
      <c r="G103" s="108">
        <f t="shared" si="54"/>
        <v>1671.8999999999999</v>
      </c>
      <c r="H103" s="108">
        <f t="shared" si="54"/>
        <v>1599.3</v>
      </c>
      <c r="I103" s="108">
        <f t="shared" si="54"/>
        <v>1650.7999999999997</v>
      </c>
      <c r="J103" s="108">
        <f t="shared" si="54"/>
        <v>1518.33</v>
      </c>
      <c r="K103" s="108">
        <f t="shared" si="54"/>
        <v>1638.0399999999997</v>
      </c>
      <c r="L103" s="108">
        <f t="shared" si="54"/>
        <v>1711.04</v>
      </c>
      <c r="M103" s="108">
        <f t="shared" si="54"/>
        <v>1737.7400000000002</v>
      </c>
      <c r="N103" s="108">
        <f t="shared" si="54"/>
        <v>1789.1100000000001</v>
      </c>
      <c r="O103" s="108">
        <f t="shared" si="54"/>
        <v>1852.9099999999999</v>
      </c>
      <c r="P103" s="108">
        <f t="shared" si="54"/>
        <v>1897.9100000000003</v>
      </c>
      <c r="Q103" s="108">
        <f t="shared" si="54"/>
        <v>1887.94</v>
      </c>
      <c r="R103" s="108">
        <f t="shared" si="54"/>
        <v>1905.14</v>
      </c>
      <c r="S103" s="108">
        <f t="shared" si="54"/>
        <v>1883.94</v>
      </c>
      <c r="T103" s="108">
        <f t="shared" si="54"/>
        <v>1868.8400000000001</v>
      </c>
      <c r="U103" s="108">
        <f t="shared" si="54"/>
        <v>1837.8400000000001</v>
      </c>
      <c r="V103" s="108">
        <f t="shared" si="54"/>
        <v>1773.7400000000002</v>
      </c>
      <c r="W103" s="108">
        <f t="shared" si="54"/>
        <v>1758.04</v>
      </c>
      <c r="X103" s="108">
        <f t="shared" si="54"/>
        <v>1655.3400000000001</v>
      </c>
      <c r="Y103" s="108">
        <f t="shared" si="54"/>
        <v>1741.5</v>
      </c>
      <c r="Z103" s="108">
        <f t="shared" si="54"/>
        <v>1864.9</v>
      </c>
      <c r="AA103" s="108">
        <f t="shared" si="54"/>
        <v>1946.7</v>
      </c>
      <c r="AB103" s="108">
        <f t="shared" ref="AB103:AC103" si="55">AB102-(AB110)</f>
        <v>1926</v>
      </c>
      <c r="AC103" s="108">
        <f t="shared" si="55"/>
        <v>1925.2000000000003</v>
      </c>
      <c r="AD103" s="108">
        <f t="shared" ref="AD103:AE103" si="56">AD102-(AD110)</f>
        <v>1929.6999999999998</v>
      </c>
      <c r="AE103" s="108">
        <f t="shared" si="56"/>
        <v>1924.1</v>
      </c>
      <c r="AF103" s="108">
        <f t="shared" ref="AF103" si="57">AF102-(AF110)</f>
        <v>1926</v>
      </c>
      <c r="AG103" s="101"/>
      <c r="AH103" s="48">
        <f t="shared" si="36"/>
        <v>1946.7</v>
      </c>
      <c r="AI103" s="49">
        <f t="shared" si="37"/>
        <v>1518.33</v>
      </c>
      <c r="BF103" s="81"/>
      <c r="BG103" s="82">
        <v>25.1</v>
      </c>
      <c r="BH103" s="82">
        <v>0</v>
      </c>
      <c r="BI103" s="82">
        <v>-115.4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A109" si="58">IF(C84&lt;0,C84*-1,0)</f>
        <v>0</v>
      </c>
      <c r="D104" s="89">
        <f t="shared" si="58"/>
        <v>0</v>
      </c>
      <c r="E104" s="89">
        <f t="shared" si="58"/>
        <v>0</v>
      </c>
      <c r="F104" s="89">
        <f t="shared" si="58"/>
        <v>0</v>
      </c>
      <c r="G104" s="89">
        <f t="shared" si="58"/>
        <v>0</v>
      </c>
      <c r="H104" s="89">
        <f t="shared" si="58"/>
        <v>0</v>
      </c>
      <c r="I104" s="89">
        <f t="shared" si="58"/>
        <v>0</v>
      </c>
      <c r="J104" s="89">
        <f t="shared" si="58"/>
        <v>0</v>
      </c>
      <c r="K104" s="89">
        <f t="shared" si="58"/>
        <v>0</v>
      </c>
      <c r="L104" s="89">
        <f t="shared" si="58"/>
        <v>0</v>
      </c>
      <c r="M104" s="89">
        <f t="shared" si="58"/>
        <v>0</v>
      </c>
      <c r="N104" s="89">
        <f t="shared" si="58"/>
        <v>0</v>
      </c>
      <c r="O104" s="89">
        <f t="shared" si="58"/>
        <v>0</v>
      </c>
      <c r="P104" s="89">
        <f t="shared" si="58"/>
        <v>0</v>
      </c>
      <c r="Q104" s="89">
        <f t="shared" si="58"/>
        <v>0</v>
      </c>
      <c r="R104" s="89">
        <f t="shared" si="58"/>
        <v>0</v>
      </c>
      <c r="S104" s="89">
        <f t="shared" si="58"/>
        <v>0</v>
      </c>
      <c r="T104" s="89">
        <f t="shared" si="58"/>
        <v>0</v>
      </c>
      <c r="U104" s="89">
        <f t="shared" si="58"/>
        <v>0</v>
      </c>
      <c r="V104" s="89">
        <f t="shared" si="58"/>
        <v>0</v>
      </c>
      <c r="W104" s="89">
        <f t="shared" si="58"/>
        <v>0</v>
      </c>
      <c r="X104" s="89">
        <f t="shared" si="58"/>
        <v>0</v>
      </c>
      <c r="Y104" s="89">
        <f t="shared" si="58"/>
        <v>0</v>
      </c>
      <c r="Z104" s="89">
        <f t="shared" si="58"/>
        <v>0</v>
      </c>
      <c r="AA104" s="89">
        <f t="shared" si="58"/>
        <v>0</v>
      </c>
      <c r="AB104" s="89">
        <f t="shared" ref="AB104:AC104" si="59">IF(AB84&lt;0,AB84*-1,0)</f>
        <v>0</v>
      </c>
      <c r="AC104" s="89">
        <f t="shared" si="59"/>
        <v>0</v>
      </c>
      <c r="AD104" s="89">
        <f t="shared" ref="AD104:AE104" si="60">IF(AD84&lt;0,AD84*-1,0)</f>
        <v>0</v>
      </c>
      <c r="AE104" s="89">
        <f t="shared" si="60"/>
        <v>0</v>
      </c>
      <c r="AF104" s="89">
        <f t="shared" ref="AF104" si="61">IF(AF84&lt;0,AF84*-1,0)</f>
        <v>0</v>
      </c>
      <c r="AG104" s="61"/>
      <c r="AH104" s="48">
        <f t="shared" si="36"/>
        <v>0</v>
      </c>
      <c r="AI104" s="49">
        <f t="shared" si="37"/>
        <v>0</v>
      </c>
      <c r="BG104" s="82">
        <v>21.6</v>
      </c>
      <c r="BH104" s="82">
        <v>0</v>
      </c>
      <c r="BI104" s="82">
        <v>-112.4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62">IF(B85&lt;0,B85*-1,0)</f>
        <v>0</v>
      </c>
      <c r="C105" s="89">
        <f t="shared" si="62"/>
        <v>0</v>
      </c>
      <c r="D105" s="89">
        <f t="shared" si="62"/>
        <v>0</v>
      </c>
      <c r="E105" s="89">
        <f t="shared" si="62"/>
        <v>0</v>
      </c>
      <c r="F105" s="89">
        <f t="shared" si="62"/>
        <v>0</v>
      </c>
      <c r="G105" s="89">
        <f t="shared" si="62"/>
        <v>0</v>
      </c>
      <c r="H105" s="89">
        <f t="shared" si="62"/>
        <v>0</v>
      </c>
      <c r="I105" s="89">
        <f t="shared" si="62"/>
        <v>0</v>
      </c>
      <c r="J105" s="89">
        <f t="shared" si="62"/>
        <v>0</v>
      </c>
      <c r="K105" s="89">
        <f t="shared" si="62"/>
        <v>0</v>
      </c>
      <c r="L105" s="89">
        <f t="shared" si="62"/>
        <v>0</v>
      </c>
      <c r="M105" s="89">
        <f t="shared" si="62"/>
        <v>0</v>
      </c>
      <c r="N105" s="89">
        <f t="shared" si="62"/>
        <v>0</v>
      </c>
      <c r="O105" s="89">
        <f t="shared" si="62"/>
        <v>0</v>
      </c>
      <c r="P105" s="89">
        <f t="shared" si="62"/>
        <v>0</v>
      </c>
      <c r="Q105" s="89">
        <f t="shared" si="62"/>
        <v>0</v>
      </c>
      <c r="R105" s="89">
        <f t="shared" si="58"/>
        <v>0</v>
      </c>
      <c r="S105" s="89">
        <f t="shared" si="58"/>
        <v>0</v>
      </c>
      <c r="T105" s="89">
        <f t="shared" si="58"/>
        <v>0</v>
      </c>
      <c r="U105" s="89">
        <f t="shared" si="58"/>
        <v>0</v>
      </c>
      <c r="V105" s="89">
        <f t="shared" si="58"/>
        <v>0</v>
      </c>
      <c r="W105" s="89">
        <f t="shared" si="58"/>
        <v>0</v>
      </c>
      <c r="X105" s="89">
        <f t="shared" si="58"/>
        <v>0</v>
      </c>
      <c r="Y105" s="89">
        <f t="shared" si="58"/>
        <v>0</v>
      </c>
      <c r="Z105" s="89">
        <f t="shared" si="58"/>
        <v>0</v>
      </c>
      <c r="AA105" s="89">
        <f t="shared" si="58"/>
        <v>0</v>
      </c>
      <c r="AB105" s="89">
        <f t="shared" ref="AB105:AC105" si="63">IF(AB85&lt;0,AB85*-1,0)</f>
        <v>0</v>
      </c>
      <c r="AC105" s="89">
        <f t="shared" si="63"/>
        <v>0</v>
      </c>
      <c r="AD105" s="89">
        <f t="shared" ref="AD105:AE105" si="64">IF(AD85&lt;0,AD85*-1,0)</f>
        <v>0</v>
      </c>
      <c r="AE105" s="89">
        <f t="shared" si="64"/>
        <v>0</v>
      </c>
      <c r="AF105" s="89">
        <f t="shared" ref="AF105" si="65">IF(AF85&lt;0,AF85*-1,0)</f>
        <v>0</v>
      </c>
      <c r="AG105" s="66"/>
      <c r="AH105" s="48">
        <f t="shared" si="36"/>
        <v>0</v>
      </c>
      <c r="AI105" s="49">
        <f t="shared" si="37"/>
        <v>0</v>
      </c>
      <c r="AK105" s="51"/>
      <c r="BG105" s="82">
        <v>14</v>
      </c>
      <c r="BH105" s="82">
        <v>0</v>
      </c>
      <c r="BI105" s="82">
        <v>-115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2"/>
        <v>115</v>
      </c>
      <c r="C106" s="89">
        <f t="shared" si="58"/>
        <v>110</v>
      </c>
      <c r="D106" s="89">
        <f t="shared" si="58"/>
        <v>112</v>
      </c>
      <c r="E106" s="89">
        <f t="shared" si="58"/>
        <v>106</v>
      </c>
      <c r="F106" s="89">
        <f t="shared" si="58"/>
        <v>110</v>
      </c>
      <c r="G106" s="89">
        <f t="shared" si="58"/>
        <v>116</v>
      </c>
      <c r="H106" s="89">
        <f t="shared" si="58"/>
        <v>110.3</v>
      </c>
      <c r="I106" s="89">
        <f t="shared" si="58"/>
        <v>99</v>
      </c>
      <c r="J106" s="89">
        <f t="shared" si="58"/>
        <v>106</v>
      </c>
      <c r="K106" s="89">
        <f t="shared" si="58"/>
        <v>112.9</v>
      </c>
      <c r="L106" s="89">
        <f t="shared" si="58"/>
        <v>20</v>
      </c>
      <c r="M106" s="89">
        <f t="shared" si="58"/>
        <v>0</v>
      </c>
      <c r="N106" s="89">
        <f t="shared" si="58"/>
        <v>126.5</v>
      </c>
      <c r="O106" s="89">
        <f t="shared" si="58"/>
        <v>108</v>
      </c>
      <c r="P106" s="89">
        <f t="shared" si="58"/>
        <v>0</v>
      </c>
      <c r="Q106" s="89">
        <f t="shared" si="58"/>
        <v>0</v>
      </c>
      <c r="R106" s="89">
        <f t="shared" si="58"/>
        <v>0</v>
      </c>
      <c r="S106" s="89">
        <f t="shared" si="58"/>
        <v>0</v>
      </c>
      <c r="T106" s="89">
        <f t="shared" si="58"/>
        <v>0</v>
      </c>
      <c r="U106" s="89">
        <f t="shared" si="58"/>
        <v>0</v>
      </c>
      <c r="V106" s="89">
        <f t="shared" si="58"/>
        <v>28</v>
      </c>
      <c r="W106" s="89">
        <f t="shared" si="58"/>
        <v>31</v>
      </c>
      <c r="X106" s="89">
        <f t="shared" si="58"/>
        <v>14</v>
      </c>
      <c r="Y106" s="89">
        <f t="shared" si="58"/>
        <v>105</v>
      </c>
      <c r="Z106" s="89">
        <f t="shared" si="58"/>
        <v>112</v>
      </c>
      <c r="AA106" s="89">
        <f t="shared" si="58"/>
        <v>91</v>
      </c>
      <c r="AB106" s="89">
        <f t="shared" ref="AB106:AC106" si="66">IF(AB86&lt;0,AB86*-1,0)</f>
        <v>110.1</v>
      </c>
      <c r="AC106" s="89">
        <f t="shared" si="66"/>
        <v>131.6</v>
      </c>
      <c r="AD106" s="89">
        <f t="shared" ref="AD106:AE106" si="67">IF(AD86&lt;0,AD86*-1,0)</f>
        <v>106.4</v>
      </c>
      <c r="AE106" s="89">
        <f t="shared" si="67"/>
        <v>115.4</v>
      </c>
      <c r="AF106" s="89">
        <f t="shared" ref="AF106" si="68">IF(AF86&lt;0,AF86*-1,0)</f>
        <v>112.4</v>
      </c>
      <c r="AG106" s="111"/>
      <c r="AH106" s="48">
        <f t="shared" si="36"/>
        <v>131.6</v>
      </c>
      <c r="AI106" s="49">
        <f t="shared" si="37"/>
        <v>0</v>
      </c>
    </row>
    <row r="107" spans="1:64" x14ac:dyDescent="0.25">
      <c r="A107" s="97" t="s">
        <v>107</v>
      </c>
      <c r="B107" s="89">
        <f t="shared" si="62"/>
        <v>0</v>
      </c>
      <c r="C107" s="89">
        <f t="shared" si="58"/>
        <v>0</v>
      </c>
      <c r="D107" s="89">
        <f t="shared" si="58"/>
        <v>0</v>
      </c>
      <c r="E107" s="89">
        <f t="shared" si="58"/>
        <v>0</v>
      </c>
      <c r="F107" s="89">
        <f t="shared" si="58"/>
        <v>0</v>
      </c>
      <c r="G107" s="89">
        <f t="shared" si="58"/>
        <v>0</v>
      </c>
      <c r="H107" s="89">
        <f t="shared" si="58"/>
        <v>0</v>
      </c>
      <c r="I107" s="89">
        <f t="shared" si="58"/>
        <v>0</v>
      </c>
      <c r="J107" s="89">
        <f t="shared" si="58"/>
        <v>0</v>
      </c>
      <c r="K107" s="89">
        <f t="shared" si="58"/>
        <v>0</v>
      </c>
      <c r="L107" s="89">
        <f t="shared" si="58"/>
        <v>0</v>
      </c>
      <c r="M107" s="89">
        <f t="shared" si="58"/>
        <v>0</v>
      </c>
      <c r="N107" s="89">
        <f t="shared" si="58"/>
        <v>0</v>
      </c>
      <c r="O107" s="89">
        <f t="shared" si="58"/>
        <v>0</v>
      </c>
      <c r="P107" s="89">
        <f t="shared" si="58"/>
        <v>0</v>
      </c>
      <c r="Q107" s="89">
        <f t="shared" si="58"/>
        <v>0</v>
      </c>
      <c r="R107" s="89">
        <f t="shared" si="58"/>
        <v>0</v>
      </c>
      <c r="S107" s="89">
        <f t="shared" si="58"/>
        <v>0</v>
      </c>
      <c r="T107" s="89">
        <f t="shared" si="58"/>
        <v>0</v>
      </c>
      <c r="U107" s="89">
        <f t="shared" si="58"/>
        <v>0</v>
      </c>
      <c r="V107" s="89">
        <f t="shared" si="58"/>
        <v>0</v>
      </c>
      <c r="W107" s="89">
        <f t="shared" si="58"/>
        <v>0</v>
      </c>
      <c r="X107" s="89">
        <f t="shared" si="58"/>
        <v>0</v>
      </c>
      <c r="Y107" s="89">
        <f t="shared" si="58"/>
        <v>0</v>
      </c>
      <c r="Z107" s="89">
        <f t="shared" si="58"/>
        <v>0</v>
      </c>
      <c r="AA107" s="89">
        <f t="shared" si="58"/>
        <v>0</v>
      </c>
      <c r="AB107" s="89">
        <f t="shared" ref="AB107:AC107" si="69">IF(AB87&lt;0,AB87*-1,0)</f>
        <v>0</v>
      </c>
      <c r="AC107" s="89">
        <f t="shared" si="69"/>
        <v>0</v>
      </c>
      <c r="AD107" s="89">
        <f t="shared" ref="AD107:AE107" si="70">IF(AD87&lt;0,AD87*-1,0)</f>
        <v>0</v>
      </c>
      <c r="AE107" s="89">
        <f t="shared" si="70"/>
        <v>0</v>
      </c>
      <c r="AF107" s="89">
        <f t="shared" ref="AF107" si="71">IF(AF87&lt;0,AF87*-1,0)</f>
        <v>0</v>
      </c>
      <c r="AG107" s="111"/>
      <c r="AH107" s="48">
        <f t="shared" si="36"/>
        <v>0</v>
      </c>
      <c r="AI107" s="49">
        <f t="shared" si="37"/>
        <v>0</v>
      </c>
    </row>
    <row r="108" spans="1:64" x14ac:dyDescent="0.25">
      <c r="A108" s="97" t="s">
        <v>108</v>
      </c>
      <c r="B108" s="89">
        <f t="shared" si="62"/>
        <v>0</v>
      </c>
      <c r="C108" s="89">
        <f t="shared" si="58"/>
        <v>0</v>
      </c>
      <c r="D108" s="89">
        <f t="shared" si="58"/>
        <v>0</v>
      </c>
      <c r="E108" s="89">
        <f t="shared" si="58"/>
        <v>0</v>
      </c>
      <c r="F108" s="89">
        <f t="shared" si="58"/>
        <v>0</v>
      </c>
      <c r="G108" s="89">
        <f t="shared" si="58"/>
        <v>0</v>
      </c>
      <c r="H108" s="89">
        <f t="shared" si="58"/>
        <v>0</v>
      </c>
      <c r="I108" s="89">
        <f t="shared" si="58"/>
        <v>0</v>
      </c>
      <c r="J108" s="89">
        <f t="shared" si="58"/>
        <v>0</v>
      </c>
      <c r="K108" s="89">
        <f t="shared" si="58"/>
        <v>0</v>
      </c>
      <c r="L108" s="89">
        <f t="shared" si="58"/>
        <v>0</v>
      </c>
      <c r="M108" s="89">
        <f t="shared" si="58"/>
        <v>0</v>
      </c>
      <c r="N108" s="89">
        <f t="shared" si="58"/>
        <v>0</v>
      </c>
      <c r="O108" s="89">
        <f t="shared" si="58"/>
        <v>0</v>
      </c>
      <c r="P108" s="89">
        <f t="shared" si="58"/>
        <v>0</v>
      </c>
      <c r="Q108" s="89">
        <f t="shared" si="58"/>
        <v>0</v>
      </c>
      <c r="R108" s="89">
        <f t="shared" si="58"/>
        <v>0</v>
      </c>
      <c r="S108" s="89">
        <f t="shared" si="58"/>
        <v>0</v>
      </c>
      <c r="T108" s="89">
        <f t="shared" si="58"/>
        <v>0</v>
      </c>
      <c r="U108" s="89">
        <f t="shared" si="58"/>
        <v>0</v>
      </c>
      <c r="V108" s="89">
        <f t="shared" si="58"/>
        <v>0</v>
      </c>
      <c r="W108" s="89">
        <f t="shared" si="58"/>
        <v>0</v>
      </c>
      <c r="X108" s="89">
        <f t="shared" si="58"/>
        <v>0</v>
      </c>
      <c r="Y108" s="89">
        <f t="shared" si="58"/>
        <v>0</v>
      </c>
      <c r="Z108" s="89">
        <f t="shared" si="58"/>
        <v>0</v>
      </c>
      <c r="AA108" s="89">
        <f t="shared" si="58"/>
        <v>0</v>
      </c>
      <c r="AB108" s="89">
        <f t="shared" ref="AB108:AC108" si="72">IF(AB88&lt;0,AB88*-1,0)</f>
        <v>0</v>
      </c>
      <c r="AC108" s="89">
        <f t="shared" si="72"/>
        <v>0</v>
      </c>
      <c r="AD108" s="89">
        <f t="shared" ref="AD108:AE108" si="73">IF(AD88&lt;0,AD88*-1,0)</f>
        <v>0</v>
      </c>
      <c r="AE108" s="89">
        <f t="shared" si="73"/>
        <v>0</v>
      </c>
      <c r="AF108" s="89">
        <f t="shared" ref="AF108" si="74">IF(AF88&lt;0,AF88*-1,0)</f>
        <v>0</v>
      </c>
      <c r="AG108" s="111"/>
      <c r="AH108" s="48">
        <f t="shared" si="36"/>
        <v>0</v>
      </c>
      <c r="AI108" s="49">
        <f t="shared" si="37"/>
        <v>0</v>
      </c>
    </row>
    <row r="109" spans="1:64" ht="15.75" thickBot="1" x14ac:dyDescent="0.3">
      <c r="A109" s="97" t="s">
        <v>117</v>
      </c>
      <c r="B109" s="89">
        <f t="shared" si="62"/>
        <v>0</v>
      </c>
      <c r="C109" s="89">
        <f t="shared" si="58"/>
        <v>0</v>
      </c>
      <c r="D109" s="89">
        <f t="shared" si="58"/>
        <v>0</v>
      </c>
      <c r="E109" s="89">
        <f t="shared" si="58"/>
        <v>0</v>
      </c>
      <c r="F109" s="89">
        <f t="shared" si="58"/>
        <v>0</v>
      </c>
      <c r="G109" s="89">
        <f t="shared" si="58"/>
        <v>0</v>
      </c>
      <c r="H109" s="89">
        <f t="shared" si="58"/>
        <v>0</v>
      </c>
      <c r="I109" s="89">
        <f t="shared" si="58"/>
        <v>0</v>
      </c>
      <c r="J109" s="89">
        <f t="shared" si="58"/>
        <v>0</v>
      </c>
      <c r="K109" s="89">
        <f t="shared" si="58"/>
        <v>0</v>
      </c>
      <c r="L109" s="89">
        <f t="shared" si="58"/>
        <v>0</v>
      </c>
      <c r="M109" s="89">
        <f t="shared" si="58"/>
        <v>0</v>
      </c>
      <c r="N109" s="89">
        <f t="shared" si="58"/>
        <v>0</v>
      </c>
      <c r="O109" s="89">
        <f t="shared" si="58"/>
        <v>0</v>
      </c>
      <c r="P109" s="89">
        <f t="shared" si="58"/>
        <v>0</v>
      </c>
      <c r="Q109" s="89">
        <f t="shared" si="58"/>
        <v>0</v>
      </c>
      <c r="R109" s="89">
        <f t="shared" si="58"/>
        <v>0</v>
      </c>
      <c r="S109" s="89">
        <f t="shared" si="58"/>
        <v>0</v>
      </c>
      <c r="T109" s="89">
        <f t="shared" si="58"/>
        <v>0</v>
      </c>
      <c r="U109" s="89">
        <f t="shared" si="58"/>
        <v>0</v>
      </c>
      <c r="V109" s="89">
        <f t="shared" si="58"/>
        <v>0</v>
      </c>
      <c r="W109" s="89">
        <f t="shared" si="58"/>
        <v>0</v>
      </c>
      <c r="X109" s="89">
        <f t="shared" si="58"/>
        <v>0</v>
      </c>
      <c r="Y109" s="89">
        <f t="shared" si="58"/>
        <v>0</v>
      </c>
      <c r="Z109" s="89">
        <f t="shared" si="58"/>
        <v>0</v>
      </c>
      <c r="AA109" s="89">
        <f t="shared" si="58"/>
        <v>0</v>
      </c>
      <c r="AB109" s="89">
        <f t="shared" ref="AB109:AC109" si="75">IF(AB89&lt;0,AB89*-1,0)</f>
        <v>0</v>
      </c>
      <c r="AC109" s="89">
        <f t="shared" si="75"/>
        <v>0</v>
      </c>
      <c r="AD109" s="89">
        <f t="shared" ref="AD109:AE109" si="76">IF(AD89&lt;0,AD89*-1,0)</f>
        <v>0</v>
      </c>
      <c r="AE109" s="89">
        <f t="shared" si="76"/>
        <v>0</v>
      </c>
      <c r="AF109" s="89">
        <f t="shared" ref="AF109" si="77">IF(AF89&lt;0,AF89*-1,0)</f>
        <v>0</v>
      </c>
      <c r="AG109" s="98"/>
      <c r="AH109" s="48">
        <f t="shared" si="36"/>
        <v>0</v>
      </c>
      <c r="AI109" s="49">
        <f t="shared" si="37"/>
        <v>0</v>
      </c>
    </row>
    <row r="110" spans="1:64" ht="15.75" thickBot="1" x14ac:dyDescent="0.3">
      <c r="A110" s="112" t="s">
        <v>130</v>
      </c>
      <c r="B110" s="71">
        <f>SUM(B104:B109)</f>
        <v>115</v>
      </c>
      <c r="C110" s="71">
        <f t="shared" ref="C110:AA110" si="78">SUM(C104:C109)</f>
        <v>110</v>
      </c>
      <c r="D110" s="71">
        <f t="shared" si="78"/>
        <v>112</v>
      </c>
      <c r="E110" s="71">
        <f t="shared" si="78"/>
        <v>106</v>
      </c>
      <c r="F110" s="71">
        <f t="shared" si="78"/>
        <v>110</v>
      </c>
      <c r="G110" s="71">
        <f t="shared" si="78"/>
        <v>116</v>
      </c>
      <c r="H110" s="71">
        <f t="shared" si="78"/>
        <v>110.3</v>
      </c>
      <c r="I110" s="71">
        <f t="shared" si="78"/>
        <v>99</v>
      </c>
      <c r="J110" s="71">
        <f t="shared" si="78"/>
        <v>106</v>
      </c>
      <c r="K110" s="71">
        <f t="shared" si="78"/>
        <v>112.9</v>
      </c>
      <c r="L110" s="71">
        <f t="shared" si="78"/>
        <v>20</v>
      </c>
      <c r="M110" s="71">
        <f t="shared" si="78"/>
        <v>0</v>
      </c>
      <c r="N110" s="71">
        <f t="shared" si="78"/>
        <v>126.5</v>
      </c>
      <c r="O110" s="71">
        <f t="shared" si="78"/>
        <v>108</v>
      </c>
      <c r="P110" s="71">
        <f t="shared" si="78"/>
        <v>0</v>
      </c>
      <c r="Q110" s="71">
        <f t="shared" si="78"/>
        <v>0</v>
      </c>
      <c r="R110" s="71">
        <f t="shared" si="78"/>
        <v>0</v>
      </c>
      <c r="S110" s="71">
        <f t="shared" si="78"/>
        <v>0</v>
      </c>
      <c r="T110" s="71">
        <f t="shared" si="78"/>
        <v>0</v>
      </c>
      <c r="U110" s="71">
        <f t="shared" si="78"/>
        <v>0</v>
      </c>
      <c r="V110" s="71">
        <f t="shared" si="78"/>
        <v>28</v>
      </c>
      <c r="W110" s="71">
        <f t="shared" si="78"/>
        <v>31</v>
      </c>
      <c r="X110" s="71">
        <f t="shared" si="78"/>
        <v>14</v>
      </c>
      <c r="Y110" s="71">
        <f t="shared" si="78"/>
        <v>105</v>
      </c>
      <c r="Z110" s="71">
        <f t="shared" si="78"/>
        <v>112</v>
      </c>
      <c r="AA110" s="71">
        <f t="shared" si="78"/>
        <v>91</v>
      </c>
      <c r="AB110" s="71">
        <f t="shared" ref="AB110:AC110" si="79">SUM(AB104:AB109)</f>
        <v>110.1</v>
      </c>
      <c r="AC110" s="71">
        <f t="shared" si="79"/>
        <v>131.6</v>
      </c>
      <c r="AD110" s="71">
        <f t="shared" ref="AD110:AE110" si="80">SUM(AD104:AD109)</f>
        <v>106.4</v>
      </c>
      <c r="AE110" s="71">
        <f t="shared" si="80"/>
        <v>115.4</v>
      </c>
      <c r="AF110" s="71">
        <f t="shared" ref="AF110" si="81">SUM(AF104:AF109)</f>
        <v>112.4</v>
      </c>
      <c r="AG110" s="101"/>
      <c r="AH110" s="48">
        <f t="shared" si="36"/>
        <v>131.6</v>
      </c>
      <c r="AI110" s="49">
        <f t="shared" si="37"/>
        <v>0</v>
      </c>
    </row>
    <row r="111" spans="1:64" ht="15.75" thickBot="1" x14ac:dyDescent="0.3">
      <c r="A111" s="87" t="s">
        <v>131</v>
      </c>
      <c r="B111" s="71">
        <f t="shared" ref="B111:AA111" si="82">B95-B110</f>
        <v>-56</v>
      </c>
      <c r="C111" s="71">
        <f t="shared" si="82"/>
        <v>-44</v>
      </c>
      <c r="D111" s="71">
        <f t="shared" si="82"/>
        <v>-47</v>
      </c>
      <c r="E111" s="71">
        <f t="shared" si="82"/>
        <v>-40.299999999999997</v>
      </c>
      <c r="F111" s="71">
        <f t="shared" si="82"/>
        <v>-46</v>
      </c>
      <c r="G111" s="71">
        <f t="shared" si="82"/>
        <v>-39.199999999999989</v>
      </c>
      <c r="H111" s="71">
        <f t="shared" si="82"/>
        <v>-47.899999999999991</v>
      </c>
      <c r="I111" s="71">
        <f t="shared" si="82"/>
        <v>-37.4</v>
      </c>
      <c r="J111" s="71">
        <f t="shared" si="82"/>
        <v>79.100000000000023</v>
      </c>
      <c r="K111" s="71">
        <f t="shared" si="82"/>
        <v>113.4</v>
      </c>
      <c r="L111" s="71">
        <f t="shared" si="82"/>
        <v>203</v>
      </c>
      <c r="M111" s="71">
        <f t="shared" si="82"/>
        <v>410.1</v>
      </c>
      <c r="N111" s="71">
        <f t="shared" si="82"/>
        <v>115.5</v>
      </c>
      <c r="O111" s="71">
        <f t="shared" si="82"/>
        <v>143.39999999999998</v>
      </c>
      <c r="P111" s="71">
        <f t="shared" si="82"/>
        <v>573.9</v>
      </c>
      <c r="Q111" s="71">
        <f t="shared" si="82"/>
        <v>593.80000000000007</v>
      </c>
      <c r="R111" s="71">
        <f t="shared" si="82"/>
        <v>598.20000000000005</v>
      </c>
      <c r="S111" s="71">
        <f t="shared" si="82"/>
        <v>596.80000000000007</v>
      </c>
      <c r="T111" s="71">
        <f t="shared" si="82"/>
        <v>496</v>
      </c>
      <c r="U111" s="71">
        <f t="shared" si="82"/>
        <v>428</v>
      </c>
      <c r="V111" s="71">
        <f t="shared" si="82"/>
        <v>210</v>
      </c>
      <c r="W111" s="71">
        <f t="shared" si="82"/>
        <v>223.1</v>
      </c>
      <c r="X111" s="71">
        <f t="shared" si="82"/>
        <v>206.4</v>
      </c>
      <c r="Y111" s="71">
        <f t="shared" si="82"/>
        <v>-32</v>
      </c>
      <c r="Z111" s="71">
        <f t="shared" si="82"/>
        <v>-43.599999999999994</v>
      </c>
      <c r="AA111" s="71">
        <f t="shared" si="82"/>
        <v>-15.799999999999997</v>
      </c>
      <c r="AB111" s="71">
        <f t="shared" ref="AB111:AC111" si="83">AB95-AB110</f>
        <v>-36.5</v>
      </c>
      <c r="AC111" s="71">
        <f t="shared" si="83"/>
        <v>-67.3</v>
      </c>
      <c r="AD111" s="71">
        <f t="shared" ref="AD111:AE111" si="84">AD95-AD110</f>
        <v>-42.800000000000004</v>
      </c>
      <c r="AE111" s="71">
        <f t="shared" si="84"/>
        <v>-38.400000000000006</v>
      </c>
      <c r="AF111" s="71">
        <f t="shared" ref="AF111" si="85">AF95-AF110</f>
        <v>-36.5</v>
      </c>
      <c r="AG111" s="101"/>
      <c r="AH111" s="48">
        <f t="shared" si="36"/>
        <v>598.20000000000005</v>
      </c>
      <c r="AI111" s="49">
        <f t="shared" si="37"/>
        <v>-67.3</v>
      </c>
    </row>
    <row r="112" spans="1:64" x14ac:dyDescent="0.25">
      <c r="A112" s="113" t="s">
        <v>132</v>
      </c>
      <c r="B112" s="114">
        <v>49.854999999999997</v>
      </c>
      <c r="C112" s="114">
        <v>50.021000000000001</v>
      </c>
      <c r="D112" s="114">
        <v>50.058</v>
      </c>
      <c r="E112" s="114">
        <v>50.036000000000001</v>
      </c>
      <c r="F112" s="114">
        <v>50.042000000000002</v>
      </c>
      <c r="G112" s="114">
        <v>49.984000000000002</v>
      </c>
      <c r="H112" s="114">
        <v>50</v>
      </c>
      <c r="I112" s="114">
        <v>50.000999999999998</v>
      </c>
      <c r="J112" s="114">
        <v>49.956000000000003</v>
      </c>
      <c r="K112" s="114">
        <v>50.024000000000001</v>
      </c>
      <c r="L112" s="114">
        <v>50.034999999999997</v>
      </c>
      <c r="M112" s="114">
        <v>49.954999999999998</v>
      </c>
      <c r="N112" s="114">
        <v>49.96</v>
      </c>
      <c r="O112" s="114">
        <v>49.982999999999997</v>
      </c>
      <c r="P112" s="114">
        <v>49.991</v>
      </c>
      <c r="Q112" s="114">
        <v>49.99</v>
      </c>
      <c r="R112" s="114">
        <v>49.99</v>
      </c>
      <c r="S112" s="114">
        <v>50.027999999999999</v>
      </c>
      <c r="T112" s="114">
        <v>50.097000000000001</v>
      </c>
      <c r="U112" s="114">
        <v>50</v>
      </c>
      <c r="V112" s="114">
        <v>49.997999999999998</v>
      </c>
      <c r="W112" s="114">
        <v>49.920999999999999</v>
      </c>
      <c r="X112" s="114">
        <v>50</v>
      </c>
      <c r="Y112" s="114">
        <v>50.021000000000001</v>
      </c>
      <c r="Z112" s="114">
        <v>50.021000000000001</v>
      </c>
      <c r="AA112" s="114">
        <v>50.021000000000001</v>
      </c>
      <c r="AB112" s="114">
        <v>50.06</v>
      </c>
      <c r="AC112" s="114">
        <v>50.04</v>
      </c>
      <c r="AD112" s="114">
        <v>49.95</v>
      </c>
      <c r="AE112" s="114">
        <v>50.03</v>
      </c>
      <c r="AF112" s="114">
        <v>50.01</v>
      </c>
      <c r="AG112" s="115"/>
      <c r="AH112" s="48">
        <f t="shared" si="36"/>
        <v>50.097000000000001</v>
      </c>
      <c r="AI112" s="49">
        <f t="shared" si="37"/>
        <v>49.854999999999997</v>
      </c>
    </row>
    <row r="113" spans="1:35" x14ac:dyDescent="0.25">
      <c r="A113" s="116" t="s">
        <v>133</v>
      </c>
      <c r="B113" s="76">
        <v>127.6</v>
      </c>
      <c r="C113" s="76">
        <v>127.5</v>
      </c>
      <c r="D113" s="76">
        <v>128</v>
      </c>
      <c r="E113" s="76">
        <v>127.6</v>
      </c>
      <c r="F113" s="76">
        <v>127.6</v>
      </c>
      <c r="G113" s="76">
        <v>127.5</v>
      </c>
      <c r="H113" s="76">
        <v>127</v>
      </c>
      <c r="I113" s="76">
        <v>123.7</v>
      </c>
      <c r="J113" s="76">
        <v>126</v>
      </c>
      <c r="K113" s="76">
        <v>125.4</v>
      </c>
      <c r="L113" s="76">
        <v>122.7</v>
      </c>
      <c r="M113" s="76">
        <v>122.7</v>
      </c>
      <c r="N113" s="76">
        <v>122.9</v>
      </c>
      <c r="O113" s="76">
        <v>122</v>
      </c>
      <c r="P113" s="76">
        <v>121.9</v>
      </c>
      <c r="Q113" s="76">
        <v>122.2</v>
      </c>
      <c r="R113" s="76">
        <v>122.2</v>
      </c>
      <c r="S113" s="76">
        <v>120.5</v>
      </c>
      <c r="T113" s="76">
        <v>122.2</v>
      </c>
      <c r="U113" s="76">
        <v>123.1</v>
      </c>
      <c r="V113" s="76">
        <v>124.8</v>
      </c>
      <c r="W113" s="76">
        <v>124.8</v>
      </c>
      <c r="X113" s="76">
        <v>127.7</v>
      </c>
      <c r="Y113" s="76">
        <v>128</v>
      </c>
      <c r="Z113" s="76">
        <v>125</v>
      </c>
      <c r="AA113" s="76">
        <v>125</v>
      </c>
      <c r="AB113" s="76">
        <v>125.5</v>
      </c>
      <c r="AC113" s="76">
        <v>125.5</v>
      </c>
      <c r="AD113" s="76">
        <v>124</v>
      </c>
      <c r="AE113" s="76">
        <v>124.4</v>
      </c>
      <c r="AF113" s="76">
        <v>123.9</v>
      </c>
      <c r="AG113" s="117"/>
      <c r="AH113" s="48">
        <f t="shared" si="36"/>
        <v>128</v>
      </c>
      <c r="AI113" s="49">
        <f t="shared" si="37"/>
        <v>120.5</v>
      </c>
    </row>
    <row r="114" spans="1:35" x14ac:dyDescent="0.25">
      <c r="A114" s="116" t="s">
        <v>134</v>
      </c>
      <c r="B114" s="76">
        <v>131.19999999999999</v>
      </c>
      <c r="C114" s="76">
        <v>131.30000000000001</v>
      </c>
      <c r="D114" s="76">
        <v>132</v>
      </c>
      <c r="E114" s="76">
        <v>131.6</v>
      </c>
      <c r="F114" s="76">
        <v>131.6</v>
      </c>
      <c r="G114" s="76">
        <v>131.19999999999999</v>
      </c>
      <c r="H114" s="76">
        <v>130.6</v>
      </c>
      <c r="I114" s="76">
        <v>127.7</v>
      </c>
      <c r="J114" s="76">
        <v>128.6</v>
      </c>
      <c r="K114" s="76">
        <v>128</v>
      </c>
      <c r="L114" s="76">
        <v>125.9</v>
      </c>
      <c r="M114" s="76">
        <v>125.8</v>
      </c>
      <c r="N114" s="76">
        <v>125.8</v>
      </c>
      <c r="O114" s="76">
        <v>124.9</v>
      </c>
      <c r="P114" s="76">
        <v>125.1</v>
      </c>
      <c r="Q114" s="76">
        <v>125.3</v>
      </c>
      <c r="R114" s="76">
        <v>125.2</v>
      </c>
      <c r="S114" s="76">
        <v>124</v>
      </c>
      <c r="T114" s="76">
        <v>125.4</v>
      </c>
      <c r="U114" s="76">
        <v>125</v>
      </c>
      <c r="V114" s="76">
        <v>126.8</v>
      </c>
      <c r="W114" s="76">
        <v>126.9</v>
      </c>
      <c r="X114" s="76">
        <v>129.5</v>
      </c>
      <c r="Y114" s="76">
        <v>129.4</v>
      </c>
      <c r="Z114" s="76">
        <v>128.19999999999999</v>
      </c>
      <c r="AA114" s="76">
        <v>128.19999999999999</v>
      </c>
      <c r="AB114" s="76">
        <v>128.30000000000001</v>
      </c>
      <c r="AC114" s="76">
        <v>128.30000000000001</v>
      </c>
      <c r="AD114" s="76">
        <v>127.9</v>
      </c>
      <c r="AE114" s="76">
        <v>128.69999999999999</v>
      </c>
      <c r="AF114" s="76">
        <v>128.4</v>
      </c>
      <c r="AG114" s="117"/>
      <c r="AH114" s="48">
        <f t="shared" si="36"/>
        <v>132</v>
      </c>
      <c r="AI114" s="49">
        <f t="shared" si="37"/>
        <v>124</v>
      </c>
    </row>
    <row r="115" spans="1:35" x14ac:dyDescent="0.25">
      <c r="A115" s="116" t="s">
        <v>135</v>
      </c>
      <c r="B115" s="76">
        <v>132.30000000000001</v>
      </c>
      <c r="C115" s="76">
        <v>131.69999999999999</v>
      </c>
      <c r="D115" s="76">
        <v>131.19999999999999</v>
      </c>
      <c r="E115" s="76">
        <v>130.30000000000001</v>
      </c>
      <c r="F115" s="76">
        <v>131.69999999999999</v>
      </c>
      <c r="G115" s="76">
        <v>131.5</v>
      </c>
      <c r="H115" s="76">
        <v>131.69999999999999</v>
      </c>
      <c r="I115" s="76">
        <v>129.1</v>
      </c>
      <c r="J115" s="76">
        <v>131.5</v>
      </c>
      <c r="K115" s="76">
        <v>128.6</v>
      </c>
      <c r="L115" s="76">
        <v>128</v>
      </c>
      <c r="M115" s="76">
        <v>128.9</v>
      </c>
      <c r="N115" s="76">
        <v>129.5</v>
      </c>
      <c r="O115" s="76">
        <v>128.30000000000001</v>
      </c>
      <c r="P115" s="76">
        <v>127.5</v>
      </c>
      <c r="Q115" s="76">
        <v>130</v>
      </c>
      <c r="R115" s="76">
        <v>126.1</v>
      </c>
      <c r="S115" s="76">
        <v>127.3</v>
      </c>
      <c r="T115" s="76">
        <v>125.4</v>
      </c>
      <c r="U115" s="76">
        <v>127</v>
      </c>
      <c r="V115" s="76">
        <v>129</v>
      </c>
      <c r="W115" s="76">
        <v>130.4</v>
      </c>
      <c r="X115" s="76">
        <v>131.9</v>
      </c>
      <c r="Y115" s="76">
        <v>128.19999999999999</v>
      </c>
      <c r="Z115" s="76">
        <v>126</v>
      </c>
      <c r="AA115" s="76">
        <v>126</v>
      </c>
      <c r="AB115" s="76">
        <v>127.7</v>
      </c>
      <c r="AC115" s="76">
        <v>127.7</v>
      </c>
      <c r="AD115" s="76">
        <v>129.19999999999999</v>
      </c>
      <c r="AE115" s="76">
        <v>128.5</v>
      </c>
      <c r="AF115" s="76">
        <v>129.5</v>
      </c>
      <c r="AG115" s="117"/>
      <c r="AH115" s="48">
        <f t="shared" si="36"/>
        <v>132.30000000000001</v>
      </c>
      <c r="AI115" s="49">
        <f t="shared" si="37"/>
        <v>125.4</v>
      </c>
    </row>
    <row r="116" spans="1:35" x14ac:dyDescent="0.25">
      <c r="A116" s="118" t="s">
        <v>136</v>
      </c>
      <c r="B116" s="76">
        <v>132.5</v>
      </c>
      <c r="C116" s="76">
        <v>131.69999999999999</v>
      </c>
      <c r="D116" s="76">
        <v>131</v>
      </c>
      <c r="E116" s="76">
        <v>131.69999999999999</v>
      </c>
      <c r="F116" s="76">
        <v>132.5</v>
      </c>
      <c r="G116" s="76">
        <v>132.5</v>
      </c>
      <c r="H116" s="76">
        <v>132.80000000000001</v>
      </c>
      <c r="I116" s="76">
        <v>129.30000000000001</v>
      </c>
      <c r="J116" s="76">
        <v>133.9</v>
      </c>
      <c r="K116" s="76">
        <v>129.69999999999999</v>
      </c>
      <c r="L116" s="76">
        <v>127.8</v>
      </c>
      <c r="M116" s="76">
        <v>128.80000000000001</v>
      </c>
      <c r="N116" s="76">
        <v>130.1</v>
      </c>
      <c r="O116" s="76">
        <v>128.80000000000001</v>
      </c>
      <c r="P116" s="76">
        <v>129</v>
      </c>
      <c r="Q116" s="76">
        <v>131.5</v>
      </c>
      <c r="R116" s="76">
        <v>126.5</v>
      </c>
      <c r="S116" s="76">
        <v>127.8</v>
      </c>
      <c r="T116" s="76">
        <v>126.7</v>
      </c>
      <c r="U116" s="76">
        <v>128.69999999999999</v>
      </c>
      <c r="V116" s="76">
        <v>129</v>
      </c>
      <c r="W116" s="76">
        <v>130.9</v>
      </c>
      <c r="X116" s="76">
        <v>130.9</v>
      </c>
      <c r="Y116" s="76">
        <v>127.8</v>
      </c>
      <c r="Z116" s="76">
        <v>125.3</v>
      </c>
      <c r="AA116" s="76">
        <v>125.3</v>
      </c>
      <c r="AB116" s="76">
        <v>126.7</v>
      </c>
      <c r="AC116" s="76">
        <v>126.7</v>
      </c>
      <c r="AD116" s="76">
        <v>128.19999999999999</v>
      </c>
      <c r="AE116" s="76">
        <v>128.1</v>
      </c>
      <c r="AF116" s="76">
        <v>129.1</v>
      </c>
      <c r="AG116" s="117"/>
      <c r="AH116" s="48">
        <f t="shared" si="36"/>
        <v>133.9</v>
      </c>
      <c r="AI116" s="49">
        <f t="shared" si="37"/>
        <v>125.3</v>
      </c>
    </row>
    <row r="117" spans="1:35" x14ac:dyDescent="0.25">
      <c r="A117" s="118" t="s">
        <v>137</v>
      </c>
      <c r="B117" s="119">
        <v>135.19999999999999</v>
      </c>
      <c r="C117" s="119">
        <v>131.9</v>
      </c>
      <c r="D117" s="119">
        <v>131.9</v>
      </c>
      <c r="E117" s="119">
        <v>133.1</v>
      </c>
      <c r="F117" s="119">
        <v>133.69999999999999</v>
      </c>
      <c r="G117" s="119">
        <v>128.30000000000001</v>
      </c>
      <c r="H117" s="119">
        <v>126.2</v>
      </c>
      <c r="I117" s="119">
        <v>132.85</v>
      </c>
      <c r="J117" s="119">
        <v>132.30000000000001</v>
      </c>
      <c r="K117" s="119">
        <v>134.80000000000001</v>
      </c>
      <c r="L117" s="119">
        <v>135</v>
      </c>
      <c r="M117" s="119">
        <v>132.80000000000001</v>
      </c>
      <c r="N117" s="119">
        <v>134.4</v>
      </c>
      <c r="O117" s="119">
        <v>130</v>
      </c>
      <c r="P117" s="119">
        <v>135.19999999999999</v>
      </c>
      <c r="Q117" s="119">
        <v>135.1</v>
      </c>
      <c r="R117" s="119">
        <v>132.9</v>
      </c>
      <c r="S117" s="119">
        <v>129.69999999999999</v>
      </c>
      <c r="T117" s="119">
        <v>131.4</v>
      </c>
      <c r="U117" s="119">
        <v>131.30000000000001</v>
      </c>
      <c r="V117" s="119">
        <v>133</v>
      </c>
      <c r="W117" s="119">
        <v>135</v>
      </c>
      <c r="X117" s="119">
        <v>137</v>
      </c>
      <c r="Y117" s="119">
        <v>134.6</v>
      </c>
      <c r="Z117" s="119">
        <v>134.30000000000001</v>
      </c>
      <c r="AA117" s="119">
        <v>134.30000000000001</v>
      </c>
      <c r="AB117" s="119">
        <v>134.1</v>
      </c>
      <c r="AC117" s="119">
        <v>134.1</v>
      </c>
      <c r="AD117" s="119">
        <v>132.4</v>
      </c>
      <c r="AE117" s="119">
        <v>133.6</v>
      </c>
      <c r="AF117" s="119">
        <v>131.30000000000001</v>
      </c>
      <c r="AG117" s="120"/>
      <c r="AH117" s="48">
        <f t="shared" si="36"/>
        <v>137</v>
      </c>
      <c r="AI117" s="49">
        <f t="shared" si="37"/>
        <v>126.2</v>
      </c>
    </row>
    <row r="118" spans="1:35" x14ac:dyDescent="0.25">
      <c r="A118" s="116" t="s">
        <v>138</v>
      </c>
      <c r="B118" s="76"/>
      <c r="C118" s="76"/>
      <c r="D118" s="76"/>
      <c r="E118" s="76">
        <v>126.8</v>
      </c>
      <c r="F118" s="76">
        <v>128.4</v>
      </c>
      <c r="G118" s="76">
        <v>66</v>
      </c>
      <c r="H118" s="76">
        <v>65.7</v>
      </c>
      <c r="I118" s="76">
        <v>122.3</v>
      </c>
      <c r="J118" s="76">
        <v>127.8</v>
      </c>
      <c r="K118" s="76">
        <v>130.97999999999999</v>
      </c>
      <c r="L118" s="76">
        <v>130.9</v>
      </c>
      <c r="M118" s="76">
        <v>126.3</v>
      </c>
      <c r="N118" s="76">
        <v>130.19999999999999</v>
      </c>
      <c r="O118" s="76">
        <v>118.4</v>
      </c>
      <c r="P118" s="76">
        <v>128.69999999999999</v>
      </c>
      <c r="Q118" s="76">
        <v>129.69999999999999</v>
      </c>
      <c r="R118" s="76">
        <v>125.4</v>
      </c>
      <c r="S118" s="76">
        <v>122.5</v>
      </c>
      <c r="T118" s="76">
        <v>130</v>
      </c>
      <c r="U118" s="76">
        <v>128.19999999999999</v>
      </c>
      <c r="V118" s="76">
        <v>124.2</v>
      </c>
      <c r="W118" s="76">
        <v>126</v>
      </c>
      <c r="X118" s="76">
        <v>124.3</v>
      </c>
      <c r="Y118" s="76">
        <v>130</v>
      </c>
      <c r="Z118" s="76">
        <v>129.69999999999999</v>
      </c>
      <c r="AA118" s="76">
        <v>129.69999999999999</v>
      </c>
      <c r="AB118" s="76">
        <v>127.6</v>
      </c>
      <c r="AC118" s="76">
        <v>127.6</v>
      </c>
      <c r="AD118" s="76">
        <v>124.2</v>
      </c>
      <c r="AE118" s="76">
        <v>124.6</v>
      </c>
      <c r="AF118" s="76">
        <v>118.9</v>
      </c>
      <c r="AG118" s="117"/>
      <c r="AH118" s="48">
        <f t="shared" si="36"/>
        <v>130.97999999999999</v>
      </c>
      <c r="AI118" s="49">
        <f t="shared" si="37"/>
        <v>65.7</v>
      </c>
    </row>
    <row r="119" spans="1:35" ht="15.75" thickBot="1" x14ac:dyDescent="0.3">
      <c r="A119" s="116" t="s">
        <v>139</v>
      </c>
      <c r="B119" s="105">
        <v>66.3</v>
      </c>
      <c r="C119" s="105">
        <v>66.400000000000006</v>
      </c>
      <c r="D119" s="105">
        <v>66.599999999999994</v>
      </c>
      <c r="E119" s="105">
        <v>66.3</v>
      </c>
      <c r="F119" s="105">
        <v>66.3</v>
      </c>
      <c r="G119" s="105"/>
      <c r="H119" s="105"/>
      <c r="I119" s="105">
        <v>63.9</v>
      </c>
      <c r="J119" s="105">
        <v>64.3</v>
      </c>
      <c r="K119" s="105">
        <v>64</v>
      </c>
      <c r="L119" s="105">
        <v>62.8</v>
      </c>
      <c r="M119" s="105">
        <v>62.8</v>
      </c>
      <c r="N119" s="105">
        <v>62.9</v>
      </c>
      <c r="O119" s="105">
        <v>62.3</v>
      </c>
      <c r="P119" s="105">
        <v>62.5</v>
      </c>
      <c r="Q119" s="105">
        <v>62.5</v>
      </c>
      <c r="R119" s="105">
        <v>62.8</v>
      </c>
      <c r="S119" s="105">
        <v>62.1</v>
      </c>
      <c r="T119" s="105">
        <v>62.7</v>
      </c>
      <c r="U119" s="105">
        <v>62.2</v>
      </c>
      <c r="V119" s="105">
        <v>63.4</v>
      </c>
      <c r="W119" s="105">
        <v>63.4</v>
      </c>
      <c r="X119" s="105">
        <v>64.400000000000006</v>
      </c>
      <c r="Y119" s="105">
        <v>64.400000000000006</v>
      </c>
      <c r="Z119" s="105">
        <v>64.900000000000006</v>
      </c>
      <c r="AA119" s="105">
        <v>64.900000000000006</v>
      </c>
      <c r="AB119" s="105">
        <v>65</v>
      </c>
      <c r="AC119" s="105">
        <v>65</v>
      </c>
      <c r="AD119" s="105">
        <v>64.7</v>
      </c>
      <c r="AE119" s="105">
        <v>64.599999999999994</v>
      </c>
      <c r="AF119" s="105">
        <v>64.900000000000006</v>
      </c>
      <c r="AG119" s="121"/>
      <c r="AH119" s="48">
        <f t="shared" si="36"/>
        <v>66.599999999999994</v>
      </c>
      <c r="AI119" s="49">
        <f t="shared" si="37"/>
        <v>62.1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6"/>
        <v>0</v>
      </c>
      <c r="AI120" s="49">
        <f t="shared" si="37"/>
        <v>0</v>
      </c>
    </row>
    <row r="121" spans="1:35" ht="15.75" thickBot="1" x14ac:dyDescent="0.3">
      <c r="A121" s="123" t="s">
        <v>141</v>
      </c>
      <c r="B121" s="124">
        <f t="shared" ref="B121:O121" si="86">SUM(B25,B31,B34:B35,B69,B71:B72,B74,B76,B122:B126,B158,B164,B170,B179,B181,B193,B200,B203:B204,B211,B213,B215,B219:B221,B223:B225,B230,B236:B237,B239:B241,B249,B254)</f>
        <v>144.43999999999997</v>
      </c>
      <c r="C121" s="124">
        <f t="shared" si="86"/>
        <v>110.34</v>
      </c>
      <c r="D121" s="124">
        <f t="shared" si="86"/>
        <v>111.34</v>
      </c>
      <c r="E121" s="124">
        <f t="shared" si="86"/>
        <v>102.34</v>
      </c>
      <c r="F121" s="124">
        <f t="shared" si="86"/>
        <v>105.94000000000001</v>
      </c>
      <c r="G121" s="124">
        <f t="shared" si="86"/>
        <v>170.83999999999997</v>
      </c>
      <c r="H121" s="124">
        <f t="shared" si="86"/>
        <v>142.54000000000002</v>
      </c>
      <c r="I121" s="124">
        <f t="shared" si="86"/>
        <v>129.04</v>
      </c>
      <c r="J121" s="124">
        <f t="shared" si="86"/>
        <v>159.54</v>
      </c>
      <c r="K121" s="124">
        <f t="shared" si="86"/>
        <v>167.74</v>
      </c>
      <c r="L121" s="124">
        <f t="shared" si="86"/>
        <v>168.83999999999997</v>
      </c>
      <c r="M121" s="124">
        <f t="shared" si="86"/>
        <v>165.74</v>
      </c>
      <c r="N121" s="124">
        <f t="shared" si="86"/>
        <v>183.94</v>
      </c>
      <c r="O121" s="124">
        <f t="shared" si="86"/>
        <v>189.64</v>
      </c>
      <c r="P121" s="124">
        <v>42</v>
      </c>
      <c r="Q121" s="124">
        <f t="shared" ref="Q121:X121" si="87">SUM(Q25,Q31,Q34:Q35,Q69,Q71:Q72,Q74,Q76,Q122:Q126,Q158,Q164,Q170,Q179,Q181,Q193,Q200,Q203:Q204,Q211,Q213,Q215,Q219:Q221,Q223:Q225,Q230,Q236:Q237,Q239:Q241,Q249,Q254)</f>
        <v>193.44000000000003</v>
      </c>
      <c r="R121" s="124">
        <f t="shared" si="87"/>
        <v>182.74000000000004</v>
      </c>
      <c r="S121" s="124">
        <f t="shared" si="87"/>
        <v>177.64000000000001</v>
      </c>
      <c r="T121" s="124">
        <f t="shared" si="87"/>
        <v>189.84000000000003</v>
      </c>
      <c r="U121" s="124">
        <f t="shared" si="87"/>
        <v>194.54000000000002</v>
      </c>
      <c r="V121" s="124">
        <f t="shared" si="87"/>
        <v>187.54000000000002</v>
      </c>
      <c r="W121" s="124">
        <f t="shared" si="87"/>
        <v>181.44000000000003</v>
      </c>
      <c r="X121" s="124">
        <f t="shared" si="87"/>
        <v>210.54000000000002</v>
      </c>
      <c r="Y121" s="124">
        <f>SUM(Y23,Y29,Y40:Y41,Y69,Y71:Y72,Y74,Y76,Y122:Y126,Y151,Y157,Y163,Y172,Y174,Y186,Y193,Y196:Y197,Y204,Y206,Y208,Y212:Y214,Y216:Y218,Y223,Y229:Y230,Y232:Y234,Y242,Y247)</f>
        <v>231.60000000000002</v>
      </c>
      <c r="Z121" s="124">
        <f>SUM(Z23,Z29,Z40:Z41,Z69,Z71:Z72,Z74,Z76,Z122:Z126,Z151,Z157,Z163,Z172,Z174,Z186,Z193,Z196:Z197,Z204,Z206,Z208,Z212:Z214,Z216:Z218,Z223,Z229:Z230,Z232:Z234,Z242,Z247)</f>
        <v>229.89999999999998</v>
      </c>
      <c r="AA121" s="124">
        <f t="shared" ref="AA121:AF121" si="88">SUM(AA25,AA31,AA34:AA35,AA69,AA71:AA72,AA74,AA76,AA122:AA126,AA158,AA164,AA170,AA179,AA181,AA193,AA200,AA203:AA204,AA211,AA213,AA215,AA219:AA221,AA223:AA225,AA230,AA236:AA237,AA239:AA241,AA249,AA254)</f>
        <v>217.34</v>
      </c>
      <c r="AB121" s="124">
        <f t="shared" si="88"/>
        <v>242.54000000000002</v>
      </c>
      <c r="AC121" s="124">
        <f t="shared" si="88"/>
        <v>229.54000000000002</v>
      </c>
      <c r="AD121" s="124">
        <f t="shared" si="88"/>
        <v>183.34000000000003</v>
      </c>
      <c r="AE121" s="124">
        <f t="shared" si="88"/>
        <v>147.04</v>
      </c>
      <c r="AF121" s="124">
        <f t="shared" si="88"/>
        <v>127.64000000000004</v>
      </c>
      <c r="AG121" s="125"/>
      <c r="AH121" s="48">
        <f t="shared" si="36"/>
        <v>242.54000000000002</v>
      </c>
      <c r="AI121" s="49">
        <f t="shared" si="37"/>
        <v>42</v>
      </c>
    </row>
    <row r="122" spans="1:35" x14ac:dyDescent="0.25">
      <c r="A122" s="126" t="s">
        <v>142</v>
      </c>
      <c r="B122" s="127">
        <v>59</v>
      </c>
      <c r="C122" s="127">
        <v>51</v>
      </c>
      <c r="D122" s="127">
        <v>50</v>
      </c>
      <c r="E122" s="127">
        <v>47.6</v>
      </c>
      <c r="F122" s="127">
        <v>48.9</v>
      </c>
      <c r="G122" s="127">
        <v>52.9</v>
      </c>
      <c r="H122" s="127">
        <v>57.1</v>
      </c>
      <c r="I122" s="127">
        <v>45.6</v>
      </c>
      <c r="J122" s="127">
        <v>49.1</v>
      </c>
      <c r="K122" s="127">
        <v>43.9</v>
      </c>
      <c r="L122" s="127">
        <v>41.5</v>
      </c>
      <c r="M122" s="127">
        <v>26.7</v>
      </c>
      <c r="N122" s="127">
        <v>40.1</v>
      </c>
      <c r="O122" s="127">
        <v>36</v>
      </c>
      <c r="P122" s="127">
        <v>25.5</v>
      </c>
      <c r="Q122" s="127">
        <v>24.8</v>
      </c>
      <c r="R122" s="127">
        <v>25.5</v>
      </c>
      <c r="S122" s="127">
        <v>22.3</v>
      </c>
      <c r="T122" s="127">
        <v>35.299999999999997</v>
      </c>
      <c r="U122" s="127">
        <v>38</v>
      </c>
      <c r="V122" s="127">
        <v>46.1</v>
      </c>
      <c r="W122" s="127">
        <v>40.1</v>
      </c>
      <c r="X122" s="127">
        <v>58</v>
      </c>
      <c r="Y122" s="127">
        <v>51</v>
      </c>
      <c r="Z122" s="127">
        <v>54.3</v>
      </c>
      <c r="AA122" s="127">
        <v>54.3</v>
      </c>
      <c r="AB122" s="127">
        <v>57.7</v>
      </c>
      <c r="AC122" s="127">
        <v>48.6</v>
      </c>
      <c r="AD122" s="127">
        <v>50.1</v>
      </c>
      <c r="AE122" s="127">
        <v>53.5</v>
      </c>
      <c r="AF122" s="127">
        <v>60.2</v>
      </c>
      <c r="AG122" s="128">
        <v>75</v>
      </c>
      <c r="AH122" s="48">
        <f t="shared" si="36"/>
        <v>60.2</v>
      </c>
      <c r="AI122" s="49">
        <f t="shared" si="37"/>
        <v>22.3</v>
      </c>
    </row>
    <row r="123" spans="1:35" x14ac:dyDescent="0.25">
      <c r="A123" s="129" t="s">
        <v>143</v>
      </c>
      <c r="B123" s="130">
        <v>84</v>
      </c>
      <c r="C123" s="130">
        <v>73</v>
      </c>
      <c r="D123" s="130">
        <v>71</v>
      </c>
      <c r="E123" s="130">
        <v>68.900000000000006</v>
      </c>
      <c r="F123" s="130">
        <v>71.900000000000006</v>
      </c>
      <c r="G123" s="130">
        <v>79.099999999999994</v>
      </c>
      <c r="H123" s="130">
        <v>81</v>
      </c>
      <c r="I123" s="130">
        <v>65.599999999999994</v>
      </c>
      <c r="J123" s="130">
        <v>69.3</v>
      </c>
      <c r="K123" s="130">
        <v>63.4</v>
      </c>
      <c r="L123" s="130">
        <v>55.1</v>
      </c>
      <c r="M123" s="130">
        <v>38.4</v>
      </c>
      <c r="N123" s="130">
        <v>58</v>
      </c>
      <c r="O123" s="130">
        <v>49.5</v>
      </c>
      <c r="P123" s="130">
        <v>35.4</v>
      </c>
      <c r="Q123" s="130">
        <v>33.9</v>
      </c>
      <c r="R123" s="130">
        <v>35.200000000000003</v>
      </c>
      <c r="S123" s="130">
        <v>39.6</v>
      </c>
      <c r="T123" s="130">
        <v>49</v>
      </c>
      <c r="U123" s="130">
        <v>54</v>
      </c>
      <c r="V123" s="130">
        <v>68</v>
      </c>
      <c r="W123" s="130">
        <v>61</v>
      </c>
      <c r="X123" s="130">
        <v>82.2</v>
      </c>
      <c r="Y123" s="130">
        <v>73.099999999999994</v>
      </c>
      <c r="Z123" s="130">
        <v>78.099999999999994</v>
      </c>
      <c r="AA123" s="130">
        <v>78.099999999999994</v>
      </c>
      <c r="AB123" s="130">
        <v>83.2</v>
      </c>
      <c r="AC123" s="130">
        <v>72.3</v>
      </c>
      <c r="AD123" s="130">
        <v>74.400000000000006</v>
      </c>
      <c r="AE123" s="130">
        <v>80.099999999999994</v>
      </c>
      <c r="AF123" s="130">
        <v>89.5</v>
      </c>
      <c r="AG123" s="128">
        <v>240</v>
      </c>
      <c r="AH123" s="48">
        <f t="shared" si="36"/>
        <v>89.5</v>
      </c>
      <c r="AI123" s="49">
        <f t="shared" si="37"/>
        <v>33.9</v>
      </c>
    </row>
    <row r="124" spans="1:35" x14ac:dyDescent="0.25">
      <c r="A124" s="129" t="s">
        <v>144</v>
      </c>
      <c r="B124" s="130">
        <v>-128</v>
      </c>
      <c r="C124" s="130">
        <v>-135</v>
      </c>
      <c r="D124" s="130">
        <v>-130</v>
      </c>
      <c r="E124" s="130">
        <v>-131.6</v>
      </c>
      <c r="F124" s="130">
        <v>-132.6</v>
      </c>
      <c r="G124" s="130">
        <v>-104.3</v>
      </c>
      <c r="H124" s="130">
        <v>-120.3</v>
      </c>
      <c r="I124" s="130">
        <v>-102.2</v>
      </c>
      <c r="J124" s="130">
        <v>-78.900000000000006</v>
      </c>
      <c r="K124" s="130">
        <v>-62.6</v>
      </c>
      <c r="L124" s="130">
        <v>-48.5</v>
      </c>
      <c r="M124" s="130">
        <f>-11.7-12.5</f>
        <v>-24.2</v>
      </c>
      <c r="N124" s="130">
        <f>-27.9-29.7</f>
        <v>-57.599999999999994</v>
      </c>
      <c r="O124" s="130">
        <f>-18.8-22.7</f>
        <v>-41.5</v>
      </c>
      <c r="P124" s="130">
        <f>-8-12</f>
        <v>-20</v>
      </c>
      <c r="Q124" s="130">
        <f>-7-10</f>
        <v>-17</v>
      </c>
      <c r="R124" s="130">
        <f>-9.2-11.7</f>
        <v>-20.9</v>
      </c>
      <c r="S124" s="130">
        <v>-25</v>
      </c>
      <c r="T124" s="130">
        <v>-32</v>
      </c>
      <c r="U124" s="130">
        <v>-33</v>
      </c>
      <c r="V124" s="130">
        <v>-52</v>
      </c>
      <c r="W124" s="130">
        <v>-44</v>
      </c>
      <c r="X124" s="130">
        <v>-53</v>
      </c>
      <c r="Y124" s="130">
        <v>-28</v>
      </c>
      <c r="Z124" s="130">
        <v>-58</v>
      </c>
      <c r="AA124" s="130">
        <v>-58</v>
      </c>
      <c r="AB124" s="130">
        <v>-51</v>
      </c>
      <c r="AC124" s="130">
        <v>-52</v>
      </c>
      <c r="AD124" s="130">
        <v>-73.400000000000006</v>
      </c>
      <c r="AE124" s="130">
        <v>-104.5</v>
      </c>
      <c r="AF124" s="130">
        <v>-133</v>
      </c>
      <c r="AG124" s="128">
        <v>240</v>
      </c>
      <c r="AH124" s="48">
        <f t="shared" si="36"/>
        <v>-17</v>
      </c>
      <c r="AI124" s="49">
        <f t="shared" si="37"/>
        <v>-135</v>
      </c>
    </row>
    <row r="125" spans="1:35" ht="15.75" thickBot="1" x14ac:dyDescent="0.3">
      <c r="A125" s="129" t="s">
        <v>145</v>
      </c>
      <c r="B125" s="130">
        <v>3.1</v>
      </c>
      <c r="C125" s="130">
        <v>-5</v>
      </c>
      <c r="D125" s="130">
        <v>-6</v>
      </c>
      <c r="E125" s="130">
        <v>-13.5</v>
      </c>
      <c r="F125" s="130">
        <v>-13.2</v>
      </c>
      <c r="G125" s="130">
        <v>12.2</v>
      </c>
      <c r="H125" s="130">
        <v>-6.2</v>
      </c>
      <c r="I125" s="130">
        <v>-10.9</v>
      </c>
      <c r="J125" s="130">
        <v>-8</v>
      </c>
      <c r="K125" s="130">
        <v>-5</v>
      </c>
      <c r="L125" s="130">
        <v>-6.8</v>
      </c>
      <c r="M125" s="130">
        <v>-2.7</v>
      </c>
      <c r="N125" s="130">
        <v>2.5</v>
      </c>
      <c r="O125" s="130">
        <v>2.1</v>
      </c>
      <c r="P125" s="130">
        <v>5.7</v>
      </c>
      <c r="Q125" s="130">
        <v>6.3</v>
      </c>
      <c r="R125" s="130">
        <v>2.2999999999999998</v>
      </c>
      <c r="S125" s="130">
        <v>5.2</v>
      </c>
      <c r="T125" s="130">
        <v>2</v>
      </c>
      <c r="U125" s="130">
        <v>0</v>
      </c>
      <c r="V125" s="130">
        <v>0</v>
      </c>
      <c r="W125" s="130">
        <v>0</v>
      </c>
      <c r="X125" s="130">
        <v>0</v>
      </c>
      <c r="Y125" s="130">
        <v>0</v>
      </c>
      <c r="Z125" s="130">
        <v>20</v>
      </c>
      <c r="AA125" s="130">
        <v>20</v>
      </c>
      <c r="AB125" s="130">
        <v>29.7</v>
      </c>
      <c r="AC125" s="130">
        <v>37.700000000000003</v>
      </c>
      <c r="AD125" s="130">
        <v>9.3000000000000007</v>
      </c>
      <c r="AE125" s="130">
        <v>-5</v>
      </c>
      <c r="AF125" s="130">
        <v>-12</v>
      </c>
      <c r="AG125" s="128">
        <v>60</v>
      </c>
      <c r="AH125" s="48">
        <f t="shared" si="36"/>
        <v>37.700000000000003</v>
      </c>
      <c r="AI125" s="49">
        <f t="shared" si="37"/>
        <v>-13.5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6"/>
        <v>0</v>
      </c>
      <c r="AI126" s="49">
        <f t="shared" si="37"/>
        <v>0</v>
      </c>
    </row>
    <row r="127" spans="1:35" x14ac:dyDescent="0.25">
      <c r="A127" s="129" t="s">
        <v>147</v>
      </c>
      <c r="B127" s="131">
        <v>34</v>
      </c>
      <c r="C127" s="131">
        <v>42</v>
      </c>
      <c r="D127" s="131">
        <v>42</v>
      </c>
      <c r="E127" s="131">
        <v>44.7</v>
      </c>
      <c r="F127" s="131">
        <v>42.8</v>
      </c>
      <c r="G127" s="131">
        <v>41.9</v>
      </c>
      <c r="H127" s="131">
        <v>45.2</v>
      </c>
      <c r="I127" s="131">
        <v>69.900000000000006</v>
      </c>
      <c r="J127" s="131">
        <v>64.2</v>
      </c>
      <c r="K127" s="131">
        <v>78.099999999999994</v>
      </c>
      <c r="L127" s="131">
        <v>82.5</v>
      </c>
      <c r="M127" s="131">
        <v>90.9</v>
      </c>
      <c r="N127" s="131">
        <v>88.5</v>
      </c>
      <c r="O127" s="131">
        <v>95.3</v>
      </c>
      <c r="P127" s="131">
        <v>89.1</v>
      </c>
      <c r="Q127" s="131">
        <v>87.5</v>
      </c>
      <c r="R127" s="131">
        <v>89.8</v>
      </c>
      <c r="S127" s="131">
        <v>88</v>
      </c>
      <c r="T127" s="131">
        <v>86.4</v>
      </c>
      <c r="U127" s="131">
        <v>86</v>
      </c>
      <c r="V127" s="131">
        <v>82.3</v>
      </c>
      <c r="W127" s="131">
        <v>84.4</v>
      </c>
      <c r="X127" s="131">
        <v>65</v>
      </c>
      <c r="Y127" s="131">
        <v>74</v>
      </c>
      <c r="Z127" s="131">
        <v>80</v>
      </c>
      <c r="AA127" s="131">
        <v>80</v>
      </c>
      <c r="AB127" s="131">
        <v>74.900000000000006</v>
      </c>
      <c r="AC127" s="131">
        <v>69.099999999999994</v>
      </c>
      <c r="AD127" s="131">
        <v>76.2</v>
      </c>
      <c r="AE127" s="131">
        <v>63.9</v>
      </c>
      <c r="AF127" s="131">
        <v>54.4</v>
      </c>
      <c r="AG127" s="132"/>
      <c r="AH127" s="48"/>
      <c r="AI127" s="49"/>
    </row>
    <row r="128" spans="1:35" x14ac:dyDescent="0.25">
      <c r="A128" s="129" t="s">
        <v>148</v>
      </c>
      <c r="B128" s="131">
        <v>-14</v>
      </c>
      <c r="C128" s="131">
        <v>5</v>
      </c>
      <c r="D128" s="131">
        <v>-8</v>
      </c>
      <c r="E128" s="131">
        <v>12</v>
      </c>
      <c r="F128" s="131">
        <v>8</v>
      </c>
      <c r="G128" s="131">
        <v>-3.34</v>
      </c>
      <c r="H128" s="131">
        <v>-7.2</v>
      </c>
      <c r="I128" s="131">
        <v>15.2</v>
      </c>
      <c r="J128" s="131">
        <v>-11.8</v>
      </c>
      <c r="K128" s="131">
        <v>-7.3</v>
      </c>
      <c r="L128" s="131">
        <v>-10.7</v>
      </c>
      <c r="M128" s="131">
        <v>-4</v>
      </c>
      <c r="N128" s="131">
        <v>-3.6</v>
      </c>
      <c r="O128" s="131">
        <v>8.9</v>
      </c>
      <c r="P128" s="131">
        <v>9.6</v>
      </c>
      <c r="Q128" s="131">
        <v>8.9</v>
      </c>
      <c r="R128" s="131">
        <v>10.8</v>
      </c>
      <c r="S128" s="131">
        <v>8</v>
      </c>
      <c r="T128" s="131">
        <v>1.2</v>
      </c>
      <c r="U128" s="131">
        <v>-3.1</v>
      </c>
      <c r="V128" s="131">
        <v>-12.1</v>
      </c>
      <c r="W128" s="131">
        <v>-15</v>
      </c>
      <c r="X128" s="131">
        <v>-43</v>
      </c>
      <c r="Y128" s="131">
        <v>-41</v>
      </c>
      <c r="Z128" s="131">
        <v>-49</v>
      </c>
      <c r="AA128" s="131">
        <v>-49</v>
      </c>
      <c r="AB128" s="131">
        <v>-54.6</v>
      </c>
      <c r="AC128" s="131">
        <v>-50.6</v>
      </c>
      <c r="AD128" s="131">
        <v>-26.4</v>
      </c>
      <c r="AE128" s="131">
        <v>-26.4</v>
      </c>
      <c r="AF128" s="131">
        <v>-8.3000000000000007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14</v>
      </c>
      <c r="C129" s="131">
        <v>30</v>
      </c>
      <c r="D129" s="131">
        <v>27</v>
      </c>
      <c r="E129" s="131">
        <v>34</v>
      </c>
      <c r="F129" s="131">
        <v>30.4</v>
      </c>
      <c r="G129" s="131">
        <v>28.5</v>
      </c>
      <c r="H129" s="131">
        <v>34.200000000000003</v>
      </c>
      <c r="I129" s="131">
        <v>56.9</v>
      </c>
      <c r="J129" s="131">
        <v>38.4</v>
      </c>
      <c r="K129" s="131">
        <v>48.8</v>
      </c>
      <c r="L129" s="131">
        <v>61.6</v>
      </c>
      <c r="M129" s="131">
        <v>74.400000000000006</v>
      </c>
      <c r="N129" s="131">
        <v>59.4</v>
      </c>
      <c r="O129" s="131">
        <v>72.099999999999994</v>
      </c>
      <c r="P129" s="131">
        <v>81</v>
      </c>
      <c r="Q129" s="131">
        <v>81</v>
      </c>
      <c r="R129" s="131">
        <v>85.9</v>
      </c>
      <c r="S129" s="131">
        <v>81</v>
      </c>
      <c r="T129" s="131">
        <v>71</v>
      </c>
      <c r="U129" s="131">
        <v>61.4</v>
      </c>
      <c r="V129" s="131">
        <v>55</v>
      </c>
      <c r="W129" s="131">
        <v>57</v>
      </c>
      <c r="X129" s="131">
        <v>33</v>
      </c>
      <c r="Y129" s="131">
        <v>35</v>
      </c>
      <c r="Z129" s="131">
        <v>49</v>
      </c>
      <c r="AA129" s="131">
        <v>49</v>
      </c>
      <c r="AB129" s="131">
        <v>47.9</v>
      </c>
      <c r="AC129" s="131">
        <v>40.799999999999997</v>
      </c>
      <c r="AD129" s="131">
        <v>59.4</v>
      </c>
      <c r="AE129" s="131">
        <v>-13.1</v>
      </c>
      <c r="AF129" s="131">
        <v>40.700000000000003</v>
      </c>
      <c r="AG129" s="128"/>
      <c r="AH129" s="48">
        <f>MAX(B129:AF129)</f>
        <v>85.9</v>
      </c>
      <c r="AI129" s="49">
        <f>MIN(B129:AF129)</f>
        <v>-13.1</v>
      </c>
    </row>
    <row r="130" spans="1:37" x14ac:dyDescent="0.25">
      <c r="A130" s="126" t="s">
        <v>150</v>
      </c>
      <c r="B130" s="131">
        <v>-191</v>
      </c>
      <c r="C130" s="131">
        <v>-183</v>
      </c>
      <c r="D130" s="131">
        <v>-183</v>
      </c>
      <c r="E130" s="131">
        <v>-170.6</v>
      </c>
      <c r="F130" s="131">
        <v>-160.9</v>
      </c>
      <c r="G130" s="131">
        <v>-160.1</v>
      </c>
      <c r="H130" s="131">
        <v>-156.19999999999999</v>
      </c>
      <c r="I130" s="131">
        <v>-177.1</v>
      </c>
      <c r="J130" s="131">
        <v>161</v>
      </c>
      <c r="K130" s="131">
        <v>-184.6</v>
      </c>
      <c r="L130" s="131">
        <v>-168.5</v>
      </c>
      <c r="M130" s="131">
        <v>-70.3</v>
      </c>
      <c r="N130" s="131">
        <v>-215</v>
      </c>
      <c r="O130" s="131">
        <v>-218.7</v>
      </c>
      <c r="P130" s="131">
        <v>-32</v>
      </c>
      <c r="Q130" s="131">
        <v>-18</v>
      </c>
      <c r="R130" s="131">
        <v>-41.3</v>
      </c>
      <c r="S130" s="131">
        <v>-49</v>
      </c>
      <c r="T130" s="131">
        <v>-82</v>
      </c>
      <c r="U130" s="131">
        <v>-186</v>
      </c>
      <c r="V130" s="131">
        <v>-181</v>
      </c>
      <c r="W130" s="131">
        <v>-180</v>
      </c>
      <c r="X130" s="131">
        <v>-147</v>
      </c>
      <c r="Y130" s="131">
        <v>-196</v>
      </c>
      <c r="Z130" s="131">
        <v>-234</v>
      </c>
      <c r="AA130" s="131">
        <v>-234</v>
      </c>
      <c r="AB130" s="131">
        <v>-234.7</v>
      </c>
      <c r="AC130" s="131">
        <v>-241.9</v>
      </c>
      <c r="AD130" s="131">
        <v>-230.2</v>
      </c>
      <c r="AE130" s="131">
        <v>47.6</v>
      </c>
      <c r="AF130" s="131">
        <v>-219.7</v>
      </c>
      <c r="AG130" s="128"/>
      <c r="AH130" s="48">
        <f>MAX(B130:AF130)</f>
        <v>161</v>
      </c>
      <c r="AI130" s="49">
        <f>MIN(B130:AF130)</f>
        <v>-241.9</v>
      </c>
    </row>
    <row r="131" spans="1:37" x14ac:dyDescent="0.25">
      <c r="A131" s="129" t="s">
        <v>151</v>
      </c>
      <c r="B131" s="119">
        <v>-8</v>
      </c>
      <c r="C131" s="119">
        <v>-0.7</v>
      </c>
      <c r="D131" s="119">
        <v>-2.7</v>
      </c>
      <c r="E131" s="119">
        <v>3.5</v>
      </c>
      <c r="F131" s="119">
        <v>1.4</v>
      </c>
      <c r="G131" s="119">
        <v>10.5</v>
      </c>
      <c r="H131" s="119">
        <v>12</v>
      </c>
      <c r="I131" s="119">
        <v>-36.799999999999997</v>
      </c>
      <c r="J131" s="119">
        <v>8.4</v>
      </c>
      <c r="K131" s="119">
        <v>-7.3</v>
      </c>
      <c r="L131" s="119">
        <v>-1.2</v>
      </c>
      <c r="M131" s="119">
        <v>-6.3</v>
      </c>
      <c r="N131" s="119">
        <v>-6.3</v>
      </c>
      <c r="O131" s="119">
        <v>-0.8</v>
      </c>
      <c r="P131" s="119">
        <v>-2.6</v>
      </c>
      <c r="Q131" s="119">
        <v>11.1</v>
      </c>
      <c r="R131" s="119">
        <v>-3.3</v>
      </c>
      <c r="S131" s="119">
        <v>-11</v>
      </c>
      <c r="T131" s="119">
        <v>-12</v>
      </c>
      <c r="U131" s="119">
        <v>-17</v>
      </c>
      <c r="V131" s="119">
        <v>-18.5</v>
      </c>
      <c r="W131" s="119">
        <v>-16</v>
      </c>
      <c r="X131" s="119">
        <v>-30</v>
      </c>
      <c r="Y131" s="119">
        <v>-32.1</v>
      </c>
      <c r="Z131" s="119">
        <v>-40</v>
      </c>
      <c r="AA131" s="119">
        <v>-40</v>
      </c>
      <c r="AB131" s="119">
        <v>-43.9</v>
      </c>
      <c r="AC131" s="119">
        <v>-47.8</v>
      </c>
      <c r="AD131" s="119">
        <v>-42.8</v>
      </c>
      <c r="AE131" s="119">
        <v>-230</v>
      </c>
      <c r="AF131" s="119">
        <v>-32.5</v>
      </c>
      <c r="AG131" s="128"/>
      <c r="AH131" s="48">
        <f>MAX(B131:AF131)</f>
        <v>12</v>
      </c>
      <c r="AI131" s="49">
        <f>MIN(B131:AF131)</f>
        <v>-230</v>
      </c>
    </row>
    <row r="132" spans="1:37" x14ac:dyDescent="0.25">
      <c r="A132" s="129" t="s">
        <v>152</v>
      </c>
      <c r="B132" s="119">
        <v>71</v>
      </c>
      <c r="C132" s="119">
        <v>61</v>
      </c>
      <c r="D132" s="119">
        <v>63</v>
      </c>
      <c r="E132" s="119">
        <v>55.5</v>
      </c>
      <c r="F132" s="119">
        <v>50.6</v>
      </c>
      <c r="G132" s="119">
        <v>41.37</v>
      </c>
      <c r="H132" s="119">
        <v>33.700000000000003</v>
      </c>
      <c r="I132" s="119">
        <v>56.8</v>
      </c>
      <c r="J132" s="119">
        <v>39.200000000000003</v>
      </c>
      <c r="K132" s="119">
        <v>51.3</v>
      </c>
      <c r="L132" s="119">
        <v>59.4</v>
      </c>
      <c r="M132" s="119">
        <v>48.6</v>
      </c>
      <c r="N132" s="119">
        <v>64.3</v>
      </c>
      <c r="O132" s="119">
        <v>63.6</v>
      </c>
      <c r="P132" s="119">
        <v>76.7</v>
      </c>
      <c r="Q132" s="119">
        <v>68.099999999999994</v>
      </c>
      <c r="R132" s="119">
        <v>89.2</v>
      </c>
      <c r="S132" s="119">
        <v>87</v>
      </c>
      <c r="T132" s="119">
        <v>86</v>
      </c>
      <c r="U132" s="119">
        <v>89</v>
      </c>
      <c r="V132" s="119">
        <v>77.2</v>
      </c>
      <c r="W132" s="119">
        <v>67</v>
      </c>
      <c r="X132" s="119">
        <v>65</v>
      </c>
      <c r="Y132" s="119">
        <v>72</v>
      </c>
      <c r="Z132" s="119">
        <v>90</v>
      </c>
      <c r="AA132" s="119">
        <v>90</v>
      </c>
      <c r="AB132" s="119">
        <v>91</v>
      </c>
      <c r="AC132" s="119">
        <v>93.8</v>
      </c>
      <c r="AD132" s="119">
        <v>74.599999999999994</v>
      </c>
      <c r="AE132" s="119">
        <v>78</v>
      </c>
      <c r="AF132" s="119">
        <v>77.599999999999994</v>
      </c>
      <c r="AG132" s="128"/>
      <c r="AH132" s="48">
        <f>MAX(B132:AF132)</f>
        <v>93.8</v>
      </c>
      <c r="AI132" s="49">
        <f>MIN(B132:AF132)</f>
        <v>33.700000000000003</v>
      </c>
    </row>
    <row r="133" spans="1:37" ht="15.75" thickBot="1" x14ac:dyDescent="0.3">
      <c r="A133" s="129" t="s">
        <v>153</v>
      </c>
      <c r="B133" s="119">
        <v>84</v>
      </c>
      <c r="C133" s="119">
        <v>71</v>
      </c>
      <c r="D133" s="119">
        <v>73</v>
      </c>
      <c r="E133" s="119">
        <v>64.2</v>
      </c>
      <c r="F133" s="119">
        <v>61.7</v>
      </c>
      <c r="G133" s="119">
        <v>53.2</v>
      </c>
      <c r="H133" s="119">
        <v>45.8</v>
      </c>
      <c r="I133" s="119">
        <v>67.8</v>
      </c>
      <c r="J133" s="119">
        <v>49.6</v>
      </c>
      <c r="K133" s="119">
        <v>67.3</v>
      </c>
      <c r="L133" s="119">
        <v>57.9</v>
      </c>
      <c r="M133" s="119">
        <v>56.2</v>
      </c>
      <c r="N133" s="119">
        <v>74.2</v>
      </c>
      <c r="O133" s="119">
        <v>74.2</v>
      </c>
      <c r="P133" s="119">
        <v>88.2</v>
      </c>
      <c r="Q133" s="119">
        <v>79.400000000000006</v>
      </c>
      <c r="R133" s="119">
        <v>95.2</v>
      </c>
      <c r="S133" s="119">
        <v>99</v>
      </c>
      <c r="T133" s="119">
        <v>99</v>
      </c>
      <c r="U133" s="119">
        <v>104</v>
      </c>
      <c r="V133" s="119">
        <v>90</v>
      </c>
      <c r="W133" s="119">
        <v>84</v>
      </c>
      <c r="X133" s="119">
        <v>74</v>
      </c>
      <c r="Y133" s="119">
        <v>81</v>
      </c>
      <c r="Z133" s="119">
        <v>99</v>
      </c>
      <c r="AA133" s="119">
        <v>99</v>
      </c>
      <c r="AB133" s="119">
        <v>104.6</v>
      </c>
      <c r="AC133" s="119">
        <v>107.2</v>
      </c>
      <c r="AD133" s="119">
        <v>89.8</v>
      </c>
      <c r="AE133" s="119">
        <v>88.3</v>
      </c>
      <c r="AF133" s="119">
        <v>90.7</v>
      </c>
      <c r="AG133" s="128"/>
      <c r="AH133" s="48">
        <f>MAX(B133:AF133)</f>
        <v>107.2</v>
      </c>
      <c r="AI133" s="49">
        <f>MIN(B133:AF133)</f>
        <v>45.8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1982.98</v>
      </c>
      <c r="C135" s="137"/>
      <c r="D135" s="137"/>
      <c r="E135" s="137">
        <v>1983.45</v>
      </c>
      <c r="F135" s="137">
        <v>1983.7</v>
      </c>
      <c r="G135" s="137">
        <v>1983.89</v>
      </c>
      <c r="H135" s="137"/>
      <c r="I135" s="137">
        <v>1984.12</v>
      </c>
      <c r="J135" s="137"/>
      <c r="K135" s="137">
        <v>1984.1</v>
      </c>
      <c r="L135" s="137"/>
      <c r="M135" s="137">
        <v>1984.02</v>
      </c>
      <c r="N135" s="137">
        <v>1984.3</v>
      </c>
      <c r="O135" s="137">
        <v>1983.9</v>
      </c>
      <c r="P135" s="137">
        <v>1984.25</v>
      </c>
      <c r="Q135" s="137">
        <v>1984.9</v>
      </c>
      <c r="R135" s="137">
        <v>1985.52</v>
      </c>
      <c r="S135" s="137">
        <v>1986.05</v>
      </c>
      <c r="T135" s="137">
        <v>1986.4</v>
      </c>
      <c r="U135" s="137">
        <v>1986.6</v>
      </c>
      <c r="V135" s="137">
        <v>1986.35</v>
      </c>
      <c r="W135" s="137">
        <v>1986.3</v>
      </c>
      <c r="X135" s="137">
        <v>1986.25</v>
      </c>
      <c r="Y135" s="137"/>
      <c r="Z135" s="137">
        <v>1986.12</v>
      </c>
      <c r="AA135" s="137"/>
      <c r="AB135" s="137">
        <v>1985.65</v>
      </c>
      <c r="AC135" s="137"/>
      <c r="AD135" s="137">
        <v>1985.23</v>
      </c>
      <c r="AE135" s="137">
        <v>1984.85</v>
      </c>
      <c r="AF135" s="138">
        <v>1984.64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>
        <v>518.91999999999996</v>
      </c>
      <c r="E136" s="140">
        <v>518.91999999999996</v>
      </c>
      <c r="F136" s="140">
        <v>519.12</v>
      </c>
      <c r="G136" s="140"/>
      <c r="H136" s="140"/>
      <c r="I136" s="140">
        <v>519.55999999999995</v>
      </c>
      <c r="J136" s="140"/>
      <c r="K136" s="140">
        <v>519.79999999999995</v>
      </c>
      <c r="L136" s="140"/>
      <c r="M136" s="140">
        <v>519.92999999999995</v>
      </c>
      <c r="N136" s="140">
        <v>520.17999999999995</v>
      </c>
      <c r="O136" s="140">
        <v>520.35</v>
      </c>
      <c r="P136" s="140"/>
      <c r="Q136" s="140">
        <v>520.64</v>
      </c>
      <c r="R136" s="140"/>
      <c r="S136" s="140">
        <v>520.91999999999996</v>
      </c>
      <c r="T136" s="140">
        <v>521.04999999999995</v>
      </c>
      <c r="U136" s="140"/>
      <c r="V136" s="140"/>
      <c r="W136" s="140"/>
      <c r="X136" s="140"/>
      <c r="Y136" s="140"/>
      <c r="Z136" s="140">
        <v>521.25</v>
      </c>
      <c r="AA136" s="140"/>
      <c r="AB136" s="140">
        <v>521.11</v>
      </c>
      <c r="AC136" s="140"/>
      <c r="AD136" s="140">
        <v>520.92999999999995</v>
      </c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>
        <v>624.49</v>
      </c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>
        <v>335.71</v>
      </c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>
        <v>886.1</v>
      </c>
      <c r="J139" s="140"/>
      <c r="K139" s="140"/>
      <c r="L139" s="140"/>
      <c r="M139" s="140">
        <v>885.9</v>
      </c>
      <c r="N139" s="140"/>
      <c r="O139" s="140">
        <v>886.4</v>
      </c>
      <c r="P139" s="140"/>
      <c r="Q139" s="140">
        <v>886.6</v>
      </c>
      <c r="R139" s="140"/>
      <c r="S139" s="140">
        <v>886.5</v>
      </c>
      <c r="T139" s="140">
        <v>886.5</v>
      </c>
      <c r="U139" s="140">
        <v>886.3</v>
      </c>
      <c r="V139" s="140"/>
      <c r="W139" s="140"/>
      <c r="X139" s="140"/>
      <c r="Y139" s="140"/>
      <c r="Z139" s="140">
        <v>884.9</v>
      </c>
      <c r="AA139" s="140"/>
      <c r="AB139" s="140">
        <v>884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>
        <v>1486.66</v>
      </c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89">SUM(B142:B246)</f>
        <v>0</v>
      </c>
      <c r="C247" s="161">
        <f t="shared" si="89"/>
        <v>0</v>
      </c>
      <c r="D247" s="161">
        <f t="shared" si="89"/>
        <v>0</v>
      </c>
      <c r="E247" s="161">
        <f t="shared" si="89"/>
        <v>0</v>
      </c>
      <c r="F247" s="161">
        <f t="shared" si="89"/>
        <v>0</v>
      </c>
      <c r="G247" s="161">
        <f t="shared" si="89"/>
        <v>0</v>
      </c>
      <c r="H247" s="161">
        <f t="shared" si="89"/>
        <v>0</v>
      </c>
      <c r="I247" s="161">
        <f t="shared" si="89"/>
        <v>0</v>
      </c>
      <c r="J247" s="161">
        <f t="shared" si="89"/>
        <v>0</v>
      </c>
      <c r="K247" s="161">
        <f t="shared" si="89"/>
        <v>0</v>
      </c>
      <c r="L247" s="161">
        <f t="shared" si="89"/>
        <v>0</v>
      </c>
      <c r="M247" s="161">
        <f t="shared" si="89"/>
        <v>0</v>
      </c>
      <c r="N247" s="161">
        <f t="shared" si="89"/>
        <v>0</v>
      </c>
      <c r="O247" s="161">
        <f t="shared" si="89"/>
        <v>0</v>
      </c>
      <c r="P247" s="161">
        <f t="shared" si="89"/>
        <v>0</v>
      </c>
      <c r="Q247" s="161">
        <f t="shared" si="89"/>
        <v>0</v>
      </c>
      <c r="R247" s="161">
        <f t="shared" si="89"/>
        <v>0</v>
      </c>
      <c r="S247" s="161">
        <f t="shared" si="89"/>
        <v>0</v>
      </c>
      <c r="T247" s="161">
        <f t="shared" si="89"/>
        <v>0</v>
      </c>
      <c r="U247" s="161">
        <f t="shared" si="89"/>
        <v>0</v>
      </c>
      <c r="V247" s="161">
        <f t="shared" si="89"/>
        <v>0</v>
      </c>
      <c r="W247" s="161">
        <f t="shared" si="89"/>
        <v>0</v>
      </c>
      <c r="X247" s="161">
        <f t="shared" si="89"/>
        <v>0</v>
      </c>
      <c r="Y247" s="161">
        <f t="shared" si="89"/>
        <v>0</v>
      </c>
      <c r="Z247" s="161">
        <f t="shared" si="89"/>
        <v>0</v>
      </c>
      <c r="AA247" s="161">
        <f t="shared" si="89"/>
        <v>0</v>
      </c>
      <c r="AB247" s="161">
        <f t="shared" si="89"/>
        <v>0</v>
      </c>
      <c r="AC247" s="161">
        <f t="shared" si="89"/>
        <v>0</v>
      </c>
      <c r="AD247" s="161">
        <f t="shared" si="89"/>
        <v>0</v>
      </c>
      <c r="AE247" s="161">
        <f t="shared" si="89"/>
        <v>0</v>
      </c>
      <c r="AF247" s="162">
        <f t="shared" si="89"/>
        <v>0</v>
      </c>
      <c r="AG247" s="163">
        <f t="shared" si="8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0">AF249</f>
        <v>0.3</v>
      </c>
      <c r="C249" s="166">
        <v>0.3</v>
      </c>
      <c r="D249" s="166">
        <f t="shared" ref="D249:S254" si="91">C249</f>
        <v>0.3</v>
      </c>
      <c r="E249" s="166">
        <f t="shared" si="91"/>
        <v>0.3</v>
      </c>
      <c r="F249" s="166">
        <f t="shared" si="91"/>
        <v>0.3</v>
      </c>
      <c r="G249" s="166">
        <f t="shared" si="91"/>
        <v>0.3</v>
      </c>
      <c r="H249" s="166">
        <f t="shared" si="91"/>
        <v>0.3</v>
      </c>
      <c r="I249" s="166">
        <f t="shared" si="91"/>
        <v>0.3</v>
      </c>
      <c r="J249" s="166">
        <f t="shared" si="91"/>
        <v>0.3</v>
      </c>
      <c r="K249" s="166">
        <f t="shared" si="91"/>
        <v>0.3</v>
      </c>
      <c r="L249" s="166">
        <f t="shared" si="91"/>
        <v>0.3</v>
      </c>
      <c r="M249" s="166">
        <f t="shared" si="91"/>
        <v>0.3</v>
      </c>
      <c r="N249" s="166">
        <f t="shared" si="91"/>
        <v>0.3</v>
      </c>
      <c r="O249" s="166">
        <f t="shared" si="91"/>
        <v>0.3</v>
      </c>
      <c r="P249" s="166">
        <f t="shared" si="91"/>
        <v>0.3</v>
      </c>
      <c r="Q249" s="166">
        <f t="shared" si="91"/>
        <v>0.3</v>
      </c>
      <c r="R249" s="166">
        <f t="shared" si="91"/>
        <v>0.3</v>
      </c>
      <c r="S249" s="166">
        <f t="shared" si="91"/>
        <v>0.3</v>
      </c>
      <c r="T249" s="166">
        <f t="shared" ref="T249:AF254" si="92">S249</f>
        <v>0.3</v>
      </c>
      <c r="U249" s="166">
        <f t="shared" si="92"/>
        <v>0.3</v>
      </c>
      <c r="V249" s="166">
        <f t="shared" si="92"/>
        <v>0.3</v>
      </c>
      <c r="W249" s="166">
        <f t="shared" si="92"/>
        <v>0.3</v>
      </c>
      <c r="X249" s="166">
        <f t="shared" si="92"/>
        <v>0.3</v>
      </c>
      <c r="Y249" s="166">
        <f t="shared" si="92"/>
        <v>0.3</v>
      </c>
      <c r="Z249" s="166">
        <f t="shared" si="92"/>
        <v>0.3</v>
      </c>
      <c r="AA249" s="166">
        <f t="shared" si="92"/>
        <v>0.3</v>
      </c>
      <c r="AB249" s="166">
        <f t="shared" si="92"/>
        <v>0.3</v>
      </c>
      <c r="AC249" s="166">
        <f t="shared" si="92"/>
        <v>0.3</v>
      </c>
      <c r="AD249" s="166">
        <f t="shared" si="92"/>
        <v>0.3</v>
      </c>
      <c r="AE249" s="166">
        <f t="shared" si="92"/>
        <v>0.3</v>
      </c>
      <c r="AF249" s="166">
        <f t="shared" si="9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0"/>
        <v>0.4</v>
      </c>
      <c r="C250" s="152">
        <v>0.4</v>
      </c>
      <c r="D250" s="152">
        <f t="shared" si="91"/>
        <v>0.4</v>
      </c>
      <c r="E250" s="152">
        <f t="shared" si="91"/>
        <v>0.4</v>
      </c>
      <c r="F250" s="152">
        <f t="shared" si="91"/>
        <v>0.4</v>
      </c>
      <c r="G250" s="152">
        <f t="shared" si="91"/>
        <v>0.4</v>
      </c>
      <c r="H250" s="152">
        <f t="shared" si="91"/>
        <v>0.4</v>
      </c>
      <c r="I250" s="152">
        <f t="shared" si="91"/>
        <v>0.4</v>
      </c>
      <c r="J250" s="152">
        <f t="shared" si="91"/>
        <v>0.4</v>
      </c>
      <c r="K250" s="152">
        <f t="shared" si="91"/>
        <v>0.4</v>
      </c>
      <c r="L250" s="152">
        <f t="shared" si="91"/>
        <v>0.4</v>
      </c>
      <c r="M250" s="152">
        <f t="shared" si="91"/>
        <v>0.4</v>
      </c>
      <c r="N250" s="152">
        <f t="shared" si="91"/>
        <v>0.4</v>
      </c>
      <c r="O250" s="152">
        <f t="shared" si="91"/>
        <v>0.4</v>
      </c>
      <c r="P250" s="152">
        <f t="shared" si="91"/>
        <v>0.4</v>
      </c>
      <c r="Q250" s="152">
        <f t="shared" si="91"/>
        <v>0.4</v>
      </c>
      <c r="R250" s="152">
        <f t="shared" si="91"/>
        <v>0.4</v>
      </c>
      <c r="S250" s="152">
        <f t="shared" si="91"/>
        <v>0.4</v>
      </c>
      <c r="T250" s="152">
        <f t="shared" si="92"/>
        <v>0.4</v>
      </c>
      <c r="U250" s="152">
        <f t="shared" si="92"/>
        <v>0.4</v>
      </c>
      <c r="V250" s="152">
        <f t="shared" si="92"/>
        <v>0.4</v>
      </c>
      <c r="W250" s="152">
        <f t="shared" si="92"/>
        <v>0.4</v>
      </c>
      <c r="X250" s="152">
        <f t="shared" si="92"/>
        <v>0.4</v>
      </c>
      <c r="Y250" s="152">
        <f t="shared" si="92"/>
        <v>0.4</v>
      </c>
      <c r="Z250" s="152">
        <f t="shared" si="92"/>
        <v>0.4</v>
      </c>
      <c r="AA250" s="152">
        <f t="shared" si="92"/>
        <v>0.4</v>
      </c>
      <c r="AB250" s="152">
        <f t="shared" si="92"/>
        <v>0.4</v>
      </c>
      <c r="AC250" s="152">
        <f t="shared" si="92"/>
        <v>0.4</v>
      </c>
      <c r="AD250" s="152">
        <f t="shared" si="92"/>
        <v>0.4</v>
      </c>
      <c r="AE250" s="152">
        <f t="shared" si="92"/>
        <v>0.4</v>
      </c>
      <c r="AF250" s="152">
        <f t="shared" si="9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0"/>
        <v>1.5</v>
      </c>
      <c r="C251" s="152">
        <v>1.5</v>
      </c>
      <c r="D251" s="152">
        <f t="shared" si="91"/>
        <v>1.5</v>
      </c>
      <c r="E251" s="152">
        <f t="shared" si="91"/>
        <v>1.5</v>
      </c>
      <c r="F251" s="152">
        <f t="shared" si="91"/>
        <v>1.5</v>
      </c>
      <c r="G251" s="152">
        <f t="shared" si="91"/>
        <v>1.5</v>
      </c>
      <c r="H251" s="152">
        <f t="shared" si="91"/>
        <v>1.5</v>
      </c>
      <c r="I251" s="152">
        <f t="shared" si="91"/>
        <v>1.5</v>
      </c>
      <c r="J251" s="152">
        <f t="shared" si="91"/>
        <v>1.5</v>
      </c>
      <c r="K251" s="152">
        <f t="shared" si="91"/>
        <v>1.5</v>
      </c>
      <c r="L251" s="152">
        <f t="shared" si="91"/>
        <v>1.5</v>
      </c>
      <c r="M251" s="152">
        <f t="shared" si="91"/>
        <v>1.5</v>
      </c>
      <c r="N251" s="152">
        <f t="shared" si="91"/>
        <v>1.5</v>
      </c>
      <c r="O251" s="152">
        <f t="shared" si="91"/>
        <v>1.5</v>
      </c>
      <c r="P251" s="152">
        <f t="shared" si="91"/>
        <v>1.5</v>
      </c>
      <c r="Q251" s="152">
        <f t="shared" si="91"/>
        <v>1.5</v>
      </c>
      <c r="R251" s="152">
        <f t="shared" si="91"/>
        <v>1.5</v>
      </c>
      <c r="S251" s="152">
        <f t="shared" si="91"/>
        <v>1.5</v>
      </c>
      <c r="T251" s="152">
        <f t="shared" si="92"/>
        <v>1.5</v>
      </c>
      <c r="U251" s="152">
        <f t="shared" si="92"/>
        <v>1.5</v>
      </c>
      <c r="V251" s="152">
        <f t="shared" si="92"/>
        <v>1.5</v>
      </c>
      <c r="W251" s="152">
        <f t="shared" si="92"/>
        <v>1.5</v>
      </c>
      <c r="X251" s="152">
        <f t="shared" si="92"/>
        <v>1.5</v>
      </c>
      <c r="Y251" s="152">
        <f t="shared" si="92"/>
        <v>1.5</v>
      </c>
      <c r="Z251" s="152">
        <f t="shared" si="92"/>
        <v>1.5</v>
      </c>
      <c r="AA251" s="152">
        <f t="shared" si="92"/>
        <v>1.5</v>
      </c>
      <c r="AB251" s="152">
        <f t="shared" si="92"/>
        <v>1.5</v>
      </c>
      <c r="AC251" s="152">
        <f t="shared" si="92"/>
        <v>1.5</v>
      </c>
      <c r="AD251" s="152">
        <f t="shared" si="92"/>
        <v>1.5</v>
      </c>
      <c r="AE251" s="152">
        <f t="shared" si="92"/>
        <v>1.5</v>
      </c>
      <c r="AF251" s="152">
        <f t="shared" si="9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0"/>
        <v>0.3</v>
      </c>
      <c r="C252" s="152">
        <v>0.3</v>
      </c>
      <c r="D252" s="152">
        <f t="shared" si="91"/>
        <v>0.3</v>
      </c>
      <c r="E252" s="152">
        <f t="shared" si="91"/>
        <v>0.3</v>
      </c>
      <c r="F252" s="152">
        <f t="shared" si="91"/>
        <v>0.3</v>
      </c>
      <c r="G252" s="152">
        <f t="shared" si="91"/>
        <v>0.3</v>
      </c>
      <c r="H252" s="152">
        <f t="shared" si="91"/>
        <v>0.3</v>
      </c>
      <c r="I252" s="152">
        <f t="shared" si="91"/>
        <v>0.3</v>
      </c>
      <c r="J252" s="152">
        <f t="shared" si="91"/>
        <v>0.3</v>
      </c>
      <c r="K252" s="152">
        <f t="shared" si="91"/>
        <v>0.3</v>
      </c>
      <c r="L252" s="152">
        <f t="shared" si="91"/>
        <v>0.3</v>
      </c>
      <c r="M252" s="152">
        <f t="shared" si="91"/>
        <v>0.3</v>
      </c>
      <c r="N252" s="152">
        <f t="shared" si="91"/>
        <v>0.3</v>
      </c>
      <c r="O252" s="152">
        <f t="shared" si="91"/>
        <v>0.3</v>
      </c>
      <c r="P252" s="152">
        <f t="shared" si="91"/>
        <v>0.3</v>
      </c>
      <c r="Q252" s="152">
        <f t="shared" si="91"/>
        <v>0.3</v>
      </c>
      <c r="R252" s="152">
        <f t="shared" si="91"/>
        <v>0.3</v>
      </c>
      <c r="S252" s="152">
        <f t="shared" si="91"/>
        <v>0.3</v>
      </c>
      <c r="T252" s="152">
        <f t="shared" si="92"/>
        <v>0.3</v>
      </c>
      <c r="U252" s="152">
        <f t="shared" si="92"/>
        <v>0.3</v>
      </c>
      <c r="V252" s="152">
        <f t="shared" si="92"/>
        <v>0.3</v>
      </c>
      <c r="W252" s="152">
        <f t="shared" si="92"/>
        <v>0.3</v>
      </c>
      <c r="X252" s="152">
        <f t="shared" si="92"/>
        <v>0.3</v>
      </c>
      <c r="Y252" s="152">
        <f t="shared" si="92"/>
        <v>0.3</v>
      </c>
      <c r="Z252" s="152">
        <f t="shared" si="92"/>
        <v>0.3</v>
      </c>
      <c r="AA252" s="152">
        <f t="shared" si="92"/>
        <v>0.3</v>
      </c>
      <c r="AB252" s="152">
        <f t="shared" si="92"/>
        <v>0.3</v>
      </c>
      <c r="AC252" s="152">
        <f t="shared" si="92"/>
        <v>0.3</v>
      </c>
      <c r="AD252" s="152">
        <f t="shared" si="92"/>
        <v>0.3</v>
      </c>
      <c r="AE252" s="152">
        <f t="shared" si="92"/>
        <v>0.3</v>
      </c>
      <c r="AF252" s="152">
        <f t="shared" si="9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0"/>
        <v>0.4</v>
      </c>
      <c r="C253" s="152">
        <v>0.4</v>
      </c>
      <c r="D253" s="152">
        <f t="shared" si="91"/>
        <v>0.4</v>
      </c>
      <c r="E253" s="152">
        <f t="shared" si="91"/>
        <v>0.4</v>
      </c>
      <c r="F253" s="152">
        <f t="shared" si="91"/>
        <v>0.4</v>
      </c>
      <c r="G253" s="152">
        <f t="shared" si="91"/>
        <v>0.4</v>
      </c>
      <c r="H253" s="152">
        <f t="shared" si="91"/>
        <v>0.4</v>
      </c>
      <c r="I253" s="152">
        <f t="shared" si="91"/>
        <v>0.4</v>
      </c>
      <c r="J253" s="152">
        <f t="shared" si="91"/>
        <v>0.4</v>
      </c>
      <c r="K253" s="152">
        <f t="shared" si="91"/>
        <v>0.4</v>
      </c>
      <c r="L253" s="152">
        <f t="shared" si="91"/>
        <v>0.4</v>
      </c>
      <c r="M253" s="152">
        <f t="shared" si="91"/>
        <v>0.4</v>
      </c>
      <c r="N253" s="152">
        <f t="shared" si="91"/>
        <v>0.4</v>
      </c>
      <c r="O253" s="152">
        <f t="shared" si="91"/>
        <v>0.4</v>
      </c>
      <c r="P253" s="152">
        <f t="shared" si="91"/>
        <v>0.4</v>
      </c>
      <c r="Q253" s="152">
        <f t="shared" si="91"/>
        <v>0.4</v>
      </c>
      <c r="R253" s="152">
        <f t="shared" si="91"/>
        <v>0.4</v>
      </c>
      <c r="S253" s="152">
        <f t="shared" si="91"/>
        <v>0.4</v>
      </c>
      <c r="T253" s="152">
        <f t="shared" si="92"/>
        <v>0.4</v>
      </c>
      <c r="U253" s="152">
        <f t="shared" si="92"/>
        <v>0.4</v>
      </c>
      <c r="V253" s="152">
        <f t="shared" si="92"/>
        <v>0.4</v>
      </c>
      <c r="W253" s="152">
        <f t="shared" si="92"/>
        <v>0.4</v>
      </c>
      <c r="X253" s="152">
        <f t="shared" si="92"/>
        <v>0.4</v>
      </c>
      <c r="Y253" s="152">
        <f t="shared" si="92"/>
        <v>0.4</v>
      </c>
      <c r="Z253" s="152">
        <f t="shared" si="92"/>
        <v>0.4</v>
      </c>
      <c r="AA253" s="152">
        <f t="shared" si="92"/>
        <v>0.4</v>
      </c>
      <c r="AB253" s="152">
        <f t="shared" si="92"/>
        <v>0.4</v>
      </c>
      <c r="AC253" s="152">
        <f t="shared" si="92"/>
        <v>0.4</v>
      </c>
      <c r="AD253" s="152">
        <f t="shared" si="92"/>
        <v>0.4</v>
      </c>
      <c r="AE253" s="152">
        <f t="shared" si="92"/>
        <v>0.4</v>
      </c>
      <c r="AF253" s="152">
        <f t="shared" si="9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0"/>
        <v>0.64</v>
      </c>
      <c r="C254" s="157">
        <v>0.64</v>
      </c>
      <c r="D254" s="157">
        <f t="shared" si="91"/>
        <v>0.64</v>
      </c>
      <c r="E254" s="157">
        <f t="shared" si="91"/>
        <v>0.64</v>
      </c>
      <c r="F254" s="157">
        <f t="shared" si="91"/>
        <v>0.64</v>
      </c>
      <c r="G254" s="157">
        <f t="shared" si="91"/>
        <v>0.64</v>
      </c>
      <c r="H254" s="157">
        <f t="shared" si="91"/>
        <v>0.64</v>
      </c>
      <c r="I254" s="157">
        <f t="shared" si="91"/>
        <v>0.64</v>
      </c>
      <c r="J254" s="157">
        <f t="shared" si="91"/>
        <v>0.64</v>
      </c>
      <c r="K254" s="157">
        <f t="shared" si="91"/>
        <v>0.64</v>
      </c>
      <c r="L254" s="157">
        <f t="shared" si="91"/>
        <v>0.64</v>
      </c>
      <c r="M254" s="157">
        <f t="shared" si="91"/>
        <v>0.64</v>
      </c>
      <c r="N254" s="157">
        <f t="shared" si="91"/>
        <v>0.64</v>
      </c>
      <c r="O254" s="157">
        <f t="shared" si="91"/>
        <v>0.64</v>
      </c>
      <c r="P254" s="157">
        <f t="shared" si="91"/>
        <v>0.64</v>
      </c>
      <c r="Q254" s="157">
        <f t="shared" si="91"/>
        <v>0.64</v>
      </c>
      <c r="R254" s="157">
        <f t="shared" si="91"/>
        <v>0.64</v>
      </c>
      <c r="S254" s="157">
        <f t="shared" si="91"/>
        <v>0.64</v>
      </c>
      <c r="T254" s="157">
        <f t="shared" si="92"/>
        <v>0.64</v>
      </c>
      <c r="U254" s="157">
        <f t="shared" si="92"/>
        <v>0.64</v>
      </c>
      <c r="V254" s="157">
        <f t="shared" si="92"/>
        <v>0.64</v>
      </c>
      <c r="W254" s="157">
        <f t="shared" si="92"/>
        <v>0.64</v>
      </c>
      <c r="X254" s="157">
        <f t="shared" si="92"/>
        <v>0.64</v>
      </c>
      <c r="Y254" s="157">
        <f t="shared" si="92"/>
        <v>0.64</v>
      </c>
      <c r="Z254" s="157">
        <f t="shared" si="92"/>
        <v>0.64</v>
      </c>
      <c r="AA254" s="157">
        <f t="shared" si="92"/>
        <v>0.64</v>
      </c>
      <c r="AB254" s="157">
        <f t="shared" si="92"/>
        <v>0.64</v>
      </c>
      <c r="AC254" s="157">
        <f t="shared" si="92"/>
        <v>0.64</v>
      </c>
      <c r="AD254" s="157">
        <f t="shared" si="92"/>
        <v>0.64</v>
      </c>
      <c r="AE254" s="157">
        <f t="shared" si="92"/>
        <v>0.64</v>
      </c>
      <c r="AF254" s="157">
        <f t="shared" si="9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3">SUM(B249:B254)</f>
        <v>3.54</v>
      </c>
      <c r="C255" s="161">
        <f t="shared" si="93"/>
        <v>3.54</v>
      </c>
      <c r="D255" s="161">
        <f t="shared" si="93"/>
        <v>3.54</v>
      </c>
      <c r="E255" s="161">
        <f t="shared" si="93"/>
        <v>3.54</v>
      </c>
      <c r="F255" s="161">
        <f t="shared" si="93"/>
        <v>3.54</v>
      </c>
      <c r="G255" s="161">
        <f t="shared" si="93"/>
        <v>3.54</v>
      </c>
      <c r="H255" s="161">
        <f t="shared" si="93"/>
        <v>3.54</v>
      </c>
      <c r="I255" s="161">
        <f t="shared" si="93"/>
        <v>3.54</v>
      </c>
      <c r="J255" s="161">
        <f t="shared" si="93"/>
        <v>3.54</v>
      </c>
      <c r="K255" s="161">
        <f t="shared" si="93"/>
        <v>3.54</v>
      </c>
      <c r="L255" s="161">
        <f t="shared" si="93"/>
        <v>3.54</v>
      </c>
      <c r="M255" s="161">
        <f t="shared" si="93"/>
        <v>3.54</v>
      </c>
      <c r="N255" s="161">
        <f t="shared" si="93"/>
        <v>3.54</v>
      </c>
      <c r="O255" s="161">
        <f t="shared" si="93"/>
        <v>3.54</v>
      </c>
      <c r="P255" s="161">
        <f t="shared" si="93"/>
        <v>3.54</v>
      </c>
      <c r="Q255" s="161">
        <f t="shared" si="93"/>
        <v>3.54</v>
      </c>
      <c r="R255" s="161">
        <f t="shared" si="93"/>
        <v>3.54</v>
      </c>
      <c r="S255" s="161">
        <f t="shared" si="93"/>
        <v>3.54</v>
      </c>
      <c r="T255" s="161">
        <f t="shared" si="93"/>
        <v>3.54</v>
      </c>
      <c r="U255" s="161">
        <f t="shared" si="93"/>
        <v>3.54</v>
      </c>
      <c r="V255" s="161">
        <f t="shared" si="93"/>
        <v>3.54</v>
      </c>
      <c r="W255" s="161">
        <f t="shared" si="93"/>
        <v>3.54</v>
      </c>
      <c r="X255" s="161">
        <f t="shared" si="93"/>
        <v>3.54</v>
      </c>
      <c r="Y255" s="161">
        <f t="shared" si="93"/>
        <v>3.54</v>
      </c>
      <c r="Z255" s="161">
        <f t="shared" si="93"/>
        <v>3.54</v>
      </c>
      <c r="AA255" s="161">
        <f t="shared" si="93"/>
        <v>3.54</v>
      </c>
      <c r="AB255" s="161">
        <f t="shared" si="93"/>
        <v>3.54</v>
      </c>
      <c r="AC255" s="161">
        <f t="shared" si="93"/>
        <v>3.54</v>
      </c>
      <c r="AD255" s="161">
        <f t="shared" si="93"/>
        <v>3.54</v>
      </c>
      <c r="AE255" s="161">
        <f t="shared" si="93"/>
        <v>3.54</v>
      </c>
      <c r="AF255" s="161">
        <f t="shared" si="93"/>
        <v>3.54</v>
      </c>
      <c r="AG255" s="171">
        <f t="shared" si="9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1915.6100000000001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2080/10/25)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374" priority="80">
      <formula>$AH11=0</formula>
    </cfRule>
  </conditionalFormatting>
  <conditionalFormatting sqref="A89">
    <cfRule type="expression" dxfId="1373" priority="138">
      <formula>$AH94=0</formula>
    </cfRule>
  </conditionalFormatting>
  <conditionalFormatting sqref="A90:A94">
    <cfRule type="expression" dxfId="1372" priority="81">
      <formula>$AH89=0</formula>
    </cfRule>
  </conditionalFormatting>
  <conditionalFormatting sqref="B8">
    <cfRule type="expression" dxfId="1371" priority="134">
      <formula>AND(C$9&gt;=14/24,C$9&lt;20/24)</formula>
    </cfRule>
    <cfRule type="expression" dxfId="1370" priority="135">
      <formula>AND(C$9&gt;=8/24,C$9&lt;14/24)</formula>
    </cfRule>
    <cfRule type="expression" dxfId="1369" priority="136">
      <formula>C$9&lt;8/24</formula>
    </cfRule>
    <cfRule type="expression" dxfId="1368" priority="137">
      <formula>C$9&gt;=20/24</formula>
    </cfRule>
  </conditionalFormatting>
  <conditionalFormatting sqref="B11:B60 J12:J64 H12:I77 C13:E60 F13:F64 G13:G78 S14:Z60 K14:O64 P14:P77 Q14:Q78 R14:R83 AA15:AA60 AB15:AF83 C11:E11 C12:G12 AG61 B61:E64 S61:AA83 AG65 J65:O77 B65:F78 H78:P78 B79:Q83 AG83">
    <cfRule type="expression" dxfId="1367" priority="40">
      <formula>B11&gt;$AG11</formula>
    </cfRule>
  </conditionalFormatting>
  <conditionalFormatting sqref="B9:AF10 C11:E11 B11:B57 C12:J57 K14:Z57 B62:D71 B72:AF77 B80:AF102 B104:AF120 B122:AF140 B247:AF247 B249:B255">
    <cfRule type="expression" dxfId="1366" priority="42">
      <formula>AND(B$9&gt;=14/24,B$9&lt;20/24)</formula>
    </cfRule>
    <cfRule type="expression" dxfId="1365" priority="43">
      <formula>AND(B$9&gt;=8/24,B$9&lt;14/24)</formula>
    </cfRule>
    <cfRule type="expression" dxfId="1364" priority="44">
      <formula>B$9&lt;8/24</formula>
    </cfRule>
  </conditionalFormatting>
  <conditionalFormatting sqref="B58:AF60">
    <cfRule type="expression" dxfId="1363" priority="37">
      <formula>B$9&gt;=20/24</formula>
    </cfRule>
    <cfRule type="expression" dxfId="1362" priority="38">
      <formula>AND(B$9&gt;=14/24,B$9&lt;20/24)</formula>
    </cfRule>
    <cfRule type="expression" dxfId="1361" priority="39">
      <formula>AND(B$9&gt;=8/24,B$9&lt;14/24)</formula>
    </cfRule>
    <cfRule type="expression" dxfId="1360" priority="49">
      <formula>B$9&lt;8/24</formula>
    </cfRule>
  </conditionalFormatting>
  <conditionalFormatting sqref="C11:E11 B11:B57 C12:J57 K14:Z57 B62:D71 B72:AF77 B80:AF102 B9:AF10 B104:AF120 B122:AF140 B247:AF247 B249:B255">
    <cfRule type="expression" dxfId="1359" priority="41">
      <formula>B$9&gt;=20/24</formula>
    </cfRule>
  </conditionalFormatting>
  <conditionalFormatting sqref="D249:AF255">
    <cfRule type="expression" dxfId="1358" priority="119">
      <formula>D$9&gt;=20/24</formula>
    </cfRule>
    <cfRule type="expression" dxfId="1357" priority="120">
      <formula>AND(D$9&gt;=14/24,D$9&lt;20/24)</formula>
    </cfRule>
    <cfRule type="expression" dxfId="1356" priority="121">
      <formula>AND(D$9&gt;=8/24,D$9&lt;14/24)</formula>
    </cfRule>
    <cfRule type="expression" dxfId="1355" priority="122">
      <formula>D$9&lt;8/24</formula>
    </cfRule>
  </conditionalFormatting>
  <conditionalFormatting sqref="E11:K11 L11:Z13 AA11:AF14 K12:K13">
    <cfRule type="expression" dxfId="1354" priority="54">
      <formula>E11&gt;$AG11</formula>
    </cfRule>
  </conditionalFormatting>
  <conditionalFormatting sqref="E11:K11 L11:Z13 AA11:AF57 K12:K13">
    <cfRule type="expression" dxfId="1353" priority="55">
      <formula>E$9&gt;=20/24</formula>
    </cfRule>
    <cfRule type="expression" dxfId="1352" priority="56">
      <formula>AND(E$9&gt;=14/24,E$9&lt;20/24)</formula>
    </cfRule>
    <cfRule type="expression" dxfId="1351" priority="57">
      <formula>AND(E$9&gt;=8/24,E$9&lt;14/24)</formula>
    </cfRule>
    <cfRule type="expression" dxfId="1350" priority="58">
      <formula>E$9&lt;8/24</formula>
    </cfRule>
  </conditionalFormatting>
  <conditionalFormatting sqref="E66:K71">
    <cfRule type="expression" dxfId="1349" priority="45">
      <formula>E$9&gt;=20/24</formula>
    </cfRule>
    <cfRule type="expression" dxfId="1348" priority="46">
      <formula>AND(E$9&gt;=14/24,E$9&lt;20/24)</formula>
    </cfRule>
    <cfRule type="expression" dxfId="1347" priority="47">
      <formula>AND(E$9&gt;=8/24,E$9&lt;14/24)</formula>
    </cfRule>
    <cfRule type="expression" dxfId="1346" priority="48">
      <formula>E$9&lt;8/24</formula>
    </cfRule>
  </conditionalFormatting>
  <conditionalFormatting sqref="E62:AF65">
    <cfRule type="expression" dxfId="1345" priority="60">
      <formula>E$9&gt;=20/24</formula>
    </cfRule>
    <cfRule type="expression" dxfId="1344" priority="61">
      <formula>AND(E$9&gt;=14/24,E$9&lt;20/24)</formula>
    </cfRule>
    <cfRule type="expression" dxfId="1343" priority="62">
      <formula>AND(E$9&gt;=8/24,E$9&lt;14/24)</formula>
    </cfRule>
    <cfRule type="expression" dxfId="1342" priority="63">
      <formula>E$9&lt;8/24</formula>
    </cfRule>
  </conditionalFormatting>
  <conditionalFormatting sqref="F66:L68 M67:M68">
    <cfRule type="expression" dxfId="1341" priority="72">
      <formula>F$9&gt;=20/24</formula>
    </cfRule>
    <cfRule type="expression" dxfId="1340" priority="73">
      <formula>AND(F$9&gt;=14/24,F$9&lt;20/24)</formula>
    </cfRule>
    <cfRule type="expression" dxfId="1339" priority="74">
      <formula>AND(F$9&gt;=8/24,F$9&lt;14/24)</formula>
    </cfRule>
    <cfRule type="expression" dxfId="1338" priority="75">
      <formula>F$9&lt;8/24</formula>
    </cfRule>
  </conditionalFormatting>
  <conditionalFormatting sqref="L71:Z71">
    <cfRule type="expression" dxfId="1337" priority="68">
      <formula>L$9&gt;=20/24</formula>
    </cfRule>
    <cfRule type="expression" dxfId="1336" priority="69">
      <formula>AND(L$9&gt;=14/24,L$9&lt;20/24)</formula>
    </cfRule>
    <cfRule type="expression" dxfId="1335" priority="70">
      <formula>AND(L$9&gt;=8/24,L$9&lt;14/24)</formula>
    </cfRule>
    <cfRule type="expression" dxfId="1334" priority="71">
      <formula>L$9&lt;8/24</formula>
    </cfRule>
  </conditionalFormatting>
  <conditionalFormatting sqref="M8 S8 AB8">
    <cfRule type="expression" dxfId="1333" priority="126">
      <formula>AND(N$9&gt;=14/24,N$9&lt;20/24)</formula>
    </cfRule>
    <cfRule type="expression" dxfId="1332" priority="127">
      <formula>AND(N$9&gt;=8/24,N$9&lt;14/24)</formula>
    </cfRule>
    <cfRule type="expression" dxfId="1331" priority="128">
      <formula>N$9&lt;8/24</formula>
    </cfRule>
  </conditionalFormatting>
  <conditionalFormatting sqref="M66:Z70">
    <cfRule type="expression" dxfId="1330" priority="76">
      <formula>M$9&gt;=20/24</formula>
    </cfRule>
    <cfRule type="expression" dxfId="1329" priority="77">
      <formula>AND(M$9&gt;=14/24,M$9&lt;20/24)</formula>
    </cfRule>
    <cfRule type="expression" dxfId="1328" priority="78">
      <formula>AND(M$9&gt;=8/24,M$9&lt;14/24)</formula>
    </cfRule>
    <cfRule type="expression" dxfId="1327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326" priority="125">
      <formula>N$9&gt;=20/24</formula>
    </cfRule>
  </conditionalFormatting>
  <conditionalFormatting sqref="S8">
    <cfRule type="expression" dxfId="1325" priority="112">
      <formula>U$9&gt;=20/24</formula>
    </cfRule>
    <cfRule type="expression" dxfId="1324" priority="113">
      <formula>AND(U$9&gt;=14/24,U$9&lt;20/24)</formula>
    </cfRule>
    <cfRule type="expression" dxfId="1323" priority="114">
      <formula>AND(U$9&gt;=8/24,U$9&lt;14/24)</formula>
    </cfRule>
    <cfRule type="expression" dxfId="1322" priority="115">
      <formula>U$9&lt;8/24</formula>
    </cfRule>
  </conditionalFormatting>
  <conditionalFormatting sqref="T66:AF71">
    <cfRule type="expression" dxfId="1321" priority="64">
      <formula>T$9&gt;=20/24</formula>
    </cfRule>
    <cfRule type="expression" dxfId="1320" priority="65">
      <formula>AND(T$9&gt;=14/24,T$9&lt;20/24)</formula>
    </cfRule>
    <cfRule type="expression" dxfId="1319" priority="66">
      <formula>AND(T$9&gt;=8/24,T$9&lt;14/24)</formula>
    </cfRule>
    <cfRule type="expression" dxfId="1318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17" priority="108">
      <formula>AD$9&gt;=20/24</formula>
    </cfRule>
    <cfRule type="expression" dxfId="1316" priority="109">
      <formula>AND(AD$9&gt;=14/24,AD$9&lt;20/24)</formula>
    </cfRule>
    <cfRule type="expression" dxfId="1315" priority="110">
      <formula>AND(AD$9&gt;=8/24,AD$9&lt;14/24)</formula>
    </cfRule>
    <cfRule type="expression" dxfId="1314" priority="111">
      <formula>AD$9&lt;8/24</formula>
    </cfRule>
  </conditionalFormatting>
  <conditionalFormatting sqref="AG65">
    <cfRule type="expression" dxfId="1313" priority="87">
      <formula>AG$9&gt;=20/24</formula>
    </cfRule>
    <cfRule type="expression" dxfId="1312" priority="88">
      <formula>AND(AG$9&gt;=14/24,AG$9&lt;20/24)</formula>
    </cfRule>
    <cfRule type="expression" dxfId="1311" priority="89">
      <formula>AND(AG$9&gt;=8/24,AG$9&lt;14/24)</formula>
    </cfRule>
    <cfRule type="expression" dxfId="1310" priority="90">
      <formula>AG$9&lt;8/24</formula>
    </cfRule>
  </conditionalFormatting>
  <conditionalFormatting sqref="AG78:AG79">
    <cfRule type="expression" dxfId="1309" priority="82">
      <formula>AG78&gt;$AG78</formula>
    </cfRule>
  </conditionalFormatting>
  <conditionalFormatting sqref="AG83">
    <cfRule type="expression" dxfId="1308" priority="83">
      <formula>AG$9&gt;=20/24</formula>
    </cfRule>
    <cfRule type="expression" dxfId="1307" priority="84">
      <formula>AND(AG$9&gt;=14/24,AG$9&lt;20/24)</formula>
    </cfRule>
    <cfRule type="expression" dxfId="1306" priority="85">
      <formula>AND(AG$9&gt;=8/24,AG$9&lt;14/24)</formula>
    </cfRule>
    <cfRule type="expression" dxfId="1305" priority="86">
      <formula>AG$9&lt;8/24</formula>
    </cfRule>
  </conditionalFormatting>
  <conditionalFormatting sqref="AG100">
    <cfRule type="expression" dxfId="1304" priority="104">
      <formula>AG$9&gt;=20/24</formula>
    </cfRule>
    <cfRule type="expression" dxfId="1303" priority="105">
      <formula>AND(AG$9&gt;=14/24,AG$9&lt;20/24)</formula>
    </cfRule>
    <cfRule type="expression" dxfId="1302" priority="106">
      <formula>AND(AG$9&gt;=8/24,AG$9&lt;14/24)</formula>
    </cfRule>
    <cfRule type="expression" dxfId="1301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300" priority="129">
      <formula>AJ$9&gt;=20/24</formula>
    </cfRule>
    <cfRule type="expression" dxfId="1299" priority="130">
      <formula>AND(AJ$9&gt;=14/24,AJ$9&lt;20/24)</formula>
    </cfRule>
    <cfRule type="expression" dxfId="1298" priority="131">
      <formula>AND(AJ$9&gt;=8/24,AJ$9&lt;14/24)</formula>
    </cfRule>
    <cfRule type="expression" dxfId="1297" priority="132">
      <formula>AJ$9&lt;8/24</formula>
    </cfRule>
  </conditionalFormatting>
  <conditionalFormatting sqref="AL86:AN86 AL92:AN92">
    <cfRule type="expression" dxfId="1296" priority="97">
      <formula>AL$9&gt;=20/24</formula>
    </cfRule>
    <cfRule type="expression" dxfId="1295" priority="98">
      <formula>AND(AL$9&gt;=14/24,AL$9&lt;20/24)</formula>
    </cfRule>
    <cfRule type="expression" dxfId="1294" priority="99">
      <formula>AND(AL$9&gt;=8/24,AL$9&lt;14/24)</formula>
    </cfRule>
    <cfRule type="expression" dxfId="1293" priority="100">
      <formula>AL$9&lt;8/24</formula>
    </cfRule>
  </conditionalFormatting>
  <conditionalFormatting sqref="AM15:AM21 AN16:AR21">
    <cfRule type="expression" dxfId="1292" priority="13">
      <formula>AX$9&gt;=20/24</formula>
    </cfRule>
    <cfRule type="expression" dxfId="1291" priority="14">
      <formula>AND(AX$9&gt;=14/24,AX$9&lt;20/24)</formula>
    </cfRule>
    <cfRule type="expression" dxfId="1290" priority="15">
      <formula>AND(AX$9&gt;=8/24,AX$9&lt;14/24)</formula>
    </cfRule>
    <cfRule type="expression" dxfId="1289" priority="16">
      <formula>AX$9&lt;8/24</formula>
    </cfRule>
  </conditionalFormatting>
  <conditionalFormatting sqref="AN87:AN90">
    <cfRule type="expression" dxfId="1288" priority="93">
      <formula>AN$9&gt;=20/24</formula>
    </cfRule>
    <cfRule type="expression" dxfId="1287" priority="94">
      <formula>AND(AN$9&gt;=14/24,AN$9&lt;20/24)</formula>
    </cfRule>
    <cfRule type="expression" dxfId="1286" priority="95">
      <formula>AND(AN$9&gt;=8/24,AN$9&lt;14/24)</formula>
    </cfRule>
    <cfRule type="expression" dxfId="1285" priority="96">
      <formula>AN$9&lt;8/24</formula>
    </cfRule>
  </conditionalFormatting>
  <conditionalFormatting sqref="AN15:AR15">
    <cfRule type="expression" dxfId="1284" priority="1">
      <formula>U$9&gt;=20/24</formula>
    </cfRule>
    <cfRule type="expression" dxfId="1283" priority="2">
      <formula>AND(U$9&gt;=14/24,U$9&lt;20/24)</formula>
    </cfRule>
    <cfRule type="expression" dxfId="1282" priority="3">
      <formula>AND(U$9&gt;=8/24,U$9&lt;14/24)</formula>
    </cfRule>
    <cfRule type="expression" dxfId="1281" priority="4">
      <formula>U$9&lt;8/24</formula>
    </cfRule>
  </conditionalFormatting>
  <conditionalFormatting sqref="AS15">
    <cfRule type="expression" dxfId="1280" priority="9">
      <formula>AA$9&gt;=20/24</formula>
    </cfRule>
    <cfRule type="expression" dxfId="1279" priority="10">
      <formula>AND(AA$9&gt;=14/24,AA$9&lt;20/24)</formula>
    </cfRule>
    <cfRule type="expression" dxfId="1278" priority="11">
      <formula>AND(AA$9&gt;=8/24,AA$9&lt;14/24)</formula>
    </cfRule>
    <cfRule type="expression" dxfId="1277" priority="12">
      <formula>AA$9&lt;8/24</formula>
    </cfRule>
  </conditionalFormatting>
  <conditionalFormatting sqref="AS16:AS21">
    <cfRule type="expression" dxfId="1276" priority="17">
      <formula>BE$9&gt;=20/24</formula>
    </cfRule>
    <cfRule type="expression" dxfId="1275" priority="18">
      <formula>AND(BE$9&gt;=14/24,BE$9&lt;20/24)</formula>
    </cfRule>
    <cfRule type="expression" dxfId="1274" priority="19">
      <formula>AND(BE$9&gt;=8/24,BE$9&lt;14/24)</formula>
    </cfRule>
    <cfRule type="expression" dxfId="1273" priority="20">
      <formula>BE$9&lt;8/24</formula>
    </cfRule>
  </conditionalFormatting>
  <conditionalFormatting sqref="AT15 AX15:BJ15">
    <cfRule type="expression" dxfId="1272" priority="21">
      <formula>AC$9&gt;=20/24</formula>
    </cfRule>
    <cfRule type="expression" dxfId="1271" priority="22">
      <formula>AND(AC$9&gt;=14/24,AC$9&lt;20/24)</formula>
    </cfRule>
    <cfRule type="expression" dxfId="1270" priority="23">
      <formula>AND(AC$9&gt;=8/24,AC$9&lt;14/24)</formula>
    </cfRule>
    <cfRule type="expression" dxfId="1269" priority="24">
      <formula>AC$9&lt;8/24</formula>
    </cfRule>
  </conditionalFormatting>
  <conditionalFormatting sqref="AT16:AT21">
    <cfRule type="expression" dxfId="1268" priority="25">
      <formula>BG$9&gt;=20/24</formula>
    </cfRule>
    <cfRule type="expression" dxfId="1267" priority="26">
      <formula>AND(BG$9&gt;=14/24,BG$9&lt;20/24)</formula>
    </cfRule>
    <cfRule type="expression" dxfId="1266" priority="27">
      <formula>AND(BG$9&gt;=8/24,BG$9&lt;14/24)</formula>
    </cfRule>
    <cfRule type="expression" dxfId="1265" priority="28">
      <formula>BG$9&lt;8/24</formula>
    </cfRule>
  </conditionalFormatting>
  <conditionalFormatting sqref="AU15:AV15">
    <cfRule type="expression" dxfId="1264" priority="29">
      <formula>AE$9&gt;=20/24</formula>
    </cfRule>
    <cfRule type="expression" dxfId="1263" priority="30">
      <formula>AND(AE$9&gt;=14/24,AE$9&lt;20/24)</formula>
    </cfRule>
    <cfRule type="expression" dxfId="1262" priority="31">
      <formula>AND(AE$9&gt;=8/24,AE$9&lt;14/24)</formula>
    </cfRule>
    <cfRule type="expression" dxfId="1261" priority="32">
      <formula>AE$9&lt;8/24</formula>
    </cfRule>
  </conditionalFormatting>
  <conditionalFormatting sqref="AU16:BJ21">
    <cfRule type="expression" dxfId="1260" priority="33">
      <formula>BI$9&gt;=20/24</formula>
    </cfRule>
    <cfRule type="expression" dxfId="1259" priority="34">
      <formula>AND(BI$9&gt;=14/24,BI$9&lt;20/24)</formula>
    </cfRule>
    <cfRule type="expression" dxfId="1258" priority="35">
      <formula>AND(BI$9&gt;=8/24,BI$9&lt;14/24)</formula>
    </cfRule>
    <cfRule type="expression" dxfId="1257" priority="36">
      <formula>BI$9&lt;8/24</formula>
    </cfRule>
  </conditionalFormatting>
  <conditionalFormatting sqref="AW15">
    <cfRule type="expression" dxfId="1256" priority="5">
      <formula>B$9&gt;=20/24</formula>
    </cfRule>
    <cfRule type="expression" dxfId="1255" priority="6">
      <formula>AND(B$9&gt;=14/24,B$9&lt;20/24)</formula>
    </cfRule>
    <cfRule type="expression" dxfId="1254" priority="7">
      <formula>AND(B$9&gt;=8/24,B$9&lt;14/24)</formula>
    </cfRule>
    <cfRule type="expression" dxfId="125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037-7E13-4011-8DDC-5C56F3485B9B}">
  <sheetPr codeName="Sheet27"/>
  <dimension ref="A1:CJ297"/>
  <sheetViews>
    <sheetView zoomScale="106" workbookViewId="0">
      <pane xSplit="1" ySplit="10" topLeftCell="B4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I7" sqref="I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2080/10/26</v>
      </c>
      <c r="C4" s="187"/>
      <c r="D4" s="187"/>
      <c r="E4" s="188" t="str">
        <f ca="1">"2080/"&amp;"10/"&amp;INT(MID(CELL("filename",G6),FIND("]",CELL("filename",G6))+1,200))</f>
        <v>2080/10/26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68.099999999999994</v>
      </c>
      <c r="C5" s="30">
        <f t="shared" si="0"/>
        <v>64</v>
      </c>
      <c r="D5" s="30">
        <f t="shared" si="0"/>
        <v>64.8</v>
      </c>
      <c r="E5" s="30">
        <f t="shared" si="0"/>
        <v>63.199999999999996</v>
      </c>
      <c r="F5" s="30">
        <f t="shared" si="0"/>
        <v>56.599999999999994</v>
      </c>
      <c r="G5" s="30">
        <f t="shared" si="0"/>
        <v>63.3</v>
      </c>
      <c r="H5" s="30">
        <f t="shared" si="0"/>
        <v>64.400000000000006</v>
      </c>
      <c r="I5" s="30">
        <f t="shared" si="0"/>
        <v>216.1</v>
      </c>
      <c r="J5" s="30">
        <f t="shared" si="0"/>
        <v>237.40000000000003</v>
      </c>
      <c r="K5" s="30">
        <f t="shared" si="0"/>
        <v>234.7</v>
      </c>
      <c r="L5" s="30">
        <f t="shared" si="0"/>
        <v>167.4</v>
      </c>
      <c r="M5" s="30">
        <f t="shared" si="0"/>
        <v>183.7</v>
      </c>
      <c r="N5" s="30">
        <f t="shared" si="0"/>
        <v>200.7</v>
      </c>
      <c r="O5" s="30">
        <f t="shared" si="0"/>
        <v>281.8</v>
      </c>
      <c r="P5" s="30">
        <f t="shared" si="0"/>
        <v>258.89999999999998</v>
      </c>
      <c r="Q5" s="30">
        <f t="shared" si="0"/>
        <v>298.39999999999998</v>
      </c>
      <c r="R5" s="30">
        <f t="shared" si="0"/>
        <v>279.5</v>
      </c>
      <c r="S5" s="30">
        <f t="shared" si="0"/>
        <v>302.09999999999997</v>
      </c>
      <c r="T5" s="30">
        <f t="shared" si="0"/>
        <v>317.5</v>
      </c>
      <c r="U5" s="30">
        <f t="shared" si="0"/>
        <v>345.3</v>
      </c>
      <c r="V5" s="30">
        <f t="shared" si="0"/>
        <v>358.3</v>
      </c>
      <c r="W5" s="30">
        <f t="shared" si="0"/>
        <v>299.2</v>
      </c>
      <c r="X5" s="30">
        <f t="shared" si="0"/>
        <v>117.2</v>
      </c>
      <c r="Y5" s="30">
        <f t="shared" si="0"/>
        <v>80</v>
      </c>
      <c r="Z5" s="30">
        <f t="shared" si="0"/>
        <v>79.5</v>
      </c>
      <c r="AA5" s="30">
        <f t="shared" si="0"/>
        <v>98.5</v>
      </c>
      <c r="AB5" s="30">
        <f t="shared" si="0"/>
        <v>102.9</v>
      </c>
      <c r="AC5" s="30">
        <f t="shared" si="0"/>
        <v>92</v>
      </c>
      <c r="AD5" s="30">
        <f t="shared" si="0"/>
        <v>71.800000000000011</v>
      </c>
      <c r="AE5" s="30">
        <f t="shared" si="0"/>
        <v>93.5</v>
      </c>
      <c r="AF5" s="30">
        <f>B95</f>
        <v>68.400000000000006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1881MW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Load=1491</v>
      </c>
      <c r="B7" s="35">
        <f t="shared" ref="B7:AF7" si="1">B103</f>
        <v>1780.3</v>
      </c>
      <c r="C7" s="35">
        <f t="shared" si="1"/>
        <v>1745.8000000000002</v>
      </c>
      <c r="D7" s="35">
        <f t="shared" si="1"/>
        <v>1774.6999999999998</v>
      </c>
      <c r="E7" s="35">
        <f t="shared" si="1"/>
        <v>1590.74</v>
      </c>
      <c r="F7" s="35">
        <f t="shared" si="1"/>
        <v>1612.4400000000005</v>
      </c>
      <c r="G7" s="35">
        <f t="shared" si="1"/>
        <v>1575.1399999999999</v>
      </c>
      <c r="H7" s="35">
        <f t="shared" si="1"/>
        <v>1491.24</v>
      </c>
      <c r="I7" s="35">
        <f t="shared" si="1"/>
        <v>1527.1000000000001</v>
      </c>
      <c r="J7" s="35">
        <f t="shared" si="1"/>
        <v>1697.17</v>
      </c>
      <c r="K7" s="35">
        <f t="shared" si="1"/>
        <v>1588.94</v>
      </c>
      <c r="L7" s="35">
        <f t="shared" si="1"/>
        <v>1523.5400000000002</v>
      </c>
      <c r="M7" s="35">
        <f t="shared" si="1"/>
        <v>1518.0400000000002</v>
      </c>
      <c r="N7" s="35">
        <f t="shared" si="1"/>
        <v>1562.7400000000002</v>
      </c>
      <c r="O7" s="35">
        <f t="shared" si="1"/>
        <v>1595.4399999999998</v>
      </c>
      <c r="P7" s="35">
        <f t="shared" si="1"/>
        <v>1672.3400000000001</v>
      </c>
      <c r="Q7" s="35">
        <f t="shared" si="1"/>
        <v>1705.94</v>
      </c>
      <c r="R7" s="35">
        <f t="shared" si="1"/>
        <v>1721.04</v>
      </c>
      <c r="S7" s="35">
        <f t="shared" si="1"/>
        <v>1760.44</v>
      </c>
      <c r="T7" s="35">
        <f t="shared" si="1"/>
        <v>1805.7399999999998</v>
      </c>
      <c r="U7" s="35">
        <f t="shared" si="1"/>
        <v>1704.9399999999998</v>
      </c>
      <c r="V7" s="35">
        <f t="shared" si="1"/>
        <v>1628.7399999999998</v>
      </c>
      <c r="W7" s="35">
        <f t="shared" si="1"/>
        <v>1631.04</v>
      </c>
      <c r="X7" s="35">
        <f t="shared" si="1"/>
        <v>1530.64</v>
      </c>
      <c r="Y7" s="35">
        <f t="shared" si="1"/>
        <v>1680.6000000000001</v>
      </c>
      <c r="Z7" s="35">
        <f t="shared" si="1"/>
        <v>1795</v>
      </c>
      <c r="AA7" s="35">
        <f t="shared" si="1"/>
        <v>1825.5</v>
      </c>
      <c r="AB7" s="35">
        <f t="shared" si="1"/>
        <v>1856</v>
      </c>
      <c r="AC7" s="35">
        <f t="shared" si="1"/>
        <v>1902.1000000000001</v>
      </c>
      <c r="AD7" s="35">
        <f t="shared" si="1"/>
        <v>1840.9</v>
      </c>
      <c r="AE7" s="35">
        <f t="shared" si="1"/>
        <v>1838.2</v>
      </c>
      <c r="AF7" s="35">
        <f t="shared" si="1"/>
        <v>1829.9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1955.5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1856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25</v>
      </c>
      <c r="C11" s="46">
        <v>25</v>
      </c>
      <c r="D11" s="46">
        <v>25</v>
      </c>
      <c r="E11" s="46">
        <v>25</v>
      </c>
      <c r="F11" s="46">
        <v>25</v>
      </c>
      <c r="G11" s="46">
        <v>25</v>
      </c>
      <c r="H11" s="46">
        <v>25</v>
      </c>
      <c r="I11" s="46">
        <v>25</v>
      </c>
      <c r="J11" s="46">
        <v>25</v>
      </c>
      <c r="K11" s="46">
        <v>25</v>
      </c>
      <c r="L11" s="46">
        <v>25</v>
      </c>
      <c r="M11" s="46">
        <v>26.5</v>
      </c>
      <c r="N11" s="46">
        <v>27.7</v>
      </c>
      <c r="O11" s="46">
        <v>28.1</v>
      </c>
      <c r="P11" s="46">
        <v>25</v>
      </c>
      <c r="Q11" s="46">
        <v>28</v>
      </c>
      <c r="R11" s="46">
        <v>26.6</v>
      </c>
      <c r="S11" s="46">
        <v>26.6</v>
      </c>
      <c r="T11" s="46">
        <v>26.6</v>
      </c>
      <c r="U11" s="46">
        <v>26.6</v>
      </c>
      <c r="V11" s="46">
        <v>26.6</v>
      </c>
      <c r="W11" s="46">
        <v>26.6</v>
      </c>
      <c r="X11" s="46">
        <v>26.6</v>
      </c>
      <c r="Y11" s="46">
        <v>26.6</v>
      </c>
      <c r="Z11" s="46">
        <v>26.6</v>
      </c>
      <c r="AA11" s="46">
        <v>26.6</v>
      </c>
      <c r="AB11" s="46">
        <v>17</v>
      </c>
      <c r="AC11" s="46">
        <v>17</v>
      </c>
      <c r="AD11" s="46">
        <v>17</v>
      </c>
      <c r="AE11" s="46">
        <v>17</v>
      </c>
      <c r="AF11" s="46">
        <v>17</v>
      </c>
      <c r="AG11" s="47">
        <v>86</v>
      </c>
      <c r="AH11" s="48">
        <f t="shared" ref="AH11:AH74" si="2">MAX(B11:AF11)</f>
        <v>28.1</v>
      </c>
      <c r="AI11" s="49">
        <f t="shared" ref="AI11:AI74" si="3">MIN(B11:AF11)</f>
        <v>17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22.8</v>
      </c>
      <c r="C12" s="46">
        <v>22.8</v>
      </c>
      <c r="D12" s="46">
        <v>22.8</v>
      </c>
      <c r="E12" s="46">
        <v>22.8</v>
      </c>
      <c r="F12" s="46">
        <v>22.8</v>
      </c>
      <c r="G12" s="46">
        <v>22.8</v>
      </c>
      <c r="H12" s="46">
        <v>22.8</v>
      </c>
      <c r="I12" s="46">
        <v>22.8</v>
      </c>
      <c r="J12" s="46">
        <v>22.8</v>
      </c>
      <c r="K12" s="46">
        <v>22.8</v>
      </c>
      <c r="L12" s="46">
        <v>22.8</v>
      </c>
      <c r="M12" s="46">
        <v>22.8</v>
      </c>
      <c r="N12" s="46">
        <v>22.8</v>
      </c>
      <c r="O12" s="46">
        <v>22.8</v>
      </c>
      <c r="P12" s="46">
        <v>22.8</v>
      </c>
      <c r="Q12" s="46">
        <v>22.8</v>
      </c>
      <c r="R12" s="46">
        <v>22.8</v>
      </c>
      <c r="S12" s="46">
        <v>22.8</v>
      </c>
      <c r="T12" s="46">
        <v>22.8</v>
      </c>
      <c r="U12" s="46">
        <v>22.8</v>
      </c>
      <c r="V12" s="46">
        <v>22.8</v>
      </c>
      <c r="W12" s="46">
        <v>22.8</v>
      </c>
      <c r="X12" s="46">
        <v>22.8</v>
      </c>
      <c r="Y12" s="46">
        <v>22.8</v>
      </c>
      <c r="Z12" s="46">
        <v>22.8</v>
      </c>
      <c r="AA12" s="46">
        <v>22.8</v>
      </c>
      <c r="AB12" s="46">
        <v>22.8</v>
      </c>
      <c r="AC12" s="46">
        <v>22.8</v>
      </c>
      <c r="AD12" s="46">
        <v>22.8</v>
      </c>
      <c r="AE12" s="46">
        <v>22.8</v>
      </c>
      <c r="AF12" s="46">
        <v>22.8</v>
      </c>
      <c r="AG12" s="50">
        <v>77</v>
      </c>
      <c r="AH12" s="48">
        <f t="shared" si="2"/>
        <v>22.8</v>
      </c>
      <c r="AI12" s="49">
        <f t="shared" si="3"/>
        <v>22.8</v>
      </c>
      <c r="AK12" s="51"/>
      <c r="AL12" s="52" t="str">
        <f ca="1">MID(CELL("filename",C7),FIND("]",CELL("filename",C7))+1,600)</f>
        <v>26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70.099999999999994</v>
      </c>
      <c r="C13" s="46">
        <v>70.099999999999994</v>
      </c>
      <c r="D13" s="46">
        <v>70.099999999999994</v>
      </c>
      <c r="E13" s="46">
        <v>70.099999999999994</v>
      </c>
      <c r="F13" s="46">
        <v>70.099999999999994</v>
      </c>
      <c r="G13" s="46">
        <v>70.099999999999994</v>
      </c>
      <c r="H13" s="46">
        <v>70.099999999999994</v>
      </c>
      <c r="I13" s="46">
        <v>70.099999999999994</v>
      </c>
      <c r="J13" s="46">
        <v>70.099999999999994</v>
      </c>
      <c r="K13" s="46">
        <v>70.099999999999994</v>
      </c>
      <c r="L13" s="46">
        <v>70.099999999999994</v>
      </c>
      <c r="M13" s="46">
        <v>69.7</v>
      </c>
      <c r="N13" s="46">
        <v>69.7</v>
      </c>
      <c r="O13" s="46">
        <v>69.7</v>
      </c>
      <c r="P13" s="46">
        <v>69.7</v>
      </c>
      <c r="Q13" s="46">
        <v>69.8</v>
      </c>
      <c r="R13" s="46">
        <v>69.8</v>
      </c>
      <c r="S13" s="46">
        <v>69.8</v>
      </c>
      <c r="T13" s="46">
        <v>69.8</v>
      </c>
      <c r="U13" s="46">
        <v>69.8</v>
      </c>
      <c r="V13" s="46">
        <v>69.8</v>
      </c>
      <c r="W13" s="46">
        <v>69.8</v>
      </c>
      <c r="X13" s="46">
        <v>69.8</v>
      </c>
      <c r="Y13" s="46">
        <v>69.8</v>
      </c>
      <c r="Z13" s="46">
        <v>69.8</v>
      </c>
      <c r="AA13" s="46">
        <v>69.8</v>
      </c>
      <c r="AB13" s="46">
        <v>69.8</v>
      </c>
      <c r="AC13" s="46">
        <v>69.8</v>
      </c>
      <c r="AD13" s="46">
        <v>69.8</v>
      </c>
      <c r="AE13" s="46">
        <v>69.8</v>
      </c>
      <c r="AF13" s="46">
        <v>69.7</v>
      </c>
      <c r="AG13" s="50">
        <v>73</v>
      </c>
      <c r="AH13" s="48">
        <f t="shared" si="2"/>
        <v>70.099999999999994</v>
      </c>
      <c r="AI13" s="49">
        <f t="shared" si="3"/>
        <v>69.7</v>
      </c>
      <c r="AK13" s="51"/>
      <c r="AL13" s="52" t="str">
        <f ca="1">"Daily Load Curve(Excluding of Export) of Nepal ("&amp;A4&amp;" "&amp;B4&amp;")"</f>
        <v>Daily Load Curve(Excluding of Export) of Nepal (Nepali Date: 2080/10/26)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35.200000000000003</v>
      </c>
      <c r="C14" s="46">
        <v>35.200000000000003</v>
      </c>
      <c r="D14" s="46">
        <v>35.200000000000003</v>
      </c>
      <c r="E14" s="46">
        <v>35.200000000000003</v>
      </c>
      <c r="F14" s="46">
        <v>35.200000000000003</v>
      </c>
      <c r="G14" s="46">
        <v>35.200000000000003</v>
      </c>
      <c r="H14" s="46">
        <v>35.200000000000003</v>
      </c>
      <c r="I14" s="46">
        <v>35.200000000000003</v>
      </c>
      <c r="J14" s="46">
        <v>35.200000000000003</v>
      </c>
      <c r="K14" s="46">
        <v>35.200000000000003</v>
      </c>
      <c r="L14" s="46">
        <v>35.200000000000003</v>
      </c>
      <c r="M14" s="46">
        <v>38.799999999999997</v>
      </c>
      <c r="N14" s="46">
        <v>38.799999999999997</v>
      </c>
      <c r="O14" s="46">
        <v>38.799999999999997</v>
      </c>
      <c r="P14" s="46">
        <v>38.799999999999997</v>
      </c>
      <c r="Q14" s="46">
        <v>36.4</v>
      </c>
      <c r="R14" s="46">
        <v>0</v>
      </c>
      <c r="S14" s="46">
        <v>0</v>
      </c>
      <c r="T14" s="46">
        <v>0</v>
      </c>
      <c r="U14" s="46">
        <v>20.3</v>
      </c>
      <c r="V14" s="46">
        <v>20.3</v>
      </c>
      <c r="W14" s="46">
        <v>20.3</v>
      </c>
      <c r="X14" s="46">
        <v>20.3</v>
      </c>
      <c r="Y14" s="46">
        <v>20.3</v>
      </c>
      <c r="Z14" s="46">
        <v>15.3</v>
      </c>
      <c r="AA14" s="46">
        <v>15.3</v>
      </c>
      <c r="AB14" s="46">
        <v>15.3</v>
      </c>
      <c r="AC14" s="46">
        <v>15.3</v>
      </c>
      <c r="AD14" s="46">
        <v>15.3</v>
      </c>
      <c r="AE14" s="46">
        <v>40</v>
      </c>
      <c r="AF14" s="46">
        <v>40.299999999999997</v>
      </c>
      <c r="AG14" s="50">
        <v>71</v>
      </c>
      <c r="AH14" s="48">
        <f t="shared" si="2"/>
        <v>40.299999999999997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14</v>
      </c>
      <c r="C15" s="46">
        <v>14</v>
      </c>
      <c r="D15" s="46">
        <v>14</v>
      </c>
      <c r="E15" s="46">
        <v>14</v>
      </c>
      <c r="F15" s="46">
        <v>14</v>
      </c>
      <c r="G15" s="46">
        <v>14</v>
      </c>
      <c r="H15" s="46">
        <v>14</v>
      </c>
      <c r="I15" s="46">
        <v>14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14</v>
      </c>
      <c r="AA15" s="46">
        <v>14</v>
      </c>
      <c r="AB15" s="46">
        <v>14</v>
      </c>
      <c r="AC15" s="46">
        <v>14</v>
      </c>
      <c r="AD15" s="46">
        <v>14</v>
      </c>
      <c r="AE15" s="46">
        <v>14</v>
      </c>
      <c r="AF15" s="46">
        <v>14</v>
      </c>
      <c r="AG15" s="50">
        <v>54</v>
      </c>
      <c r="AH15" s="48">
        <f t="shared" si="2"/>
        <v>14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19.8</v>
      </c>
      <c r="C16" s="46">
        <v>19.8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21.4</v>
      </c>
      <c r="N16" s="46">
        <v>21.4</v>
      </c>
      <c r="O16" s="46">
        <v>21.4</v>
      </c>
      <c r="P16" s="46">
        <v>21.4</v>
      </c>
      <c r="Q16" s="46">
        <v>21.4</v>
      </c>
      <c r="R16" s="46">
        <v>21.4</v>
      </c>
      <c r="S16" s="46">
        <v>21.4</v>
      </c>
      <c r="T16" s="46">
        <v>21.4</v>
      </c>
      <c r="U16" s="46">
        <v>10.4</v>
      </c>
      <c r="V16" s="46">
        <v>10.4</v>
      </c>
      <c r="W16" s="46">
        <v>10.4</v>
      </c>
      <c r="X16" s="46">
        <v>10.4</v>
      </c>
      <c r="Y16" s="46">
        <v>10.4</v>
      </c>
      <c r="Z16" s="46">
        <v>21.4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26.9</v>
      </c>
      <c r="AG16" s="50">
        <v>54</v>
      </c>
      <c r="AH16" s="48">
        <f t="shared" si="2"/>
        <v>27</v>
      </c>
      <c r="AI16" s="49">
        <f t="shared" si="3"/>
        <v>0</v>
      </c>
      <c r="AK16" s="51"/>
      <c r="AL16" s="54" t="s">
        <v>7</v>
      </c>
      <c r="AM16" s="59">
        <f t="shared" ref="AM16:AR16" si="4">B61</f>
        <v>734.2</v>
      </c>
      <c r="AN16" s="59">
        <f t="shared" si="4"/>
        <v>734.2</v>
      </c>
      <c r="AO16" s="59">
        <f t="shared" si="4"/>
        <v>734.2</v>
      </c>
      <c r="AP16" s="59">
        <f t="shared" si="4"/>
        <v>674.7</v>
      </c>
      <c r="AQ16" s="59">
        <f t="shared" si="4"/>
        <v>681.00000000000011</v>
      </c>
      <c r="AR16" s="59">
        <f t="shared" si="4"/>
        <v>676.1</v>
      </c>
      <c r="AS16" s="59">
        <f>I61</f>
        <v>685.30000000000007</v>
      </c>
      <c r="AT16" s="59">
        <f>K61</f>
        <v>688.9</v>
      </c>
      <c r="AU16" s="59">
        <f t="shared" ref="AU16:BD16" si="5">M61</f>
        <v>781.90000000000009</v>
      </c>
      <c r="AV16" s="59">
        <f t="shared" si="5"/>
        <v>785.10000000000014</v>
      </c>
      <c r="AW16" s="59">
        <f t="shared" si="5"/>
        <v>785.5</v>
      </c>
      <c r="AX16" s="59">
        <f t="shared" si="5"/>
        <v>761.30000000000007</v>
      </c>
      <c r="AY16" s="59">
        <f t="shared" si="5"/>
        <v>790.1</v>
      </c>
      <c r="AZ16" s="59">
        <f t="shared" si="5"/>
        <v>749.2</v>
      </c>
      <c r="BA16" s="59">
        <f t="shared" si="5"/>
        <v>749.2</v>
      </c>
      <c r="BB16" s="59">
        <f t="shared" si="5"/>
        <v>749.2</v>
      </c>
      <c r="BC16" s="59">
        <f t="shared" si="5"/>
        <v>686.69999999999993</v>
      </c>
      <c r="BD16" s="59">
        <f t="shared" si="5"/>
        <v>686.69999999999993</v>
      </c>
      <c r="BE16" s="60">
        <f>X61</f>
        <v>678.69999999999993</v>
      </c>
      <c r="BF16" s="60">
        <f>Z61</f>
        <v>756.5</v>
      </c>
      <c r="BG16" s="60">
        <f>AB61</f>
        <v>764.5</v>
      </c>
      <c r="BH16" s="60">
        <f>AD61</f>
        <v>764.5</v>
      </c>
      <c r="BI16" s="60">
        <f>AE61</f>
        <v>764.5</v>
      </c>
      <c r="BJ16" s="60">
        <f>AF61</f>
        <v>764.5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19.100000000000001</v>
      </c>
      <c r="C17" s="46">
        <v>19.100000000000001</v>
      </c>
      <c r="D17" s="46">
        <v>19.100000000000001</v>
      </c>
      <c r="E17" s="46">
        <v>19.100000000000001</v>
      </c>
      <c r="F17" s="46">
        <v>19.100000000000001</v>
      </c>
      <c r="G17" s="46">
        <v>19.100000000000001</v>
      </c>
      <c r="H17" s="46">
        <v>19.100000000000001</v>
      </c>
      <c r="I17" s="46">
        <v>19.100000000000001</v>
      </c>
      <c r="J17" s="46">
        <v>19.100000000000001</v>
      </c>
      <c r="K17" s="46">
        <v>19.100000000000001</v>
      </c>
      <c r="L17" s="46">
        <v>19.100000000000001</v>
      </c>
      <c r="M17" s="46">
        <v>19.100000000000001</v>
      </c>
      <c r="N17" s="46">
        <v>19.100000000000001</v>
      </c>
      <c r="O17" s="46">
        <v>19.100000000000001</v>
      </c>
      <c r="P17" s="46">
        <v>0</v>
      </c>
      <c r="Q17" s="46">
        <v>28.8</v>
      </c>
      <c r="R17" s="46">
        <v>28.8</v>
      </c>
      <c r="S17" s="46">
        <v>28.8</v>
      </c>
      <c r="T17" s="46">
        <v>28.8</v>
      </c>
      <c r="U17" s="46">
        <v>28.8</v>
      </c>
      <c r="V17" s="46">
        <v>28.8</v>
      </c>
      <c r="W17" s="46">
        <v>28.8</v>
      </c>
      <c r="X17" s="46">
        <v>28.8</v>
      </c>
      <c r="Y17" s="46">
        <v>28.8</v>
      </c>
      <c r="Z17" s="46">
        <v>28.8</v>
      </c>
      <c r="AA17" s="46">
        <v>28.8</v>
      </c>
      <c r="AB17" s="46">
        <v>28.8</v>
      </c>
      <c r="AC17" s="46">
        <v>28.8</v>
      </c>
      <c r="AD17" s="46">
        <v>28.8</v>
      </c>
      <c r="AE17" s="46">
        <v>28.8</v>
      </c>
      <c r="AF17" s="46">
        <v>24.3</v>
      </c>
      <c r="AG17" s="47">
        <v>52.4</v>
      </c>
      <c r="AH17" s="48">
        <f t="shared" si="2"/>
        <v>28.8</v>
      </c>
      <c r="AI17" s="49">
        <f t="shared" si="3"/>
        <v>0</v>
      </c>
      <c r="AK17" s="51"/>
      <c r="AL17" s="54" t="s">
        <v>27</v>
      </c>
      <c r="AM17" s="59">
        <f t="shared" ref="AM17:AR17" si="6">B65</f>
        <v>371.3</v>
      </c>
      <c r="AN17" s="59">
        <f t="shared" si="6"/>
        <v>395.40000000000003</v>
      </c>
      <c r="AO17" s="59">
        <f t="shared" si="6"/>
        <v>431.8</v>
      </c>
      <c r="AP17" s="59">
        <f t="shared" si="6"/>
        <v>455.5</v>
      </c>
      <c r="AQ17" s="59">
        <f t="shared" si="6"/>
        <v>431.70000000000005</v>
      </c>
      <c r="AR17" s="59">
        <f t="shared" si="6"/>
        <v>371.6</v>
      </c>
      <c r="AS17" s="59">
        <f>I65</f>
        <v>448.6</v>
      </c>
      <c r="AT17" s="59">
        <f>K65</f>
        <v>432</v>
      </c>
      <c r="AU17" s="59">
        <f t="shared" ref="AU17:BD17" si="7">M65</f>
        <v>282</v>
      </c>
      <c r="AV17" s="59">
        <f t="shared" si="7"/>
        <v>287.60000000000002</v>
      </c>
      <c r="AW17" s="59">
        <f t="shared" si="7"/>
        <v>317.60000000000002</v>
      </c>
      <c r="AX17" s="59">
        <f t="shared" si="7"/>
        <v>259.60000000000002</v>
      </c>
      <c r="AY17" s="59">
        <f t="shared" si="7"/>
        <v>282.3</v>
      </c>
      <c r="AZ17" s="59">
        <f t="shared" si="7"/>
        <v>300.3</v>
      </c>
      <c r="BA17" s="59">
        <f t="shared" si="7"/>
        <v>315.8</v>
      </c>
      <c r="BB17" s="59">
        <f t="shared" si="7"/>
        <v>363.8</v>
      </c>
      <c r="BC17" s="59">
        <f t="shared" si="7"/>
        <v>233.79999999999998</v>
      </c>
      <c r="BD17" s="59">
        <f t="shared" si="7"/>
        <v>158.79999999999998</v>
      </c>
      <c r="BE17" s="60">
        <f>X65</f>
        <v>154.39999999999998</v>
      </c>
      <c r="BF17" s="60">
        <f>Z65</f>
        <v>475.8</v>
      </c>
      <c r="BG17" s="60">
        <f>AB65</f>
        <v>475.8</v>
      </c>
      <c r="BH17" s="60">
        <f>AD65</f>
        <v>475.8</v>
      </c>
      <c r="BI17" s="60">
        <f>AE65</f>
        <v>475.8</v>
      </c>
      <c r="BJ17" s="60">
        <f>AF65</f>
        <v>475.8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50.3</v>
      </c>
      <c r="C18" s="46">
        <v>50.3</v>
      </c>
      <c r="D18" s="46">
        <v>50.3</v>
      </c>
      <c r="E18" s="46">
        <v>50.3</v>
      </c>
      <c r="F18" s="46">
        <v>50.3</v>
      </c>
      <c r="G18" s="46">
        <v>50.3</v>
      </c>
      <c r="H18" s="46">
        <v>50.3</v>
      </c>
      <c r="I18" s="46">
        <v>50.3</v>
      </c>
      <c r="J18" s="46">
        <v>50.3</v>
      </c>
      <c r="K18" s="46">
        <v>50.3</v>
      </c>
      <c r="L18" s="46">
        <v>50.3</v>
      </c>
      <c r="M18" s="46">
        <v>50.3</v>
      </c>
      <c r="N18" s="46">
        <v>50.3</v>
      </c>
      <c r="O18" s="46">
        <v>50.3</v>
      </c>
      <c r="P18" s="46">
        <v>50.3</v>
      </c>
      <c r="Q18" s="46">
        <v>50.3</v>
      </c>
      <c r="R18" s="46">
        <v>50.3</v>
      </c>
      <c r="S18" s="46">
        <v>50.3</v>
      </c>
      <c r="T18" s="46">
        <v>50.3</v>
      </c>
      <c r="U18" s="46">
        <v>28</v>
      </c>
      <c r="V18" s="46">
        <v>28</v>
      </c>
      <c r="W18" s="46">
        <v>28</v>
      </c>
      <c r="X18" s="46">
        <v>28</v>
      </c>
      <c r="Y18" s="46">
        <v>28</v>
      </c>
      <c r="Z18" s="46">
        <v>50.3</v>
      </c>
      <c r="AA18" s="53">
        <v>50.3</v>
      </c>
      <c r="AB18" s="53">
        <v>50.3</v>
      </c>
      <c r="AC18" s="53">
        <v>50.3</v>
      </c>
      <c r="AD18" s="53">
        <v>50.3</v>
      </c>
      <c r="AE18" s="53">
        <v>50.3</v>
      </c>
      <c r="AF18" s="53">
        <v>50.4</v>
      </c>
      <c r="AG18" s="50">
        <v>50</v>
      </c>
      <c r="AH18" s="48">
        <f t="shared" si="2"/>
        <v>50.4</v>
      </c>
      <c r="AI18" s="49">
        <f t="shared" si="3"/>
        <v>28</v>
      </c>
      <c r="AK18" s="51"/>
      <c r="AL18" s="54" t="s">
        <v>29</v>
      </c>
      <c r="AM18" s="59">
        <f t="shared" ref="AM18:AR18" si="8">B79</f>
        <v>425.1</v>
      </c>
      <c r="AN18" s="59">
        <f t="shared" si="8"/>
        <v>425.1</v>
      </c>
      <c r="AO18" s="59">
        <f t="shared" si="8"/>
        <v>425.1</v>
      </c>
      <c r="AP18" s="59">
        <f t="shared" si="8"/>
        <v>376.84000000000003</v>
      </c>
      <c r="AQ18" s="59">
        <f t="shared" si="8"/>
        <v>410.34000000000003</v>
      </c>
      <c r="AR18" s="59">
        <f t="shared" si="8"/>
        <v>409.84000000000003</v>
      </c>
      <c r="AS18" s="59">
        <f>I79</f>
        <v>399.8</v>
      </c>
      <c r="AT18" s="59">
        <f>K79</f>
        <v>339.64</v>
      </c>
      <c r="AU18" s="59">
        <f t="shared" ref="AU18:BD18" si="9">M79</f>
        <v>412.84</v>
      </c>
      <c r="AV18" s="59">
        <f t="shared" si="9"/>
        <v>415.34</v>
      </c>
      <c r="AW18" s="59">
        <f t="shared" si="9"/>
        <v>411.64</v>
      </c>
      <c r="AX18" s="59">
        <f t="shared" si="9"/>
        <v>384.6400000000001</v>
      </c>
      <c r="AY18" s="59">
        <f t="shared" si="9"/>
        <v>384.6400000000001</v>
      </c>
      <c r="AZ18" s="59">
        <f t="shared" si="9"/>
        <v>385.1400000000001</v>
      </c>
      <c r="BA18" s="59">
        <f t="shared" si="9"/>
        <v>415.94</v>
      </c>
      <c r="BB18" s="59">
        <f t="shared" si="9"/>
        <v>406.64</v>
      </c>
      <c r="BC18" s="59">
        <f t="shared" si="9"/>
        <v>383.94</v>
      </c>
      <c r="BD18" s="59">
        <f t="shared" si="9"/>
        <v>386.54</v>
      </c>
      <c r="BE18" s="60">
        <f>X79</f>
        <v>382.14</v>
      </c>
      <c r="BF18" s="60">
        <f>Z79</f>
        <v>395.7</v>
      </c>
      <c r="BG18" s="60">
        <f>AB79</f>
        <v>395.7</v>
      </c>
      <c r="BH18" s="60">
        <f>AD79</f>
        <v>395.7</v>
      </c>
      <c r="BI18" s="60">
        <f>AE79</f>
        <v>395.7</v>
      </c>
      <c r="BJ18" s="60">
        <f>AF79</f>
        <v>395.7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68.400000000000006</v>
      </c>
      <c r="AN19" s="59">
        <f t="shared" si="10"/>
        <v>68.099999999999994</v>
      </c>
      <c r="AO19" s="59">
        <f t="shared" si="10"/>
        <v>64</v>
      </c>
      <c r="AP19" s="59">
        <f t="shared" si="10"/>
        <v>64.8</v>
      </c>
      <c r="AQ19" s="59">
        <f t="shared" si="10"/>
        <v>63.199999999999996</v>
      </c>
      <c r="AR19" s="59">
        <f t="shared" si="10"/>
        <v>56.599999999999994</v>
      </c>
      <c r="AS19" s="59">
        <f>I95</f>
        <v>64.400000000000006</v>
      </c>
      <c r="AT19" s="59">
        <f>K95</f>
        <v>237.40000000000003</v>
      </c>
      <c r="AU19" s="59">
        <f t="shared" ref="AU19:BD19" si="11">M95</f>
        <v>167.4</v>
      </c>
      <c r="AV19" s="59">
        <f t="shared" si="11"/>
        <v>183.7</v>
      </c>
      <c r="AW19" s="59">
        <f t="shared" si="11"/>
        <v>200.7</v>
      </c>
      <c r="AX19" s="59">
        <f t="shared" si="11"/>
        <v>281.8</v>
      </c>
      <c r="AY19" s="59">
        <f t="shared" si="11"/>
        <v>258.89999999999998</v>
      </c>
      <c r="AZ19" s="59">
        <f t="shared" si="11"/>
        <v>298.39999999999998</v>
      </c>
      <c r="BA19" s="59">
        <f t="shared" si="11"/>
        <v>279.5</v>
      </c>
      <c r="BB19" s="59">
        <f t="shared" si="11"/>
        <v>302.09999999999997</v>
      </c>
      <c r="BC19" s="59">
        <f t="shared" si="11"/>
        <v>317.5</v>
      </c>
      <c r="BD19" s="59">
        <f t="shared" si="11"/>
        <v>345.3</v>
      </c>
      <c r="BE19" s="60">
        <f>X95</f>
        <v>299.2</v>
      </c>
      <c r="BF19" s="60">
        <f>Z95</f>
        <v>80</v>
      </c>
      <c r="BG19" s="60">
        <f>AB95</f>
        <v>98.5</v>
      </c>
      <c r="BH19" s="60">
        <f>AD95</f>
        <v>92</v>
      </c>
      <c r="BI19" s="60">
        <f>AE95</f>
        <v>71.800000000000011</v>
      </c>
      <c r="BJ19" s="60">
        <f>AF95</f>
        <v>93.5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25.3</v>
      </c>
      <c r="C20" s="46">
        <v>25.3</v>
      </c>
      <c r="D20" s="46">
        <v>25.3</v>
      </c>
      <c r="E20" s="46">
        <v>25.3</v>
      </c>
      <c r="F20" s="46">
        <v>25.3</v>
      </c>
      <c r="G20" s="46">
        <v>25.3</v>
      </c>
      <c r="H20" s="46">
        <v>25.3</v>
      </c>
      <c r="I20" s="46">
        <v>25.3</v>
      </c>
      <c r="J20" s="46">
        <v>25.3</v>
      </c>
      <c r="K20" s="46">
        <v>25.3</v>
      </c>
      <c r="L20" s="46">
        <v>25.3</v>
      </c>
      <c r="M20" s="46">
        <v>25.3</v>
      </c>
      <c r="N20" s="46">
        <v>25.3</v>
      </c>
      <c r="O20" s="46">
        <v>25.3</v>
      </c>
      <c r="P20" s="46">
        <v>25.3</v>
      </c>
      <c r="Q20" s="46">
        <v>25.3</v>
      </c>
      <c r="R20" s="46">
        <v>25.3</v>
      </c>
      <c r="S20" s="46">
        <v>25.3</v>
      </c>
      <c r="T20" s="46">
        <v>25.3</v>
      </c>
      <c r="U20" s="46">
        <v>25.3</v>
      </c>
      <c r="V20" s="46">
        <v>25.3</v>
      </c>
      <c r="W20" s="46">
        <v>25.3</v>
      </c>
      <c r="X20" s="46">
        <v>25.3</v>
      </c>
      <c r="Y20" s="46">
        <v>25.3</v>
      </c>
      <c r="Z20" s="46">
        <v>25.3</v>
      </c>
      <c r="AA20" s="46">
        <v>28</v>
      </c>
      <c r="AB20" s="46">
        <v>28</v>
      </c>
      <c r="AC20" s="46">
        <v>28</v>
      </c>
      <c r="AD20" s="46">
        <v>28</v>
      </c>
      <c r="AE20" s="46">
        <v>28</v>
      </c>
      <c r="AF20" s="46">
        <v>33.1</v>
      </c>
      <c r="AG20" s="50">
        <v>44</v>
      </c>
      <c r="AH20" s="48">
        <f t="shared" si="2"/>
        <v>33.1</v>
      </c>
      <c r="AI20" s="49">
        <f t="shared" si="3"/>
        <v>25.3</v>
      </c>
      <c r="AK20" s="51"/>
      <c r="AL20" s="54" t="s">
        <v>33</v>
      </c>
      <c r="AM20" s="59">
        <f t="shared" ref="AM20:AR20" si="12">B83</f>
        <v>93.6</v>
      </c>
      <c r="AN20" s="59">
        <f t="shared" si="12"/>
        <v>93.6</v>
      </c>
      <c r="AO20" s="59">
        <f t="shared" si="12"/>
        <v>93.6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83</v>
      </c>
      <c r="BD20" s="59">
        <f t="shared" si="13"/>
        <v>51.4</v>
      </c>
      <c r="BE20" s="60">
        <f>X83</f>
        <v>16.2</v>
      </c>
      <c r="BF20" s="60">
        <f>Z83</f>
        <v>21</v>
      </c>
      <c r="BG20" s="60">
        <f>AB83</f>
        <v>21</v>
      </c>
      <c r="BH20" s="60">
        <f>AD83</f>
        <v>21</v>
      </c>
      <c r="BI20" s="60">
        <f>AE83</f>
        <v>21</v>
      </c>
      <c r="BJ20" s="60">
        <f>AF83</f>
        <v>21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200</v>
      </c>
      <c r="AN21" s="59">
        <f t="shared" si="14"/>
        <v>200</v>
      </c>
      <c r="AO21" s="59">
        <f t="shared" si="14"/>
        <v>200</v>
      </c>
      <c r="AP21" s="59">
        <f t="shared" si="14"/>
        <v>200</v>
      </c>
      <c r="AQ21" s="59">
        <f t="shared" si="14"/>
        <v>200</v>
      </c>
      <c r="AR21" s="59">
        <f t="shared" si="14"/>
        <v>180</v>
      </c>
      <c r="AS21" s="59">
        <f>I101</f>
        <v>100</v>
      </c>
      <c r="AT21" s="59">
        <f>K101</f>
        <v>100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200</v>
      </c>
      <c r="BG21" s="60">
        <f>AB101</f>
        <v>200</v>
      </c>
      <c r="BH21" s="60">
        <f>AD101</f>
        <v>200</v>
      </c>
      <c r="BI21" s="60">
        <f>AE101</f>
        <v>220</v>
      </c>
      <c r="BJ21" s="60">
        <f>AF101</f>
        <v>200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20.399999999999999</v>
      </c>
      <c r="C22" s="46">
        <v>20.399999999999999</v>
      </c>
      <c r="D22" s="46">
        <v>20.399999999999999</v>
      </c>
      <c r="E22" s="46">
        <v>20.399999999999999</v>
      </c>
      <c r="F22" s="46">
        <v>20.399999999999999</v>
      </c>
      <c r="G22" s="46">
        <v>20.399999999999999</v>
      </c>
      <c r="H22" s="46">
        <v>20.399999999999999</v>
      </c>
      <c r="I22" s="46">
        <v>20.399999999999999</v>
      </c>
      <c r="J22" s="46">
        <v>20.399999999999999</v>
      </c>
      <c r="K22" s="46">
        <v>20.399999999999999</v>
      </c>
      <c r="L22" s="46">
        <v>20.399999999999999</v>
      </c>
      <c r="M22" s="46">
        <v>20.399999999999999</v>
      </c>
      <c r="N22" s="46">
        <v>20.399999999999999</v>
      </c>
      <c r="O22" s="46">
        <v>20.399999999999999</v>
      </c>
      <c r="P22" s="46">
        <v>20.399999999999999</v>
      </c>
      <c r="Q22" s="46">
        <v>20.399999999999999</v>
      </c>
      <c r="R22" s="46">
        <v>20.399999999999999</v>
      </c>
      <c r="S22" s="46">
        <v>20.399999999999999</v>
      </c>
      <c r="T22" s="46">
        <v>20.399999999999999</v>
      </c>
      <c r="U22" s="46">
        <v>20.399999999999999</v>
      </c>
      <c r="V22" s="46">
        <v>20.399999999999999</v>
      </c>
      <c r="W22" s="46">
        <v>20.399999999999999</v>
      </c>
      <c r="X22" s="46">
        <v>20.399999999999999</v>
      </c>
      <c r="Y22" s="46">
        <v>20.399999999999999</v>
      </c>
      <c r="Z22" s="46">
        <v>20.399999999999999</v>
      </c>
      <c r="AA22" s="46">
        <v>20.399999999999999</v>
      </c>
      <c r="AB22" s="46">
        <v>20.399999999999999</v>
      </c>
      <c r="AC22" s="46">
        <v>20.399999999999999</v>
      </c>
      <c r="AD22" s="46">
        <v>20.399999999999999</v>
      </c>
      <c r="AE22" s="46">
        <v>20.399999999999999</v>
      </c>
      <c r="AF22" s="46">
        <v>26.7</v>
      </c>
      <c r="AG22" s="50">
        <v>38.46</v>
      </c>
      <c r="AH22" s="48">
        <f t="shared" si="2"/>
        <v>26.7</v>
      </c>
      <c r="AI22" s="49">
        <f t="shared" si="3"/>
        <v>20.399999999999999</v>
      </c>
      <c r="AK22" s="51"/>
      <c r="AL22" s="62" t="s">
        <v>37</v>
      </c>
      <c r="AM22" s="63">
        <f t="shared" ref="AM22:BJ22" si="16">SUM(AM16:AM21)</f>
        <v>1892.6</v>
      </c>
      <c r="AN22" s="63">
        <f t="shared" si="16"/>
        <v>1916.4</v>
      </c>
      <c r="AO22" s="63">
        <f t="shared" si="16"/>
        <v>1948.6999999999998</v>
      </c>
      <c r="AP22" s="63">
        <f t="shared" si="16"/>
        <v>1771.84</v>
      </c>
      <c r="AQ22" s="63">
        <f t="shared" si="16"/>
        <v>1786.2400000000005</v>
      </c>
      <c r="AR22" s="63">
        <f t="shared" si="16"/>
        <v>1694.1399999999999</v>
      </c>
      <c r="AS22" s="63">
        <f t="shared" si="16"/>
        <v>1698.1000000000001</v>
      </c>
      <c r="AT22" s="63">
        <f t="shared" si="16"/>
        <v>1797.94</v>
      </c>
      <c r="AU22" s="63">
        <f t="shared" si="16"/>
        <v>1644.14</v>
      </c>
      <c r="AV22" s="63">
        <f t="shared" si="16"/>
        <v>1671.7400000000002</v>
      </c>
      <c r="AW22" s="63">
        <f t="shared" si="16"/>
        <v>1715.4399999999998</v>
      </c>
      <c r="AX22" s="63">
        <f t="shared" si="16"/>
        <v>1687.3400000000001</v>
      </c>
      <c r="AY22" s="63">
        <f t="shared" si="16"/>
        <v>1715.94</v>
      </c>
      <c r="AZ22" s="63">
        <f t="shared" si="16"/>
        <v>1733.04</v>
      </c>
      <c r="BA22" s="63">
        <f t="shared" si="16"/>
        <v>1760.44</v>
      </c>
      <c r="BB22" s="63">
        <f t="shared" si="16"/>
        <v>1821.7399999999998</v>
      </c>
      <c r="BC22" s="63">
        <f t="shared" si="16"/>
        <v>1704.9399999999998</v>
      </c>
      <c r="BD22" s="63">
        <f t="shared" si="16"/>
        <v>1628.74</v>
      </c>
      <c r="BE22" s="63">
        <f t="shared" si="16"/>
        <v>1530.6399999999999</v>
      </c>
      <c r="BF22" s="63">
        <f t="shared" si="16"/>
        <v>1929</v>
      </c>
      <c r="BG22" s="63">
        <f t="shared" si="16"/>
        <v>1955.5</v>
      </c>
      <c r="BH22" s="63">
        <f t="shared" si="16"/>
        <v>1949</v>
      </c>
      <c r="BI22" s="63">
        <f t="shared" si="16"/>
        <v>1948.8</v>
      </c>
      <c r="BJ22" s="63">
        <f t="shared" si="16"/>
        <v>1950.5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14.5</v>
      </c>
      <c r="C23" s="46">
        <v>14.5</v>
      </c>
      <c r="D23" s="46">
        <v>14.5</v>
      </c>
      <c r="E23" s="46">
        <v>14.5</v>
      </c>
      <c r="F23" s="46">
        <v>14.5</v>
      </c>
      <c r="G23" s="46">
        <v>14.5</v>
      </c>
      <c r="H23" s="46">
        <v>14.5</v>
      </c>
      <c r="I23" s="46">
        <v>14.5</v>
      </c>
      <c r="J23" s="46">
        <v>14.5</v>
      </c>
      <c r="K23" s="46">
        <v>14.5</v>
      </c>
      <c r="L23" s="46">
        <v>14.5</v>
      </c>
      <c r="M23" s="46">
        <v>14.5</v>
      </c>
      <c r="N23" s="46">
        <v>14.5</v>
      </c>
      <c r="O23" s="46">
        <v>14.5</v>
      </c>
      <c r="P23" s="46">
        <v>14.5</v>
      </c>
      <c r="Q23" s="46">
        <v>14.5</v>
      </c>
      <c r="R23" s="46">
        <v>14.5</v>
      </c>
      <c r="S23" s="46">
        <v>14.5</v>
      </c>
      <c r="T23" s="46">
        <v>14.5</v>
      </c>
      <c r="U23" s="46">
        <v>14.5</v>
      </c>
      <c r="V23" s="46">
        <v>14.5</v>
      </c>
      <c r="W23" s="46">
        <v>14.5</v>
      </c>
      <c r="X23" s="46">
        <v>14.5</v>
      </c>
      <c r="Y23" s="46">
        <v>14.5</v>
      </c>
      <c r="Z23" s="46">
        <v>14.5</v>
      </c>
      <c r="AA23" s="46">
        <v>14.5</v>
      </c>
      <c r="AB23" s="46">
        <v>14.5</v>
      </c>
      <c r="AC23" s="46">
        <v>14.5</v>
      </c>
      <c r="AD23" s="46">
        <v>14.5</v>
      </c>
      <c r="AE23" s="46">
        <v>14.5</v>
      </c>
      <c r="AF23" s="46">
        <v>14.5</v>
      </c>
      <c r="AG23" s="50">
        <v>38.46</v>
      </c>
      <c r="AH23" s="48">
        <f t="shared" si="2"/>
        <v>14.5</v>
      </c>
      <c r="AI23" s="49">
        <f t="shared" si="3"/>
        <v>14.5</v>
      </c>
      <c r="AK23" s="51"/>
      <c r="AL23" s="62" t="s">
        <v>39</v>
      </c>
      <c r="AM23" s="63">
        <f t="shared" ref="AM23:AR23" si="17">B110*-1</f>
        <v>-112.3</v>
      </c>
      <c r="AN23" s="63">
        <f t="shared" si="17"/>
        <v>-170.6</v>
      </c>
      <c r="AO23" s="63">
        <f t="shared" si="17"/>
        <v>-174</v>
      </c>
      <c r="AP23" s="63">
        <f t="shared" si="17"/>
        <v>-181.1</v>
      </c>
      <c r="AQ23" s="63">
        <f t="shared" si="17"/>
        <v>-173.8</v>
      </c>
      <c r="AR23" s="63">
        <f t="shared" si="17"/>
        <v>-119</v>
      </c>
      <c r="AS23" s="63">
        <f>I110*-1</f>
        <v>-171</v>
      </c>
      <c r="AT23" s="63">
        <f>K110*-1</f>
        <v>-209</v>
      </c>
      <c r="AU23" s="63">
        <f t="shared" ref="AU23:BD23" si="18">M110*-1</f>
        <v>-126.1</v>
      </c>
      <c r="AV23" s="63">
        <f t="shared" si="18"/>
        <v>-109</v>
      </c>
      <c r="AW23" s="63">
        <f t="shared" si="18"/>
        <v>-120</v>
      </c>
      <c r="AX23" s="63">
        <f t="shared" si="18"/>
        <v>-15</v>
      </c>
      <c r="AY23" s="63">
        <f t="shared" si="18"/>
        <v>-10</v>
      </c>
      <c r="AZ23" s="63">
        <f t="shared" si="18"/>
        <v>-12</v>
      </c>
      <c r="BA23" s="63">
        <f t="shared" si="18"/>
        <v>0</v>
      </c>
      <c r="BB23" s="63">
        <f t="shared" si="18"/>
        <v>-16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-134</v>
      </c>
      <c r="BG23" s="63">
        <f>AB110*-1</f>
        <v>-99.5</v>
      </c>
      <c r="BH23" s="63">
        <f>AD110*-1</f>
        <v>-108.1</v>
      </c>
      <c r="BI23" s="63">
        <f>AE110*-1</f>
        <v>-110.6</v>
      </c>
      <c r="BJ23" s="63">
        <f>AF110*-1</f>
        <v>-120.6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1780.3</v>
      </c>
      <c r="AN24" s="63">
        <f t="shared" si="19"/>
        <v>1745.8000000000002</v>
      </c>
      <c r="AO24" s="63">
        <f t="shared" si="19"/>
        <v>1774.6999999999998</v>
      </c>
      <c r="AP24" s="63">
        <f t="shared" si="19"/>
        <v>1590.74</v>
      </c>
      <c r="AQ24" s="63">
        <f t="shared" si="19"/>
        <v>1612.4400000000005</v>
      </c>
      <c r="AR24" s="63">
        <f t="shared" si="19"/>
        <v>1575.1399999999999</v>
      </c>
      <c r="AS24" s="63">
        <f t="shared" si="19"/>
        <v>1527.1000000000001</v>
      </c>
      <c r="AT24" s="63">
        <f t="shared" si="19"/>
        <v>1588.94</v>
      </c>
      <c r="AU24" s="63">
        <f t="shared" si="19"/>
        <v>1518.0400000000002</v>
      </c>
      <c r="AV24" s="63">
        <f t="shared" si="19"/>
        <v>1562.7400000000002</v>
      </c>
      <c r="AW24" s="63">
        <f t="shared" si="19"/>
        <v>1595.4399999999998</v>
      </c>
      <c r="AX24" s="63">
        <f t="shared" si="19"/>
        <v>1672.3400000000001</v>
      </c>
      <c r="AY24" s="63">
        <f t="shared" si="19"/>
        <v>1705.94</v>
      </c>
      <c r="AZ24" s="63">
        <f t="shared" si="19"/>
        <v>1721.04</v>
      </c>
      <c r="BA24" s="63">
        <f t="shared" si="19"/>
        <v>1760.44</v>
      </c>
      <c r="BB24" s="63">
        <f t="shared" si="19"/>
        <v>1805.7399999999998</v>
      </c>
      <c r="BC24" s="63">
        <f t="shared" si="19"/>
        <v>1704.9399999999998</v>
      </c>
      <c r="BD24" s="63">
        <f t="shared" si="19"/>
        <v>1628.74</v>
      </c>
      <c r="BE24" s="63">
        <f t="shared" si="19"/>
        <v>1530.6399999999999</v>
      </c>
      <c r="BF24" s="63">
        <f t="shared" si="19"/>
        <v>1795</v>
      </c>
      <c r="BG24" s="63">
        <f t="shared" si="19"/>
        <v>1856</v>
      </c>
      <c r="BH24" s="63">
        <f t="shared" si="19"/>
        <v>1840.9</v>
      </c>
      <c r="BI24" s="63">
        <f t="shared" si="19"/>
        <v>1838.2</v>
      </c>
      <c r="BJ24" s="63">
        <f t="shared" si="19"/>
        <v>1829.9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10</v>
      </c>
      <c r="C25" s="46">
        <v>10</v>
      </c>
      <c r="D25" s="46">
        <v>10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16.600000000000001</v>
      </c>
      <c r="M25" s="46">
        <v>16.600000000000001</v>
      </c>
      <c r="N25" s="46">
        <v>16.600000000000001</v>
      </c>
      <c r="O25" s="46">
        <v>16.600000000000001</v>
      </c>
      <c r="P25" s="46">
        <v>16.600000000000001</v>
      </c>
      <c r="Q25" s="46">
        <v>16.600000000000001</v>
      </c>
      <c r="R25" s="46">
        <v>16.600000000000001</v>
      </c>
      <c r="S25" s="46">
        <v>16.600000000000001</v>
      </c>
      <c r="T25" s="46">
        <v>16.600000000000001</v>
      </c>
      <c r="U25" s="46">
        <v>4.5</v>
      </c>
      <c r="V25" s="46">
        <v>4.5</v>
      </c>
      <c r="W25" s="46">
        <v>4.5</v>
      </c>
      <c r="X25" s="46">
        <v>4.5</v>
      </c>
      <c r="Y25" s="46">
        <v>4.5</v>
      </c>
      <c r="Z25" s="46">
        <v>16.600000000000001</v>
      </c>
      <c r="AA25" s="46">
        <v>27.4</v>
      </c>
      <c r="AB25" s="46">
        <v>27.4</v>
      </c>
      <c r="AC25" s="46">
        <v>27.4</v>
      </c>
      <c r="AD25" s="46">
        <v>27.4</v>
      </c>
      <c r="AE25" s="46">
        <v>27.4</v>
      </c>
      <c r="AF25" s="46">
        <v>14.8</v>
      </c>
      <c r="AG25" s="61">
        <v>30</v>
      </c>
      <c r="AH25" s="48">
        <f t="shared" si="2"/>
        <v>27.4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24.2</v>
      </c>
      <c r="AH26" s="48">
        <f t="shared" si="2"/>
        <v>10</v>
      </c>
      <c r="AI26" s="49">
        <f t="shared" si="3"/>
        <v>10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11.6</v>
      </c>
      <c r="C27" s="46">
        <v>11.6</v>
      </c>
      <c r="D27" s="46">
        <v>11.6</v>
      </c>
      <c r="E27" s="46">
        <v>11.6</v>
      </c>
      <c r="F27" s="46">
        <v>11.6</v>
      </c>
      <c r="G27" s="46">
        <v>11.6</v>
      </c>
      <c r="H27" s="46">
        <v>11.6</v>
      </c>
      <c r="I27" s="46">
        <v>11.6</v>
      </c>
      <c r="J27" s="46">
        <v>11.6</v>
      </c>
      <c r="K27" s="46">
        <v>11.6</v>
      </c>
      <c r="L27" s="46">
        <v>11.6</v>
      </c>
      <c r="M27" s="46">
        <v>11.6</v>
      </c>
      <c r="N27" s="46">
        <v>11.6</v>
      </c>
      <c r="O27" s="46">
        <v>11.6</v>
      </c>
      <c r="P27" s="46">
        <v>11.6</v>
      </c>
      <c r="Q27" s="46">
        <v>11.6</v>
      </c>
      <c r="R27" s="46">
        <v>11.6</v>
      </c>
      <c r="S27" s="46">
        <v>11.6</v>
      </c>
      <c r="T27" s="46">
        <v>11.6</v>
      </c>
      <c r="U27" s="46">
        <v>11.6</v>
      </c>
      <c r="V27" s="46">
        <v>11.6</v>
      </c>
      <c r="W27" s="46">
        <v>11.6</v>
      </c>
      <c r="X27" s="46">
        <v>11.6</v>
      </c>
      <c r="Y27" s="46">
        <v>11.6</v>
      </c>
      <c r="Z27" s="46">
        <v>11.6</v>
      </c>
      <c r="AA27" s="46">
        <v>11.6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50">
        <v>28</v>
      </c>
      <c r="AH27" s="48">
        <f t="shared" si="2"/>
        <v>11.6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10</v>
      </c>
      <c r="C28" s="46">
        <v>10</v>
      </c>
      <c r="D28" s="46">
        <v>10</v>
      </c>
      <c r="E28" s="46">
        <v>0</v>
      </c>
      <c r="F28" s="46">
        <v>6.3</v>
      </c>
      <c r="G28" s="46">
        <v>1.4</v>
      </c>
      <c r="H28" s="46">
        <v>1.4</v>
      </c>
      <c r="I28" s="46">
        <v>10.6</v>
      </c>
      <c r="J28" s="46">
        <v>10.6</v>
      </c>
      <c r="K28" s="46">
        <v>14.2</v>
      </c>
      <c r="L28" s="46">
        <v>20.5</v>
      </c>
      <c r="M28" s="46">
        <v>20.5</v>
      </c>
      <c r="N28" s="46">
        <v>20.5</v>
      </c>
      <c r="O28" s="46">
        <v>20.5</v>
      </c>
      <c r="P28" s="46">
        <v>20.5</v>
      </c>
      <c r="Q28" s="46">
        <v>20.5</v>
      </c>
      <c r="R28" s="46">
        <v>20.5</v>
      </c>
      <c r="S28" s="46">
        <v>20.5</v>
      </c>
      <c r="T28" s="46">
        <v>20.5</v>
      </c>
      <c r="U28" s="46">
        <v>7.2</v>
      </c>
      <c r="V28" s="46">
        <v>7.2</v>
      </c>
      <c r="W28" s="46">
        <v>7.2</v>
      </c>
      <c r="X28" s="46">
        <v>7.2</v>
      </c>
      <c r="Y28" s="46">
        <v>7.2</v>
      </c>
      <c r="Z28" s="46">
        <v>20.5</v>
      </c>
      <c r="AA28" s="46">
        <v>9.3000000000000007</v>
      </c>
      <c r="AB28" s="46">
        <v>9.3000000000000007</v>
      </c>
      <c r="AC28" s="46">
        <v>9.3000000000000007</v>
      </c>
      <c r="AD28" s="46">
        <v>9.3000000000000007</v>
      </c>
      <c r="AE28" s="46">
        <v>9.3000000000000007</v>
      </c>
      <c r="AF28" s="46">
        <v>15.9</v>
      </c>
      <c r="AG28" s="61">
        <v>30</v>
      </c>
      <c r="AH28" s="48">
        <f t="shared" si="2"/>
        <v>20.5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13.2</v>
      </c>
      <c r="C29" s="46">
        <v>13.2</v>
      </c>
      <c r="D29" s="46">
        <v>13.2</v>
      </c>
      <c r="E29" s="46">
        <v>13.2</v>
      </c>
      <c r="F29" s="46">
        <v>13.2</v>
      </c>
      <c r="G29" s="46">
        <v>13.2</v>
      </c>
      <c r="H29" s="46">
        <v>13.2</v>
      </c>
      <c r="I29" s="46">
        <v>13.2</v>
      </c>
      <c r="J29" s="46">
        <v>13.2</v>
      </c>
      <c r="K29" s="46">
        <v>13.2</v>
      </c>
      <c r="L29" s="46">
        <v>13.2</v>
      </c>
      <c r="M29" s="46">
        <v>13.2</v>
      </c>
      <c r="N29" s="46">
        <v>13.2</v>
      </c>
      <c r="O29" s="46">
        <v>13.2</v>
      </c>
      <c r="P29" s="46">
        <v>13.2</v>
      </c>
      <c r="Q29" s="46">
        <v>13.2</v>
      </c>
      <c r="R29" s="46">
        <v>13.2</v>
      </c>
      <c r="S29" s="46">
        <v>13.2</v>
      </c>
      <c r="T29" s="46">
        <v>13.2</v>
      </c>
      <c r="U29" s="46">
        <v>13.2</v>
      </c>
      <c r="V29" s="46">
        <v>13.2</v>
      </c>
      <c r="W29" s="46">
        <v>13.2</v>
      </c>
      <c r="X29" s="46">
        <v>13.2</v>
      </c>
      <c r="Y29" s="46">
        <v>13.2</v>
      </c>
      <c r="Z29" s="46">
        <v>13.2</v>
      </c>
      <c r="AA29" s="46">
        <v>17</v>
      </c>
      <c r="AB29" s="46">
        <v>17</v>
      </c>
      <c r="AC29" s="46">
        <v>17</v>
      </c>
      <c r="AD29" s="46">
        <v>17</v>
      </c>
      <c r="AE29" s="46">
        <v>17</v>
      </c>
      <c r="AF29" s="46">
        <v>19</v>
      </c>
      <c r="AG29" s="50">
        <v>25</v>
      </c>
      <c r="AH29" s="48">
        <f t="shared" si="2"/>
        <v>19</v>
      </c>
      <c r="AI29" s="49">
        <f t="shared" si="3"/>
        <v>13.2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20</v>
      </c>
      <c r="C30" s="46">
        <v>20</v>
      </c>
      <c r="D30" s="46">
        <v>20</v>
      </c>
      <c r="E30" s="46">
        <v>20</v>
      </c>
      <c r="F30" s="46">
        <v>20</v>
      </c>
      <c r="G30" s="46">
        <v>20</v>
      </c>
      <c r="H30" s="46">
        <v>20</v>
      </c>
      <c r="I30" s="46">
        <v>20</v>
      </c>
      <c r="J30" s="46">
        <v>20</v>
      </c>
      <c r="K30" s="46">
        <v>20</v>
      </c>
      <c r="L30" s="46">
        <v>20</v>
      </c>
      <c r="M30" s="46">
        <v>20</v>
      </c>
      <c r="N30" s="46">
        <v>20</v>
      </c>
      <c r="O30" s="46">
        <v>20</v>
      </c>
      <c r="P30" s="46">
        <v>20</v>
      </c>
      <c r="Q30" s="46">
        <v>20</v>
      </c>
      <c r="R30" s="46">
        <v>20</v>
      </c>
      <c r="S30" s="46">
        <v>20</v>
      </c>
      <c r="T30" s="46">
        <v>20</v>
      </c>
      <c r="U30" s="46">
        <v>20</v>
      </c>
      <c r="V30" s="46">
        <v>20</v>
      </c>
      <c r="W30" s="46">
        <v>20</v>
      </c>
      <c r="X30" s="46">
        <v>20</v>
      </c>
      <c r="Y30" s="46">
        <v>20</v>
      </c>
      <c r="Z30" s="46">
        <v>20</v>
      </c>
      <c r="AA30" s="46">
        <v>20</v>
      </c>
      <c r="AB30" s="46">
        <v>20</v>
      </c>
      <c r="AC30" s="46">
        <v>20</v>
      </c>
      <c r="AD30" s="46">
        <v>20</v>
      </c>
      <c r="AE30" s="46">
        <v>20</v>
      </c>
      <c r="AF30" s="46">
        <v>20</v>
      </c>
      <c r="AG30" s="50">
        <v>25</v>
      </c>
      <c r="AH30" s="48">
        <f t="shared" si="2"/>
        <v>20</v>
      </c>
      <c r="AI30" s="49">
        <f t="shared" si="3"/>
        <v>20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13.7</v>
      </c>
      <c r="C32" s="46">
        <v>13.7</v>
      </c>
      <c r="D32" s="46">
        <v>13.7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23.6</v>
      </c>
      <c r="M32" s="46">
        <v>23.6</v>
      </c>
      <c r="N32" s="46">
        <v>23.6</v>
      </c>
      <c r="O32" s="46">
        <v>23.6</v>
      </c>
      <c r="P32" s="46">
        <v>23.6</v>
      </c>
      <c r="Q32" s="46">
        <v>23.6</v>
      </c>
      <c r="R32" s="46">
        <v>23.6</v>
      </c>
      <c r="S32" s="46">
        <v>23.6</v>
      </c>
      <c r="T32" s="46">
        <v>23.6</v>
      </c>
      <c r="U32" s="46">
        <v>3.5</v>
      </c>
      <c r="V32" s="46">
        <v>3.5</v>
      </c>
      <c r="W32" s="46">
        <v>3.5</v>
      </c>
      <c r="X32" s="46">
        <v>3.5</v>
      </c>
      <c r="Y32" s="46">
        <v>3.5</v>
      </c>
      <c r="Z32" s="46">
        <v>23.6</v>
      </c>
      <c r="AA32" s="46">
        <v>25.2</v>
      </c>
      <c r="AB32" s="46">
        <v>25.2</v>
      </c>
      <c r="AC32" s="46">
        <v>25.2</v>
      </c>
      <c r="AD32" s="46">
        <v>25.2</v>
      </c>
      <c r="AE32" s="46">
        <v>25.2</v>
      </c>
      <c r="AF32" s="46">
        <v>21</v>
      </c>
      <c r="AG32" s="50">
        <v>25</v>
      </c>
      <c r="AH32" s="48">
        <f t="shared" si="2"/>
        <v>25.2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7.1</v>
      </c>
      <c r="C33" s="46">
        <v>7.1</v>
      </c>
      <c r="D33" s="46">
        <v>7.1</v>
      </c>
      <c r="E33" s="46">
        <v>7.1</v>
      </c>
      <c r="F33" s="46">
        <v>7.1</v>
      </c>
      <c r="G33" s="46">
        <v>7.1</v>
      </c>
      <c r="H33" s="46">
        <v>7.1</v>
      </c>
      <c r="I33" s="46">
        <v>7.1</v>
      </c>
      <c r="J33" s="46">
        <v>7.1</v>
      </c>
      <c r="K33" s="46">
        <v>7.1</v>
      </c>
      <c r="L33" s="46">
        <v>7.1</v>
      </c>
      <c r="M33" s="46">
        <v>7.1</v>
      </c>
      <c r="N33" s="46">
        <v>7.1</v>
      </c>
      <c r="O33" s="46">
        <v>7.1</v>
      </c>
      <c r="P33" s="46">
        <v>7.1</v>
      </c>
      <c r="Q33" s="46">
        <v>7.1</v>
      </c>
      <c r="R33" s="46">
        <v>7.1</v>
      </c>
      <c r="S33" s="46">
        <v>7.1</v>
      </c>
      <c r="T33" s="46">
        <v>7.1</v>
      </c>
      <c r="U33" s="46">
        <v>7.1</v>
      </c>
      <c r="V33" s="46">
        <v>7.1</v>
      </c>
      <c r="W33" s="46">
        <v>7.1</v>
      </c>
      <c r="X33" s="46">
        <v>7.1</v>
      </c>
      <c r="Y33" s="46">
        <v>7.1</v>
      </c>
      <c r="Z33" s="46">
        <v>7.1</v>
      </c>
      <c r="AA33" s="46">
        <v>7.1</v>
      </c>
      <c r="AB33" s="46">
        <v>7.1</v>
      </c>
      <c r="AC33" s="46">
        <v>7.1</v>
      </c>
      <c r="AD33" s="46">
        <v>7.1</v>
      </c>
      <c r="AE33" s="46">
        <v>7.1</v>
      </c>
      <c r="AF33" s="46">
        <v>5.0999999999999996</v>
      </c>
      <c r="AG33" s="50">
        <v>23.5</v>
      </c>
      <c r="AH33" s="48">
        <f t="shared" si="2"/>
        <v>7.1</v>
      </c>
      <c r="AI33" s="49">
        <f t="shared" si="3"/>
        <v>5.0999999999999996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5.6</v>
      </c>
      <c r="C37" s="46">
        <v>5.6</v>
      </c>
      <c r="D37" s="46">
        <v>5.6</v>
      </c>
      <c r="E37" s="46">
        <v>5.6</v>
      </c>
      <c r="F37" s="46">
        <v>5.6</v>
      </c>
      <c r="G37" s="46">
        <v>5.6</v>
      </c>
      <c r="H37" s="46">
        <v>5.6</v>
      </c>
      <c r="I37" s="46">
        <v>5.6</v>
      </c>
      <c r="J37" s="46">
        <v>5.6</v>
      </c>
      <c r="K37" s="46">
        <v>5.6</v>
      </c>
      <c r="L37" s="46">
        <v>5.6</v>
      </c>
      <c r="M37" s="46">
        <v>20</v>
      </c>
      <c r="N37" s="46">
        <v>22</v>
      </c>
      <c r="O37" s="46">
        <v>22</v>
      </c>
      <c r="P37" s="46">
        <v>20</v>
      </c>
      <c r="Q37" s="46">
        <v>19.3</v>
      </c>
      <c r="R37" s="46">
        <v>19.3</v>
      </c>
      <c r="S37" s="46">
        <v>19.3</v>
      </c>
      <c r="T37" s="46">
        <v>19.3</v>
      </c>
      <c r="U37" s="46">
        <v>19.3</v>
      </c>
      <c r="V37" s="46">
        <v>19.3</v>
      </c>
      <c r="W37" s="46">
        <v>19.3</v>
      </c>
      <c r="X37" s="46">
        <v>19.3</v>
      </c>
      <c r="Y37" s="46">
        <v>19.3</v>
      </c>
      <c r="Z37" s="46">
        <v>19.3</v>
      </c>
      <c r="AA37" s="46">
        <v>19.3</v>
      </c>
      <c r="AB37" s="46">
        <v>19.3</v>
      </c>
      <c r="AC37" s="46">
        <v>19.3</v>
      </c>
      <c r="AD37" s="46">
        <v>19.3</v>
      </c>
      <c r="AE37" s="46">
        <v>19.3</v>
      </c>
      <c r="AF37" s="46">
        <v>9.9</v>
      </c>
      <c r="AG37" s="50">
        <v>22</v>
      </c>
      <c r="AH37" s="48">
        <f t="shared" si="2"/>
        <v>22</v>
      </c>
      <c r="AI37" s="49">
        <f t="shared" si="3"/>
        <v>5.6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12.2</v>
      </c>
      <c r="C38" s="46">
        <v>12.2</v>
      </c>
      <c r="D38" s="46">
        <v>12.2</v>
      </c>
      <c r="E38" s="46">
        <v>12.2</v>
      </c>
      <c r="F38" s="46">
        <v>12.2</v>
      </c>
      <c r="G38" s="46">
        <v>12.2</v>
      </c>
      <c r="H38" s="46">
        <v>12.2</v>
      </c>
      <c r="I38" s="46">
        <v>12.2</v>
      </c>
      <c r="J38" s="46">
        <v>12.2</v>
      </c>
      <c r="K38" s="46">
        <v>12.2</v>
      </c>
      <c r="L38" s="46">
        <v>12.2</v>
      </c>
      <c r="M38" s="46">
        <v>12.2</v>
      </c>
      <c r="N38" s="46">
        <v>12.2</v>
      </c>
      <c r="O38" s="46">
        <v>12.2</v>
      </c>
      <c r="P38" s="46">
        <v>12.2</v>
      </c>
      <c r="Q38" s="46">
        <v>12.2</v>
      </c>
      <c r="R38" s="46">
        <v>12.2</v>
      </c>
      <c r="S38" s="46">
        <v>12.2</v>
      </c>
      <c r="T38" s="46">
        <v>12.2</v>
      </c>
      <c r="U38" s="46">
        <v>12.2</v>
      </c>
      <c r="V38" s="46">
        <v>12.2</v>
      </c>
      <c r="W38" s="46">
        <v>12.2</v>
      </c>
      <c r="X38" s="46">
        <v>12.2</v>
      </c>
      <c r="Y38" s="46">
        <v>12.2</v>
      </c>
      <c r="Z38" s="46">
        <v>12.2</v>
      </c>
      <c r="AA38" s="46">
        <v>16.5</v>
      </c>
      <c r="AB38" s="46">
        <v>16.5</v>
      </c>
      <c r="AC38" s="46">
        <v>16.5</v>
      </c>
      <c r="AD38" s="46">
        <v>16.5</v>
      </c>
      <c r="AE38" s="46">
        <v>16.5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12.2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7</v>
      </c>
      <c r="C40" s="46">
        <v>7</v>
      </c>
      <c r="D40" s="46">
        <v>7</v>
      </c>
      <c r="E40" s="46">
        <v>7</v>
      </c>
      <c r="F40" s="46">
        <v>7</v>
      </c>
      <c r="G40" s="46">
        <v>7</v>
      </c>
      <c r="H40" s="46">
        <v>7</v>
      </c>
      <c r="I40" s="46">
        <v>7</v>
      </c>
      <c r="J40" s="46">
        <v>7</v>
      </c>
      <c r="K40" s="46">
        <v>7</v>
      </c>
      <c r="L40" s="46">
        <v>7</v>
      </c>
      <c r="M40" s="46">
        <v>7</v>
      </c>
      <c r="N40" s="46">
        <v>7</v>
      </c>
      <c r="O40" s="46">
        <v>7</v>
      </c>
      <c r="P40" s="46">
        <v>7</v>
      </c>
      <c r="Q40" s="46">
        <v>7</v>
      </c>
      <c r="R40" s="46">
        <v>7</v>
      </c>
      <c r="S40" s="46">
        <v>7</v>
      </c>
      <c r="T40" s="46">
        <v>7</v>
      </c>
      <c r="U40" s="46">
        <v>7</v>
      </c>
      <c r="V40" s="46">
        <v>7</v>
      </c>
      <c r="W40" s="46">
        <v>7</v>
      </c>
      <c r="X40" s="46">
        <v>7</v>
      </c>
      <c r="Y40" s="46">
        <v>7</v>
      </c>
      <c r="Z40" s="46">
        <v>7</v>
      </c>
      <c r="AA40" s="46">
        <v>7</v>
      </c>
      <c r="AB40" s="46">
        <v>7</v>
      </c>
      <c r="AC40" s="46">
        <v>7</v>
      </c>
      <c r="AD40" s="46">
        <v>7</v>
      </c>
      <c r="AE40" s="46">
        <v>7</v>
      </c>
      <c r="AF40" s="46">
        <v>13.9</v>
      </c>
      <c r="AG40" s="50">
        <v>18</v>
      </c>
      <c r="AH40" s="48">
        <f t="shared" si="2"/>
        <v>13.9</v>
      </c>
      <c r="AI40" s="49">
        <f t="shared" si="3"/>
        <v>7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8</v>
      </c>
      <c r="C44" s="46">
        <v>8</v>
      </c>
      <c r="D44" s="46">
        <v>8</v>
      </c>
      <c r="E44" s="46">
        <v>8</v>
      </c>
      <c r="F44" s="46">
        <v>8</v>
      </c>
      <c r="G44" s="46">
        <v>8</v>
      </c>
      <c r="H44" s="46">
        <v>8</v>
      </c>
      <c r="I44" s="46">
        <v>8</v>
      </c>
      <c r="J44" s="46">
        <v>8</v>
      </c>
      <c r="K44" s="46">
        <v>8</v>
      </c>
      <c r="L44" s="46">
        <v>8</v>
      </c>
      <c r="M44" s="46">
        <v>8</v>
      </c>
      <c r="N44" s="46">
        <v>8</v>
      </c>
      <c r="O44" s="46">
        <v>8</v>
      </c>
      <c r="P44" s="46">
        <v>8</v>
      </c>
      <c r="Q44" s="46">
        <v>8</v>
      </c>
      <c r="R44" s="46">
        <v>8</v>
      </c>
      <c r="S44" s="46">
        <v>8</v>
      </c>
      <c r="T44" s="46">
        <v>8</v>
      </c>
      <c r="U44" s="46">
        <v>8</v>
      </c>
      <c r="V44" s="46">
        <v>8</v>
      </c>
      <c r="W44" s="46">
        <v>8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8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3.1</v>
      </c>
      <c r="C46" s="46">
        <v>3.1</v>
      </c>
      <c r="D46" s="46">
        <v>3.1</v>
      </c>
      <c r="E46" s="46">
        <v>3.1</v>
      </c>
      <c r="F46" s="46">
        <v>3.1</v>
      </c>
      <c r="G46" s="46">
        <v>3.1</v>
      </c>
      <c r="H46" s="46">
        <v>3.1</v>
      </c>
      <c r="I46" s="46">
        <v>3.1</v>
      </c>
      <c r="J46" s="46">
        <v>3.1</v>
      </c>
      <c r="K46" s="46">
        <v>3.1</v>
      </c>
      <c r="L46" s="46">
        <v>3.1</v>
      </c>
      <c r="M46" s="46">
        <v>3.1</v>
      </c>
      <c r="N46" s="46">
        <v>3.1</v>
      </c>
      <c r="O46" s="46">
        <v>3.1</v>
      </c>
      <c r="P46" s="46">
        <v>3.1</v>
      </c>
      <c r="Q46" s="46">
        <v>3.1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2.7</v>
      </c>
      <c r="AG46" s="50">
        <v>14</v>
      </c>
      <c r="AH46" s="48">
        <f t="shared" si="2"/>
        <v>3.1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2</v>
      </c>
      <c r="V49" s="46">
        <v>2</v>
      </c>
      <c r="W49" s="46">
        <v>2</v>
      </c>
      <c r="X49" s="46">
        <v>2</v>
      </c>
      <c r="Y49" s="46">
        <v>2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58</v>
      </c>
      <c r="C60" s="68">
        <v>63.4</v>
      </c>
      <c r="D60" s="68">
        <v>69.8</v>
      </c>
      <c r="E60" s="68">
        <f>34.1+43.5</f>
        <v>77.599999999999994</v>
      </c>
      <c r="F60" s="68">
        <f>25.7+35.7</f>
        <v>61.400000000000006</v>
      </c>
      <c r="G60" s="68">
        <f>27+37.4</f>
        <v>64.400000000000006</v>
      </c>
      <c r="H60" s="68">
        <f>31.2+40.9</f>
        <v>72.099999999999994</v>
      </c>
      <c r="I60" s="68">
        <f>33.5+43.9</f>
        <v>77.400000000000006</v>
      </c>
      <c r="J60" s="68">
        <f>33.3+42.4</f>
        <v>75.699999999999989</v>
      </c>
      <c r="K60" s="53">
        <f>33.6+42.3</f>
        <v>75.900000000000006</v>
      </c>
      <c r="L60" s="53">
        <f>32.9+41.2</f>
        <v>74.099999999999994</v>
      </c>
      <c r="M60" s="53">
        <f>39.2+30.8</f>
        <v>70</v>
      </c>
      <c r="N60" s="53">
        <f>40.1+30.1</f>
        <v>70.2</v>
      </c>
      <c r="O60" s="53">
        <f>38.7+29.2</f>
        <v>67.900000000000006</v>
      </c>
      <c r="P60" s="53">
        <f>33.6+26.1</f>
        <v>59.7</v>
      </c>
      <c r="Q60" s="53">
        <f>33.6+26.1</f>
        <v>59.7</v>
      </c>
      <c r="R60" s="53">
        <f>36.1+26.4</f>
        <v>62.5</v>
      </c>
      <c r="S60" s="53">
        <v>61.7</v>
      </c>
      <c r="T60" s="53">
        <v>61.7</v>
      </c>
      <c r="U60" s="53">
        <v>66</v>
      </c>
      <c r="V60" s="53">
        <f>29+48</f>
        <v>77</v>
      </c>
      <c r="W60" s="53">
        <v>68.400000000000006</v>
      </c>
      <c r="X60" s="53">
        <v>66</v>
      </c>
      <c r="Y60" s="53">
        <v>66</v>
      </c>
      <c r="Z60" s="53">
        <v>64.099999999999994</v>
      </c>
      <c r="AA60" s="68">
        <v>64.099999999999994</v>
      </c>
      <c r="AB60" s="68">
        <v>66.099999999999994</v>
      </c>
      <c r="AC60" s="68">
        <v>65.8</v>
      </c>
      <c r="AD60" s="68">
        <v>64.099999999999994</v>
      </c>
      <c r="AE60" s="68">
        <v>64.099999999999994</v>
      </c>
      <c r="AF60" s="68">
        <f>25.4+39.9</f>
        <v>65.3</v>
      </c>
      <c r="AG60" s="66">
        <v>240</v>
      </c>
      <c r="AH60" s="48">
        <f t="shared" si="2"/>
        <v>77.599999999999994</v>
      </c>
      <c r="AI60" s="49">
        <f t="shared" si="3"/>
        <v>58</v>
      </c>
      <c r="AK60" s="51"/>
    </row>
    <row r="61" spans="1:88" ht="15.75" thickBot="1" x14ac:dyDescent="0.3">
      <c r="A61" s="70" t="s">
        <v>75</v>
      </c>
      <c r="B61" s="71">
        <v>734.2</v>
      </c>
      <c r="C61" s="71">
        <v>734.2</v>
      </c>
      <c r="D61" s="71">
        <v>734.2</v>
      </c>
      <c r="E61" s="71">
        <f t="shared" ref="E61:AG61" si="20">SUM(E11:E59)</f>
        <v>674.7</v>
      </c>
      <c r="F61" s="71">
        <f t="shared" si="20"/>
        <v>681.00000000000011</v>
      </c>
      <c r="G61" s="71">
        <f t="shared" si="20"/>
        <v>676.1</v>
      </c>
      <c r="H61" s="71">
        <f t="shared" si="20"/>
        <v>676.1</v>
      </c>
      <c r="I61" s="71">
        <f t="shared" si="20"/>
        <v>685.30000000000007</v>
      </c>
      <c r="J61" s="71">
        <f t="shared" si="20"/>
        <v>685.30000000000007</v>
      </c>
      <c r="K61" s="71">
        <f t="shared" si="20"/>
        <v>688.9</v>
      </c>
      <c r="L61" s="71">
        <f t="shared" si="20"/>
        <v>741.40000000000009</v>
      </c>
      <c r="M61" s="71">
        <f t="shared" si="20"/>
        <v>781.90000000000009</v>
      </c>
      <c r="N61" s="71">
        <f t="shared" si="20"/>
        <v>785.10000000000014</v>
      </c>
      <c r="O61" s="71">
        <f t="shared" si="20"/>
        <v>785.5</v>
      </c>
      <c r="P61" s="71">
        <f t="shared" si="20"/>
        <v>761.30000000000007</v>
      </c>
      <c r="Q61" s="71">
        <f t="shared" si="20"/>
        <v>790.1</v>
      </c>
      <c r="R61" s="71">
        <f t="shared" si="20"/>
        <v>749.2</v>
      </c>
      <c r="S61" s="71">
        <f t="shared" si="20"/>
        <v>749.2</v>
      </c>
      <c r="T61" s="71">
        <f t="shared" si="20"/>
        <v>749.2</v>
      </c>
      <c r="U61" s="71">
        <f t="shared" si="20"/>
        <v>686.69999999999993</v>
      </c>
      <c r="V61" s="71">
        <f t="shared" si="20"/>
        <v>686.69999999999993</v>
      </c>
      <c r="W61" s="71">
        <f t="shared" si="20"/>
        <v>686.69999999999993</v>
      </c>
      <c r="X61" s="71">
        <f t="shared" si="20"/>
        <v>678.69999999999993</v>
      </c>
      <c r="Y61" s="71">
        <f t="shared" si="20"/>
        <v>678.69999999999993</v>
      </c>
      <c r="Z61" s="71">
        <f t="shared" si="20"/>
        <v>756.5</v>
      </c>
      <c r="AA61" s="71">
        <v>764.5</v>
      </c>
      <c r="AB61" s="71">
        <v>764.5</v>
      </c>
      <c r="AC61" s="71">
        <v>764.5</v>
      </c>
      <c r="AD61" s="71">
        <v>764.5</v>
      </c>
      <c r="AE61" s="71">
        <v>764.5</v>
      </c>
      <c r="AF61" s="71">
        <v>764.5</v>
      </c>
      <c r="AG61" s="71">
        <f t="shared" si="20"/>
        <v>1466.0300000000002</v>
      </c>
      <c r="AH61" s="48">
        <f t="shared" si="2"/>
        <v>790.1</v>
      </c>
      <c r="AI61" s="49">
        <f t="shared" si="3"/>
        <v>674.7</v>
      </c>
      <c r="AK61" s="51"/>
    </row>
    <row r="62" spans="1:88" x14ac:dyDescent="0.25">
      <c r="A62" s="73" t="s">
        <v>76</v>
      </c>
      <c r="B62" s="46">
        <v>319.7</v>
      </c>
      <c r="C62" s="46">
        <v>343.8</v>
      </c>
      <c r="D62" s="46">
        <v>380.2</v>
      </c>
      <c r="E62" s="46">
        <v>403.9</v>
      </c>
      <c r="F62" s="46">
        <v>380.1</v>
      </c>
      <c r="G62" s="46">
        <v>320</v>
      </c>
      <c r="H62" s="46">
        <v>283.5</v>
      </c>
      <c r="I62" s="46">
        <v>390</v>
      </c>
      <c r="J62" s="46">
        <v>380</v>
      </c>
      <c r="K62" s="46">
        <v>374</v>
      </c>
      <c r="L62" s="46">
        <v>200</v>
      </c>
      <c r="M62" s="46">
        <v>223.4</v>
      </c>
      <c r="N62" s="74">
        <v>229</v>
      </c>
      <c r="O62" s="74">
        <v>259</v>
      </c>
      <c r="P62" s="74">
        <v>201</v>
      </c>
      <c r="Q62" s="74">
        <v>228.5</v>
      </c>
      <c r="R62" s="74">
        <v>246.5</v>
      </c>
      <c r="S62" s="74">
        <v>262</v>
      </c>
      <c r="T62" s="74">
        <v>310</v>
      </c>
      <c r="U62" s="74">
        <v>180</v>
      </c>
      <c r="V62" s="74">
        <v>105</v>
      </c>
      <c r="W62" s="74">
        <v>133</v>
      </c>
      <c r="X62" s="74">
        <v>100.6</v>
      </c>
      <c r="Y62" s="74">
        <v>350</v>
      </c>
      <c r="Z62" s="46">
        <v>422</v>
      </c>
      <c r="AA62" s="46">
        <v>456</v>
      </c>
      <c r="AB62" s="46">
        <v>456</v>
      </c>
      <c r="AC62" s="46">
        <v>456</v>
      </c>
      <c r="AD62" s="46">
        <v>440.1</v>
      </c>
      <c r="AE62" s="46">
        <v>397.8</v>
      </c>
      <c r="AF62" s="46">
        <v>350</v>
      </c>
      <c r="AG62" s="61">
        <v>456</v>
      </c>
      <c r="AH62" s="48">
        <f t="shared" si="2"/>
        <v>456</v>
      </c>
      <c r="AI62" s="49">
        <f t="shared" si="3"/>
        <v>100.6</v>
      </c>
      <c r="AK62" s="51"/>
    </row>
    <row r="63" spans="1:88" x14ac:dyDescent="0.25">
      <c r="A63" s="75" t="s">
        <v>77</v>
      </c>
      <c r="B63" s="76">
        <v>29</v>
      </c>
      <c r="C63" s="76">
        <v>29</v>
      </c>
      <c r="D63" s="76">
        <v>29</v>
      </c>
      <c r="E63" s="76">
        <v>29</v>
      </c>
      <c r="F63" s="76">
        <v>29</v>
      </c>
      <c r="G63" s="76">
        <v>29</v>
      </c>
      <c r="H63" s="76">
        <v>36</v>
      </c>
      <c r="I63" s="76">
        <v>36</v>
      </c>
      <c r="J63" s="76">
        <v>36</v>
      </c>
      <c r="K63" s="76">
        <v>36</v>
      </c>
      <c r="L63" s="76">
        <v>36</v>
      </c>
      <c r="M63" s="76">
        <v>36</v>
      </c>
      <c r="N63" s="76">
        <v>36</v>
      </c>
      <c r="O63" s="76">
        <v>36</v>
      </c>
      <c r="P63" s="76">
        <v>36</v>
      </c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31.2</v>
      </c>
      <c r="AC63" s="76">
        <v>31.2</v>
      </c>
      <c r="AD63" s="76">
        <v>31.2</v>
      </c>
      <c r="AE63" s="76">
        <v>31.2</v>
      </c>
      <c r="AF63" s="76">
        <v>31.2</v>
      </c>
      <c r="AG63" s="66">
        <v>60</v>
      </c>
      <c r="AH63" s="48">
        <f t="shared" si="2"/>
        <v>36</v>
      </c>
      <c r="AI63" s="49">
        <f t="shared" si="3"/>
        <v>29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</v>
      </c>
      <c r="L64" s="78">
        <v>22.5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371.3</v>
      </c>
      <c r="C65" s="71">
        <f t="shared" si="21"/>
        <v>395.40000000000003</v>
      </c>
      <c r="D65" s="71">
        <f t="shared" si="21"/>
        <v>431.8</v>
      </c>
      <c r="E65" s="71">
        <f t="shared" si="21"/>
        <v>455.5</v>
      </c>
      <c r="F65" s="71">
        <f t="shared" si="21"/>
        <v>431.70000000000005</v>
      </c>
      <c r="G65" s="71">
        <f t="shared" si="21"/>
        <v>371.6</v>
      </c>
      <c r="H65" s="71">
        <f t="shared" si="21"/>
        <v>342.1</v>
      </c>
      <c r="I65" s="71">
        <f t="shared" si="21"/>
        <v>448.6</v>
      </c>
      <c r="J65" s="71">
        <f t="shared" si="21"/>
        <v>438.6</v>
      </c>
      <c r="K65" s="71">
        <f t="shared" si="21"/>
        <v>432</v>
      </c>
      <c r="L65" s="71">
        <f t="shared" si="21"/>
        <v>258.5</v>
      </c>
      <c r="M65" s="71">
        <f t="shared" si="21"/>
        <v>282</v>
      </c>
      <c r="N65" s="71">
        <f t="shared" si="21"/>
        <v>287.60000000000002</v>
      </c>
      <c r="O65" s="71">
        <f t="shared" si="21"/>
        <v>317.60000000000002</v>
      </c>
      <c r="P65" s="71">
        <f t="shared" si="21"/>
        <v>259.60000000000002</v>
      </c>
      <c r="Q65" s="71">
        <f t="shared" si="21"/>
        <v>282.3</v>
      </c>
      <c r="R65" s="71">
        <f t="shared" si="21"/>
        <v>300.3</v>
      </c>
      <c r="S65" s="71">
        <f t="shared" si="21"/>
        <v>315.8</v>
      </c>
      <c r="T65" s="71">
        <f t="shared" si="21"/>
        <v>363.8</v>
      </c>
      <c r="U65" s="71">
        <f>SUM(U62:U64)</f>
        <v>233.79999999999998</v>
      </c>
      <c r="V65" s="71">
        <f t="shared" si="21"/>
        <v>158.79999999999998</v>
      </c>
      <c r="W65" s="71">
        <f t="shared" si="21"/>
        <v>186.79999999999998</v>
      </c>
      <c r="X65" s="71">
        <f t="shared" si="21"/>
        <v>154.39999999999998</v>
      </c>
      <c r="Y65" s="71">
        <f t="shared" si="21"/>
        <v>403.8</v>
      </c>
      <c r="Z65" s="71">
        <f t="shared" si="21"/>
        <v>475.8</v>
      </c>
      <c r="AA65" s="71">
        <v>475.8</v>
      </c>
      <c r="AB65" s="71">
        <v>475.8</v>
      </c>
      <c r="AC65" s="71">
        <v>475.8</v>
      </c>
      <c r="AD65" s="71">
        <v>475.8</v>
      </c>
      <c r="AE65" s="71">
        <v>475.8</v>
      </c>
      <c r="AF65" s="71">
        <v>475.8</v>
      </c>
      <c r="AG65" s="72">
        <f t="shared" si="21"/>
        <v>538.1</v>
      </c>
      <c r="AH65" s="48">
        <f t="shared" si="2"/>
        <v>475.8</v>
      </c>
      <c r="AI65" s="49">
        <f t="shared" si="3"/>
        <v>154.39999999999998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144</v>
      </c>
      <c r="D66" s="46">
        <v>144</v>
      </c>
      <c r="E66" s="46">
        <v>142.30000000000001</v>
      </c>
      <c r="F66" s="46">
        <v>142.1</v>
      </c>
      <c r="G66" s="46">
        <v>142</v>
      </c>
      <c r="H66" s="46">
        <v>142.6</v>
      </c>
      <c r="I66" s="46">
        <v>141.4</v>
      </c>
      <c r="J66" s="46">
        <v>141.4</v>
      </c>
      <c r="K66" s="46">
        <v>142.19999999999999</v>
      </c>
      <c r="L66" s="46">
        <v>141.4</v>
      </c>
      <c r="M66" s="46">
        <v>137</v>
      </c>
      <c r="N66" s="46">
        <v>136.19999999999999</v>
      </c>
      <c r="O66" s="46">
        <v>126</v>
      </c>
      <c r="P66" s="46">
        <v>96.6</v>
      </c>
      <c r="Q66" s="46">
        <v>96.6</v>
      </c>
      <c r="R66" s="46">
        <v>97.1</v>
      </c>
      <c r="S66" s="46">
        <v>126.3</v>
      </c>
      <c r="T66" s="46">
        <v>126.3</v>
      </c>
      <c r="U66" s="46">
        <v>141</v>
      </c>
      <c r="V66" s="46">
        <v>141</v>
      </c>
      <c r="W66" s="46">
        <v>141</v>
      </c>
      <c r="X66" s="46">
        <v>141</v>
      </c>
      <c r="Y66" s="46">
        <v>141</v>
      </c>
      <c r="Z66" s="46">
        <v>141</v>
      </c>
      <c r="AA66" s="46">
        <v>141</v>
      </c>
      <c r="AB66" s="46">
        <v>145.6</v>
      </c>
      <c r="AC66" s="46">
        <v>145.6</v>
      </c>
      <c r="AD66" s="46">
        <v>145.6</v>
      </c>
      <c r="AE66" s="46">
        <v>145.6</v>
      </c>
      <c r="AF66" s="46">
        <v>144.19999999999999</v>
      </c>
      <c r="AG66" s="61">
        <v>144</v>
      </c>
      <c r="AH66" s="48">
        <f t="shared" si="2"/>
        <v>145.6</v>
      </c>
      <c r="AI66" s="49">
        <f t="shared" si="3"/>
        <v>96.6</v>
      </c>
      <c r="AK66" s="51"/>
      <c r="AY66" s="1" t="s">
        <v>86</v>
      </c>
      <c r="AZ66" s="82">
        <f>ROUND(C84,0)</f>
        <v>15</v>
      </c>
      <c r="BA66" s="81">
        <f t="shared" ref="BA66:BD70" si="22">D84</f>
        <v>13.3</v>
      </c>
      <c r="BB66" s="81">
        <f t="shared" si="22"/>
        <v>14.5</v>
      </c>
      <c r="BC66" s="81">
        <f t="shared" si="22"/>
        <v>12.9</v>
      </c>
      <c r="BD66" s="81">
        <f t="shared" si="22"/>
        <v>10.7</v>
      </c>
      <c r="BE66" s="82">
        <f>I84</f>
        <v>16.5</v>
      </c>
      <c r="BF66" s="82">
        <f>K84</f>
        <v>33.1</v>
      </c>
      <c r="BG66" s="82">
        <f t="shared" ref="BG66:BP70" si="23">M84</f>
        <v>56</v>
      </c>
      <c r="BH66" s="82">
        <f t="shared" si="23"/>
        <v>66.099999999999994</v>
      </c>
      <c r="BI66" s="82">
        <f t="shared" si="23"/>
        <v>58</v>
      </c>
      <c r="BJ66" s="82">
        <f t="shared" si="23"/>
        <v>66</v>
      </c>
      <c r="BK66" s="82">
        <f t="shared" si="23"/>
        <v>62.6</v>
      </c>
      <c r="BL66" s="82">
        <f t="shared" si="23"/>
        <v>65.3</v>
      </c>
      <c r="BM66" s="82">
        <f t="shared" si="23"/>
        <v>66.3</v>
      </c>
      <c r="BN66" s="82">
        <f t="shared" si="23"/>
        <v>73.7</v>
      </c>
      <c r="BO66" s="82">
        <f t="shared" si="23"/>
        <v>58.5</v>
      </c>
      <c r="BP66" s="82">
        <f t="shared" si="23"/>
        <v>66</v>
      </c>
      <c r="BQ66" s="82">
        <f>X84</f>
        <v>67.2</v>
      </c>
      <c r="BR66" s="82">
        <f>Z84</f>
        <v>34</v>
      </c>
      <c r="BS66" s="81">
        <f>AB84</f>
        <v>49.6</v>
      </c>
      <c r="BT66" s="81">
        <f t="shared" ref="BT66:BV70" si="24">AD84</f>
        <v>41.5</v>
      </c>
      <c r="BU66" s="81">
        <f t="shared" si="24"/>
        <v>34.700000000000003</v>
      </c>
      <c r="BV66" s="81">
        <f t="shared" si="24"/>
        <v>47.5</v>
      </c>
      <c r="BW66" s="81">
        <f>B84</f>
        <v>16.3</v>
      </c>
    </row>
    <row r="67" spans="1:75" x14ac:dyDescent="0.25">
      <c r="A67" s="65" t="s">
        <v>81</v>
      </c>
      <c r="B67" s="76">
        <v>70.8</v>
      </c>
      <c r="C67" s="76">
        <v>70.8</v>
      </c>
      <c r="D67" s="76">
        <v>0</v>
      </c>
      <c r="E67" s="76">
        <v>35</v>
      </c>
      <c r="F67" s="76">
        <v>69.7</v>
      </c>
      <c r="G67" s="76">
        <v>69.7</v>
      </c>
      <c r="H67" s="76">
        <v>69.7</v>
      </c>
      <c r="I67" s="76">
        <v>69.5</v>
      </c>
      <c r="J67" s="76">
        <v>69.5</v>
      </c>
      <c r="K67" s="76">
        <v>5</v>
      </c>
      <c r="L67" s="76">
        <v>69.7</v>
      </c>
      <c r="M67" s="76">
        <v>69.5</v>
      </c>
      <c r="N67" s="76">
        <v>69.599999999999994</v>
      </c>
      <c r="O67" s="76">
        <v>69.900000000000006</v>
      </c>
      <c r="P67" s="76">
        <v>70.2</v>
      </c>
      <c r="Q67" s="76">
        <v>70.2</v>
      </c>
      <c r="R67" s="76">
        <v>70.2</v>
      </c>
      <c r="S67" s="76">
        <v>70.2</v>
      </c>
      <c r="T67" s="76">
        <v>70.2</v>
      </c>
      <c r="U67" s="76">
        <v>45.7</v>
      </c>
      <c r="V67" s="76">
        <v>55</v>
      </c>
      <c r="W67" s="76">
        <v>55</v>
      </c>
      <c r="X67" s="76">
        <v>55</v>
      </c>
      <c r="Y67" s="76">
        <v>55</v>
      </c>
      <c r="Z67" s="76">
        <v>67</v>
      </c>
      <c r="AA67" s="46">
        <v>67</v>
      </c>
      <c r="AB67" s="46">
        <v>69.900000000000006</v>
      </c>
      <c r="AC67" s="46">
        <v>69.900000000000006</v>
      </c>
      <c r="AD67" s="46">
        <v>69.900000000000006</v>
      </c>
      <c r="AE67" s="46">
        <v>69.900000000000006</v>
      </c>
      <c r="AF67" s="46">
        <v>70.8</v>
      </c>
      <c r="AG67" s="66">
        <v>70</v>
      </c>
      <c r="AH67" s="48">
        <f t="shared" si="2"/>
        <v>70.8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70.3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>
        <v>69.400000000000006</v>
      </c>
      <c r="C68" s="76">
        <v>69.400000000000006</v>
      </c>
      <c r="D68" s="76">
        <v>69.400000000000006</v>
      </c>
      <c r="E68" s="76">
        <v>69.5</v>
      </c>
      <c r="F68" s="76">
        <v>70.3</v>
      </c>
      <c r="G68" s="76">
        <v>69.900000000000006</v>
      </c>
      <c r="H68" s="76">
        <v>69.5</v>
      </c>
      <c r="I68" s="76">
        <v>70.099999999999994</v>
      </c>
      <c r="J68" s="76">
        <v>70.099999999999994</v>
      </c>
      <c r="K68" s="76">
        <v>70.5</v>
      </c>
      <c r="L68" s="76">
        <v>69.900000000000006</v>
      </c>
      <c r="M68" s="76">
        <v>69.400000000000006</v>
      </c>
      <c r="N68" s="76">
        <v>69.2</v>
      </c>
      <c r="O68" s="76">
        <v>67.900000000000006</v>
      </c>
      <c r="P68" s="76">
        <v>67.900000000000006</v>
      </c>
      <c r="Q68" s="76">
        <v>67.900000000000006</v>
      </c>
      <c r="R68" s="76">
        <v>67.900000000000006</v>
      </c>
      <c r="S68" s="76">
        <v>67.900000000000006</v>
      </c>
      <c r="T68" s="76">
        <v>67.900000000000006</v>
      </c>
      <c r="U68" s="76">
        <v>69</v>
      </c>
      <c r="V68" s="76">
        <v>69</v>
      </c>
      <c r="W68" s="76">
        <v>69</v>
      </c>
      <c r="X68" s="76">
        <v>69</v>
      </c>
      <c r="Y68" s="76">
        <v>69</v>
      </c>
      <c r="Z68" s="76">
        <v>69</v>
      </c>
      <c r="AA68" s="46">
        <v>69</v>
      </c>
      <c r="AB68" s="46">
        <v>69</v>
      </c>
      <c r="AC68" s="46">
        <v>69</v>
      </c>
      <c r="AD68" s="46">
        <v>69</v>
      </c>
      <c r="AE68" s="46">
        <v>69</v>
      </c>
      <c r="AF68" s="46">
        <v>68.599999999999994</v>
      </c>
      <c r="AG68" s="66">
        <v>69</v>
      </c>
      <c r="AH68" s="48">
        <f t="shared" si="2"/>
        <v>70.5</v>
      </c>
      <c r="AI68" s="49">
        <f t="shared" si="3"/>
        <v>67.900000000000006</v>
      </c>
      <c r="AK68" s="51"/>
      <c r="AL68" s="83"/>
      <c r="AO68" s="83"/>
      <c r="AY68" s="1" t="s">
        <v>90</v>
      </c>
      <c r="AZ68" s="82">
        <f>ROUND(C86,0)</f>
        <v>-171</v>
      </c>
      <c r="BA68" s="81">
        <f t="shared" si="22"/>
        <v>-174</v>
      </c>
      <c r="BB68" s="81">
        <f t="shared" si="22"/>
        <v>-181.1</v>
      </c>
      <c r="BC68" s="81">
        <f t="shared" si="22"/>
        <v>-173.8</v>
      </c>
      <c r="BD68" s="81">
        <f t="shared" si="22"/>
        <v>-119</v>
      </c>
      <c r="BE68" s="82">
        <f>I86</f>
        <v>-171</v>
      </c>
      <c r="BF68" s="82">
        <f>K86</f>
        <v>-209</v>
      </c>
      <c r="BG68" s="82">
        <f t="shared" si="23"/>
        <v>-126.1</v>
      </c>
      <c r="BH68" s="82">
        <f t="shared" si="23"/>
        <v>-109</v>
      </c>
      <c r="BI68" s="82">
        <f t="shared" si="23"/>
        <v>-120</v>
      </c>
      <c r="BJ68" s="82">
        <f t="shared" si="23"/>
        <v>-15</v>
      </c>
      <c r="BK68" s="82">
        <f t="shared" si="23"/>
        <v>-10</v>
      </c>
      <c r="BL68" s="82">
        <f t="shared" si="23"/>
        <v>-12</v>
      </c>
      <c r="BM68" s="82">
        <f t="shared" si="23"/>
        <v>0</v>
      </c>
      <c r="BN68" s="82">
        <f t="shared" si="23"/>
        <v>-16</v>
      </c>
      <c r="BO68" s="82">
        <f t="shared" si="23"/>
        <v>62</v>
      </c>
      <c r="BP68" s="82">
        <f t="shared" si="23"/>
        <v>68</v>
      </c>
      <c r="BQ68" s="82">
        <f>X86</f>
        <v>65</v>
      </c>
      <c r="BR68" s="82">
        <f>Z86</f>
        <v>-134</v>
      </c>
      <c r="BS68" s="81">
        <f>AB86</f>
        <v>-99.5</v>
      </c>
      <c r="BT68" s="81">
        <f t="shared" si="24"/>
        <v>-108.1</v>
      </c>
      <c r="BU68" s="81">
        <f t="shared" si="24"/>
        <v>-110.6</v>
      </c>
      <c r="BV68" s="81">
        <f t="shared" si="24"/>
        <v>-120.6</v>
      </c>
      <c r="BW68" s="81">
        <f>B86</f>
        <v>-112.3</v>
      </c>
    </row>
    <row r="69" spans="1:75" s="83" customFormat="1" x14ac:dyDescent="0.25">
      <c r="A69" s="65" t="s">
        <v>83</v>
      </c>
      <c r="B69" s="76">
        <v>60.4</v>
      </c>
      <c r="C69" s="76">
        <v>60.4</v>
      </c>
      <c r="D69" s="76">
        <v>60.4</v>
      </c>
      <c r="E69" s="76">
        <v>60.4</v>
      </c>
      <c r="F69" s="76">
        <v>60.4</v>
      </c>
      <c r="G69" s="76">
        <v>60.4</v>
      </c>
      <c r="H69" s="76">
        <v>60.4</v>
      </c>
      <c r="I69" s="76">
        <v>60.4</v>
      </c>
      <c r="J69" s="76">
        <v>60.4</v>
      </c>
      <c r="K69" s="68">
        <v>60.4</v>
      </c>
      <c r="L69" s="68">
        <v>60.4</v>
      </c>
      <c r="M69" s="76">
        <v>60.4</v>
      </c>
      <c r="N69" s="76">
        <v>60.4</v>
      </c>
      <c r="O69" s="76">
        <v>60.4</v>
      </c>
      <c r="P69" s="76">
        <v>60.4</v>
      </c>
      <c r="Q69" s="76">
        <v>60.4</v>
      </c>
      <c r="R69" s="76">
        <v>60.4</v>
      </c>
      <c r="S69" s="76">
        <v>60.4</v>
      </c>
      <c r="T69" s="76">
        <v>60.4</v>
      </c>
      <c r="U69" s="76">
        <v>60.4</v>
      </c>
      <c r="V69" s="76">
        <v>60.4</v>
      </c>
      <c r="W69" s="76">
        <v>60.4</v>
      </c>
      <c r="X69" s="76">
        <v>60.4</v>
      </c>
      <c r="Y69" s="76">
        <v>60.4</v>
      </c>
      <c r="Z69" s="76">
        <v>60.4</v>
      </c>
      <c r="AA69" s="46">
        <v>60.4</v>
      </c>
      <c r="AB69" s="46">
        <v>60.4</v>
      </c>
      <c r="AC69" s="46">
        <v>60.4</v>
      </c>
      <c r="AD69" s="46">
        <v>60.4</v>
      </c>
      <c r="AE69" s="46">
        <v>60.4</v>
      </c>
      <c r="AF69" s="46">
        <v>60.4</v>
      </c>
      <c r="AG69" s="66">
        <v>60</v>
      </c>
      <c r="AH69" s="48">
        <f t="shared" si="2"/>
        <v>60.4</v>
      </c>
      <c r="AI69" s="49">
        <f t="shared" si="3"/>
        <v>60.4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33.200000000000003</v>
      </c>
      <c r="BG69" s="82">
        <f t="shared" si="23"/>
        <v>0</v>
      </c>
      <c r="BH69" s="82">
        <f t="shared" si="23"/>
        <v>16.600000000000001</v>
      </c>
      <c r="BI69" s="82">
        <f t="shared" si="23"/>
        <v>33.799999999999997</v>
      </c>
      <c r="BJ69" s="82">
        <f t="shared" si="23"/>
        <v>35</v>
      </c>
      <c r="BK69" s="82">
        <f t="shared" si="23"/>
        <v>33.5</v>
      </c>
      <c r="BL69" s="82">
        <f t="shared" si="23"/>
        <v>35.9</v>
      </c>
      <c r="BM69" s="82">
        <f t="shared" si="23"/>
        <v>29.1</v>
      </c>
      <c r="BN69" s="82">
        <f t="shared" si="23"/>
        <v>34</v>
      </c>
      <c r="BO69" s="82">
        <f t="shared" si="23"/>
        <v>34</v>
      </c>
      <c r="BP69" s="82">
        <f t="shared" si="23"/>
        <v>35</v>
      </c>
      <c r="BQ69" s="82">
        <f>X87</f>
        <v>28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>
        <v>14.9</v>
      </c>
      <c r="C70" s="46">
        <v>13.9</v>
      </c>
      <c r="D70" s="46">
        <v>13.9</v>
      </c>
      <c r="E70" s="76">
        <v>12.1</v>
      </c>
      <c r="F70" s="76">
        <v>10.3</v>
      </c>
      <c r="G70" s="76">
        <v>10.3</v>
      </c>
      <c r="H70" s="76">
        <v>0</v>
      </c>
      <c r="I70" s="76">
        <v>0</v>
      </c>
      <c r="J70" s="76">
        <v>0</v>
      </c>
      <c r="K70" s="76">
        <v>0</v>
      </c>
      <c r="L70" s="68">
        <v>0</v>
      </c>
      <c r="M70" s="76">
        <v>10.3</v>
      </c>
      <c r="N70" s="76">
        <v>10.4</v>
      </c>
      <c r="O70" s="76">
        <v>14.9</v>
      </c>
      <c r="P70" s="76">
        <v>23</v>
      </c>
      <c r="Q70" s="76">
        <v>23</v>
      </c>
      <c r="R70" s="76">
        <v>23</v>
      </c>
      <c r="S70" s="76">
        <v>27</v>
      </c>
      <c r="T70" s="76">
        <v>27</v>
      </c>
      <c r="U70" s="76">
        <v>15</v>
      </c>
      <c r="V70" s="76">
        <v>13</v>
      </c>
      <c r="W70" s="76">
        <v>10</v>
      </c>
      <c r="X70" s="76">
        <v>10</v>
      </c>
      <c r="Y70" s="76">
        <v>10</v>
      </c>
      <c r="Z70" s="76">
        <v>10</v>
      </c>
      <c r="AA70" s="46">
        <v>10</v>
      </c>
      <c r="AB70" s="46">
        <v>10</v>
      </c>
      <c r="AC70" s="46">
        <v>0</v>
      </c>
      <c r="AD70" s="46">
        <v>14.4</v>
      </c>
      <c r="AE70" s="46">
        <v>14.4</v>
      </c>
      <c r="AF70" s="46">
        <v>0</v>
      </c>
      <c r="AG70" s="66">
        <v>30</v>
      </c>
      <c r="AH70" s="48">
        <f t="shared" si="2"/>
        <v>27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45.3</v>
      </c>
      <c r="BG70" s="82">
        <f t="shared" si="23"/>
        <v>111.4</v>
      </c>
      <c r="BH70" s="82">
        <f t="shared" si="23"/>
        <v>101</v>
      </c>
      <c r="BI70" s="82">
        <f t="shared" si="23"/>
        <v>108.9</v>
      </c>
      <c r="BJ70" s="82">
        <f t="shared" si="23"/>
        <v>130.80000000000001</v>
      </c>
      <c r="BK70" s="82">
        <f t="shared" si="23"/>
        <v>114</v>
      </c>
      <c r="BL70" s="82">
        <f t="shared" si="23"/>
        <v>139.69999999999999</v>
      </c>
      <c r="BM70" s="82">
        <f t="shared" si="23"/>
        <v>129.6</v>
      </c>
      <c r="BN70" s="82">
        <f t="shared" si="23"/>
        <v>138</v>
      </c>
      <c r="BO70" s="82">
        <f t="shared" si="23"/>
        <v>112</v>
      </c>
      <c r="BP70" s="82">
        <f t="shared" si="23"/>
        <v>124.3</v>
      </c>
      <c r="BQ70" s="82">
        <f>X88</f>
        <v>90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0.86</v>
      </c>
      <c r="J71" s="46">
        <v>2.23</v>
      </c>
      <c r="K71" s="46">
        <v>4</v>
      </c>
      <c r="L71" s="76">
        <v>4.5999999999999996</v>
      </c>
      <c r="M71" s="76">
        <v>8.9</v>
      </c>
      <c r="N71" s="76">
        <v>12.2</v>
      </c>
      <c r="O71" s="76">
        <v>15.2</v>
      </c>
      <c r="P71" s="76">
        <v>17.600000000000001</v>
      </c>
      <c r="Q71" s="76">
        <v>17.600000000000001</v>
      </c>
      <c r="R71" s="76">
        <v>17.600000000000001</v>
      </c>
      <c r="S71" s="76">
        <v>11.7</v>
      </c>
      <c r="T71" s="76">
        <v>6.2</v>
      </c>
      <c r="U71" s="76">
        <v>6.5</v>
      </c>
      <c r="V71" s="76">
        <v>1.8</v>
      </c>
      <c r="W71" s="76">
        <v>1.3</v>
      </c>
      <c r="X71" s="76">
        <v>0.4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17.600000000000001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15.7</v>
      </c>
      <c r="C72" s="76">
        <v>15.7</v>
      </c>
      <c r="D72" s="76">
        <v>15.7</v>
      </c>
      <c r="E72" s="76">
        <v>15.7</v>
      </c>
      <c r="F72" s="76">
        <v>15.7</v>
      </c>
      <c r="G72" s="76">
        <v>15.7</v>
      </c>
      <c r="H72" s="76">
        <v>15.7</v>
      </c>
      <c r="I72" s="76">
        <v>15.7</v>
      </c>
      <c r="J72" s="76">
        <v>15.7</v>
      </c>
      <c r="K72" s="76">
        <v>15.7</v>
      </c>
      <c r="L72" s="76">
        <v>15.5</v>
      </c>
      <c r="M72" s="76">
        <v>15.5</v>
      </c>
      <c r="N72" s="76">
        <v>15.5</v>
      </c>
      <c r="O72" s="76">
        <v>15.5</v>
      </c>
      <c r="P72" s="76">
        <v>11.7</v>
      </c>
      <c r="Q72" s="76">
        <v>11.7</v>
      </c>
      <c r="R72" s="76">
        <v>11.7</v>
      </c>
      <c r="S72" s="76">
        <v>11.7</v>
      </c>
      <c r="T72" s="76">
        <v>7.9</v>
      </c>
      <c r="U72" s="76">
        <v>7.9</v>
      </c>
      <c r="V72" s="76">
        <v>7.9</v>
      </c>
      <c r="W72" s="76">
        <v>7.9</v>
      </c>
      <c r="X72" s="76">
        <v>7.9</v>
      </c>
      <c r="Y72" s="76">
        <v>7.9</v>
      </c>
      <c r="Z72" s="76">
        <v>7.9</v>
      </c>
      <c r="AA72" s="76">
        <v>7.9</v>
      </c>
      <c r="AB72" s="76">
        <v>7.9</v>
      </c>
      <c r="AC72" s="76">
        <v>7.9</v>
      </c>
      <c r="AD72" s="76">
        <v>7.9</v>
      </c>
      <c r="AE72" s="76">
        <v>7.9</v>
      </c>
      <c r="AF72" s="76">
        <v>7.9</v>
      </c>
      <c r="AG72" s="66">
        <v>24</v>
      </c>
      <c r="AH72" s="48">
        <f t="shared" si="2"/>
        <v>15.7</v>
      </c>
      <c r="AI72" s="49">
        <f t="shared" si="3"/>
        <v>7.9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6">VALUE(AZ66)</f>
        <v>15</v>
      </c>
      <c r="BA73" s="82">
        <f t="shared" si="26"/>
        <v>13.3</v>
      </c>
      <c r="BB73" s="82">
        <f t="shared" si="26"/>
        <v>14.5</v>
      </c>
      <c r="BC73" s="82">
        <f t="shared" si="26"/>
        <v>12.9</v>
      </c>
      <c r="BD73" s="82">
        <f t="shared" si="26"/>
        <v>10.7</v>
      </c>
      <c r="BE73" s="82">
        <f t="shared" si="26"/>
        <v>16.5</v>
      </c>
      <c r="BF73" s="82">
        <f t="shared" si="26"/>
        <v>33.1</v>
      </c>
      <c r="BG73" s="82">
        <f t="shared" si="26"/>
        <v>56</v>
      </c>
      <c r="BH73" s="82">
        <f t="shared" si="26"/>
        <v>66.099999999999994</v>
      </c>
      <c r="BI73" s="82">
        <f t="shared" si="26"/>
        <v>58</v>
      </c>
      <c r="BJ73" s="82">
        <f t="shared" si="26"/>
        <v>66</v>
      </c>
      <c r="BK73" s="82">
        <f t="shared" si="26"/>
        <v>62.6</v>
      </c>
      <c r="BL73" s="82">
        <f t="shared" si="26"/>
        <v>65.3</v>
      </c>
      <c r="BM73" s="82">
        <f t="shared" si="26"/>
        <v>66.3</v>
      </c>
      <c r="BN73" s="82">
        <f t="shared" si="26"/>
        <v>73.7</v>
      </c>
      <c r="BO73" s="82">
        <f t="shared" si="26"/>
        <v>58.5</v>
      </c>
      <c r="BP73" s="82">
        <f t="shared" si="26"/>
        <v>66</v>
      </c>
      <c r="BQ73" s="82">
        <f t="shared" si="26"/>
        <v>67.2</v>
      </c>
      <c r="BR73" s="82">
        <f t="shared" si="26"/>
        <v>34</v>
      </c>
      <c r="BS73" s="82">
        <f t="shared" si="26"/>
        <v>49.6</v>
      </c>
      <c r="BT73" s="82">
        <f t="shared" si="26"/>
        <v>41.5</v>
      </c>
      <c r="BU73" s="82">
        <f t="shared" si="26"/>
        <v>34.700000000000003</v>
      </c>
      <c r="BV73" s="82">
        <f t="shared" si="26"/>
        <v>47.5</v>
      </c>
      <c r="BW73" s="82">
        <f t="shared" si="26"/>
        <v>16.3</v>
      </c>
    </row>
    <row r="74" spans="1:75" x14ac:dyDescent="0.25">
      <c r="A74" s="65" t="s">
        <v>91</v>
      </c>
      <c r="B74" s="76">
        <v>11.9</v>
      </c>
      <c r="C74" s="76">
        <v>11.9</v>
      </c>
      <c r="D74" s="76">
        <v>11.9</v>
      </c>
      <c r="E74" s="76">
        <v>11.9</v>
      </c>
      <c r="F74" s="76">
        <v>11.9</v>
      </c>
      <c r="G74" s="76">
        <v>11.9</v>
      </c>
      <c r="H74" s="76">
        <v>11.9</v>
      </c>
      <c r="I74" s="76">
        <v>11.9</v>
      </c>
      <c r="J74" s="76">
        <v>11.9</v>
      </c>
      <c r="K74" s="76">
        <v>11.9</v>
      </c>
      <c r="L74" s="76">
        <v>11.9</v>
      </c>
      <c r="M74" s="76">
        <v>11.9</v>
      </c>
      <c r="N74" s="76">
        <v>11.9</v>
      </c>
      <c r="O74" s="76">
        <v>11.9</v>
      </c>
      <c r="P74" s="76">
        <v>10.1</v>
      </c>
      <c r="Q74" s="76">
        <v>10.1</v>
      </c>
      <c r="R74" s="76">
        <v>10.1</v>
      </c>
      <c r="S74" s="76">
        <v>10.1</v>
      </c>
      <c r="T74" s="76">
        <v>10.1</v>
      </c>
      <c r="U74" s="76">
        <v>10.1</v>
      </c>
      <c r="V74" s="76">
        <v>10.1</v>
      </c>
      <c r="W74" s="76">
        <v>10.1</v>
      </c>
      <c r="X74" s="76">
        <v>10.1</v>
      </c>
      <c r="Y74" s="76">
        <v>10.1</v>
      </c>
      <c r="Z74" s="76">
        <v>10.1</v>
      </c>
      <c r="AA74" s="76">
        <v>10.1</v>
      </c>
      <c r="AB74" s="76">
        <v>10.1</v>
      </c>
      <c r="AC74" s="76">
        <v>10.1</v>
      </c>
      <c r="AD74" s="76">
        <v>10.1</v>
      </c>
      <c r="AE74" s="76">
        <v>10.1</v>
      </c>
      <c r="AF74" s="76">
        <v>10.1</v>
      </c>
      <c r="AG74" s="66">
        <v>14.1</v>
      </c>
      <c r="AH74" s="48">
        <f t="shared" si="2"/>
        <v>11.9</v>
      </c>
      <c r="AI74" s="49">
        <f t="shared" si="3"/>
        <v>10.1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70.3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>
        <v>11.6</v>
      </c>
      <c r="C75" s="76">
        <v>11.6</v>
      </c>
      <c r="D75" s="76">
        <v>11.6</v>
      </c>
      <c r="E75" s="76">
        <v>11.6</v>
      </c>
      <c r="F75" s="76">
        <v>11.6</v>
      </c>
      <c r="G75" s="76">
        <v>11.6</v>
      </c>
      <c r="H75" s="76">
        <v>11.6</v>
      </c>
      <c r="I75" s="76">
        <v>11.6</v>
      </c>
      <c r="J75" s="76">
        <v>11.6</v>
      </c>
      <c r="K75" s="76">
        <v>11.6</v>
      </c>
      <c r="L75" s="76">
        <v>11.6</v>
      </c>
      <c r="M75" s="76">
        <v>11.6</v>
      </c>
      <c r="N75" s="76">
        <v>11.6</v>
      </c>
      <c r="O75" s="76">
        <v>11.6</v>
      </c>
      <c r="P75" s="76">
        <v>8.8000000000000007</v>
      </c>
      <c r="Q75" s="76">
        <v>8.8000000000000007</v>
      </c>
      <c r="R75" s="76">
        <v>8.8000000000000007</v>
      </c>
      <c r="S75" s="76">
        <v>12.3</v>
      </c>
      <c r="T75" s="76">
        <v>12.3</v>
      </c>
      <c r="U75" s="76">
        <v>10</v>
      </c>
      <c r="V75" s="76">
        <v>10</v>
      </c>
      <c r="W75" s="76">
        <v>10</v>
      </c>
      <c r="X75" s="76">
        <v>10</v>
      </c>
      <c r="Y75" s="76">
        <v>10</v>
      </c>
      <c r="Z75" s="76">
        <v>10</v>
      </c>
      <c r="AA75" s="76">
        <v>10</v>
      </c>
      <c r="AB75" s="76">
        <v>10</v>
      </c>
      <c r="AC75" s="76">
        <v>10</v>
      </c>
      <c r="AD75" s="76">
        <v>10</v>
      </c>
      <c r="AE75" s="76">
        <v>10</v>
      </c>
      <c r="AF75" s="76">
        <v>10</v>
      </c>
      <c r="AG75" s="66">
        <v>14</v>
      </c>
      <c r="AH75" s="48">
        <f t="shared" ref="AH75:AH126" si="27">MAX(B75:AF75)</f>
        <v>12.3</v>
      </c>
      <c r="AI75" s="49">
        <f t="shared" ref="AI75:AI126" si="28">MIN(B75:AF75)</f>
        <v>8.8000000000000007</v>
      </c>
      <c r="AK75" s="51"/>
      <c r="AZ75" s="82">
        <f t="shared" si="26"/>
        <v>-171</v>
      </c>
      <c r="BA75" s="82">
        <f t="shared" si="26"/>
        <v>-174</v>
      </c>
      <c r="BB75" s="82">
        <f t="shared" si="26"/>
        <v>-181.1</v>
      </c>
      <c r="BC75" s="82">
        <f t="shared" si="26"/>
        <v>-173.8</v>
      </c>
      <c r="BD75" s="82">
        <f t="shared" si="26"/>
        <v>-119</v>
      </c>
      <c r="BE75" s="82">
        <f t="shared" si="26"/>
        <v>-171</v>
      </c>
      <c r="BF75" s="82">
        <f t="shared" si="26"/>
        <v>-209</v>
      </c>
      <c r="BG75" s="82">
        <f t="shared" si="26"/>
        <v>-126.1</v>
      </c>
      <c r="BH75" s="82">
        <f t="shared" si="26"/>
        <v>-109</v>
      </c>
      <c r="BI75" s="82">
        <f t="shared" si="26"/>
        <v>-120</v>
      </c>
      <c r="BJ75" s="82">
        <f t="shared" si="26"/>
        <v>-15</v>
      </c>
      <c r="BK75" s="82">
        <f t="shared" si="26"/>
        <v>-10</v>
      </c>
      <c r="BL75" s="82">
        <f t="shared" si="26"/>
        <v>-12</v>
      </c>
      <c r="BM75" s="82">
        <f t="shared" si="26"/>
        <v>0</v>
      </c>
      <c r="BN75" s="82">
        <f t="shared" si="26"/>
        <v>-16</v>
      </c>
      <c r="BO75" s="82">
        <f t="shared" si="26"/>
        <v>62</v>
      </c>
      <c r="BP75" s="82">
        <f t="shared" si="26"/>
        <v>68</v>
      </c>
      <c r="BQ75" s="82">
        <f t="shared" si="26"/>
        <v>65</v>
      </c>
      <c r="BR75" s="82">
        <f t="shared" si="26"/>
        <v>-134</v>
      </c>
      <c r="BS75" s="82">
        <f t="shared" si="26"/>
        <v>-99.5</v>
      </c>
      <c r="BT75" s="82">
        <f t="shared" si="26"/>
        <v>-108.1</v>
      </c>
      <c r="BU75" s="82">
        <f t="shared" si="26"/>
        <v>-110.6</v>
      </c>
      <c r="BV75" s="82">
        <f t="shared" si="26"/>
        <v>-120.6</v>
      </c>
      <c r="BW75" s="82">
        <f t="shared" si="26"/>
        <v>-112.3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27"/>
        <v>8</v>
      </c>
      <c r="AI76" s="49">
        <f t="shared" si="28"/>
        <v>8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33.200000000000003</v>
      </c>
      <c r="BG76" s="82">
        <f t="shared" si="26"/>
        <v>0</v>
      </c>
      <c r="BH76" s="82">
        <f t="shared" si="26"/>
        <v>16.600000000000001</v>
      </c>
      <c r="BI76" s="82">
        <f t="shared" si="26"/>
        <v>33.799999999999997</v>
      </c>
      <c r="BJ76" s="82">
        <f t="shared" si="26"/>
        <v>35</v>
      </c>
      <c r="BK76" s="82">
        <f t="shared" si="26"/>
        <v>33.5</v>
      </c>
      <c r="BL76" s="82">
        <f t="shared" si="26"/>
        <v>35.9</v>
      </c>
      <c r="BM76" s="82">
        <f t="shared" si="26"/>
        <v>29.1</v>
      </c>
      <c r="BN76" s="82">
        <f t="shared" si="26"/>
        <v>34</v>
      </c>
      <c r="BO76" s="82">
        <f t="shared" si="26"/>
        <v>34</v>
      </c>
      <c r="BP76" s="82">
        <f t="shared" si="26"/>
        <v>35</v>
      </c>
      <c r="BQ76" s="82">
        <f t="shared" si="26"/>
        <v>28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27"/>
        <v>3</v>
      </c>
      <c r="AI77" s="49">
        <f t="shared" si="28"/>
        <v>3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45.3</v>
      </c>
      <c r="BG77" s="82">
        <f t="shared" si="26"/>
        <v>111.4</v>
      </c>
      <c r="BH77" s="82">
        <f t="shared" si="26"/>
        <v>101</v>
      </c>
      <c r="BI77" s="82">
        <f t="shared" si="26"/>
        <v>108.9</v>
      </c>
      <c r="BJ77" s="82">
        <f t="shared" si="26"/>
        <v>130.80000000000001</v>
      </c>
      <c r="BK77" s="82">
        <f t="shared" si="26"/>
        <v>114</v>
      </c>
      <c r="BL77" s="82">
        <f t="shared" si="26"/>
        <v>139.69999999999999</v>
      </c>
      <c r="BM77" s="82">
        <f t="shared" si="26"/>
        <v>129.6</v>
      </c>
      <c r="BN77" s="82">
        <f t="shared" si="26"/>
        <v>138</v>
      </c>
      <c r="BO77" s="82">
        <f t="shared" si="26"/>
        <v>112</v>
      </c>
      <c r="BP77" s="82">
        <f t="shared" si="26"/>
        <v>124.3</v>
      </c>
      <c r="BQ77" s="82">
        <f t="shared" si="26"/>
        <v>90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5.5</v>
      </c>
      <c r="C78" s="85">
        <v>5.5</v>
      </c>
      <c r="D78" s="85">
        <v>5.5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5.5</v>
      </c>
      <c r="AB78" s="85">
        <v>5.5</v>
      </c>
      <c r="AC78" s="85">
        <v>5.5</v>
      </c>
      <c r="AD78" s="85">
        <v>5.5</v>
      </c>
      <c r="AE78" s="85">
        <v>5.5</v>
      </c>
      <c r="AF78" s="85">
        <v>5.5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v>425.1</v>
      </c>
      <c r="C79" s="71">
        <v>425.1</v>
      </c>
      <c r="D79" s="71">
        <v>425.1</v>
      </c>
      <c r="E79" s="71">
        <f t="shared" ref="E79:AG79" si="29">SUM(E66:E78)</f>
        <v>376.84000000000003</v>
      </c>
      <c r="F79" s="71">
        <f t="shared" si="29"/>
        <v>410.34000000000003</v>
      </c>
      <c r="G79" s="71">
        <f t="shared" si="29"/>
        <v>409.84000000000003</v>
      </c>
      <c r="H79" s="71">
        <f t="shared" si="29"/>
        <v>399.74</v>
      </c>
      <c r="I79" s="71">
        <f t="shared" si="29"/>
        <v>399.8</v>
      </c>
      <c r="J79" s="71">
        <f t="shared" si="29"/>
        <v>401.17</v>
      </c>
      <c r="K79" s="71">
        <f t="shared" si="29"/>
        <v>339.64</v>
      </c>
      <c r="L79" s="71">
        <f t="shared" si="29"/>
        <v>403.34000000000003</v>
      </c>
      <c r="M79" s="71">
        <f t="shared" si="29"/>
        <v>412.84</v>
      </c>
      <c r="N79" s="71">
        <f t="shared" si="29"/>
        <v>415.34</v>
      </c>
      <c r="O79" s="71">
        <f t="shared" si="29"/>
        <v>411.64</v>
      </c>
      <c r="P79" s="71">
        <f t="shared" si="29"/>
        <v>384.6400000000001</v>
      </c>
      <c r="Q79" s="71">
        <f t="shared" si="29"/>
        <v>384.6400000000001</v>
      </c>
      <c r="R79" s="71">
        <f t="shared" si="29"/>
        <v>385.1400000000001</v>
      </c>
      <c r="S79" s="71">
        <f t="shared" si="29"/>
        <v>415.94</v>
      </c>
      <c r="T79" s="71">
        <f t="shared" si="29"/>
        <v>406.64</v>
      </c>
      <c r="U79" s="71">
        <f t="shared" si="29"/>
        <v>383.94</v>
      </c>
      <c r="V79" s="71">
        <f t="shared" si="29"/>
        <v>386.54</v>
      </c>
      <c r="W79" s="71">
        <f t="shared" si="29"/>
        <v>383.04</v>
      </c>
      <c r="X79" s="71">
        <f t="shared" si="29"/>
        <v>382.14</v>
      </c>
      <c r="Y79" s="71">
        <f t="shared" si="29"/>
        <v>381.7</v>
      </c>
      <c r="Z79" s="71">
        <f t="shared" si="29"/>
        <v>395.7</v>
      </c>
      <c r="AA79" s="71">
        <v>395.7</v>
      </c>
      <c r="AB79" s="71">
        <v>395.7</v>
      </c>
      <c r="AC79" s="71">
        <v>395.7</v>
      </c>
      <c r="AD79" s="71">
        <v>395.7</v>
      </c>
      <c r="AE79" s="71">
        <v>395.7</v>
      </c>
      <c r="AF79" s="71">
        <v>395.7</v>
      </c>
      <c r="AG79" s="72">
        <f t="shared" si="29"/>
        <v>489.91</v>
      </c>
      <c r="AH79" s="48">
        <f t="shared" si="27"/>
        <v>425.1</v>
      </c>
      <c r="AI79" s="49">
        <f t="shared" si="28"/>
        <v>339.64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/>
      <c r="N80" s="46"/>
      <c r="O80" s="46"/>
      <c r="P80" s="46"/>
      <c r="Q80" s="46"/>
      <c r="R80" s="46"/>
      <c r="S80" s="46"/>
      <c r="T80" s="46"/>
      <c r="U80" s="46">
        <v>48.5</v>
      </c>
      <c r="V80" s="46">
        <v>33</v>
      </c>
      <c r="W80" s="46">
        <v>11</v>
      </c>
      <c r="X80" s="46">
        <v>11</v>
      </c>
      <c r="Y80" s="46">
        <v>11</v>
      </c>
      <c r="Z80" s="46">
        <v>14</v>
      </c>
      <c r="AA80" s="46">
        <v>14</v>
      </c>
      <c r="AB80" s="46">
        <v>29</v>
      </c>
      <c r="AC80" s="46">
        <v>29</v>
      </c>
      <c r="AD80" s="46">
        <v>29</v>
      </c>
      <c r="AE80" s="46">
        <v>0</v>
      </c>
      <c r="AF80" s="46">
        <v>0</v>
      </c>
      <c r="AG80" s="61">
        <v>60</v>
      </c>
      <c r="AH80" s="48">
        <f t="shared" si="27"/>
        <v>48.5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/>
      <c r="N81" s="76"/>
      <c r="O81" s="76"/>
      <c r="P81" s="76"/>
      <c r="Q81" s="76"/>
      <c r="R81" s="76"/>
      <c r="S81" s="76"/>
      <c r="T81" s="76"/>
      <c r="U81" s="76">
        <v>25.3</v>
      </c>
      <c r="V81" s="76">
        <v>13.5</v>
      </c>
      <c r="W81" s="76">
        <v>3.8</v>
      </c>
      <c r="X81" s="76">
        <v>3.8</v>
      </c>
      <c r="Y81" s="76">
        <v>3.8</v>
      </c>
      <c r="Z81" s="76">
        <v>5.0999999999999996</v>
      </c>
      <c r="AA81" s="76">
        <v>5.0999999999999996</v>
      </c>
      <c r="AB81" s="76">
        <v>14.2</v>
      </c>
      <c r="AC81" s="76">
        <v>14.2</v>
      </c>
      <c r="AD81" s="76">
        <v>14.2</v>
      </c>
      <c r="AE81" s="76">
        <v>0</v>
      </c>
      <c r="AF81" s="76">
        <v>0</v>
      </c>
      <c r="AG81" s="66">
        <v>32</v>
      </c>
      <c r="AH81" s="48">
        <f t="shared" si="27"/>
        <v>25.3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/>
      <c r="N82" s="78"/>
      <c r="O82" s="78"/>
      <c r="P82" s="78"/>
      <c r="Q82" s="78"/>
      <c r="R82" s="78"/>
      <c r="S82" s="78"/>
      <c r="T82" s="78"/>
      <c r="U82" s="78">
        <v>9.1999999999999993</v>
      </c>
      <c r="V82" s="78">
        <v>4.9000000000000004</v>
      </c>
      <c r="W82" s="78">
        <v>1.4</v>
      </c>
      <c r="X82" s="78">
        <v>1.4</v>
      </c>
      <c r="Y82" s="78">
        <v>1.4</v>
      </c>
      <c r="Z82" s="78">
        <v>1.9</v>
      </c>
      <c r="AA82" s="78">
        <v>1.9</v>
      </c>
      <c r="AB82" s="78">
        <v>5.2</v>
      </c>
      <c r="AC82" s="78">
        <v>5.2</v>
      </c>
      <c r="AD82" s="78">
        <v>5.2</v>
      </c>
      <c r="AE82" s="78">
        <v>0</v>
      </c>
      <c r="AF82" s="78">
        <v>0</v>
      </c>
      <c r="AG82" s="79">
        <v>14</v>
      </c>
      <c r="AH82" s="48">
        <f t="shared" si="27"/>
        <v>9.1999999999999993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15</v>
      </c>
      <c r="BH82" s="82">
        <v>0</v>
      </c>
      <c r="BI82" s="82">
        <v>-171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v>93.6</v>
      </c>
      <c r="C83" s="71">
        <v>93.6</v>
      </c>
      <c r="D83" s="71">
        <v>93.6</v>
      </c>
      <c r="E83" s="71">
        <f t="shared" ref="E83:Z83" si="30">E80+E81+E82</f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83</v>
      </c>
      <c r="V83" s="71">
        <f t="shared" si="30"/>
        <v>51.4</v>
      </c>
      <c r="W83" s="71">
        <f t="shared" si="30"/>
        <v>16.2</v>
      </c>
      <c r="X83" s="71">
        <f t="shared" si="30"/>
        <v>16.2</v>
      </c>
      <c r="Y83" s="71">
        <f t="shared" si="30"/>
        <v>16.2</v>
      </c>
      <c r="Z83" s="71">
        <f t="shared" si="30"/>
        <v>21</v>
      </c>
      <c r="AA83" s="71">
        <v>21</v>
      </c>
      <c r="AB83" s="71">
        <v>21</v>
      </c>
      <c r="AC83" s="71">
        <v>21</v>
      </c>
      <c r="AD83" s="71">
        <v>21</v>
      </c>
      <c r="AE83" s="71">
        <v>21</v>
      </c>
      <c r="AF83" s="71">
        <v>21</v>
      </c>
      <c r="AG83" s="72">
        <f>SUM(AG80:AG82)</f>
        <v>106</v>
      </c>
      <c r="AH83" s="48">
        <f t="shared" si="27"/>
        <v>93.6</v>
      </c>
      <c r="AI83" s="49">
        <f t="shared" si="28"/>
        <v>0</v>
      </c>
      <c r="AK83" s="51"/>
      <c r="AY83" s="82"/>
      <c r="BF83" s="81"/>
      <c r="BG83" s="82">
        <v>13.3</v>
      </c>
      <c r="BH83" s="82">
        <v>0</v>
      </c>
      <c r="BI83" s="82">
        <v>-174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16.3</v>
      </c>
      <c r="C84" s="46">
        <v>15.3</v>
      </c>
      <c r="D84" s="46">
        <v>13.3</v>
      </c>
      <c r="E84" s="46">
        <v>14.5</v>
      </c>
      <c r="F84" s="46">
        <v>12.9</v>
      </c>
      <c r="G84" s="46">
        <v>10.7</v>
      </c>
      <c r="H84" s="46">
        <v>17.3</v>
      </c>
      <c r="I84" s="46">
        <v>16.5</v>
      </c>
      <c r="J84" s="46">
        <v>37.200000000000003</v>
      </c>
      <c r="K84" s="46">
        <v>33.1</v>
      </c>
      <c r="L84" s="46">
        <v>45</v>
      </c>
      <c r="M84" s="46">
        <v>56</v>
      </c>
      <c r="N84" s="46">
        <v>66.099999999999994</v>
      </c>
      <c r="O84" s="46">
        <v>58</v>
      </c>
      <c r="P84" s="46">
        <v>66</v>
      </c>
      <c r="Q84" s="46">
        <v>62.6</v>
      </c>
      <c r="R84" s="46">
        <v>65.3</v>
      </c>
      <c r="S84" s="46">
        <v>66.3</v>
      </c>
      <c r="T84" s="46">
        <v>73.7</v>
      </c>
      <c r="U84" s="46">
        <v>58.5</v>
      </c>
      <c r="V84" s="46">
        <v>66</v>
      </c>
      <c r="W84" s="46">
        <v>59.3</v>
      </c>
      <c r="X84" s="46">
        <v>67.2</v>
      </c>
      <c r="Y84" s="46">
        <v>68.2</v>
      </c>
      <c r="Z84" s="46">
        <v>34</v>
      </c>
      <c r="AA84" s="46">
        <v>31.5</v>
      </c>
      <c r="AB84" s="46">
        <v>49.6</v>
      </c>
      <c r="AC84" s="46">
        <v>53.3</v>
      </c>
      <c r="AD84" s="46">
        <v>41.5</v>
      </c>
      <c r="AE84" s="46">
        <v>34.700000000000003</v>
      </c>
      <c r="AF84" s="46">
        <v>47.5</v>
      </c>
      <c r="AG84" s="61"/>
      <c r="AH84" s="48">
        <f t="shared" si="27"/>
        <v>73.7</v>
      </c>
      <c r="AI84" s="49">
        <f t="shared" si="28"/>
        <v>10.7</v>
      </c>
      <c r="AK84" s="51"/>
      <c r="AY84" s="82"/>
      <c r="BF84" s="81"/>
      <c r="BG84" s="82">
        <v>14.5</v>
      </c>
      <c r="BH84" s="82">
        <v>0</v>
      </c>
      <c r="BI84" s="82">
        <v>-181.1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>
        <v>98</v>
      </c>
      <c r="K85" s="76">
        <v>70.3</v>
      </c>
      <c r="L85" s="76">
        <v>0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98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12.9</v>
      </c>
      <c r="BH85" s="82">
        <v>0</v>
      </c>
      <c r="BI85" s="82">
        <v>-173.8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-112.3</v>
      </c>
      <c r="C86" s="76">
        <v>-170.6</v>
      </c>
      <c r="D86" s="76">
        <v>-174</v>
      </c>
      <c r="E86" s="76">
        <v>-181.1</v>
      </c>
      <c r="F86" s="76">
        <v>-173.8</v>
      </c>
      <c r="G86" s="76">
        <v>-119</v>
      </c>
      <c r="H86" s="76">
        <v>-140</v>
      </c>
      <c r="I86" s="76">
        <v>-171</v>
      </c>
      <c r="J86" s="76">
        <v>-184</v>
      </c>
      <c r="K86" s="76">
        <v>-209</v>
      </c>
      <c r="L86" s="76">
        <v>-114.4</v>
      </c>
      <c r="M86" s="76">
        <v>-126.1</v>
      </c>
      <c r="N86" s="76">
        <v>-109</v>
      </c>
      <c r="O86" s="76">
        <v>-120</v>
      </c>
      <c r="P86" s="76">
        <v>-15</v>
      </c>
      <c r="Q86" s="76">
        <v>-10</v>
      </c>
      <c r="R86" s="76">
        <v>-12</v>
      </c>
      <c r="S86" s="76">
        <v>0</v>
      </c>
      <c r="T86" s="76">
        <v>-16</v>
      </c>
      <c r="U86" s="76">
        <v>62</v>
      </c>
      <c r="V86" s="76">
        <v>68</v>
      </c>
      <c r="W86" s="76">
        <v>109</v>
      </c>
      <c r="X86" s="76">
        <v>65</v>
      </c>
      <c r="Y86" s="76">
        <v>-117</v>
      </c>
      <c r="Z86" s="76">
        <v>-134</v>
      </c>
      <c r="AA86" s="76">
        <v>-111</v>
      </c>
      <c r="AB86" s="76">
        <v>-99.5</v>
      </c>
      <c r="AC86" s="76">
        <v>-57.8</v>
      </c>
      <c r="AD86" s="76">
        <v>-108.1</v>
      </c>
      <c r="AE86" s="76">
        <v>-110.6</v>
      </c>
      <c r="AF86" s="76">
        <v>-120.6</v>
      </c>
      <c r="AG86" s="88"/>
      <c r="AH86" s="48">
        <f t="shared" si="27"/>
        <v>109</v>
      </c>
      <c r="AI86" s="49">
        <f t="shared" si="28"/>
        <v>-209</v>
      </c>
      <c r="AK86" s="92"/>
      <c r="AL86" s="93"/>
      <c r="AM86" s="93"/>
      <c r="AN86" s="94"/>
      <c r="AY86" s="82"/>
      <c r="BF86" s="82"/>
      <c r="BG86" s="82">
        <v>10.7</v>
      </c>
      <c r="BH86" s="82">
        <v>0</v>
      </c>
      <c r="BI86" s="82">
        <v>-119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27.5</v>
      </c>
      <c r="K87" s="89">
        <v>33.200000000000003</v>
      </c>
      <c r="L87" s="89">
        <v>34.700000000000003</v>
      </c>
      <c r="M87" s="89">
        <v>0</v>
      </c>
      <c r="N87" s="89">
        <v>16.600000000000001</v>
      </c>
      <c r="O87" s="89">
        <v>33.799999999999997</v>
      </c>
      <c r="P87" s="89">
        <v>35</v>
      </c>
      <c r="Q87" s="89">
        <v>33.5</v>
      </c>
      <c r="R87" s="89">
        <v>35.9</v>
      </c>
      <c r="S87" s="89">
        <v>29.1</v>
      </c>
      <c r="T87" s="89">
        <v>34</v>
      </c>
      <c r="U87" s="89">
        <v>34</v>
      </c>
      <c r="V87" s="89">
        <v>35</v>
      </c>
      <c r="W87" s="89">
        <v>34</v>
      </c>
      <c r="X87" s="89">
        <v>28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27"/>
        <v>35.9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16.5</v>
      </c>
      <c r="BH87" s="82">
        <v>0</v>
      </c>
      <c r="BI87" s="82">
        <v>-171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46">
        <v>45.3</v>
      </c>
      <c r="L88" s="46">
        <v>100.3</v>
      </c>
      <c r="M88" s="46">
        <v>111.4</v>
      </c>
      <c r="N88" s="46">
        <v>101</v>
      </c>
      <c r="O88" s="46">
        <v>108.9</v>
      </c>
      <c r="P88" s="46">
        <v>130.80000000000001</v>
      </c>
      <c r="Q88" s="46">
        <v>114</v>
      </c>
      <c r="R88" s="46">
        <v>139.69999999999999</v>
      </c>
      <c r="S88" s="46">
        <v>129.6</v>
      </c>
      <c r="T88" s="46">
        <v>138</v>
      </c>
      <c r="U88" s="46">
        <v>112</v>
      </c>
      <c r="V88" s="46">
        <v>124.3</v>
      </c>
      <c r="W88" s="46">
        <v>111</v>
      </c>
      <c r="X88" s="46">
        <v>90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27"/>
        <v>139.69999999999999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33.1</v>
      </c>
      <c r="BH88" s="82">
        <v>70.3</v>
      </c>
      <c r="BI88" s="82">
        <v>-209</v>
      </c>
      <c r="BJ88" s="82">
        <v>33.200000000000003</v>
      </c>
      <c r="BK88" s="82">
        <v>45.3</v>
      </c>
      <c r="BL88" s="82">
        <v>0</v>
      </c>
    </row>
    <row r="89" spans="1:64" ht="15.75" thickBot="1" x14ac:dyDescent="0.3">
      <c r="A89" s="97" t="s">
        <v>117</v>
      </c>
      <c r="B89" s="90">
        <v>52.1</v>
      </c>
      <c r="C89" s="90">
        <v>52.8</v>
      </c>
      <c r="D89" s="90">
        <v>50.7</v>
      </c>
      <c r="E89" s="90">
        <v>50.3</v>
      </c>
      <c r="F89" s="90">
        <v>50.3</v>
      </c>
      <c r="G89" s="90">
        <v>45.9</v>
      </c>
      <c r="H89" s="90">
        <v>46</v>
      </c>
      <c r="I89" s="90">
        <v>47.9</v>
      </c>
      <c r="J89" s="90">
        <v>53.4</v>
      </c>
      <c r="K89" s="90">
        <v>55.5</v>
      </c>
      <c r="L89" s="90">
        <v>54.7</v>
      </c>
      <c r="M89" s="90">
        <v>0</v>
      </c>
      <c r="N89" s="90"/>
      <c r="O89" s="90"/>
      <c r="P89" s="90">
        <v>50</v>
      </c>
      <c r="Q89" s="90">
        <v>48.8</v>
      </c>
      <c r="R89" s="90">
        <v>57.5</v>
      </c>
      <c r="S89" s="90">
        <v>54.5</v>
      </c>
      <c r="T89" s="90">
        <v>56.4</v>
      </c>
      <c r="U89" s="90">
        <v>51</v>
      </c>
      <c r="V89" s="90">
        <v>52</v>
      </c>
      <c r="W89" s="90">
        <v>45</v>
      </c>
      <c r="X89" s="90">
        <v>49</v>
      </c>
      <c r="Y89" s="90">
        <v>49</v>
      </c>
      <c r="Z89" s="90">
        <v>46</v>
      </c>
      <c r="AA89" s="90">
        <v>48</v>
      </c>
      <c r="AB89" s="90">
        <v>48.9</v>
      </c>
      <c r="AC89" s="90">
        <v>49.6</v>
      </c>
      <c r="AD89" s="90">
        <v>50.5</v>
      </c>
      <c r="AE89" s="90">
        <v>37.1</v>
      </c>
      <c r="AF89" s="90">
        <v>46</v>
      </c>
      <c r="AG89" s="88"/>
      <c r="AH89" s="48">
        <f>MAX(B89:AF89)</f>
        <v>57.5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56</v>
      </c>
      <c r="BH89" s="82">
        <v>0</v>
      </c>
      <c r="BI89" s="82">
        <v>-126.1</v>
      </c>
      <c r="BJ89" s="82">
        <v>0</v>
      </c>
      <c r="BK89" s="82">
        <v>111.4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2"/>
      <c r="AY90" s="82"/>
      <c r="BF90" s="82"/>
      <c r="BG90" s="82">
        <v>66.099999999999994</v>
      </c>
      <c r="BH90" s="82">
        <v>0</v>
      </c>
      <c r="BI90" s="82">
        <v>-109</v>
      </c>
      <c r="BJ90" s="82">
        <v>16.600000000000001</v>
      </c>
      <c r="BK90" s="82">
        <v>101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3"/>
      <c r="BF91" s="82"/>
      <c r="BG91" s="82">
        <v>58</v>
      </c>
      <c r="BH91" s="82">
        <v>0</v>
      </c>
      <c r="BI91" s="82">
        <v>-120</v>
      </c>
      <c r="BJ91" s="82">
        <v>33.799999999999997</v>
      </c>
      <c r="BK91" s="82">
        <v>108.9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66</v>
      </c>
      <c r="BH92" s="82">
        <v>0</v>
      </c>
      <c r="BI92" s="82">
        <v>-15</v>
      </c>
      <c r="BJ92" s="82">
        <v>35</v>
      </c>
      <c r="BK92" s="82">
        <v>130.80000000000001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62.6</v>
      </c>
      <c r="BH93" s="82">
        <v>0</v>
      </c>
      <c r="BI93" s="82">
        <v>-10</v>
      </c>
      <c r="BJ93" s="82">
        <v>33.5</v>
      </c>
      <c r="BK93" s="82">
        <v>114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65.3</v>
      </c>
      <c r="BH94" s="82">
        <v>0</v>
      </c>
      <c r="BI94" s="82">
        <v>-12</v>
      </c>
      <c r="BJ94" s="82">
        <v>35.9</v>
      </c>
      <c r="BK94" s="82">
        <v>139.69999999999999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31">SUMIF(B84:B94,"&gt;0")</f>
        <v>68.400000000000006</v>
      </c>
      <c r="C95" s="71">
        <f t="shared" si="31"/>
        <v>68.099999999999994</v>
      </c>
      <c r="D95" s="71">
        <f t="shared" ref="D95" si="32">SUMIF(D84:D94,"&gt;0")</f>
        <v>64</v>
      </c>
      <c r="E95" s="71">
        <f t="shared" ref="E95:AF95" si="33">SUMIF(E84:E94,"&gt;0")</f>
        <v>64.8</v>
      </c>
      <c r="F95" s="71">
        <f t="shared" si="33"/>
        <v>63.199999999999996</v>
      </c>
      <c r="G95" s="71">
        <f t="shared" si="33"/>
        <v>56.599999999999994</v>
      </c>
      <c r="H95" s="71">
        <f t="shared" si="33"/>
        <v>63.3</v>
      </c>
      <c r="I95" s="71">
        <f t="shared" si="33"/>
        <v>64.400000000000006</v>
      </c>
      <c r="J95" s="71">
        <f t="shared" si="33"/>
        <v>216.1</v>
      </c>
      <c r="K95" s="71">
        <f t="shared" si="33"/>
        <v>237.40000000000003</v>
      </c>
      <c r="L95" s="71">
        <f t="shared" si="33"/>
        <v>234.7</v>
      </c>
      <c r="M95" s="71">
        <f t="shared" si="33"/>
        <v>167.4</v>
      </c>
      <c r="N95" s="71">
        <f t="shared" si="33"/>
        <v>183.7</v>
      </c>
      <c r="O95" s="71">
        <f t="shared" si="33"/>
        <v>200.7</v>
      </c>
      <c r="P95" s="71">
        <f t="shared" si="33"/>
        <v>281.8</v>
      </c>
      <c r="Q95" s="71">
        <f t="shared" si="33"/>
        <v>258.89999999999998</v>
      </c>
      <c r="R95" s="71">
        <f t="shared" si="33"/>
        <v>298.39999999999998</v>
      </c>
      <c r="S95" s="71">
        <f t="shared" si="33"/>
        <v>279.5</v>
      </c>
      <c r="T95" s="71">
        <f t="shared" si="33"/>
        <v>302.09999999999997</v>
      </c>
      <c r="U95" s="71">
        <f>SUMIF(U84:U94,"&gt;0")</f>
        <v>317.5</v>
      </c>
      <c r="V95" s="71">
        <f t="shared" si="33"/>
        <v>345.3</v>
      </c>
      <c r="W95" s="71">
        <f t="shared" si="33"/>
        <v>358.3</v>
      </c>
      <c r="X95" s="71">
        <f t="shared" si="33"/>
        <v>299.2</v>
      </c>
      <c r="Y95" s="71">
        <f t="shared" si="33"/>
        <v>117.2</v>
      </c>
      <c r="Z95" s="71">
        <f t="shared" si="33"/>
        <v>80</v>
      </c>
      <c r="AA95" s="71">
        <f t="shared" si="33"/>
        <v>79.5</v>
      </c>
      <c r="AB95" s="71">
        <f t="shared" ref="AB95:AC95" si="34">SUMIF(AB84:AB94,"&gt;0")</f>
        <v>98.5</v>
      </c>
      <c r="AC95" s="71">
        <f t="shared" si="34"/>
        <v>102.9</v>
      </c>
      <c r="AD95" s="71">
        <f t="shared" ref="AD95:AE95" si="35">SUMIF(AD84:AD94,"&gt;0")</f>
        <v>92</v>
      </c>
      <c r="AE95" s="71">
        <f t="shared" si="35"/>
        <v>71.800000000000011</v>
      </c>
      <c r="AF95" s="71">
        <f t="shared" si="33"/>
        <v>93.5</v>
      </c>
      <c r="AG95" s="101">
        <f>SUM(AG84:AG94)</f>
        <v>0</v>
      </c>
      <c r="AH95" s="48">
        <f t="shared" si="27"/>
        <v>358.3</v>
      </c>
      <c r="AI95" s="49">
        <f t="shared" si="28"/>
        <v>56.599999999999994</v>
      </c>
      <c r="BF95" s="82"/>
      <c r="BG95" s="82">
        <v>66.3</v>
      </c>
      <c r="BH95" s="82">
        <v>0</v>
      </c>
      <c r="BI95" s="82">
        <v>0</v>
      </c>
      <c r="BJ95" s="82">
        <v>29.1</v>
      </c>
      <c r="BK95" s="82">
        <v>129.6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73.7</v>
      </c>
      <c r="BH96" s="82">
        <v>0</v>
      </c>
      <c r="BI96" s="82">
        <v>-16</v>
      </c>
      <c r="BJ96" s="82">
        <v>34</v>
      </c>
      <c r="BK96" s="82">
        <v>138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58.5</v>
      </c>
      <c r="BH97" s="82">
        <v>0</v>
      </c>
      <c r="BI97" s="82">
        <v>62</v>
      </c>
      <c r="BJ97" s="82">
        <v>34</v>
      </c>
      <c r="BK97" s="82">
        <v>112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66</v>
      </c>
      <c r="BH98" s="82">
        <v>0</v>
      </c>
      <c r="BI98" s="82">
        <v>68</v>
      </c>
      <c r="BJ98" s="82">
        <v>35</v>
      </c>
      <c r="BK98" s="82">
        <v>124.3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67.2</v>
      </c>
      <c r="BH99" s="82">
        <v>0</v>
      </c>
      <c r="BI99" s="82">
        <v>65</v>
      </c>
      <c r="BJ99" s="82">
        <v>28</v>
      </c>
      <c r="BK99" s="82">
        <v>90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36">B61+B65+B83+B79+B95+B99</f>
        <v>1692.6</v>
      </c>
      <c r="C100" s="108">
        <f t="shared" si="36"/>
        <v>1716.4</v>
      </c>
      <c r="D100" s="108">
        <f t="shared" ref="D100" si="37">D61+D65+D83+D79+D95+D99</f>
        <v>1748.6999999999998</v>
      </c>
      <c r="E100" s="108">
        <f t="shared" ref="E100:AG100" si="38">E61+E65+E83+E79+E95+E99</f>
        <v>1571.84</v>
      </c>
      <c r="F100" s="108">
        <f t="shared" si="38"/>
        <v>1586.2400000000005</v>
      </c>
      <c r="G100" s="108">
        <f t="shared" si="38"/>
        <v>1514.1399999999999</v>
      </c>
      <c r="H100" s="108">
        <f t="shared" si="38"/>
        <v>1481.24</v>
      </c>
      <c r="I100" s="108">
        <f t="shared" si="38"/>
        <v>1598.1000000000001</v>
      </c>
      <c r="J100" s="108">
        <f t="shared" si="38"/>
        <v>1741.17</v>
      </c>
      <c r="K100" s="108">
        <f t="shared" si="38"/>
        <v>1697.94</v>
      </c>
      <c r="L100" s="108">
        <f t="shared" si="38"/>
        <v>1637.9400000000003</v>
      </c>
      <c r="M100" s="108">
        <f t="shared" si="38"/>
        <v>1644.14</v>
      </c>
      <c r="N100" s="108">
        <f t="shared" si="38"/>
        <v>1671.7400000000002</v>
      </c>
      <c r="O100" s="108">
        <f t="shared" si="38"/>
        <v>1715.4399999999998</v>
      </c>
      <c r="P100" s="108">
        <f t="shared" si="38"/>
        <v>1687.3400000000001</v>
      </c>
      <c r="Q100" s="108">
        <f t="shared" si="38"/>
        <v>1715.94</v>
      </c>
      <c r="R100" s="108">
        <f t="shared" si="38"/>
        <v>1733.04</v>
      </c>
      <c r="S100" s="108">
        <f t="shared" si="38"/>
        <v>1760.44</v>
      </c>
      <c r="T100" s="108">
        <f t="shared" si="38"/>
        <v>1821.7399999999998</v>
      </c>
      <c r="U100" s="108">
        <f t="shared" si="38"/>
        <v>1704.9399999999998</v>
      </c>
      <c r="V100" s="108">
        <f t="shared" si="38"/>
        <v>1628.7399999999998</v>
      </c>
      <c r="W100" s="108">
        <f t="shared" si="38"/>
        <v>1631.04</v>
      </c>
      <c r="X100" s="108">
        <f t="shared" si="38"/>
        <v>1530.64</v>
      </c>
      <c r="Y100" s="108">
        <f t="shared" si="38"/>
        <v>1597.6000000000001</v>
      </c>
      <c r="Z100" s="108">
        <f t="shared" si="38"/>
        <v>1729</v>
      </c>
      <c r="AA100" s="108">
        <f t="shared" si="38"/>
        <v>1736.5</v>
      </c>
      <c r="AB100" s="108">
        <f t="shared" ref="AB100:AC100" si="39">AB61+AB65+AB83+AB79+AB95+AB99</f>
        <v>1755.5</v>
      </c>
      <c r="AC100" s="108">
        <f t="shared" si="39"/>
        <v>1759.9</v>
      </c>
      <c r="AD100" s="108">
        <f t="shared" ref="AD100:AE100" si="40">AD61+AD65+AD83+AD79+AD95+AD99</f>
        <v>1749</v>
      </c>
      <c r="AE100" s="108">
        <f t="shared" si="40"/>
        <v>1728.8</v>
      </c>
      <c r="AF100" s="108">
        <f t="shared" si="38"/>
        <v>1750.5</v>
      </c>
      <c r="AG100" s="72">
        <f t="shared" si="38"/>
        <v>2655.44</v>
      </c>
      <c r="AH100" s="48">
        <f t="shared" si="27"/>
        <v>1821.7399999999998</v>
      </c>
      <c r="AI100" s="49">
        <f t="shared" si="28"/>
        <v>1481.24</v>
      </c>
      <c r="BF100" s="81"/>
      <c r="BG100" s="82">
        <v>34</v>
      </c>
      <c r="BH100" s="82">
        <v>0</v>
      </c>
      <c r="BI100" s="82">
        <v>-134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200</v>
      </c>
      <c r="C101" s="110">
        <v>200</v>
      </c>
      <c r="D101" s="110">
        <v>200</v>
      </c>
      <c r="E101" s="110">
        <v>200</v>
      </c>
      <c r="F101" s="110">
        <v>200</v>
      </c>
      <c r="G101" s="110">
        <v>180</v>
      </c>
      <c r="H101" s="110">
        <v>150</v>
      </c>
      <c r="I101" s="110">
        <v>100</v>
      </c>
      <c r="J101" s="110">
        <v>140</v>
      </c>
      <c r="K101" s="110">
        <v>100</v>
      </c>
      <c r="L101" s="110">
        <v>0</v>
      </c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200</v>
      </c>
      <c r="Z101" s="110">
        <v>200</v>
      </c>
      <c r="AA101" s="110">
        <v>200</v>
      </c>
      <c r="AB101" s="110">
        <v>200</v>
      </c>
      <c r="AC101" s="110">
        <v>200</v>
      </c>
      <c r="AD101" s="110">
        <v>200</v>
      </c>
      <c r="AE101" s="110">
        <v>220</v>
      </c>
      <c r="AF101" s="110">
        <v>200</v>
      </c>
      <c r="AG101" s="101"/>
      <c r="AH101" s="48">
        <f t="shared" si="27"/>
        <v>220</v>
      </c>
      <c r="AI101" s="49">
        <f t="shared" si="28"/>
        <v>0</v>
      </c>
      <c r="BF101" s="81"/>
      <c r="BG101" s="82">
        <v>49.6</v>
      </c>
      <c r="BH101" s="82">
        <v>0</v>
      </c>
      <c r="BI101" s="82">
        <v>-99.5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41">B100+B101</f>
        <v>1892.6</v>
      </c>
      <c r="C102" s="108">
        <f t="shared" si="41"/>
        <v>1916.4</v>
      </c>
      <c r="D102" s="108">
        <f t="shared" ref="D102" si="42">D100+D101</f>
        <v>1948.6999999999998</v>
      </c>
      <c r="E102" s="108">
        <f t="shared" ref="E102:AF102" si="43">E100+E101</f>
        <v>1771.84</v>
      </c>
      <c r="F102" s="108">
        <f t="shared" si="43"/>
        <v>1786.2400000000005</v>
      </c>
      <c r="G102" s="108">
        <f t="shared" si="43"/>
        <v>1694.1399999999999</v>
      </c>
      <c r="H102" s="108">
        <f t="shared" si="43"/>
        <v>1631.24</v>
      </c>
      <c r="I102" s="108">
        <f t="shared" si="43"/>
        <v>1698.1000000000001</v>
      </c>
      <c r="J102" s="108">
        <f t="shared" si="43"/>
        <v>1881.17</v>
      </c>
      <c r="K102" s="108">
        <f t="shared" si="43"/>
        <v>1797.94</v>
      </c>
      <c r="L102" s="108">
        <f t="shared" si="43"/>
        <v>1637.9400000000003</v>
      </c>
      <c r="M102" s="108">
        <f t="shared" si="43"/>
        <v>1644.14</v>
      </c>
      <c r="N102" s="108">
        <f t="shared" si="43"/>
        <v>1671.7400000000002</v>
      </c>
      <c r="O102" s="108">
        <f t="shared" si="43"/>
        <v>1715.4399999999998</v>
      </c>
      <c r="P102" s="108">
        <f t="shared" si="43"/>
        <v>1687.3400000000001</v>
      </c>
      <c r="Q102" s="108">
        <f t="shared" si="43"/>
        <v>1715.94</v>
      </c>
      <c r="R102" s="108">
        <f t="shared" si="43"/>
        <v>1733.04</v>
      </c>
      <c r="S102" s="108">
        <f t="shared" si="43"/>
        <v>1760.44</v>
      </c>
      <c r="T102" s="108">
        <f t="shared" si="43"/>
        <v>1821.7399999999998</v>
      </c>
      <c r="U102" s="108">
        <f t="shared" si="43"/>
        <v>1704.9399999999998</v>
      </c>
      <c r="V102" s="108">
        <f t="shared" si="43"/>
        <v>1628.7399999999998</v>
      </c>
      <c r="W102" s="108">
        <f t="shared" si="43"/>
        <v>1631.04</v>
      </c>
      <c r="X102" s="108">
        <f t="shared" si="43"/>
        <v>1530.64</v>
      </c>
      <c r="Y102" s="108">
        <f t="shared" si="43"/>
        <v>1797.6000000000001</v>
      </c>
      <c r="Z102" s="108">
        <f t="shared" si="43"/>
        <v>1929</v>
      </c>
      <c r="AA102" s="108">
        <f t="shared" si="43"/>
        <v>1936.5</v>
      </c>
      <c r="AB102" s="108">
        <f t="shared" ref="AB102:AC102" si="44">AB100+AB101</f>
        <v>1955.5</v>
      </c>
      <c r="AC102" s="108">
        <f t="shared" si="44"/>
        <v>1959.9</v>
      </c>
      <c r="AD102" s="108">
        <f t="shared" ref="AD102:AE102" si="45">AD100+AD101</f>
        <v>1949</v>
      </c>
      <c r="AE102" s="108">
        <f t="shared" si="45"/>
        <v>1948.8</v>
      </c>
      <c r="AF102" s="108">
        <f t="shared" si="43"/>
        <v>1950.5</v>
      </c>
      <c r="AG102" s="101">
        <f>AG99+AG95+AG83+AG79+AG61+AG101</f>
        <v>2117.34</v>
      </c>
      <c r="AH102" s="48">
        <f t="shared" si="27"/>
        <v>1959.9</v>
      </c>
      <c r="AI102" s="49">
        <f t="shared" si="28"/>
        <v>1530.64</v>
      </c>
      <c r="BF102" s="81"/>
      <c r="BG102" s="82">
        <v>41.5</v>
      </c>
      <c r="BH102" s="82">
        <v>0</v>
      </c>
      <c r="BI102" s="82">
        <v>-108.1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46">B102-(B110)</f>
        <v>1780.3</v>
      </c>
      <c r="C103" s="108">
        <f t="shared" si="46"/>
        <v>1745.8000000000002</v>
      </c>
      <c r="D103" s="108">
        <f t="shared" ref="D103" si="47">D102-(D110)</f>
        <v>1774.6999999999998</v>
      </c>
      <c r="E103" s="108">
        <f t="shared" ref="E103:AF103" si="48">E102-(E110)</f>
        <v>1590.74</v>
      </c>
      <c r="F103" s="108">
        <f t="shared" si="48"/>
        <v>1612.4400000000005</v>
      </c>
      <c r="G103" s="108">
        <f t="shared" si="48"/>
        <v>1575.1399999999999</v>
      </c>
      <c r="H103" s="108">
        <f t="shared" si="48"/>
        <v>1491.24</v>
      </c>
      <c r="I103" s="108">
        <f t="shared" si="48"/>
        <v>1527.1000000000001</v>
      </c>
      <c r="J103" s="108">
        <f t="shared" si="48"/>
        <v>1697.17</v>
      </c>
      <c r="K103" s="108">
        <f t="shared" si="48"/>
        <v>1588.94</v>
      </c>
      <c r="L103" s="108">
        <f t="shared" si="48"/>
        <v>1523.5400000000002</v>
      </c>
      <c r="M103" s="108">
        <f t="shared" si="48"/>
        <v>1518.0400000000002</v>
      </c>
      <c r="N103" s="108">
        <f t="shared" si="48"/>
        <v>1562.7400000000002</v>
      </c>
      <c r="O103" s="108">
        <f t="shared" si="48"/>
        <v>1595.4399999999998</v>
      </c>
      <c r="P103" s="108">
        <f t="shared" si="48"/>
        <v>1672.3400000000001</v>
      </c>
      <c r="Q103" s="108">
        <f t="shared" si="48"/>
        <v>1705.94</v>
      </c>
      <c r="R103" s="108">
        <f t="shared" si="48"/>
        <v>1721.04</v>
      </c>
      <c r="S103" s="108">
        <f t="shared" si="48"/>
        <v>1760.44</v>
      </c>
      <c r="T103" s="108">
        <f t="shared" si="48"/>
        <v>1805.7399999999998</v>
      </c>
      <c r="U103" s="108">
        <f t="shared" si="48"/>
        <v>1704.9399999999998</v>
      </c>
      <c r="V103" s="108">
        <f t="shared" si="48"/>
        <v>1628.7399999999998</v>
      </c>
      <c r="W103" s="108">
        <f t="shared" si="48"/>
        <v>1631.04</v>
      </c>
      <c r="X103" s="108">
        <f t="shared" si="48"/>
        <v>1530.64</v>
      </c>
      <c r="Y103" s="108">
        <f t="shared" si="48"/>
        <v>1680.6000000000001</v>
      </c>
      <c r="Z103" s="108">
        <f t="shared" si="48"/>
        <v>1795</v>
      </c>
      <c r="AA103" s="108">
        <f t="shared" si="48"/>
        <v>1825.5</v>
      </c>
      <c r="AB103" s="108">
        <f t="shared" ref="AB103:AC103" si="49">AB102-(AB110)</f>
        <v>1856</v>
      </c>
      <c r="AC103" s="108">
        <f t="shared" si="49"/>
        <v>1902.1000000000001</v>
      </c>
      <c r="AD103" s="108">
        <f t="shared" ref="AD103:AE103" si="50">AD102-(AD110)</f>
        <v>1840.9</v>
      </c>
      <c r="AE103" s="108">
        <f t="shared" si="50"/>
        <v>1838.2</v>
      </c>
      <c r="AF103" s="108">
        <f t="shared" si="48"/>
        <v>1829.9</v>
      </c>
      <c r="AG103" s="101"/>
      <c r="AH103" s="48">
        <f t="shared" si="27"/>
        <v>1902.1000000000001</v>
      </c>
      <c r="AI103" s="49">
        <f t="shared" si="28"/>
        <v>1491.24</v>
      </c>
      <c r="BF103" s="81"/>
      <c r="BG103" s="82">
        <v>34.700000000000003</v>
      </c>
      <c r="BH103" s="82">
        <v>0</v>
      </c>
      <c r="BI103" s="82">
        <v>-110.6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51">IF(B84&lt;0,B84*-1,0)</f>
        <v>0</v>
      </c>
      <c r="C104" s="89">
        <f t="shared" si="51"/>
        <v>0</v>
      </c>
      <c r="D104" s="89">
        <f t="shared" ref="D104" si="52">IF(D84&lt;0,D84*-1,0)</f>
        <v>0</v>
      </c>
      <c r="E104" s="89">
        <f t="shared" ref="E104:AF109" si="53">IF(E84&lt;0,E84*-1,0)</f>
        <v>0</v>
      </c>
      <c r="F104" s="89">
        <f t="shared" si="53"/>
        <v>0</v>
      </c>
      <c r="G104" s="89">
        <f t="shared" si="53"/>
        <v>0</v>
      </c>
      <c r="H104" s="89">
        <f t="shared" si="53"/>
        <v>0</v>
      </c>
      <c r="I104" s="89">
        <f t="shared" si="53"/>
        <v>0</v>
      </c>
      <c r="J104" s="89">
        <f t="shared" si="53"/>
        <v>0</v>
      </c>
      <c r="K104" s="89">
        <f t="shared" si="53"/>
        <v>0</v>
      </c>
      <c r="L104" s="89">
        <f t="shared" si="53"/>
        <v>0</v>
      </c>
      <c r="M104" s="89">
        <f t="shared" si="53"/>
        <v>0</v>
      </c>
      <c r="N104" s="89">
        <f t="shared" si="53"/>
        <v>0</v>
      </c>
      <c r="O104" s="89">
        <f t="shared" si="53"/>
        <v>0</v>
      </c>
      <c r="P104" s="89">
        <f t="shared" si="53"/>
        <v>0</v>
      </c>
      <c r="Q104" s="89">
        <f t="shared" si="53"/>
        <v>0</v>
      </c>
      <c r="R104" s="89">
        <f t="shared" si="53"/>
        <v>0</v>
      </c>
      <c r="S104" s="89">
        <f t="shared" si="53"/>
        <v>0</v>
      </c>
      <c r="T104" s="89">
        <f t="shared" si="53"/>
        <v>0</v>
      </c>
      <c r="U104" s="89">
        <f t="shared" si="53"/>
        <v>0</v>
      </c>
      <c r="V104" s="89">
        <f t="shared" si="53"/>
        <v>0</v>
      </c>
      <c r="W104" s="89">
        <f t="shared" si="53"/>
        <v>0</v>
      </c>
      <c r="X104" s="89">
        <f t="shared" si="53"/>
        <v>0</v>
      </c>
      <c r="Y104" s="89">
        <f t="shared" si="53"/>
        <v>0</v>
      </c>
      <c r="Z104" s="89">
        <f t="shared" si="53"/>
        <v>0</v>
      </c>
      <c r="AA104" s="89">
        <f t="shared" si="53"/>
        <v>0</v>
      </c>
      <c r="AB104" s="89">
        <f t="shared" ref="AB104:AC104" si="54">IF(AB84&lt;0,AB84*-1,0)</f>
        <v>0</v>
      </c>
      <c r="AC104" s="89">
        <f t="shared" si="54"/>
        <v>0</v>
      </c>
      <c r="AD104" s="89">
        <f t="shared" ref="AD104:AE104" si="55">IF(AD84&lt;0,AD84*-1,0)</f>
        <v>0</v>
      </c>
      <c r="AE104" s="89">
        <f t="shared" si="55"/>
        <v>0</v>
      </c>
      <c r="AF104" s="89">
        <f t="shared" si="53"/>
        <v>0</v>
      </c>
      <c r="AG104" s="61"/>
      <c r="AH104" s="48">
        <f t="shared" si="27"/>
        <v>0</v>
      </c>
      <c r="AI104" s="49">
        <f t="shared" si="28"/>
        <v>0</v>
      </c>
      <c r="BG104" s="82">
        <v>47.5</v>
      </c>
      <c r="BH104" s="82">
        <v>0</v>
      </c>
      <c r="BI104" s="82">
        <v>-120.6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51"/>
        <v>0</v>
      </c>
      <c r="C105" s="89">
        <f t="shared" si="51"/>
        <v>0</v>
      </c>
      <c r="D105" s="89">
        <f t="shared" ref="D105" si="56">IF(D85&lt;0,D85*-1,0)</f>
        <v>0</v>
      </c>
      <c r="E105" s="89">
        <f t="shared" ref="E105:Q105" si="57">IF(E85&lt;0,E85*-1,0)</f>
        <v>0</v>
      </c>
      <c r="F105" s="89">
        <f t="shared" si="57"/>
        <v>0</v>
      </c>
      <c r="G105" s="89">
        <f t="shared" si="57"/>
        <v>0</v>
      </c>
      <c r="H105" s="89">
        <f t="shared" si="57"/>
        <v>0</v>
      </c>
      <c r="I105" s="89">
        <f t="shared" si="57"/>
        <v>0</v>
      </c>
      <c r="J105" s="89">
        <f t="shared" si="57"/>
        <v>0</v>
      </c>
      <c r="K105" s="89">
        <f t="shared" si="57"/>
        <v>0</v>
      </c>
      <c r="L105" s="89">
        <f t="shared" si="57"/>
        <v>0</v>
      </c>
      <c r="M105" s="89">
        <f t="shared" si="57"/>
        <v>0</v>
      </c>
      <c r="N105" s="89">
        <f t="shared" si="57"/>
        <v>0</v>
      </c>
      <c r="O105" s="89">
        <f t="shared" si="57"/>
        <v>0</v>
      </c>
      <c r="P105" s="89">
        <f t="shared" si="57"/>
        <v>0</v>
      </c>
      <c r="Q105" s="89">
        <f t="shared" si="57"/>
        <v>0</v>
      </c>
      <c r="R105" s="89">
        <f t="shared" si="53"/>
        <v>0</v>
      </c>
      <c r="S105" s="89">
        <f t="shared" si="53"/>
        <v>0</v>
      </c>
      <c r="T105" s="89">
        <f t="shared" si="53"/>
        <v>0</v>
      </c>
      <c r="U105" s="89">
        <f t="shared" si="53"/>
        <v>0</v>
      </c>
      <c r="V105" s="89">
        <f t="shared" si="53"/>
        <v>0</v>
      </c>
      <c r="W105" s="89">
        <f t="shared" si="53"/>
        <v>0</v>
      </c>
      <c r="X105" s="89">
        <f t="shared" si="53"/>
        <v>0</v>
      </c>
      <c r="Y105" s="89">
        <f t="shared" si="53"/>
        <v>0</v>
      </c>
      <c r="Z105" s="89">
        <f t="shared" si="53"/>
        <v>0</v>
      </c>
      <c r="AA105" s="89">
        <f t="shared" si="53"/>
        <v>0</v>
      </c>
      <c r="AB105" s="89">
        <f t="shared" ref="AB105:AC105" si="58">IF(AB85&lt;0,AB85*-1,0)</f>
        <v>0</v>
      </c>
      <c r="AC105" s="89">
        <f t="shared" si="58"/>
        <v>0</v>
      </c>
      <c r="AD105" s="89">
        <f t="shared" ref="AD105:AE105" si="59">IF(AD85&lt;0,AD85*-1,0)</f>
        <v>0</v>
      </c>
      <c r="AE105" s="89">
        <f t="shared" si="59"/>
        <v>0</v>
      </c>
      <c r="AF105" s="89">
        <f t="shared" si="53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16.3</v>
      </c>
      <c r="BH105" s="82">
        <v>0</v>
      </c>
      <c r="BI105" s="82">
        <v>-112.3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51"/>
        <v>112.3</v>
      </c>
      <c r="C106" s="89">
        <f t="shared" si="51"/>
        <v>170.6</v>
      </c>
      <c r="D106" s="89">
        <f t="shared" ref="D106" si="60">IF(D86&lt;0,D86*-1,0)</f>
        <v>174</v>
      </c>
      <c r="E106" s="89">
        <f t="shared" si="53"/>
        <v>181.1</v>
      </c>
      <c r="F106" s="89">
        <f t="shared" si="53"/>
        <v>173.8</v>
      </c>
      <c r="G106" s="89">
        <f t="shared" si="53"/>
        <v>119</v>
      </c>
      <c r="H106" s="89">
        <f t="shared" si="53"/>
        <v>140</v>
      </c>
      <c r="I106" s="89">
        <f t="shared" si="53"/>
        <v>171</v>
      </c>
      <c r="J106" s="89">
        <f t="shared" si="53"/>
        <v>184</v>
      </c>
      <c r="K106" s="89">
        <f t="shared" si="53"/>
        <v>209</v>
      </c>
      <c r="L106" s="89">
        <f t="shared" si="53"/>
        <v>114.4</v>
      </c>
      <c r="M106" s="89">
        <f t="shared" si="53"/>
        <v>126.1</v>
      </c>
      <c r="N106" s="89">
        <f t="shared" si="53"/>
        <v>109</v>
      </c>
      <c r="O106" s="89">
        <f t="shared" si="53"/>
        <v>120</v>
      </c>
      <c r="P106" s="89">
        <f t="shared" si="53"/>
        <v>15</v>
      </c>
      <c r="Q106" s="89">
        <f t="shared" si="53"/>
        <v>10</v>
      </c>
      <c r="R106" s="89">
        <f t="shared" si="53"/>
        <v>12</v>
      </c>
      <c r="S106" s="89">
        <f t="shared" si="53"/>
        <v>0</v>
      </c>
      <c r="T106" s="89">
        <f t="shared" si="53"/>
        <v>16</v>
      </c>
      <c r="U106" s="89">
        <f t="shared" si="53"/>
        <v>0</v>
      </c>
      <c r="V106" s="89">
        <f t="shared" si="53"/>
        <v>0</v>
      </c>
      <c r="W106" s="89">
        <f t="shared" si="53"/>
        <v>0</v>
      </c>
      <c r="X106" s="89">
        <f t="shared" si="53"/>
        <v>0</v>
      </c>
      <c r="Y106" s="89">
        <f t="shared" si="53"/>
        <v>117</v>
      </c>
      <c r="Z106" s="89">
        <f t="shared" si="53"/>
        <v>134</v>
      </c>
      <c r="AA106" s="89">
        <f t="shared" si="53"/>
        <v>111</v>
      </c>
      <c r="AB106" s="89">
        <f t="shared" ref="AB106:AC106" si="61">IF(AB86&lt;0,AB86*-1,0)</f>
        <v>99.5</v>
      </c>
      <c r="AC106" s="89">
        <f t="shared" si="61"/>
        <v>57.8</v>
      </c>
      <c r="AD106" s="89">
        <f t="shared" ref="AD106:AE106" si="62">IF(AD86&lt;0,AD86*-1,0)</f>
        <v>108.1</v>
      </c>
      <c r="AE106" s="89">
        <f t="shared" si="62"/>
        <v>110.6</v>
      </c>
      <c r="AF106" s="89">
        <f t="shared" si="53"/>
        <v>120.6</v>
      </c>
      <c r="AG106" s="111"/>
      <c r="AH106" s="48">
        <f t="shared" si="27"/>
        <v>209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51"/>
        <v>0</v>
      </c>
      <c r="C107" s="89">
        <f t="shared" si="51"/>
        <v>0</v>
      </c>
      <c r="D107" s="89">
        <f t="shared" ref="D107" si="63">IF(D87&lt;0,D87*-1,0)</f>
        <v>0</v>
      </c>
      <c r="E107" s="89">
        <f t="shared" si="53"/>
        <v>0</v>
      </c>
      <c r="F107" s="89">
        <f t="shared" si="53"/>
        <v>0</v>
      </c>
      <c r="G107" s="89">
        <f t="shared" si="53"/>
        <v>0</v>
      </c>
      <c r="H107" s="89">
        <f t="shared" si="53"/>
        <v>0</v>
      </c>
      <c r="I107" s="89">
        <f t="shared" si="53"/>
        <v>0</v>
      </c>
      <c r="J107" s="89">
        <f t="shared" si="53"/>
        <v>0</v>
      </c>
      <c r="K107" s="89">
        <f t="shared" si="53"/>
        <v>0</v>
      </c>
      <c r="L107" s="89">
        <f t="shared" si="53"/>
        <v>0</v>
      </c>
      <c r="M107" s="89">
        <f t="shared" si="53"/>
        <v>0</v>
      </c>
      <c r="N107" s="89">
        <f t="shared" si="53"/>
        <v>0</v>
      </c>
      <c r="O107" s="89">
        <f t="shared" si="53"/>
        <v>0</v>
      </c>
      <c r="P107" s="89">
        <f t="shared" si="53"/>
        <v>0</v>
      </c>
      <c r="Q107" s="89">
        <f t="shared" si="53"/>
        <v>0</v>
      </c>
      <c r="R107" s="89">
        <f t="shared" si="53"/>
        <v>0</v>
      </c>
      <c r="S107" s="89">
        <f t="shared" si="53"/>
        <v>0</v>
      </c>
      <c r="T107" s="89">
        <f t="shared" si="53"/>
        <v>0</v>
      </c>
      <c r="U107" s="89">
        <f t="shared" si="53"/>
        <v>0</v>
      </c>
      <c r="V107" s="89">
        <f t="shared" si="53"/>
        <v>0</v>
      </c>
      <c r="W107" s="89">
        <f t="shared" si="53"/>
        <v>0</v>
      </c>
      <c r="X107" s="89">
        <f t="shared" si="53"/>
        <v>0</v>
      </c>
      <c r="Y107" s="89">
        <f t="shared" si="53"/>
        <v>0</v>
      </c>
      <c r="Z107" s="89">
        <f t="shared" si="53"/>
        <v>0</v>
      </c>
      <c r="AA107" s="89">
        <f t="shared" si="53"/>
        <v>0</v>
      </c>
      <c r="AB107" s="89">
        <f t="shared" ref="AB107:AC107" si="64">IF(AB87&lt;0,AB87*-1,0)</f>
        <v>0</v>
      </c>
      <c r="AC107" s="89">
        <f t="shared" si="64"/>
        <v>0</v>
      </c>
      <c r="AD107" s="89">
        <f t="shared" ref="AD107:AE107" si="65">IF(AD87&lt;0,AD87*-1,0)</f>
        <v>0</v>
      </c>
      <c r="AE107" s="89">
        <f t="shared" si="65"/>
        <v>0</v>
      </c>
      <c r="AF107" s="89">
        <f t="shared" si="53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51"/>
        <v>0</v>
      </c>
      <c r="C108" s="89">
        <f t="shared" si="51"/>
        <v>0</v>
      </c>
      <c r="D108" s="89">
        <f t="shared" ref="D108" si="66">IF(D88&lt;0,D88*-1,0)</f>
        <v>0</v>
      </c>
      <c r="E108" s="89">
        <f t="shared" si="53"/>
        <v>0</v>
      </c>
      <c r="F108" s="89">
        <f t="shared" si="53"/>
        <v>0</v>
      </c>
      <c r="G108" s="89">
        <f t="shared" si="53"/>
        <v>0</v>
      </c>
      <c r="H108" s="89">
        <f t="shared" si="53"/>
        <v>0</v>
      </c>
      <c r="I108" s="89">
        <f t="shared" si="53"/>
        <v>0</v>
      </c>
      <c r="J108" s="89">
        <f t="shared" si="53"/>
        <v>0</v>
      </c>
      <c r="K108" s="89">
        <f t="shared" si="53"/>
        <v>0</v>
      </c>
      <c r="L108" s="89">
        <f t="shared" si="53"/>
        <v>0</v>
      </c>
      <c r="M108" s="89">
        <f t="shared" si="53"/>
        <v>0</v>
      </c>
      <c r="N108" s="89">
        <f t="shared" si="53"/>
        <v>0</v>
      </c>
      <c r="O108" s="89">
        <f t="shared" si="53"/>
        <v>0</v>
      </c>
      <c r="P108" s="89">
        <f t="shared" si="53"/>
        <v>0</v>
      </c>
      <c r="Q108" s="89">
        <f t="shared" si="53"/>
        <v>0</v>
      </c>
      <c r="R108" s="89">
        <f t="shared" si="53"/>
        <v>0</v>
      </c>
      <c r="S108" s="89">
        <f t="shared" si="53"/>
        <v>0</v>
      </c>
      <c r="T108" s="89">
        <f t="shared" si="53"/>
        <v>0</v>
      </c>
      <c r="U108" s="89">
        <f t="shared" si="53"/>
        <v>0</v>
      </c>
      <c r="V108" s="89">
        <f t="shared" si="53"/>
        <v>0</v>
      </c>
      <c r="W108" s="89">
        <f t="shared" si="53"/>
        <v>0</v>
      </c>
      <c r="X108" s="89">
        <f t="shared" si="53"/>
        <v>0</v>
      </c>
      <c r="Y108" s="89">
        <f t="shared" si="53"/>
        <v>0</v>
      </c>
      <c r="Z108" s="89">
        <f t="shared" si="53"/>
        <v>0</v>
      </c>
      <c r="AA108" s="89">
        <f t="shared" si="53"/>
        <v>0</v>
      </c>
      <c r="AB108" s="89">
        <f t="shared" ref="AB108:AC108" si="67">IF(AB88&lt;0,AB88*-1,0)</f>
        <v>0</v>
      </c>
      <c r="AC108" s="89">
        <f t="shared" si="67"/>
        <v>0</v>
      </c>
      <c r="AD108" s="89">
        <f t="shared" ref="AD108:AE108" si="68">IF(AD88&lt;0,AD88*-1,0)</f>
        <v>0</v>
      </c>
      <c r="AE108" s="89">
        <f t="shared" si="68"/>
        <v>0</v>
      </c>
      <c r="AF108" s="89">
        <f t="shared" si="53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51"/>
        <v>0</v>
      </c>
      <c r="C109" s="89">
        <f t="shared" si="51"/>
        <v>0</v>
      </c>
      <c r="D109" s="89">
        <f t="shared" ref="D109" si="69">IF(D89&lt;0,D89*-1,0)</f>
        <v>0</v>
      </c>
      <c r="E109" s="89">
        <f t="shared" si="53"/>
        <v>0</v>
      </c>
      <c r="F109" s="89">
        <f t="shared" si="53"/>
        <v>0</v>
      </c>
      <c r="G109" s="89">
        <f t="shared" si="53"/>
        <v>0</v>
      </c>
      <c r="H109" s="89">
        <f t="shared" si="53"/>
        <v>0</v>
      </c>
      <c r="I109" s="89">
        <f t="shared" si="53"/>
        <v>0</v>
      </c>
      <c r="J109" s="89">
        <f t="shared" si="53"/>
        <v>0</v>
      </c>
      <c r="K109" s="89">
        <f t="shared" si="53"/>
        <v>0</v>
      </c>
      <c r="L109" s="89">
        <f t="shared" si="53"/>
        <v>0</v>
      </c>
      <c r="M109" s="89">
        <f t="shared" si="53"/>
        <v>0</v>
      </c>
      <c r="N109" s="89">
        <f t="shared" si="53"/>
        <v>0</v>
      </c>
      <c r="O109" s="89">
        <f t="shared" si="53"/>
        <v>0</v>
      </c>
      <c r="P109" s="89">
        <f t="shared" si="53"/>
        <v>0</v>
      </c>
      <c r="Q109" s="89">
        <f t="shared" si="53"/>
        <v>0</v>
      </c>
      <c r="R109" s="89">
        <f t="shared" si="53"/>
        <v>0</v>
      </c>
      <c r="S109" s="89">
        <f t="shared" si="53"/>
        <v>0</v>
      </c>
      <c r="T109" s="89">
        <f t="shared" si="53"/>
        <v>0</v>
      </c>
      <c r="U109" s="89">
        <f t="shared" si="53"/>
        <v>0</v>
      </c>
      <c r="V109" s="89">
        <f t="shared" si="53"/>
        <v>0</v>
      </c>
      <c r="W109" s="89">
        <f t="shared" si="53"/>
        <v>0</v>
      </c>
      <c r="X109" s="89">
        <f t="shared" si="53"/>
        <v>0</v>
      </c>
      <c r="Y109" s="89">
        <f t="shared" si="53"/>
        <v>0</v>
      </c>
      <c r="Z109" s="89">
        <f t="shared" si="53"/>
        <v>0</v>
      </c>
      <c r="AA109" s="89">
        <f t="shared" si="53"/>
        <v>0</v>
      </c>
      <c r="AB109" s="89">
        <f t="shared" ref="AB109:AC109" si="70">IF(AB89&lt;0,AB89*-1,0)</f>
        <v>0</v>
      </c>
      <c r="AC109" s="89">
        <f t="shared" si="70"/>
        <v>0</v>
      </c>
      <c r="AD109" s="89">
        <f t="shared" ref="AD109:AE109" si="71">IF(AD89&lt;0,AD89*-1,0)</f>
        <v>0</v>
      </c>
      <c r="AE109" s="89">
        <f t="shared" si="71"/>
        <v>0</v>
      </c>
      <c r="AF109" s="89">
        <f t="shared" si="53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 t="shared" ref="B110:C110" si="72">SUM(B104:B109)</f>
        <v>112.3</v>
      </c>
      <c r="C110" s="71">
        <f t="shared" si="72"/>
        <v>170.6</v>
      </c>
      <c r="D110" s="71">
        <f t="shared" ref="D110" si="73">SUM(D104:D109)</f>
        <v>174</v>
      </c>
      <c r="E110" s="71">
        <f t="shared" ref="E110:AF110" si="74">SUM(E104:E109)</f>
        <v>181.1</v>
      </c>
      <c r="F110" s="71">
        <f t="shared" si="74"/>
        <v>173.8</v>
      </c>
      <c r="G110" s="71">
        <f t="shared" si="74"/>
        <v>119</v>
      </c>
      <c r="H110" s="71">
        <f t="shared" si="74"/>
        <v>140</v>
      </c>
      <c r="I110" s="71">
        <f t="shared" si="74"/>
        <v>171</v>
      </c>
      <c r="J110" s="71">
        <f t="shared" si="74"/>
        <v>184</v>
      </c>
      <c r="K110" s="71">
        <f t="shared" si="74"/>
        <v>209</v>
      </c>
      <c r="L110" s="71">
        <f t="shared" si="74"/>
        <v>114.4</v>
      </c>
      <c r="M110" s="71">
        <f t="shared" si="74"/>
        <v>126.1</v>
      </c>
      <c r="N110" s="71">
        <f t="shared" si="74"/>
        <v>109</v>
      </c>
      <c r="O110" s="71">
        <f t="shared" si="74"/>
        <v>120</v>
      </c>
      <c r="P110" s="71">
        <f t="shared" si="74"/>
        <v>15</v>
      </c>
      <c r="Q110" s="71">
        <f t="shared" si="74"/>
        <v>10</v>
      </c>
      <c r="R110" s="71">
        <f t="shared" si="74"/>
        <v>12</v>
      </c>
      <c r="S110" s="71">
        <f t="shared" si="74"/>
        <v>0</v>
      </c>
      <c r="T110" s="71">
        <f t="shared" si="74"/>
        <v>16</v>
      </c>
      <c r="U110" s="71">
        <f t="shared" si="74"/>
        <v>0</v>
      </c>
      <c r="V110" s="71">
        <f t="shared" si="74"/>
        <v>0</v>
      </c>
      <c r="W110" s="71">
        <f t="shared" si="74"/>
        <v>0</v>
      </c>
      <c r="X110" s="71">
        <f t="shared" si="74"/>
        <v>0</v>
      </c>
      <c r="Y110" s="71">
        <f t="shared" si="74"/>
        <v>117</v>
      </c>
      <c r="Z110" s="71">
        <f t="shared" si="74"/>
        <v>134</v>
      </c>
      <c r="AA110" s="71">
        <f t="shared" si="74"/>
        <v>111</v>
      </c>
      <c r="AB110" s="71">
        <f t="shared" ref="AB110:AC110" si="75">SUM(AB104:AB109)</f>
        <v>99.5</v>
      </c>
      <c r="AC110" s="71">
        <f t="shared" si="75"/>
        <v>57.8</v>
      </c>
      <c r="AD110" s="71">
        <f t="shared" ref="AD110:AE110" si="76">SUM(AD104:AD109)</f>
        <v>108.1</v>
      </c>
      <c r="AE110" s="71">
        <f t="shared" si="76"/>
        <v>110.6</v>
      </c>
      <c r="AF110" s="71">
        <f t="shared" si="74"/>
        <v>120.6</v>
      </c>
      <c r="AG110" s="101"/>
      <c r="AH110" s="48">
        <f t="shared" si="27"/>
        <v>209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 t="shared" ref="B111:C111" si="77">B95-B110</f>
        <v>-43.899999999999991</v>
      </c>
      <c r="C111" s="71">
        <f t="shared" si="77"/>
        <v>-102.5</v>
      </c>
      <c r="D111" s="71">
        <f t="shared" ref="D111" si="78">D95-D110</f>
        <v>-110</v>
      </c>
      <c r="E111" s="71">
        <f t="shared" ref="E111:AF111" si="79">E95-E110</f>
        <v>-116.3</v>
      </c>
      <c r="F111" s="71">
        <f t="shared" si="79"/>
        <v>-110.60000000000002</v>
      </c>
      <c r="G111" s="71">
        <f t="shared" si="79"/>
        <v>-62.400000000000006</v>
      </c>
      <c r="H111" s="71">
        <f t="shared" si="79"/>
        <v>-76.7</v>
      </c>
      <c r="I111" s="71">
        <f t="shared" si="79"/>
        <v>-106.6</v>
      </c>
      <c r="J111" s="71">
        <f t="shared" si="79"/>
        <v>32.099999999999994</v>
      </c>
      <c r="K111" s="71">
        <f t="shared" si="79"/>
        <v>28.400000000000034</v>
      </c>
      <c r="L111" s="71">
        <f t="shared" si="79"/>
        <v>120.29999999999998</v>
      </c>
      <c r="M111" s="71">
        <f t="shared" si="79"/>
        <v>41.300000000000011</v>
      </c>
      <c r="N111" s="71">
        <f t="shared" si="79"/>
        <v>74.699999999999989</v>
      </c>
      <c r="O111" s="71">
        <f t="shared" si="79"/>
        <v>80.699999999999989</v>
      </c>
      <c r="P111" s="71">
        <f t="shared" si="79"/>
        <v>266.8</v>
      </c>
      <c r="Q111" s="71">
        <f t="shared" si="79"/>
        <v>248.89999999999998</v>
      </c>
      <c r="R111" s="71">
        <f t="shared" si="79"/>
        <v>286.39999999999998</v>
      </c>
      <c r="S111" s="71">
        <f t="shared" si="79"/>
        <v>279.5</v>
      </c>
      <c r="T111" s="71">
        <f t="shared" si="79"/>
        <v>286.09999999999997</v>
      </c>
      <c r="U111" s="71">
        <f t="shared" si="79"/>
        <v>317.5</v>
      </c>
      <c r="V111" s="71">
        <f t="shared" si="79"/>
        <v>345.3</v>
      </c>
      <c r="W111" s="71">
        <f t="shared" si="79"/>
        <v>358.3</v>
      </c>
      <c r="X111" s="71">
        <f t="shared" si="79"/>
        <v>299.2</v>
      </c>
      <c r="Y111" s="71">
        <f t="shared" si="79"/>
        <v>0.20000000000000284</v>
      </c>
      <c r="Z111" s="71">
        <f t="shared" si="79"/>
        <v>-54</v>
      </c>
      <c r="AA111" s="71">
        <f t="shared" si="79"/>
        <v>-31.5</v>
      </c>
      <c r="AB111" s="71">
        <f t="shared" ref="AB111:AC111" si="80">AB95-AB110</f>
        <v>-1</v>
      </c>
      <c r="AC111" s="71">
        <f t="shared" si="80"/>
        <v>45.100000000000009</v>
      </c>
      <c r="AD111" s="71">
        <f t="shared" ref="AD111:AE111" si="81">AD95-AD110</f>
        <v>-16.099999999999994</v>
      </c>
      <c r="AE111" s="71">
        <f t="shared" si="81"/>
        <v>-38.799999999999983</v>
      </c>
      <c r="AF111" s="71">
        <f t="shared" si="79"/>
        <v>-27.099999999999994</v>
      </c>
      <c r="AG111" s="101"/>
      <c r="AH111" s="48">
        <f t="shared" si="27"/>
        <v>358.3</v>
      </c>
      <c r="AI111" s="49">
        <f t="shared" si="28"/>
        <v>-116.3</v>
      </c>
    </row>
    <row r="112" spans="1:64" x14ac:dyDescent="0.25">
      <c r="A112" s="113" t="s">
        <v>132</v>
      </c>
      <c r="B112" s="114">
        <v>49.99</v>
      </c>
      <c r="C112" s="114">
        <v>49.95</v>
      </c>
      <c r="D112" s="114">
        <v>49.92</v>
      </c>
      <c r="E112" s="114">
        <v>50.024000000000001</v>
      </c>
      <c r="F112" s="114">
        <v>50.024000000000001</v>
      </c>
      <c r="G112" s="114">
        <v>50.012</v>
      </c>
      <c r="H112" s="114">
        <v>49.963000000000001</v>
      </c>
      <c r="I112" s="114">
        <v>50.008000000000003</v>
      </c>
      <c r="J112" s="114">
        <v>50.021000000000001</v>
      </c>
      <c r="K112" s="114">
        <v>50.037999999999997</v>
      </c>
      <c r="L112" s="114">
        <v>49.945</v>
      </c>
      <c r="M112" s="114">
        <v>50.058</v>
      </c>
      <c r="N112" s="114">
        <v>50.06</v>
      </c>
      <c r="O112" s="114">
        <v>49.94</v>
      </c>
      <c r="P112" s="114">
        <v>49.988</v>
      </c>
      <c r="Q112" s="114">
        <v>50</v>
      </c>
      <c r="R112" s="114">
        <v>50.005000000000003</v>
      </c>
      <c r="S112" s="114">
        <v>49.941000000000003</v>
      </c>
      <c r="T112" s="114">
        <v>50.052999999999997</v>
      </c>
      <c r="U112" s="114">
        <v>49.927</v>
      </c>
      <c r="V112" s="114"/>
      <c r="W112" s="114">
        <v>50.052</v>
      </c>
      <c r="X112" s="114">
        <v>50.052</v>
      </c>
      <c r="Y112" s="114">
        <v>49.920999999999999</v>
      </c>
      <c r="Z112" s="114">
        <v>49.914000000000001</v>
      </c>
      <c r="AA112" s="114">
        <v>49.923000000000002</v>
      </c>
      <c r="AB112" s="114">
        <v>50.04</v>
      </c>
      <c r="AC112" s="114">
        <v>50.02</v>
      </c>
      <c r="AD112" s="114">
        <v>50.01</v>
      </c>
      <c r="AE112" s="114">
        <v>50.03</v>
      </c>
      <c r="AF112" s="114">
        <v>50.02</v>
      </c>
      <c r="AG112" s="115"/>
      <c r="AH112" s="48">
        <f t="shared" si="27"/>
        <v>50.06</v>
      </c>
      <c r="AI112" s="49">
        <f t="shared" si="28"/>
        <v>49.914000000000001</v>
      </c>
    </row>
    <row r="113" spans="1:35" x14ac:dyDescent="0.25">
      <c r="A113" s="116" t="s">
        <v>133</v>
      </c>
      <c r="B113" s="76">
        <v>123.9</v>
      </c>
      <c r="C113" s="76">
        <v>124.3</v>
      </c>
      <c r="D113" s="76">
        <v>126.1</v>
      </c>
      <c r="E113" s="76">
        <v>125.9</v>
      </c>
      <c r="F113" s="76">
        <v>125.9</v>
      </c>
      <c r="G113" s="76">
        <v>124.6</v>
      </c>
      <c r="H113" s="76">
        <v>124.1</v>
      </c>
      <c r="I113" s="76">
        <v>122.1</v>
      </c>
      <c r="J113" s="76">
        <v>123.3</v>
      </c>
      <c r="K113" s="76">
        <v>124.9</v>
      </c>
      <c r="L113" s="76">
        <v>124.5</v>
      </c>
      <c r="M113" s="76">
        <v>125.1</v>
      </c>
      <c r="N113" s="76">
        <v>122.9</v>
      </c>
      <c r="O113" s="76">
        <v>124.9</v>
      </c>
      <c r="P113" s="76">
        <v>123.4</v>
      </c>
      <c r="Q113" s="76">
        <v>123.4</v>
      </c>
      <c r="R113" s="76">
        <v>123.9</v>
      </c>
      <c r="S113" s="76">
        <v>123.5</v>
      </c>
      <c r="T113" s="76">
        <v>122.4</v>
      </c>
      <c r="U113" s="76">
        <v>126.3</v>
      </c>
      <c r="V113" s="76"/>
      <c r="W113" s="76">
        <v>125.2</v>
      </c>
      <c r="X113" s="76">
        <v>127.6</v>
      </c>
      <c r="Y113" s="76">
        <v>124.9</v>
      </c>
      <c r="Z113" s="76">
        <v>124.2</v>
      </c>
      <c r="AA113" s="76">
        <v>123.6</v>
      </c>
      <c r="AB113" s="76">
        <v>123.5</v>
      </c>
      <c r="AC113" s="76">
        <v>124.2</v>
      </c>
      <c r="AD113" s="76">
        <v>124.2</v>
      </c>
      <c r="AE113" s="76">
        <v>123.3</v>
      </c>
      <c r="AF113" s="76">
        <v>124.1</v>
      </c>
      <c r="AG113" s="117"/>
      <c r="AH113" s="48">
        <f t="shared" si="27"/>
        <v>127.6</v>
      </c>
      <c r="AI113" s="49">
        <f t="shared" si="28"/>
        <v>122.1</v>
      </c>
    </row>
    <row r="114" spans="1:35" x14ac:dyDescent="0.25">
      <c r="A114" s="116" t="s">
        <v>134</v>
      </c>
      <c r="B114" s="76">
        <v>128.4</v>
      </c>
      <c r="C114" s="76">
        <v>128.69999999999999</v>
      </c>
      <c r="D114" s="76">
        <v>130.19999999999999</v>
      </c>
      <c r="E114" s="76">
        <v>129.6</v>
      </c>
      <c r="F114" s="76">
        <v>129.6</v>
      </c>
      <c r="G114" s="76">
        <v>128.9</v>
      </c>
      <c r="H114" s="76">
        <v>127.9</v>
      </c>
      <c r="I114" s="76">
        <v>126.6</v>
      </c>
      <c r="J114" s="76">
        <v>125.9</v>
      </c>
      <c r="K114" s="76">
        <v>127.6</v>
      </c>
      <c r="L114" s="76">
        <v>127.1</v>
      </c>
      <c r="M114" s="76">
        <v>127</v>
      </c>
      <c r="N114" s="76">
        <v>125.8</v>
      </c>
      <c r="O114" s="76">
        <v>127.7</v>
      </c>
      <c r="P114" s="76">
        <v>126.6</v>
      </c>
      <c r="Q114" s="76">
        <v>126.6</v>
      </c>
      <c r="R114" s="76">
        <v>127.4</v>
      </c>
      <c r="S114" s="76">
        <v>127.1</v>
      </c>
      <c r="T114" s="76">
        <v>126.2</v>
      </c>
      <c r="U114" s="76">
        <v>128.80000000000001</v>
      </c>
      <c r="V114" s="76"/>
      <c r="W114" s="76">
        <v>128</v>
      </c>
      <c r="X114" s="76">
        <v>129.6</v>
      </c>
      <c r="Y114" s="76">
        <v>127.9</v>
      </c>
      <c r="Z114" s="76">
        <v>127</v>
      </c>
      <c r="AA114" s="76">
        <v>126.5</v>
      </c>
      <c r="AB114" s="76">
        <v>126.4</v>
      </c>
      <c r="AC114" s="76">
        <v>128.19999999999999</v>
      </c>
      <c r="AD114" s="76">
        <v>128.19999999999999</v>
      </c>
      <c r="AE114" s="76">
        <v>127.8</v>
      </c>
      <c r="AF114" s="76">
        <v>129</v>
      </c>
      <c r="AG114" s="117"/>
      <c r="AH114" s="48">
        <f t="shared" si="27"/>
        <v>130.19999999999999</v>
      </c>
      <c r="AI114" s="49">
        <f t="shared" si="28"/>
        <v>125.8</v>
      </c>
    </row>
    <row r="115" spans="1:35" x14ac:dyDescent="0.25">
      <c r="A115" s="116" t="s">
        <v>135</v>
      </c>
      <c r="B115" s="76">
        <v>129.5</v>
      </c>
      <c r="C115" s="76">
        <v>132.30000000000001</v>
      </c>
      <c r="D115" s="76">
        <v>132.30000000000001</v>
      </c>
      <c r="E115" s="76">
        <v>130.6</v>
      </c>
      <c r="F115" s="76">
        <v>130.6</v>
      </c>
      <c r="G115" s="76">
        <v>131.1</v>
      </c>
      <c r="H115" s="76">
        <v>132.4</v>
      </c>
      <c r="I115" s="76">
        <v>131.6</v>
      </c>
      <c r="J115" s="76">
        <v>129.4</v>
      </c>
      <c r="K115" s="76">
        <v>130.9</v>
      </c>
      <c r="L115" s="76">
        <v>128.69999999999999</v>
      </c>
      <c r="M115" s="76">
        <v>129.19999999999999</v>
      </c>
      <c r="N115" s="76">
        <v>128.19999999999999</v>
      </c>
      <c r="O115" s="76">
        <v>129.69999999999999</v>
      </c>
      <c r="P115" s="76">
        <v>129.69999999999999</v>
      </c>
      <c r="Q115" s="76">
        <v>129.69999999999999</v>
      </c>
      <c r="R115" s="76">
        <v>127.1</v>
      </c>
      <c r="S115" s="76">
        <v>125.9</v>
      </c>
      <c r="T115" s="76">
        <v>127.3</v>
      </c>
      <c r="U115" s="76">
        <v>129.80000000000001</v>
      </c>
      <c r="V115" s="76"/>
      <c r="W115" s="76">
        <v>131.1</v>
      </c>
      <c r="X115" s="76">
        <v>134.1</v>
      </c>
      <c r="Y115" s="76">
        <v>133.4</v>
      </c>
      <c r="Z115" s="76">
        <v>130.69999999999999</v>
      </c>
      <c r="AA115" s="76">
        <v>131.1</v>
      </c>
      <c r="AB115" s="76">
        <v>129.1</v>
      </c>
      <c r="AC115" s="76">
        <v>129.19999999999999</v>
      </c>
      <c r="AD115" s="76">
        <v>129.19999999999999</v>
      </c>
      <c r="AE115" s="76">
        <v>130.9</v>
      </c>
      <c r="AF115" s="76">
        <v>131</v>
      </c>
      <c r="AG115" s="117"/>
      <c r="AH115" s="48">
        <f t="shared" si="27"/>
        <v>134.1</v>
      </c>
      <c r="AI115" s="49">
        <f t="shared" si="28"/>
        <v>125.9</v>
      </c>
    </row>
    <row r="116" spans="1:35" x14ac:dyDescent="0.25">
      <c r="A116" s="118" t="s">
        <v>136</v>
      </c>
      <c r="B116" s="76">
        <v>129.1</v>
      </c>
      <c r="C116" s="76">
        <v>133.1</v>
      </c>
      <c r="D116" s="76">
        <v>133.1</v>
      </c>
      <c r="E116" s="76">
        <v>131.69999999999999</v>
      </c>
      <c r="F116" s="76">
        <v>131.69999999999999</v>
      </c>
      <c r="G116" s="76">
        <v>131.9</v>
      </c>
      <c r="H116" s="76">
        <v>132.9</v>
      </c>
      <c r="I116" s="76">
        <v>132.6</v>
      </c>
      <c r="J116" s="76">
        <v>130.6</v>
      </c>
      <c r="K116" s="76">
        <v>132.80000000000001</v>
      </c>
      <c r="L116" s="76">
        <v>130.19999999999999</v>
      </c>
      <c r="M116" s="76">
        <v>130</v>
      </c>
      <c r="N116" s="76">
        <v>128.30000000000001</v>
      </c>
      <c r="O116" s="76">
        <v>131.69999999999999</v>
      </c>
      <c r="P116" s="76">
        <v>129.80000000000001</v>
      </c>
      <c r="Q116" s="76">
        <v>129.80000000000001</v>
      </c>
      <c r="R116" s="76">
        <v>127.4</v>
      </c>
      <c r="S116" s="76">
        <v>126.5</v>
      </c>
      <c r="T116" s="76">
        <v>127.4</v>
      </c>
      <c r="U116" s="76">
        <v>132.19999999999999</v>
      </c>
      <c r="V116" s="76"/>
      <c r="W116" s="76">
        <v>132.4</v>
      </c>
      <c r="X116" s="76">
        <v>132.80000000000001</v>
      </c>
      <c r="Y116" s="76">
        <v>132.1</v>
      </c>
      <c r="Z116" s="76">
        <v>130</v>
      </c>
      <c r="AA116" s="76">
        <v>130.19999999999999</v>
      </c>
      <c r="AB116" s="76">
        <v>130.69999999999999</v>
      </c>
      <c r="AC116" s="76">
        <v>129.9</v>
      </c>
      <c r="AD116" s="76">
        <v>129.9</v>
      </c>
      <c r="AE116" s="76">
        <v>132.6</v>
      </c>
      <c r="AF116" s="76">
        <v>131.69999999999999</v>
      </c>
      <c r="AG116" s="117"/>
      <c r="AH116" s="48">
        <f t="shared" si="27"/>
        <v>133.1</v>
      </c>
      <c r="AI116" s="49">
        <f t="shared" si="28"/>
        <v>126.5</v>
      </c>
    </row>
    <row r="117" spans="1:35" x14ac:dyDescent="0.25">
      <c r="A117" s="118" t="s">
        <v>137</v>
      </c>
      <c r="B117" s="119">
        <v>131.30000000000001</v>
      </c>
      <c r="C117" s="119">
        <v>131.80000000000001</v>
      </c>
      <c r="D117" s="119">
        <v>131.80000000000001</v>
      </c>
      <c r="E117" s="119">
        <v>134.80000000000001</v>
      </c>
      <c r="F117" s="119">
        <v>134.80000000000001</v>
      </c>
      <c r="G117" s="119">
        <v>133.19999999999999</v>
      </c>
      <c r="H117" s="119">
        <v>133.19999999999999</v>
      </c>
      <c r="I117" s="119">
        <v>134.6</v>
      </c>
      <c r="J117" s="119">
        <v>131.69999999999999</v>
      </c>
      <c r="K117" s="119">
        <v>132.30000000000001</v>
      </c>
      <c r="L117" s="119">
        <v>133.80000000000001</v>
      </c>
      <c r="M117" s="119">
        <v>129.30000000000001</v>
      </c>
      <c r="N117" s="119">
        <v>131.6</v>
      </c>
      <c r="O117" s="119">
        <v>135</v>
      </c>
      <c r="P117" s="119">
        <v>131.69999999999999</v>
      </c>
      <c r="Q117" s="119">
        <v>131.69999999999999</v>
      </c>
      <c r="R117" s="119">
        <v>131.4</v>
      </c>
      <c r="S117" s="119">
        <v>130.69999999999999</v>
      </c>
      <c r="T117" s="119">
        <v>128</v>
      </c>
      <c r="U117" s="119">
        <v>127.4</v>
      </c>
      <c r="V117" s="119"/>
      <c r="W117" s="119">
        <v>129.1</v>
      </c>
      <c r="X117" s="119">
        <v>132.6</v>
      </c>
      <c r="Y117" s="119">
        <v>131</v>
      </c>
      <c r="Z117" s="119">
        <v>130.9</v>
      </c>
      <c r="AA117" s="119">
        <v>130.19999999999999</v>
      </c>
      <c r="AB117" s="119">
        <v>128</v>
      </c>
      <c r="AC117" s="119">
        <v>133.5</v>
      </c>
      <c r="AD117" s="119">
        <v>133.5</v>
      </c>
      <c r="AE117" s="119">
        <v>133.30000000000001</v>
      </c>
      <c r="AF117" s="119">
        <v>135</v>
      </c>
      <c r="AG117" s="120"/>
      <c r="AH117" s="48">
        <f t="shared" si="27"/>
        <v>135</v>
      </c>
      <c r="AI117" s="49">
        <f t="shared" si="28"/>
        <v>127.4</v>
      </c>
    </row>
    <row r="118" spans="1:35" x14ac:dyDescent="0.25">
      <c r="A118" s="116" t="s">
        <v>138</v>
      </c>
      <c r="B118" s="76">
        <v>118.9</v>
      </c>
      <c r="C118" s="76">
        <v>121</v>
      </c>
      <c r="D118" s="76">
        <v>121</v>
      </c>
      <c r="E118" s="76">
        <v>128.30000000000001</v>
      </c>
      <c r="F118" s="76">
        <v>128.30000000000001</v>
      </c>
      <c r="G118" s="76">
        <v>126.6</v>
      </c>
      <c r="H118" s="76">
        <v>127</v>
      </c>
      <c r="I118" s="76">
        <v>130.19999999999999</v>
      </c>
      <c r="J118" s="76">
        <v>133.69999999999999</v>
      </c>
      <c r="K118" s="76">
        <v>133.80000000000001</v>
      </c>
      <c r="L118" s="76">
        <v>128</v>
      </c>
      <c r="M118" s="76">
        <v>126.8</v>
      </c>
      <c r="N118" s="76">
        <v>128.5</v>
      </c>
      <c r="O118" s="76">
        <v>129</v>
      </c>
      <c r="P118" s="76">
        <v>126.8</v>
      </c>
      <c r="Q118" s="76">
        <v>126.8</v>
      </c>
      <c r="R118" s="76">
        <v>127.5</v>
      </c>
      <c r="S118" s="76">
        <v>124.1</v>
      </c>
      <c r="T118" s="76">
        <v>125</v>
      </c>
      <c r="U118" s="76">
        <v>130</v>
      </c>
      <c r="V118" s="76"/>
      <c r="W118" s="76">
        <v>118</v>
      </c>
      <c r="X118" s="76">
        <v>127</v>
      </c>
      <c r="Y118" s="76">
        <v>122.1</v>
      </c>
      <c r="Z118" s="76">
        <v>119</v>
      </c>
      <c r="AA118" s="76">
        <v>119</v>
      </c>
      <c r="AB118" s="76">
        <v>115.7</v>
      </c>
      <c r="AC118" s="76">
        <v>124.4</v>
      </c>
      <c r="AD118" s="76">
        <v>124.4</v>
      </c>
      <c r="AE118" s="76">
        <v>127.7</v>
      </c>
      <c r="AF118" s="76">
        <v>130.4</v>
      </c>
      <c r="AG118" s="117"/>
      <c r="AH118" s="48">
        <f t="shared" si="27"/>
        <v>133.80000000000001</v>
      </c>
      <c r="AI118" s="49">
        <f t="shared" si="28"/>
        <v>115.7</v>
      </c>
    </row>
    <row r="119" spans="1:35" ht="15.75" thickBot="1" x14ac:dyDescent="0.3">
      <c r="A119" s="116" t="s">
        <v>139</v>
      </c>
      <c r="B119" s="105">
        <v>64.900000000000006</v>
      </c>
      <c r="C119" s="105">
        <v>64.900000000000006</v>
      </c>
      <c r="D119" s="105">
        <v>64.900000000000006</v>
      </c>
      <c r="E119" s="105">
        <v>65.5</v>
      </c>
      <c r="F119" s="105">
        <v>65.5</v>
      </c>
      <c r="G119" s="105">
        <v>65</v>
      </c>
      <c r="H119" s="105">
        <v>64.5</v>
      </c>
      <c r="I119" s="105">
        <v>63.9</v>
      </c>
      <c r="J119" s="105">
        <v>63.5</v>
      </c>
      <c r="K119" s="105">
        <v>64.7</v>
      </c>
      <c r="L119" s="105">
        <v>64.7</v>
      </c>
      <c r="M119" s="105">
        <v>64.2</v>
      </c>
      <c r="N119" s="105">
        <v>63.6</v>
      </c>
      <c r="O119" s="105">
        <v>64</v>
      </c>
      <c r="P119" s="105">
        <v>64.099999999999994</v>
      </c>
      <c r="Q119" s="105">
        <v>64.099999999999994</v>
      </c>
      <c r="R119" s="105">
        <v>64.5</v>
      </c>
      <c r="S119" s="105">
        <v>64.400000000000006</v>
      </c>
      <c r="T119" s="105">
        <v>64</v>
      </c>
      <c r="U119" s="105">
        <v>65.099999999999994</v>
      </c>
      <c r="V119" s="105"/>
      <c r="W119" s="105">
        <v>65</v>
      </c>
      <c r="X119" s="105">
        <v>65.8</v>
      </c>
      <c r="Y119" s="105">
        <v>64.8</v>
      </c>
      <c r="Z119" s="105">
        <v>64.400000000000006</v>
      </c>
      <c r="AA119" s="105">
        <v>64</v>
      </c>
      <c r="AB119" s="105">
        <v>64.099999999999994</v>
      </c>
      <c r="AC119" s="105">
        <v>64.599999999999994</v>
      </c>
      <c r="AD119" s="105">
        <v>64.599999999999994</v>
      </c>
      <c r="AE119" s="105">
        <v>64.5</v>
      </c>
      <c r="AF119" s="105">
        <v>65.099999999999994</v>
      </c>
      <c r="AG119" s="121"/>
      <c r="AH119" s="48">
        <f t="shared" si="27"/>
        <v>65.8</v>
      </c>
      <c r="AI119" s="49">
        <f t="shared" si="28"/>
        <v>63.5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D121" si="82">SUM(B25,B31,B34:B35,B69,B71:B72,B74,B76,B122:B126,B158,B164,B170,B179,B181,B193,B200,B203:B204,B211,B213,B215,B219:B221,B223:B225,B230,B236:B237,B239:B241,B249,B254)</f>
        <v>115.54000000000005</v>
      </c>
      <c r="C121" s="124">
        <f t="shared" si="82"/>
        <v>105.44</v>
      </c>
      <c r="D121" s="124">
        <f t="shared" si="82"/>
        <v>66.040000000000006</v>
      </c>
      <c r="E121" s="124">
        <f t="shared" ref="E121:O121" si="83">SUM(E25,E31,E34:E35,E69,E71:E72,E74,E76,E122:E126,E158,E164,E170,E179,E181,E193,E200,E203:E204,E211,E213,E215,E219:E221,E223:E225,E230,E236:E237,E239:E241,E249,E254)</f>
        <v>34.940000000000012</v>
      </c>
      <c r="F121" s="124">
        <f t="shared" si="83"/>
        <v>34.940000000000012</v>
      </c>
      <c r="G121" s="124">
        <f t="shared" si="83"/>
        <v>63.040000000000013</v>
      </c>
      <c r="H121" s="124">
        <f t="shared" si="83"/>
        <v>77.339999999999989</v>
      </c>
      <c r="I121" s="124">
        <f t="shared" si="83"/>
        <v>58.000000000000014</v>
      </c>
      <c r="J121" s="124">
        <f t="shared" si="83"/>
        <v>59.370000000000019</v>
      </c>
      <c r="K121" s="124">
        <f t="shared" si="83"/>
        <v>97.339999999999989</v>
      </c>
      <c r="L121" s="124">
        <f t="shared" si="83"/>
        <v>200.83999999999997</v>
      </c>
      <c r="M121" s="124">
        <f t="shared" si="83"/>
        <v>199.44</v>
      </c>
      <c r="N121" s="124">
        <f t="shared" si="83"/>
        <v>211.74</v>
      </c>
      <c r="O121" s="124">
        <f t="shared" si="83"/>
        <v>196.23999999999998</v>
      </c>
      <c r="P121" s="124">
        <v>42</v>
      </c>
      <c r="Q121" s="124">
        <f t="shared" ref="Q121:X121" si="84">SUM(Q25,Q31,Q34:Q35,Q69,Q71:Q72,Q74,Q76,Q122:Q126,Q158,Q164,Q170,Q179,Q181,Q193,Q200,Q203:Q204,Q211,Q213,Q215,Q219:Q221,Q223:Q225,Q230,Q236:Q237,Q239:Q241,Q249,Q254)</f>
        <v>166.74</v>
      </c>
      <c r="R121" s="124">
        <f t="shared" si="84"/>
        <v>155.84</v>
      </c>
      <c r="S121" s="124">
        <f t="shared" si="84"/>
        <v>145.44</v>
      </c>
      <c r="T121" s="124">
        <f t="shared" si="84"/>
        <v>133.33999999999997</v>
      </c>
      <c r="U121" s="124">
        <f t="shared" si="84"/>
        <v>143.74</v>
      </c>
      <c r="V121" s="124">
        <f t="shared" si="84"/>
        <v>109.64</v>
      </c>
      <c r="W121" s="124">
        <f t="shared" si="84"/>
        <v>123.54000000000002</v>
      </c>
      <c r="X121" s="124">
        <f t="shared" si="84"/>
        <v>164.64000000000001</v>
      </c>
      <c r="Y121" s="124">
        <f>SUM(Y23,Y29,Y40:Y41,Y69,Y71:Y72,Y74,Y76,Y122:Y126,Y151,Y157,Y163,Y172,Y174,Y186,Y193,Y196:Y197,Y204,Y206,Y208,Y212:Y214,Y216:Y218,Y223,Y229:Y230,Y232:Y234,Y242,Y247)</f>
        <v>154</v>
      </c>
      <c r="Z121" s="124">
        <f>SUM(Z23,Z29,Z40:Z41,Z69,Z71:Z72,Z74,Z76,Z122:Z126,Z151,Z157,Z163,Z172,Z174,Z186,Z193,Z196:Z197,Z204,Z206,Z208,Z212:Z214,Z216:Z218,Z223,Z229:Z230,Z232:Z234,Z242,Z247)</f>
        <v>187.9</v>
      </c>
      <c r="AA121" s="124">
        <f t="shared" ref="AA121:AF121" si="85">SUM(AA25,AA31,AA34:AA35,AA69,AA71:AA72,AA74,AA76,AA122:AA126,AA158,AA164,AA170,AA179,AA181,AA193,AA200,AA203:AA204,AA211,AA213,AA215,AA219:AA221,AA223:AA225,AA230,AA236:AA237,AA239:AA241,AA249,AA254)</f>
        <v>219.84</v>
      </c>
      <c r="AB121" s="124">
        <f t="shared" si="85"/>
        <v>217.64000000000001</v>
      </c>
      <c r="AC121" s="124">
        <f t="shared" si="85"/>
        <v>188.74</v>
      </c>
      <c r="AD121" s="124">
        <f t="shared" si="85"/>
        <v>181.34</v>
      </c>
      <c r="AE121" s="124">
        <f t="shared" si="85"/>
        <v>153.14000000000001</v>
      </c>
      <c r="AF121" s="124">
        <f t="shared" si="85"/>
        <v>123.64000000000001</v>
      </c>
      <c r="AG121" s="125"/>
      <c r="AH121" s="48">
        <f t="shared" si="27"/>
        <v>219.84</v>
      </c>
      <c r="AI121" s="49">
        <f t="shared" si="28"/>
        <v>34.940000000000012</v>
      </c>
    </row>
    <row r="122" spans="1:35" x14ac:dyDescent="0.25">
      <c r="A122" s="126" t="s">
        <v>142</v>
      </c>
      <c r="B122" s="127">
        <v>60.2</v>
      </c>
      <c r="C122" s="127">
        <v>61.2</v>
      </c>
      <c r="D122" s="127">
        <v>27.8</v>
      </c>
      <c r="E122" s="127">
        <v>16.3</v>
      </c>
      <c r="F122" s="127">
        <v>16.3</v>
      </c>
      <c r="G122" s="127">
        <v>37.1</v>
      </c>
      <c r="H122" s="127">
        <v>37.9</v>
      </c>
      <c r="I122" s="127">
        <v>24.9</v>
      </c>
      <c r="J122" s="127">
        <v>24.9</v>
      </c>
      <c r="K122" s="127">
        <v>15.9</v>
      </c>
      <c r="L122" s="127">
        <v>75.900000000000006</v>
      </c>
      <c r="M122" s="127">
        <v>59.9</v>
      </c>
      <c r="N122" s="127">
        <v>63.1</v>
      </c>
      <c r="O122" s="127">
        <v>44.1</v>
      </c>
      <c r="P122" s="127">
        <v>46.6</v>
      </c>
      <c r="Q122" s="127">
        <v>44.1</v>
      </c>
      <c r="R122" s="127">
        <v>37.4</v>
      </c>
      <c r="S122" s="127">
        <v>36</v>
      </c>
      <c r="T122" s="127">
        <v>40</v>
      </c>
      <c r="U122" s="127">
        <v>13</v>
      </c>
      <c r="V122" s="127"/>
      <c r="W122" s="127">
        <v>13.4</v>
      </c>
      <c r="X122" s="127">
        <v>39</v>
      </c>
      <c r="Y122" s="127">
        <v>25</v>
      </c>
      <c r="Z122" s="127">
        <v>43</v>
      </c>
      <c r="AA122" s="127">
        <v>49.1</v>
      </c>
      <c r="AB122" s="127">
        <v>46.4</v>
      </c>
      <c r="AC122" s="127">
        <v>30</v>
      </c>
      <c r="AD122" s="127">
        <v>59</v>
      </c>
      <c r="AE122" s="127">
        <v>58.3</v>
      </c>
      <c r="AF122" s="127">
        <v>65.900000000000006</v>
      </c>
      <c r="AG122" s="128">
        <v>75</v>
      </c>
      <c r="AH122" s="48">
        <f t="shared" si="27"/>
        <v>75.900000000000006</v>
      </c>
      <c r="AI122" s="49">
        <f t="shared" si="28"/>
        <v>13</v>
      </c>
    </row>
    <row r="123" spans="1:35" x14ac:dyDescent="0.25">
      <c r="A123" s="129" t="s">
        <v>143</v>
      </c>
      <c r="B123" s="130">
        <v>91</v>
      </c>
      <c r="C123" s="130">
        <v>93.3</v>
      </c>
      <c r="D123" s="130">
        <v>40</v>
      </c>
      <c r="E123" s="130">
        <v>24.3</v>
      </c>
      <c r="F123" s="130">
        <v>24.3</v>
      </c>
      <c r="G123" s="130">
        <v>47.6</v>
      </c>
      <c r="H123" s="130">
        <v>48.3</v>
      </c>
      <c r="I123" s="130">
        <v>30.1</v>
      </c>
      <c r="J123" s="130">
        <v>30.1</v>
      </c>
      <c r="K123" s="130">
        <v>15.7</v>
      </c>
      <c r="L123" s="130">
        <v>103.5</v>
      </c>
      <c r="M123" s="130">
        <v>88.8</v>
      </c>
      <c r="N123" s="130">
        <v>92.9</v>
      </c>
      <c r="O123" s="130">
        <v>66.599999999999994</v>
      </c>
      <c r="P123" s="130">
        <v>71.099999999999994</v>
      </c>
      <c r="Q123" s="130">
        <v>68</v>
      </c>
      <c r="R123" s="130">
        <v>56.9</v>
      </c>
      <c r="S123" s="130">
        <v>56</v>
      </c>
      <c r="T123" s="130">
        <v>61.2</v>
      </c>
      <c r="U123" s="130">
        <v>17.399999999999999</v>
      </c>
      <c r="V123" s="130"/>
      <c r="W123" s="130">
        <v>18</v>
      </c>
      <c r="X123" s="130">
        <v>53.4</v>
      </c>
      <c r="Y123" s="130">
        <v>34.1</v>
      </c>
      <c r="Z123" s="130">
        <v>63</v>
      </c>
      <c r="AA123" s="130">
        <v>72</v>
      </c>
      <c r="AB123" s="130">
        <v>70.099999999999994</v>
      </c>
      <c r="AC123" s="130">
        <v>49.1</v>
      </c>
      <c r="AD123" s="130">
        <v>87.2</v>
      </c>
      <c r="AE123" s="130">
        <v>87.5</v>
      </c>
      <c r="AF123" s="130">
        <v>95.5</v>
      </c>
      <c r="AG123" s="128">
        <v>240</v>
      </c>
      <c r="AH123" s="48">
        <f t="shared" si="27"/>
        <v>103.5</v>
      </c>
      <c r="AI123" s="49">
        <f t="shared" si="28"/>
        <v>15.7</v>
      </c>
    </row>
    <row r="124" spans="1:35" x14ac:dyDescent="0.25">
      <c r="A124" s="129" t="s">
        <v>144</v>
      </c>
      <c r="B124" s="130">
        <v>-144</v>
      </c>
      <c r="C124" s="130">
        <v>-154.5</v>
      </c>
      <c r="D124" s="130">
        <v>-116.4</v>
      </c>
      <c r="E124" s="130">
        <f>-51.7-55.1</f>
        <v>-106.80000000000001</v>
      </c>
      <c r="F124" s="130">
        <f>-51.7-55.1</f>
        <v>-106.80000000000001</v>
      </c>
      <c r="G124" s="130">
        <f>-56.4-60.1</f>
        <v>-116.5</v>
      </c>
      <c r="H124" s="130">
        <f>-51-55</f>
        <v>-106</v>
      </c>
      <c r="I124" s="130">
        <f>-44.8-47</f>
        <v>-91.8</v>
      </c>
      <c r="J124" s="130">
        <f>-44.8-47</f>
        <v>-91.8</v>
      </c>
      <c r="K124" s="130">
        <f>-18.3-20.4</f>
        <v>-38.700000000000003</v>
      </c>
      <c r="L124" s="130">
        <f>-48.8-51.3</f>
        <v>-100.1</v>
      </c>
      <c r="M124" s="130">
        <f>-37-39</f>
        <v>-76</v>
      </c>
      <c r="N124" s="130">
        <f>-38.6-42.2</f>
        <v>-80.800000000000011</v>
      </c>
      <c r="O124" s="130">
        <f>-31-33</f>
        <v>-64</v>
      </c>
      <c r="P124" s="130">
        <f>-36.7-39.1</f>
        <v>-75.800000000000011</v>
      </c>
      <c r="Q124" s="130">
        <v>-78</v>
      </c>
      <c r="R124" s="130">
        <f>-33-36</f>
        <v>-69</v>
      </c>
      <c r="S124" s="130">
        <v>-70</v>
      </c>
      <c r="T124" s="130">
        <v>-77</v>
      </c>
      <c r="U124" s="130">
        <v>-19</v>
      </c>
      <c r="V124" s="130"/>
      <c r="W124" s="130">
        <v>-22</v>
      </c>
      <c r="X124" s="130">
        <v>-45</v>
      </c>
      <c r="Y124" s="130">
        <v>-41</v>
      </c>
      <c r="Z124" s="130">
        <v>-56</v>
      </c>
      <c r="AA124" s="130">
        <v>-48</v>
      </c>
      <c r="AB124" s="130">
        <v>-53.1</v>
      </c>
      <c r="AC124" s="130">
        <v>-43</v>
      </c>
      <c r="AD124" s="130">
        <v>-99</v>
      </c>
      <c r="AE124" s="130">
        <v>-118</v>
      </c>
      <c r="AF124" s="130">
        <f>-70-73.8</f>
        <v>-143.80000000000001</v>
      </c>
      <c r="AG124" s="128">
        <v>240</v>
      </c>
      <c r="AH124" s="48">
        <f t="shared" si="27"/>
        <v>-19</v>
      </c>
      <c r="AI124" s="49">
        <f t="shared" si="28"/>
        <v>-154.5</v>
      </c>
    </row>
    <row r="125" spans="1:35" ht="15.75" thickBot="1" x14ac:dyDescent="0.3">
      <c r="A125" s="129" t="s">
        <v>145</v>
      </c>
      <c r="B125" s="130">
        <v>-14.6</v>
      </c>
      <c r="C125" s="130">
        <v>-17.5</v>
      </c>
      <c r="D125" s="130">
        <v>-8.3000000000000007</v>
      </c>
      <c r="E125" s="130">
        <v>-11.8</v>
      </c>
      <c r="F125" s="130">
        <v>-11.8</v>
      </c>
      <c r="G125" s="130">
        <v>-18.100000000000001</v>
      </c>
      <c r="H125" s="130">
        <v>-15.8</v>
      </c>
      <c r="I125" s="130">
        <v>-19</v>
      </c>
      <c r="J125" s="130">
        <v>-19</v>
      </c>
      <c r="K125" s="130">
        <v>-12.5</v>
      </c>
      <c r="L125" s="130">
        <v>-12.4</v>
      </c>
      <c r="M125" s="130">
        <v>-11.5</v>
      </c>
      <c r="N125" s="130">
        <v>-5</v>
      </c>
      <c r="O125" s="130">
        <f>--5</f>
        <v>5</v>
      </c>
      <c r="P125" s="130">
        <v>-7.1</v>
      </c>
      <c r="Q125" s="130">
        <v>-8.6999999999999993</v>
      </c>
      <c r="R125" s="130">
        <v>-10.8</v>
      </c>
      <c r="S125" s="130">
        <v>-12</v>
      </c>
      <c r="T125" s="130">
        <v>-17</v>
      </c>
      <c r="U125" s="130">
        <v>18</v>
      </c>
      <c r="V125" s="130"/>
      <c r="W125" s="130">
        <v>5</v>
      </c>
      <c r="X125" s="130">
        <v>9</v>
      </c>
      <c r="Y125" s="130">
        <v>10</v>
      </c>
      <c r="Z125" s="130">
        <v>12</v>
      </c>
      <c r="AA125" s="130">
        <v>16</v>
      </c>
      <c r="AB125" s="130">
        <v>23.5</v>
      </c>
      <c r="AC125" s="130">
        <v>21.9</v>
      </c>
      <c r="AD125" s="130">
        <v>3.4</v>
      </c>
      <c r="AE125" s="130">
        <v>-5.4</v>
      </c>
      <c r="AF125" s="130">
        <v>-12.1</v>
      </c>
      <c r="AG125" s="128">
        <v>60</v>
      </c>
      <c r="AH125" s="48">
        <f t="shared" si="27"/>
        <v>23.5</v>
      </c>
      <c r="AI125" s="49">
        <f t="shared" si="28"/>
        <v>-19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>
        <v>46.5</v>
      </c>
      <c r="C127" s="131">
        <v>45.9</v>
      </c>
      <c r="D127" s="131">
        <v>58.4</v>
      </c>
      <c r="E127" s="131">
        <v>69.400000000000006</v>
      </c>
      <c r="F127" s="131">
        <v>69.400000000000006</v>
      </c>
      <c r="G127" s="131">
        <v>63.4</v>
      </c>
      <c r="H127" s="131">
        <v>68.3</v>
      </c>
      <c r="I127" s="131">
        <v>83.8</v>
      </c>
      <c r="J127" s="131">
        <v>83.8</v>
      </c>
      <c r="K127" s="131">
        <v>89.9</v>
      </c>
      <c r="L127" s="131">
        <v>55.3</v>
      </c>
      <c r="M127" s="131">
        <v>67.5</v>
      </c>
      <c r="N127" s="131">
        <v>68.2</v>
      </c>
      <c r="O127" s="131">
        <v>80.099999999999994</v>
      </c>
      <c r="P127" s="131">
        <v>69.5</v>
      </c>
      <c r="Q127" s="131">
        <v>70</v>
      </c>
      <c r="R127" s="131">
        <v>78</v>
      </c>
      <c r="S127" s="131">
        <v>78</v>
      </c>
      <c r="T127" s="131">
        <v>80</v>
      </c>
      <c r="U127" s="131">
        <v>73</v>
      </c>
      <c r="V127" s="131"/>
      <c r="W127" s="131">
        <v>82</v>
      </c>
      <c r="X127" s="131">
        <v>63</v>
      </c>
      <c r="Y127" s="131">
        <v>87</v>
      </c>
      <c r="Z127" s="131">
        <v>87</v>
      </c>
      <c r="AA127" s="131">
        <v>95.4</v>
      </c>
      <c r="AB127" s="131">
        <v>86.1</v>
      </c>
      <c r="AC127" s="131">
        <v>87.5</v>
      </c>
      <c r="AD127" s="131">
        <v>71.400000000000006</v>
      </c>
      <c r="AE127" s="131">
        <v>64.5</v>
      </c>
      <c r="AF127" s="131">
        <v>56.6</v>
      </c>
      <c r="AG127" s="132"/>
      <c r="AH127" s="48"/>
      <c r="AI127" s="49"/>
    </row>
    <row r="128" spans="1:35" x14ac:dyDescent="0.25">
      <c r="A128" s="129" t="s">
        <v>148</v>
      </c>
      <c r="B128" s="131">
        <v>-6.7</v>
      </c>
      <c r="C128" s="131">
        <v>-4.0999999999999996</v>
      </c>
      <c r="D128" s="131">
        <v>33.4</v>
      </c>
      <c r="E128" s="131">
        <v>50.3</v>
      </c>
      <c r="F128" s="131">
        <v>50.3</v>
      </c>
      <c r="G128" s="131">
        <v>32.6</v>
      </c>
      <c r="H128" s="131">
        <v>26.2</v>
      </c>
      <c r="I128" s="131">
        <v>45.5</v>
      </c>
      <c r="J128" s="131">
        <v>45.5</v>
      </c>
      <c r="K128" s="131">
        <v>28.6</v>
      </c>
      <c r="L128" s="131">
        <v>-45.7</v>
      </c>
      <c r="M128" s="131">
        <v>-38.5</v>
      </c>
      <c r="N128" s="131">
        <v>-39.5</v>
      </c>
      <c r="O128" s="131">
        <v>-9.5</v>
      </c>
      <c r="P128" s="131">
        <v>-13</v>
      </c>
      <c r="Q128" s="131">
        <v>-5.5</v>
      </c>
      <c r="R128" s="131">
        <v>-4.0999999999999996</v>
      </c>
      <c r="S128" s="131">
        <v>4</v>
      </c>
      <c r="T128" s="131">
        <v>-0.9</v>
      </c>
      <c r="U128" s="131">
        <v>-7</v>
      </c>
      <c r="V128" s="131"/>
      <c r="W128" s="131">
        <v>4</v>
      </c>
      <c r="X128" s="131">
        <v>-34</v>
      </c>
      <c r="Y128" s="131">
        <v>-2.1</v>
      </c>
      <c r="Z128" s="131">
        <v>-21</v>
      </c>
      <c r="AA128" s="131">
        <v>-33</v>
      </c>
      <c r="AB128" s="131">
        <v>-30.2</v>
      </c>
      <c r="AC128" s="131">
        <v>-11.9</v>
      </c>
      <c r="AD128" s="131">
        <v>-23</v>
      </c>
      <c r="AE128" s="131">
        <v>-12.3</v>
      </c>
      <c r="AF128" s="131">
        <v>-8.8000000000000007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30.7</v>
      </c>
      <c r="C129" s="131">
        <v>27.7</v>
      </c>
      <c r="D129" s="131">
        <v>38.5</v>
      </c>
      <c r="E129" s="131">
        <v>48.6</v>
      </c>
      <c r="F129" s="131">
        <v>48.6</v>
      </c>
      <c r="G129" s="131">
        <v>45.8</v>
      </c>
      <c r="H129" s="131">
        <v>52</v>
      </c>
      <c r="I129" s="131">
        <v>68</v>
      </c>
      <c r="J129" s="131">
        <v>68</v>
      </c>
      <c r="K129" s="131">
        <v>58.5</v>
      </c>
      <c r="L129" s="131">
        <v>25.6</v>
      </c>
      <c r="M129" s="131">
        <v>35.6</v>
      </c>
      <c r="N129" s="131">
        <v>37.5</v>
      </c>
      <c r="O129" s="131">
        <v>55</v>
      </c>
      <c r="P129" s="131">
        <v>52</v>
      </c>
      <c r="Q129" s="131">
        <v>45</v>
      </c>
      <c r="R129" s="131">
        <v>53.1</v>
      </c>
      <c r="S129" s="131">
        <v>55</v>
      </c>
      <c r="T129" s="131">
        <v>55</v>
      </c>
      <c r="U129" s="131">
        <v>49</v>
      </c>
      <c r="V129" s="131"/>
      <c r="W129" s="131">
        <v>70</v>
      </c>
      <c r="X129" s="131">
        <v>42</v>
      </c>
      <c r="Y129" s="131">
        <v>73</v>
      </c>
      <c r="Z129" s="131">
        <v>67</v>
      </c>
      <c r="AA129" s="131">
        <v>78</v>
      </c>
      <c r="AB129" s="131">
        <v>67.2</v>
      </c>
      <c r="AC129" s="131">
        <v>67.599999999999994</v>
      </c>
      <c r="AD129" s="131">
        <v>54.1</v>
      </c>
      <c r="AE129" s="131">
        <v>53.6</v>
      </c>
      <c r="AF129" s="131">
        <v>44.1</v>
      </c>
      <c r="AG129" s="128"/>
      <c r="AH129" s="48">
        <f>MAX(B129:AF129)</f>
        <v>78</v>
      </c>
      <c r="AI129" s="49">
        <f>MIN(B129:AF129)</f>
        <v>25.6</v>
      </c>
    </row>
    <row r="130" spans="1:37" x14ac:dyDescent="0.25">
      <c r="A130" s="126" t="s">
        <v>150</v>
      </c>
      <c r="B130" s="131">
        <v>-212.3</v>
      </c>
      <c r="C130" s="131">
        <v>-229.1</v>
      </c>
      <c r="D130" s="131">
        <v>-234</v>
      </c>
      <c r="E130" s="131">
        <v>-237</v>
      </c>
      <c r="F130" s="131">
        <v>-237</v>
      </c>
      <c r="G130" s="131">
        <v>-200.7</v>
      </c>
      <c r="H130" s="131">
        <v>-186.5</v>
      </c>
      <c r="I130" s="131">
        <v>-226.2</v>
      </c>
      <c r="J130" s="131">
        <v>-226.2</v>
      </c>
      <c r="K130" s="131">
        <v>-193.3</v>
      </c>
      <c r="L130" s="131">
        <v>-151.4</v>
      </c>
      <c r="M130" s="131">
        <v>-147.4</v>
      </c>
      <c r="N130" s="131">
        <v>-148.9</v>
      </c>
      <c r="O130" s="131">
        <v>-148</v>
      </c>
      <c r="P130" s="131">
        <v>-116.3</v>
      </c>
      <c r="Q130" s="131">
        <v>-141.6</v>
      </c>
      <c r="R130" s="131">
        <v>-139.19999999999999</v>
      </c>
      <c r="S130" s="131">
        <v>-145</v>
      </c>
      <c r="T130" s="131">
        <v>-174</v>
      </c>
      <c r="U130" s="131">
        <v>-95</v>
      </c>
      <c r="V130" s="131"/>
      <c r="W130" s="131">
        <v>-75</v>
      </c>
      <c r="X130" s="131">
        <v>-79</v>
      </c>
      <c r="Y130" s="131">
        <v>-176</v>
      </c>
      <c r="Z130" s="131">
        <v>-210</v>
      </c>
      <c r="AA130" s="131">
        <v>-217</v>
      </c>
      <c r="AB130" s="131">
        <v>-225.31</v>
      </c>
      <c r="AC130" s="131">
        <v>-224.2</v>
      </c>
      <c r="AD130" s="131">
        <v>-234.1</v>
      </c>
      <c r="AE130" s="131">
        <v>-220.6</v>
      </c>
      <c r="AF130" s="131">
        <v>-214</v>
      </c>
      <c r="AG130" s="128"/>
      <c r="AH130" s="48">
        <f>MAX(B130:AF130)</f>
        <v>-75</v>
      </c>
      <c r="AI130" s="49">
        <f>MIN(B130:AF130)</f>
        <v>-237</v>
      </c>
    </row>
    <row r="131" spans="1:37" x14ac:dyDescent="0.25">
      <c r="A131" s="129" t="s">
        <v>151</v>
      </c>
      <c r="B131" s="119">
        <v>-27.2</v>
      </c>
      <c r="C131" s="119">
        <v>-20</v>
      </c>
      <c r="D131" s="119">
        <v>-10.7</v>
      </c>
      <c r="E131" s="119">
        <v>-2.6</v>
      </c>
      <c r="F131" s="119">
        <v>-2.6</v>
      </c>
      <c r="G131" s="119">
        <v>-2.2000000000000002</v>
      </c>
      <c r="H131" s="119">
        <v>12</v>
      </c>
      <c r="I131" s="119">
        <v>14</v>
      </c>
      <c r="J131" s="119">
        <v>14</v>
      </c>
      <c r="K131" s="119">
        <v>10.5</v>
      </c>
      <c r="L131" s="119">
        <v>11.3</v>
      </c>
      <c r="M131" s="119">
        <v>-3.8</v>
      </c>
      <c r="N131" s="119">
        <v>2.2999999999999998</v>
      </c>
      <c r="O131" s="119">
        <v>15</v>
      </c>
      <c r="P131" s="119">
        <v>5</v>
      </c>
      <c r="Q131" s="119">
        <v>-4.8</v>
      </c>
      <c r="R131" s="119">
        <v>-6.5</v>
      </c>
      <c r="S131" s="119">
        <v>-7</v>
      </c>
      <c r="T131" s="119">
        <v>-10</v>
      </c>
      <c r="U131" s="119">
        <v>3</v>
      </c>
      <c r="V131" s="119"/>
      <c r="W131" s="119">
        <v>13</v>
      </c>
      <c r="X131" s="119">
        <v>8</v>
      </c>
      <c r="Y131" s="119">
        <v>5</v>
      </c>
      <c r="Z131" s="119">
        <v>-4</v>
      </c>
      <c r="AA131" s="119">
        <v>3.2</v>
      </c>
      <c r="AB131" s="119">
        <v>-17.3</v>
      </c>
      <c r="AC131" s="119">
        <v>-17.2</v>
      </c>
      <c r="AD131" s="119">
        <v>-17.7</v>
      </c>
      <c r="AE131" s="119">
        <v>-14.1</v>
      </c>
      <c r="AF131" s="119">
        <v>-9.5</v>
      </c>
      <c r="AG131" s="128"/>
      <c r="AH131" s="48">
        <f>MAX(B131:AF131)</f>
        <v>15</v>
      </c>
      <c r="AI131" s="49">
        <f>MIN(B131:AF131)</f>
        <v>-27.2</v>
      </c>
    </row>
    <row r="132" spans="1:37" x14ac:dyDescent="0.25">
      <c r="A132" s="129" t="s">
        <v>152</v>
      </c>
      <c r="B132" s="119">
        <v>75.8</v>
      </c>
      <c r="C132" s="119">
        <v>67.900000000000006</v>
      </c>
      <c r="D132" s="119">
        <v>60.9</v>
      </c>
      <c r="E132" s="119">
        <v>54.2</v>
      </c>
      <c r="F132" s="119">
        <v>54.2</v>
      </c>
      <c r="G132" s="119">
        <v>51.5</v>
      </c>
      <c r="H132" s="119">
        <v>36.799999999999997</v>
      </c>
      <c r="I132" s="119">
        <v>33</v>
      </c>
      <c r="J132" s="119">
        <v>33</v>
      </c>
      <c r="K132" s="119">
        <v>0</v>
      </c>
      <c r="L132" s="119">
        <v>29.1</v>
      </c>
      <c r="M132" s="119">
        <v>37.700000000000003</v>
      </c>
      <c r="N132" s="119">
        <v>35.5</v>
      </c>
      <c r="O132" s="119">
        <v>20.9</v>
      </c>
      <c r="P132" s="119">
        <v>45</v>
      </c>
      <c r="Q132" s="119">
        <v>45.2</v>
      </c>
      <c r="R132" s="119">
        <v>49.5</v>
      </c>
      <c r="S132" s="119">
        <v>63</v>
      </c>
      <c r="T132" s="119">
        <v>69</v>
      </c>
      <c r="U132" s="119">
        <v>55</v>
      </c>
      <c r="V132" s="119"/>
      <c r="W132" s="119">
        <v>34</v>
      </c>
      <c r="X132" s="119">
        <v>27</v>
      </c>
      <c r="Y132" s="119">
        <v>27</v>
      </c>
      <c r="Z132" s="119">
        <v>49</v>
      </c>
      <c r="AA132" s="119">
        <v>51</v>
      </c>
      <c r="AB132" s="119">
        <v>74.5</v>
      </c>
      <c r="AC132" s="119">
        <v>77</v>
      </c>
      <c r="AD132" s="119">
        <v>76.2</v>
      </c>
      <c r="AE132" s="119">
        <v>67.400000000000006</v>
      </c>
      <c r="AF132" s="119">
        <v>65</v>
      </c>
      <c r="AG132" s="128"/>
      <c r="AH132" s="48">
        <f>MAX(B132:AF132)</f>
        <v>77</v>
      </c>
      <c r="AI132" s="49">
        <f>MIN(B132:AF132)</f>
        <v>0</v>
      </c>
    </row>
    <row r="133" spans="1:37" ht="15.75" thickBot="1" x14ac:dyDescent="0.3">
      <c r="A133" s="129" t="s">
        <v>153</v>
      </c>
      <c r="B133" s="119">
        <v>85.3</v>
      </c>
      <c r="C133" s="119">
        <v>80.3</v>
      </c>
      <c r="D133" s="119">
        <v>71.599999999999994</v>
      </c>
      <c r="E133" s="119">
        <v>66.5</v>
      </c>
      <c r="F133" s="119">
        <v>66.5</v>
      </c>
      <c r="G133" s="119">
        <v>64.900000000000006</v>
      </c>
      <c r="H133" s="119">
        <v>53.9</v>
      </c>
      <c r="I133" s="119">
        <v>42.2</v>
      </c>
      <c r="J133" s="119">
        <v>42.2</v>
      </c>
      <c r="K133" s="119">
        <v>17.100000000000001</v>
      </c>
      <c r="L133" s="119">
        <v>44.5</v>
      </c>
      <c r="M133" s="119">
        <v>44.1</v>
      </c>
      <c r="N133" s="119">
        <v>44.8</v>
      </c>
      <c r="O133" s="119">
        <v>32.9</v>
      </c>
      <c r="P133" s="119">
        <v>52.1</v>
      </c>
      <c r="Q133" s="119">
        <v>57.3</v>
      </c>
      <c r="R133" s="119">
        <v>59.6</v>
      </c>
      <c r="S133" s="119">
        <v>73</v>
      </c>
      <c r="T133" s="119">
        <v>80</v>
      </c>
      <c r="U133" s="119">
        <v>65</v>
      </c>
      <c r="V133" s="119"/>
      <c r="W133" s="119">
        <v>45</v>
      </c>
      <c r="X133" s="119">
        <v>41</v>
      </c>
      <c r="Y133" s="119">
        <v>37</v>
      </c>
      <c r="Z133" s="119">
        <v>50</v>
      </c>
      <c r="AA133" s="119">
        <v>64</v>
      </c>
      <c r="AB133" s="119">
        <v>79.5</v>
      </c>
      <c r="AC133" s="119">
        <v>84.4</v>
      </c>
      <c r="AD133" s="119">
        <v>79.3</v>
      </c>
      <c r="AE133" s="119">
        <v>75.599999999999994</v>
      </c>
      <c r="AF133" s="119">
        <v>73.599999999999994</v>
      </c>
      <c r="AG133" s="128"/>
      <c r="AH133" s="48">
        <f>MAX(B133:AF133)</f>
        <v>85.3</v>
      </c>
      <c r="AI133" s="49">
        <f>MIN(B133:AF133)</f>
        <v>17.100000000000001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 t="s">
        <v>283</v>
      </c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1984.67</v>
      </c>
      <c r="C135" s="137">
        <v>1984.7</v>
      </c>
      <c r="D135" s="137">
        <v>1984.55</v>
      </c>
      <c r="E135" s="137">
        <v>1984.3</v>
      </c>
      <c r="F135" s="137"/>
      <c r="G135" s="137">
        <v>1984.04</v>
      </c>
      <c r="H135" s="137"/>
      <c r="I135" s="137">
        <v>1984.12</v>
      </c>
      <c r="J135" s="137"/>
      <c r="K135" s="137"/>
      <c r="L135" s="137"/>
      <c r="M135" s="137">
        <v>1984.15</v>
      </c>
      <c r="N135" s="137">
        <v>1984.4</v>
      </c>
      <c r="O135" s="137">
        <v>1984.52</v>
      </c>
      <c r="P135" s="137">
        <v>1984.85</v>
      </c>
      <c r="Q135" s="137">
        <v>1985</v>
      </c>
      <c r="R135" s="137">
        <v>1985.3</v>
      </c>
      <c r="S135" s="137">
        <v>1985.45</v>
      </c>
      <c r="T135" s="137">
        <v>1985.45</v>
      </c>
      <c r="U135" s="137">
        <v>1985.48</v>
      </c>
      <c r="V135" s="137"/>
      <c r="W135" s="137">
        <v>1986.19</v>
      </c>
      <c r="X135" s="137">
        <v>1986.55</v>
      </c>
      <c r="Y135" s="137"/>
      <c r="Z135" s="137"/>
      <c r="AA135" s="137">
        <v>1986.35</v>
      </c>
      <c r="AB135" s="137">
        <v>1986.18</v>
      </c>
      <c r="AC135" s="137">
        <v>1986.02</v>
      </c>
      <c r="AD135" s="137">
        <v>1985.88</v>
      </c>
      <c r="AE135" s="137">
        <v>1985.67</v>
      </c>
      <c r="AF135" s="138">
        <v>1985.6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>
        <v>519.98</v>
      </c>
      <c r="N136" s="140">
        <v>520.05999999999995</v>
      </c>
      <c r="O136" s="140"/>
      <c r="P136" s="140">
        <v>520.62</v>
      </c>
      <c r="Q136" s="140">
        <v>521.02</v>
      </c>
      <c r="R136" s="140">
        <v>521.46</v>
      </c>
      <c r="S136" s="140">
        <v>521.77</v>
      </c>
      <c r="T136" s="140">
        <v>521.97</v>
      </c>
      <c r="U136" s="140"/>
      <c r="V136" s="140"/>
      <c r="W136" s="140"/>
      <c r="X136" s="140">
        <v>522.11</v>
      </c>
      <c r="Y136" s="140"/>
      <c r="Z136" s="140"/>
      <c r="AA136" s="140"/>
      <c r="AB136" s="140"/>
      <c r="AC136" s="140"/>
      <c r="AD136" s="140">
        <v>522.01</v>
      </c>
      <c r="AE136" s="140">
        <v>521.96</v>
      </c>
      <c r="AF136" s="141">
        <v>521.84</v>
      </c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883.2</v>
      </c>
      <c r="F139" s="140"/>
      <c r="G139" s="140">
        <v>883.4</v>
      </c>
      <c r="H139" s="140"/>
      <c r="I139" s="140">
        <v>884.5</v>
      </c>
      <c r="J139" s="140"/>
      <c r="K139" s="140"/>
      <c r="L139" s="140"/>
      <c r="M139" s="140"/>
      <c r="N139" s="140">
        <v>886.2</v>
      </c>
      <c r="O139" s="140"/>
      <c r="P139" s="140">
        <v>886.1</v>
      </c>
      <c r="Q139" s="140">
        <v>885.6</v>
      </c>
      <c r="R139" s="140">
        <v>884.8</v>
      </c>
      <c r="S139" s="140">
        <v>884</v>
      </c>
      <c r="T139" s="140">
        <v>882.5</v>
      </c>
      <c r="U139" s="140"/>
      <c r="V139" s="140"/>
      <c r="W139" s="140"/>
      <c r="X139" s="140">
        <v>882</v>
      </c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1486.55</v>
      </c>
      <c r="C140" s="142"/>
      <c r="D140" s="142"/>
      <c r="E140" s="142"/>
      <c r="F140" s="142"/>
      <c r="G140" s="142"/>
      <c r="H140" s="142"/>
      <c r="I140" s="142">
        <v>1486.57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86">SUM(B142:B246)</f>
        <v>0</v>
      </c>
      <c r="C247" s="161">
        <f t="shared" si="86"/>
        <v>0</v>
      </c>
      <c r="D247" s="161">
        <f t="shared" si="86"/>
        <v>0</v>
      </c>
      <c r="E247" s="161">
        <f t="shared" si="86"/>
        <v>0</v>
      </c>
      <c r="F247" s="161">
        <f t="shared" si="86"/>
        <v>0</v>
      </c>
      <c r="G247" s="161">
        <f t="shared" si="86"/>
        <v>0</v>
      </c>
      <c r="H247" s="161">
        <f t="shared" si="86"/>
        <v>0</v>
      </c>
      <c r="I247" s="161">
        <f t="shared" si="86"/>
        <v>0</v>
      </c>
      <c r="J247" s="161">
        <f t="shared" si="86"/>
        <v>0</v>
      </c>
      <c r="K247" s="161">
        <f t="shared" si="86"/>
        <v>0</v>
      </c>
      <c r="L247" s="161">
        <f t="shared" si="86"/>
        <v>0</v>
      </c>
      <c r="M247" s="161">
        <f t="shared" si="86"/>
        <v>0</v>
      </c>
      <c r="N247" s="161">
        <f t="shared" si="86"/>
        <v>0</v>
      </c>
      <c r="O247" s="161">
        <f t="shared" si="86"/>
        <v>0</v>
      </c>
      <c r="P247" s="161">
        <f t="shared" si="86"/>
        <v>0</v>
      </c>
      <c r="Q247" s="161">
        <f t="shared" si="86"/>
        <v>0</v>
      </c>
      <c r="R247" s="161">
        <f t="shared" si="86"/>
        <v>0</v>
      </c>
      <c r="S247" s="161">
        <f t="shared" si="86"/>
        <v>0</v>
      </c>
      <c r="T247" s="161">
        <f t="shared" si="86"/>
        <v>0</v>
      </c>
      <c r="U247" s="161">
        <f t="shared" si="86"/>
        <v>0</v>
      </c>
      <c r="V247" s="161">
        <f t="shared" si="86"/>
        <v>0</v>
      </c>
      <c r="W247" s="161">
        <f t="shared" si="86"/>
        <v>0</v>
      </c>
      <c r="X247" s="161">
        <f t="shared" si="86"/>
        <v>0</v>
      </c>
      <c r="Y247" s="161">
        <f t="shared" si="86"/>
        <v>0</v>
      </c>
      <c r="Z247" s="161">
        <f t="shared" si="86"/>
        <v>0</v>
      </c>
      <c r="AA247" s="161">
        <f t="shared" si="86"/>
        <v>0</v>
      </c>
      <c r="AB247" s="161">
        <f t="shared" si="86"/>
        <v>0</v>
      </c>
      <c r="AC247" s="161">
        <f t="shared" si="86"/>
        <v>0</v>
      </c>
      <c r="AD247" s="161">
        <f t="shared" si="86"/>
        <v>0</v>
      </c>
      <c r="AE247" s="161">
        <f t="shared" si="86"/>
        <v>0</v>
      </c>
      <c r="AF247" s="162">
        <f t="shared" si="86"/>
        <v>0</v>
      </c>
      <c r="AG247" s="163">
        <f t="shared" si="8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87">AF249</f>
        <v>0.3</v>
      </c>
      <c r="C249" s="166">
        <v>0.3</v>
      </c>
      <c r="D249" s="166">
        <f t="shared" ref="D249:S254" si="88">C249</f>
        <v>0.3</v>
      </c>
      <c r="E249" s="166">
        <f t="shared" si="88"/>
        <v>0.3</v>
      </c>
      <c r="F249" s="166">
        <f t="shared" si="88"/>
        <v>0.3</v>
      </c>
      <c r="G249" s="166">
        <f t="shared" si="88"/>
        <v>0.3</v>
      </c>
      <c r="H249" s="166">
        <f t="shared" si="88"/>
        <v>0.3</v>
      </c>
      <c r="I249" s="166">
        <f t="shared" si="88"/>
        <v>0.3</v>
      </c>
      <c r="J249" s="166">
        <f t="shared" si="88"/>
        <v>0.3</v>
      </c>
      <c r="K249" s="166">
        <f t="shared" si="88"/>
        <v>0.3</v>
      </c>
      <c r="L249" s="166">
        <f t="shared" si="88"/>
        <v>0.3</v>
      </c>
      <c r="M249" s="166">
        <f t="shared" si="88"/>
        <v>0.3</v>
      </c>
      <c r="N249" s="166">
        <f t="shared" si="88"/>
        <v>0.3</v>
      </c>
      <c r="O249" s="166">
        <f t="shared" si="88"/>
        <v>0.3</v>
      </c>
      <c r="P249" s="166">
        <f t="shared" si="88"/>
        <v>0.3</v>
      </c>
      <c r="Q249" s="166">
        <f t="shared" si="88"/>
        <v>0.3</v>
      </c>
      <c r="R249" s="166">
        <f t="shared" si="88"/>
        <v>0.3</v>
      </c>
      <c r="S249" s="166">
        <f t="shared" si="88"/>
        <v>0.3</v>
      </c>
      <c r="T249" s="166">
        <f t="shared" ref="T249:AF254" si="89">S249</f>
        <v>0.3</v>
      </c>
      <c r="U249" s="166">
        <f t="shared" si="89"/>
        <v>0.3</v>
      </c>
      <c r="V249" s="166">
        <f t="shared" si="89"/>
        <v>0.3</v>
      </c>
      <c r="W249" s="166">
        <f t="shared" si="89"/>
        <v>0.3</v>
      </c>
      <c r="X249" s="166">
        <f t="shared" si="89"/>
        <v>0.3</v>
      </c>
      <c r="Y249" s="166">
        <f t="shared" si="89"/>
        <v>0.3</v>
      </c>
      <c r="Z249" s="166">
        <f t="shared" si="89"/>
        <v>0.3</v>
      </c>
      <c r="AA249" s="166">
        <f t="shared" si="89"/>
        <v>0.3</v>
      </c>
      <c r="AB249" s="166">
        <f t="shared" si="89"/>
        <v>0.3</v>
      </c>
      <c r="AC249" s="166">
        <f t="shared" si="89"/>
        <v>0.3</v>
      </c>
      <c r="AD249" s="166">
        <f t="shared" si="89"/>
        <v>0.3</v>
      </c>
      <c r="AE249" s="166">
        <f t="shared" si="89"/>
        <v>0.3</v>
      </c>
      <c r="AF249" s="166">
        <f t="shared" si="8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87"/>
        <v>0.4</v>
      </c>
      <c r="C250" s="152">
        <v>0.4</v>
      </c>
      <c r="D250" s="152">
        <f t="shared" si="88"/>
        <v>0.4</v>
      </c>
      <c r="E250" s="152">
        <f t="shared" si="88"/>
        <v>0.4</v>
      </c>
      <c r="F250" s="152">
        <f t="shared" si="88"/>
        <v>0.4</v>
      </c>
      <c r="G250" s="152">
        <f t="shared" si="88"/>
        <v>0.4</v>
      </c>
      <c r="H250" s="152">
        <f t="shared" si="88"/>
        <v>0.4</v>
      </c>
      <c r="I250" s="152">
        <f t="shared" si="88"/>
        <v>0.4</v>
      </c>
      <c r="J250" s="152">
        <f t="shared" si="88"/>
        <v>0.4</v>
      </c>
      <c r="K250" s="152">
        <f t="shared" si="88"/>
        <v>0.4</v>
      </c>
      <c r="L250" s="152">
        <f t="shared" si="88"/>
        <v>0.4</v>
      </c>
      <c r="M250" s="152">
        <f t="shared" si="88"/>
        <v>0.4</v>
      </c>
      <c r="N250" s="152">
        <f t="shared" si="88"/>
        <v>0.4</v>
      </c>
      <c r="O250" s="152">
        <f t="shared" si="88"/>
        <v>0.4</v>
      </c>
      <c r="P250" s="152">
        <f t="shared" si="88"/>
        <v>0.4</v>
      </c>
      <c r="Q250" s="152">
        <f t="shared" si="88"/>
        <v>0.4</v>
      </c>
      <c r="R250" s="152">
        <f t="shared" si="88"/>
        <v>0.4</v>
      </c>
      <c r="S250" s="152">
        <f t="shared" si="88"/>
        <v>0.4</v>
      </c>
      <c r="T250" s="152">
        <f t="shared" si="89"/>
        <v>0.4</v>
      </c>
      <c r="U250" s="152">
        <f t="shared" si="89"/>
        <v>0.4</v>
      </c>
      <c r="V250" s="152">
        <f t="shared" si="89"/>
        <v>0.4</v>
      </c>
      <c r="W250" s="152">
        <f t="shared" si="89"/>
        <v>0.4</v>
      </c>
      <c r="X250" s="152">
        <f t="shared" si="89"/>
        <v>0.4</v>
      </c>
      <c r="Y250" s="152">
        <f t="shared" si="89"/>
        <v>0.4</v>
      </c>
      <c r="Z250" s="152">
        <f t="shared" si="89"/>
        <v>0.4</v>
      </c>
      <c r="AA250" s="152">
        <f t="shared" si="89"/>
        <v>0.4</v>
      </c>
      <c r="AB250" s="152">
        <f t="shared" si="89"/>
        <v>0.4</v>
      </c>
      <c r="AC250" s="152">
        <f t="shared" si="89"/>
        <v>0.4</v>
      </c>
      <c r="AD250" s="152">
        <f t="shared" si="89"/>
        <v>0.4</v>
      </c>
      <c r="AE250" s="152">
        <f t="shared" si="89"/>
        <v>0.4</v>
      </c>
      <c r="AF250" s="152">
        <f t="shared" si="8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87"/>
        <v>1.5</v>
      </c>
      <c r="C251" s="152">
        <v>1.5</v>
      </c>
      <c r="D251" s="152">
        <f t="shared" si="88"/>
        <v>1.5</v>
      </c>
      <c r="E251" s="152">
        <f t="shared" si="88"/>
        <v>1.5</v>
      </c>
      <c r="F251" s="152">
        <f t="shared" si="88"/>
        <v>1.5</v>
      </c>
      <c r="G251" s="152">
        <f t="shared" si="88"/>
        <v>1.5</v>
      </c>
      <c r="H251" s="152">
        <f t="shared" si="88"/>
        <v>1.5</v>
      </c>
      <c r="I251" s="152">
        <f t="shared" si="88"/>
        <v>1.5</v>
      </c>
      <c r="J251" s="152">
        <f t="shared" si="88"/>
        <v>1.5</v>
      </c>
      <c r="K251" s="152">
        <f t="shared" si="88"/>
        <v>1.5</v>
      </c>
      <c r="L251" s="152">
        <f t="shared" si="88"/>
        <v>1.5</v>
      </c>
      <c r="M251" s="152">
        <f t="shared" si="88"/>
        <v>1.5</v>
      </c>
      <c r="N251" s="152">
        <f t="shared" si="88"/>
        <v>1.5</v>
      </c>
      <c r="O251" s="152">
        <f t="shared" si="88"/>
        <v>1.5</v>
      </c>
      <c r="P251" s="152">
        <f t="shared" si="88"/>
        <v>1.5</v>
      </c>
      <c r="Q251" s="152">
        <f t="shared" si="88"/>
        <v>1.5</v>
      </c>
      <c r="R251" s="152">
        <f t="shared" si="88"/>
        <v>1.5</v>
      </c>
      <c r="S251" s="152">
        <f t="shared" si="88"/>
        <v>1.5</v>
      </c>
      <c r="T251" s="152">
        <f t="shared" si="89"/>
        <v>1.5</v>
      </c>
      <c r="U251" s="152">
        <f t="shared" si="89"/>
        <v>1.5</v>
      </c>
      <c r="V251" s="152">
        <f t="shared" si="89"/>
        <v>1.5</v>
      </c>
      <c r="W251" s="152">
        <f t="shared" si="89"/>
        <v>1.5</v>
      </c>
      <c r="X251" s="152">
        <f t="shared" si="89"/>
        <v>1.5</v>
      </c>
      <c r="Y251" s="152">
        <f t="shared" si="89"/>
        <v>1.5</v>
      </c>
      <c r="Z251" s="152">
        <f t="shared" si="89"/>
        <v>1.5</v>
      </c>
      <c r="AA251" s="152">
        <f t="shared" si="89"/>
        <v>1.5</v>
      </c>
      <c r="AB251" s="152">
        <f t="shared" si="89"/>
        <v>1.5</v>
      </c>
      <c r="AC251" s="152">
        <f t="shared" si="89"/>
        <v>1.5</v>
      </c>
      <c r="AD251" s="152">
        <f t="shared" si="89"/>
        <v>1.5</v>
      </c>
      <c r="AE251" s="152">
        <f t="shared" si="89"/>
        <v>1.5</v>
      </c>
      <c r="AF251" s="152">
        <f t="shared" si="8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87"/>
        <v>0.3</v>
      </c>
      <c r="C252" s="152">
        <v>0.3</v>
      </c>
      <c r="D252" s="152">
        <f t="shared" si="88"/>
        <v>0.3</v>
      </c>
      <c r="E252" s="152">
        <f t="shared" si="88"/>
        <v>0.3</v>
      </c>
      <c r="F252" s="152">
        <f t="shared" si="88"/>
        <v>0.3</v>
      </c>
      <c r="G252" s="152">
        <f t="shared" si="88"/>
        <v>0.3</v>
      </c>
      <c r="H252" s="152">
        <f t="shared" si="88"/>
        <v>0.3</v>
      </c>
      <c r="I252" s="152">
        <f t="shared" si="88"/>
        <v>0.3</v>
      </c>
      <c r="J252" s="152">
        <f t="shared" si="88"/>
        <v>0.3</v>
      </c>
      <c r="K252" s="152">
        <f t="shared" si="88"/>
        <v>0.3</v>
      </c>
      <c r="L252" s="152">
        <f t="shared" si="88"/>
        <v>0.3</v>
      </c>
      <c r="M252" s="152">
        <f t="shared" si="88"/>
        <v>0.3</v>
      </c>
      <c r="N252" s="152">
        <f t="shared" si="88"/>
        <v>0.3</v>
      </c>
      <c r="O252" s="152">
        <f t="shared" si="88"/>
        <v>0.3</v>
      </c>
      <c r="P252" s="152">
        <f t="shared" si="88"/>
        <v>0.3</v>
      </c>
      <c r="Q252" s="152">
        <f t="shared" si="88"/>
        <v>0.3</v>
      </c>
      <c r="R252" s="152">
        <f t="shared" si="88"/>
        <v>0.3</v>
      </c>
      <c r="S252" s="152">
        <f t="shared" si="88"/>
        <v>0.3</v>
      </c>
      <c r="T252" s="152">
        <f t="shared" si="89"/>
        <v>0.3</v>
      </c>
      <c r="U252" s="152">
        <f t="shared" si="89"/>
        <v>0.3</v>
      </c>
      <c r="V252" s="152">
        <f t="shared" si="89"/>
        <v>0.3</v>
      </c>
      <c r="W252" s="152">
        <f t="shared" si="89"/>
        <v>0.3</v>
      </c>
      <c r="X252" s="152">
        <f t="shared" si="89"/>
        <v>0.3</v>
      </c>
      <c r="Y252" s="152">
        <f t="shared" si="89"/>
        <v>0.3</v>
      </c>
      <c r="Z252" s="152">
        <f t="shared" si="89"/>
        <v>0.3</v>
      </c>
      <c r="AA252" s="152">
        <f t="shared" si="89"/>
        <v>0.3</v>
      </c>
      <c r="AB252" s="152">
        <f t="shared" si="89"/>
        <v>0.3</v>
      </c>
      <c r="AC252" s="152">
        <f t="shared" si="89"/>
        <v>0.3</v>
      </c>
      <c r="AD252" s="152">
        <f t="shared" si="89"/>
        <v>0.3</v>
      </c>
      <c r="AE252" s="152">
        <f t="shared" si="89"/>
        <v>0.3</v>
      </c>
      <c r="AF252" s="152">
        <f t="shared" si="8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87"/>
        <v>0.4</v>
      </c>
      <c r="C253" s="152">
        <v>0.4</v>
      </c>
      <c r="D253" s="152">
        <f t="shared" si="88"/>
        <v>0.4</v>
      </c>
      <c r="E253" s="152">
        <f t="shared" si="88"/>
        <v>0.4</v>
      </c>
      <c r="F253" s="152">
        <f t="shared" si="88"/>
        <v>0.4</v>
      </c>
      <c r="G253" s="152">
        <f t="shared" si="88"/>
        <v>0.4</v>
      </c>
      <c r="H253" s="152">
        <f t="shared" si="88"/>
        <v>0.4</v>
      </c>
      <c r="I253" s="152">
        <f t="shared" si="88"/>
        <v>0.4</v>
      </c>
      <c r="J253" s="152">
        <f t="shared" si="88"/>
        <v>0.4</v>
      </c>
      <c r="K253" s="152">
        <f t="shared" si="88"/>
        <v>0.4</v>
      </c>
      <c r="L253" s="152">
        <f t="shared" si="88"/>
        <v>0.4</v>
      </c>
      <c r="M253" s="152">
        <f t="shared" si="88"/>
        <v>0.4</v>
      </c>
      <c r="N253" s="152">
        <f t="shared" si="88"/>
        <v>0.4</v>
      </c>
      <c r="O253" s="152">
        <f t="shared" si="88"/>
        <v>0.4</v>
      </c>
      <c r="P253" s="152">
        <f t="shared" si="88"/>
        <v>0.4</v>
      </c>
      <c r="Q253" s="152">
        <f t="shared" si="88"/>
        <v>0.4</v>
      </c>
      <c r="R253" s="152">
        <f t="shared" si="88"/>
        <v>0.4</v>
      </c>
      <c r="S253" s="152">
        <f t="shared" si="88"/>
        <v>0.4</v>
      </c>
      <c r="T253" s="152">
        <f t="shared" si="89"/>
        <v>0.4</v>
      </c>
      <c r="U253" s="152">
        <f t="shared" si="89"/>
        <v>0.4</v>
      </c>
      <c r="V253" s="152">
        <f t="shared" si="89"/>
        <v>0.4</v>
      </c>
      <c r="W253" s="152">
        <f t="shared" si="89"/>
        <v>0.4</v>
      </c>
      <c r="X253" s="152">
        <f t="shared" si="89"/>
        <v>0.4</v>
      </c>
      <c r="Y253" s="152">
        <f t="shared" si="89"/>
        <v>0.4</v>
      </c>
      <c r="Z253" s="152">
        <f t="shared" si="89"/>
        <v>0.4</v>
      </c>
      <c r="AA253" s="152">
        <f t="shared" si="89"/>
        <v>0.4</v>
      </c>
      <c r="AB253" s="152">
        <f t="shared" si="89"/>
        <v>0.4</v>
      </c>
      <c r="AC253" s="152">
        <f t="shared" si="89"/>
        <v>0.4</v>
      </c>
      <c r="AD253" s="152">
        <f t="shared" si="89"/>
        <v>0.4</v>
      </c>
      <c r="AE253" s="152">
        <f t="shared" si="89"/>
        <v>0.4</v>
      </c>
      <c r="AF253" s="152">
        <f t="shared" si="8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87"/>
        <v>0.64</v>
      </c>
      <c r="C254" s="157">
        <v>0.64</v>
      </c>
      <c r="D254" s="157">
        <f t="shared" si="88"/>
        <v>0.64</v>
      </c>
      <c r="E254" s="157">
        <f t="shared" si="88"/>
        <v>0.64</v>
      </c>
      <c r="F254" s="157">
        <f t="shared" si="88"/>
        <v>0.64</v>
      </c>
      <c r="G254" s="157">
        <f t="shared" si="88"/>
        <v>0.64</v>
      </c>
      <c r="H254" s="157">
        <f t="shared" si="88"/>
        <v>0.64</v>
      </c>
      <c r="I254" s="157">
        <f t="shared" si="88"/>
        <v>0.64</v>
      </c>
      <c r="J254" s="157">
        <f t="shared" si="88"/>
        <v>0.64</v>
      </c>
      <c r="K254" s="157">
        <f t="shared" si="88"/>
        <v>0.64</v>
      </c>
      <c r="L254" s="157">
        <f t="shared" si="88"/>
        <v>0.64</v>
      </c>
      <c r="M254" s="157">
        <f t="shared" si="88"/>
        <v>0.64</v>
      </c>
      <c r="N254" s="157">
        <f t="shared" si="88"/>
        <v>0.64</v>
      </c>
      <c r="O254" s="157">
        <f t="shared" si="88"/>
        <v>0.64</v>
      </c>
      <c r="P254" s="157">
        <f t="shared" si="88"/>
        <v>0.64</v>
      </c>
      <c r="Q254" s="157">
        <f t="shared" si="88"/>
        <v>0.64</v>
      </c>
      <c r="R254" s="157">
        <f t="shared" si="88"/>
        <v>0.64</v>
      </c>
      <c r="S254" s="157">
        <f t="shared" si="88"/>
        <v>0.64</v>
      </c>
      <c r="T254" s="157">
        <f t="shared" si="89"/>
        <v>0.64</v>
      </c>
      <c r="U254" s="157">
        <f t="shared" si="89"/>
        <v>0.64</v>
      </c>
      <c r="V254" s="157">
        <f t="shared" si="89"/>
        <v>0.64</v>
      </c>
      <c r="W254" s="157">
        <f t="shared" si="89"/>
        <v>0.64</v>
      </c>
      <c r="X254" s="157">
        <f t="shared" si="89"/>
        <v>0.64</v>
      </c>
      <c r="Y254" s="157">
        <f t="shared" si="89"/>
        <v>0.64</v>
      </c>
      <c r="Z254" s="157">
        <f t="shared" si="89"/>
        <v>0.64</v>
      </c>
      <c r="AA254" s="157">
        <f t="shared" si="89"/>
        <v>0.64</v>
      </c>
      <c r="AB254" s="157">
        <f t="shared" si="89"/>
        <v>0.64</v>
      </c>
      <c r="AC254" s="157">
        <f t="shared" si="89"/>
        <v>0.64</v>
      </c>
      <c r="AD254" s="157">
        <f t="shared" si="89"/>
        <v>0.64</v>
      </c>
      <c r="AE254" s="157">
        <f t="shared" si="89"/>
        <v>0.64</v>
      </c>
      <c r="AF254" s="157">
        <f t="shared" si="8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0">SUM(B249:B254)</f>
        <v>3.54</v>
      </c>
      <c r="C255" s="161">
        <f t="shared" si="90"/>
        <v>3.54</v>
      </c>
      <c r="D255" s="161">
        <f t="shared" si="90"/>
        <v>3.54</v>
      </c>
      <c r="E255" s="161">
        <f t="shared" si="90"/>
        <v>3.54</v>
      </c>
      <c r="F255" s="161">
        <f t="shared" si="90"/>
        <v>3.54</v>
      </c>
      <c r="G255" s="161">
        <f t="shared" si="90"/>
        <v>3.54</v>
      </c>
      <c r="H255" s="161">
        <f t="shared" si="90"/>
        <v>3.54</v>
      </c>
      <c r="I255" s="161">
        <f t="shared" si="90"/>
        <v>3.54</v>
      </c>
      <c r="J255" s="161">
        <f t="shared" si="90"/>
        <v>3.54</v>
      </c>
      <c r="K255" s="161">
        <f t="shared" si="90"/>
        <v>3.54</v>
      </c>
      <c r="L255" s="161">
        <f t="shared" si="90"/>
        <v>3.54</v>
      </c>
      <c r="M255" s="161">
        <f t="shared" si="90"/>
        <v>3.54</v>
      </c>
      <c r="N255" s="161">
        <f t="shared" si="90"/>
        <v>3.54</v>
      </c>
      <c r="O255" s="161">
        <f t="shared" si="90"/>
        <v>3.54</v>
      </c>
      <c r="P255" s="161">
        <f t="shared" si="90"/>
        <v>3.54</v>
      </c>
      <c r="Q255" s="161">
        <f t="shared" si="90"/>
        <v>3.54</v>
      </c>
      <c r="R255" s="161">
        <f t="shared" si="90"/>
        <v>3.54</v>
      </c>
      <c r="S255" s="161">
        <f t="shared" si="90"/>
        <v>3.54</v>
      </c>
      <c r="T255" s="161">
        <f t="shared" si="90"/>
        <v>3.54</v>
      </c>
      <c r="U255" s="161">
        <f t="shared" si="90"/>
        <v>3.54</v>
      </c>
      <c r="V255" s="161">
        <f t="shared" si="90"/>
        <v>3.54</v>
      </c>
      <c r="W255" s="161">
        <f t="shared" si="90"/>
        <v>3.54</v>
      </c>
      <c r="X255" s="161">
        <f t="shared" si="90"/>
        <v>3.54</v>
      </c>
      <c r="Y255" s="161">
        <f t="shared" si="90"/>
        <v>3.54</v>
      </c>
      <c r="Z255" s="161">
        <f t="shared" si="90"/>
        <v>3.54</v>
      </c>
      <c r="AA255" s="161">
        <f t="shared" si="90"/>
        <v>3.54</v>
      </c>
      <c r="AB255" s="161">
        <f t="shared" si="90"/>
        <v>3.54</v>
      </c>
      <c r="AC255" s="161">
        <f t="shared" si="90"/>
        <v>3.54</v>
      </c>
      <c r="AD255" s="161">
        <f t="shared" si="90"/>
        <v>3.54</v>
      </c>
      <c r="AE255" s="161">
        <f t="shared" si="90"/>
        <v>3.54</v>
      </c>
      <c r="AF255" s="161">
        <f t="shared" si="90"/>
        <v>3.54</v>
      </c>
      <c r="AG255" s="171">
        <f t="shared" si="9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1881.17</v>
      </c>
      <c r="C259" s="174">
        <f>INDEX(G9:N9,1,MATCH(MAX(G102:N102),G102:N102,0))</f>
        <v>0.27083333333333331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2080/10/26)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252" priority="80">
      <formula>$AH11=0</formula>
    </cfRule>
  </conditionalFormatting>
  <conditionalFormatting sqref="A89">
    <cfRule type="expression" dxfId="1251" priority="138">
      <formula>$AH94=0</formula>
    </cfRule>
  </conditionalFormatting>
  <conditionalFormatting sqref="A90:A94">
    <cfRule type="expression" dxfId="1250" priority="81">
      <formula>$AH89=0</formula>
    </cfRule>
  </conditionalFormatting>
  <conditionalFormatting sqref="B8">
    <cfRule type="expression" dxfId="1249" priority="134">
      <formula>AND(C$9&gt;=14/24,C$9&lt;20/24)</formula>
    </cfRule>
    <cfRule type="expression" dxfId="1248" priority="135">
      <formula>AND(C$9&gt;=8/24,C$9&lt;14/24)</formula>
    </cfRule>
    <cfRule type="expression" dxfId="1247" priority="136">
      <formula>C$9&lt;8/24</formula>
    </cfRule>
    <cfRule type="expression" dxfId="1246" priority="137">
      <formula>C$9&gt;=20/24</formula>
    </cfRule>
  </conditionalFormatting>
  <conditionalFormatting sqref="B11:L57 M15:Z57 B62:AF65 B66:D77 E72:AF77 B80:AF102 B9:AF10 B104:AF120 B122:AF140 B247:AF247 B249:B255">
    <cfRule type="expression" dxfId="1245" priority="41">
      <formula>B$9&gt;=20/24</formula>
    </cfRule>
  </conditionalFormatting>
  <conditionalFormatting sqref="B9:AF10 B11:L57 M15:Z57 B62:AF65 B66:D77 E72:AF77 B80:AF102 B104:AF120 B122:AF140 B247:AF247 B249:B255">
    <cfRule type="expression" dxfId="1244" priority="42">
      <formula>AND(B$9&gt;=14/24,B$9&lt;20/24)</formula>
    </cfRule>
    <cfRule type="expression" dxfId="1243" priority="43">
      <formula>AND(B$9&gt;=8/24,B$9&lt;14/24)</formula>
    </cfRule>
    <cfRule type="expression" dxfId="1242" priority="44">
      <formula>B$9&lt;8/24</formula>
    </cfRule>
  </conditionalFormatting>
  <conditionalFormatting sqref="B58:AF60">
    <cfRule type="expression" dxfId="1241" priority="37">
      <formula>B$9&gt;=20/24</formula>
    </cfRule>
    <cfRule type="expression" dxfId="1240" priority="38">
      <formula>AND(B$9&gt;=14/24,B$9&lt;20/24)</formula>
    </cfRule>
    <cfRule type="expression" dxfId="1239" priority="39">
      <formula>AND(B$9&gt;=8/24,B$9&lt;14/24)</formula>
    </cfRule>
    <cfRule type="expression" dxfId="1238" priority="49">
      <formula>B$9&lt;8/24</formula>
    </cfRule>
  </conditionalFormatting>
  <conditionalFormatting sqref="D249:AF255">
    <cfRule type="expression" dxfId="1237" priority="119">
      <formula>D$9&gt;=20/24</formula>
    </cfRule>
    <cfRule type="expression" dxfId="1236" priority="120">
      <formula>AND(D$9&gt;=14/24,D$9&lt;20/24)</formula>
    </cfRule>
    <cfRule type="expression" dxfId="1235" priority="121">
      <formula>AND(D$9&gt;=8/24,D$9&lt;14/24)</formula>
    </cfRule>
    <cfRule type="expression" dxfId="1234" priority="122">
      <formula>D$9&lt;8/24</formula>
    </cfRule>
  </conditionalFormatting>
  <conditionalFormatting sqref="E66:J70 K70">
    <cfRule type="expression" dxfId="1233" priority="50">
      <formula>E$9&gt;=20/24</formula>
    </cfRule>
    <cfRule type="expression" dxfId="1232" priority="51">
      <formula>AND(E$9&gt;=14/24,E$9&lt;20/24)</formula>
    </cfRule>
    <cfRule type="expression" dxfId="1231" priority="52">
      <formula>AND(E$9&gt;=8/24,E$9&lt;14/24)</formula>
    </cfRule>
    <cfRule type="expression" dxfId="1230" priority="53">
      <formula>E$9&lt;8/24</formula>
    </cfRule>
  </conditionalFormatting>
  <conditionalFormatting sqref="E71:K71">
    <cfRule type="expression" dxfId="1229" priority="45">
      <formula>E$9&gt;=20/24</formula>
    </cfRule>
    <cfRule type="expression" dxfId="1228" priority="46">
      <formula>AND(E$9&gt;=14/24,E$9&lt;20/24)</formula>
    </cfRule>
    <cfRule type="expression" dxfId="1227" priority="47">
      <formula>AND(E$9&gt;=8/24,E$9&lt;14/24)</formula>
    </cfRule>
    <cfRule type="expression" dxfId="1226" priority="48">
      <formula>E$9&lt;8/24</formula>
    </cfRule>
  </conditionalFormatting>
  <conditionalFormatting sqref="E11:L59 B11:D64 M15:P59 Q15:AA60 AB15:AF83 E60:P60 AG61 E61:AA64 AG65 B65:AA83 AG83">
    <cfRule type="expression" dxfId="1225" priority="40">
      <formula>B11&gt;$AG11</formula>
    </cfRule>
  </conditionalFormatting>
  <conditionalFormatting sqref="F66:L68">
    <cfRule type="expression" dxfId="1224" priority="72">
      <formula>F$9&gt;=20/24</formula>
    </cfRule>
    <cfRule type="expression" dxfId="1223" priority="73">
      <formula>AND(F$9&gt;=14/24,F$9&lt;20/24)</formula>
    </cfRule>
    <cfRule type="expression" dxfId="1222" priority="74">
      <formula>AND(F$9&gt;=8/24,F$9&lt;14/24)</formula>
    </cfRule>
    <cfRule type="expression" dxfId="1221" priority="75">
      <formula>F$9&lt;8/24</formula>
    </cfRule>
  </conditionalFormatting>
  <conditionalFormatting sqref="L71:Z71">
    <cfRule type="expression" dxfId="1220" priority="68">
      <formula>L$9&gt;=20/24</formula>
    </cfRule>
    <cfRule type="expression" dxfId="1219" priority="69">
      <formula>AND(L$9&gt;=14/24,L$9&lt;20/24)</formula>
    </cfRule>
    <cfRule type="expression" dxfId="1218" priority="70">
      <formula>AND(L$9&gt;=8/24,L$9&lt;14/24)</formula>
    </cfRule>
    <cfRule type="expression" dxfId="1217" priority="71">
      <formula>L$9&lt;8/24</formula>
    </cfRule>
  </conditionalFormatting>
  <conditionalFormatting sqref="M8 S8 AB8">
    <cfRule type="expression" dxfId="1216" priority="126">
      <formula>AND(N$9&gt;=14/24,N$9&lt;20/24)</formula>
    </cfRule>
    <cfRule type="expression" dxfId="1215" priority="127">
      <formula>AND(N$9&gt;=8/24,N$9&lt;14/24)</formula>
    </cfRule>
    <cfRule type="expression" dxfId="1214" priority="128">
      <formula>N$9&lt;8/24</formula>
    </cfRule>
  </conditionalFormatting>
  <conditionalFormatting sqref="M11:Z14 AA11:AF57">
    <cfRule type="expression" dxfId="1213" priority="55">
      <formula>M$9&gt;=20/24</formula>
    </cfRule>
    <cfRule type="expression" dxfId="1212" priority="56">
      <formula>AND(M$9&gt;=14/24,M$9&lt;20/24)</formula>
    </cfRule>
    <cfRule type="expression" dxfId="1211" priority="57">
      <formula>AND(M$9&gt;=8/24,M$9&lt;14/24)</formula>
    </cfRule>
    <cfRule type="expression" dxfId="1210" priority="58">
      <formula>M$9&lt;8/24</formula>
    </cfRule>
  </conditionalFormatting>
  <conditionalFormatting sqref="M66:Z70">
    <cfRule type="expression" dxfId="1209" priority="76">
      <formula>M$9&gt;=20/24</formula>
    </cfRule>
    <cfRule type="expression" dxfId="1208" priority="77">
      <formula>AND(M$9&gt;=14/24,M$9&lt;20/24)</formula>
    </cfRule>
    <cfRule type="expression" dxfId="1207" priority="78">
      <formula>AND(M$9&gt;=8/24,M$9&lt;14/24)</formula>
    </cfRule>
    <cfRule type="expression" dxfId="1206" priority="79">
      <formula>M$9&lt;8/24</formula>
    </cfRule>
  </conditionalFormatting>
  <conditionalFormatting sqref="M11:AF14">
    <cfRule type="expression" dxfId="1205" priority="54">
      <formula>M11&gt;$AG11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04" priority="125">
      <formula>N$9&gt;=20/24</formula>
    </cfRule>
  </conditionalFormatting>
  <conditionalFormatting sqref="S8">
    <cfRule type="expression" dxfId="1203" priority="112">
      <formula>U$9&gt;=20/24</formula>
    </cfRule>
    <cfRule type="expression" dxfId="1202" priority="113">
      <formula>AND(U$9&gt;=14/24,U$9&lt;20/24)</formula>
    </cfRule>
    <cfRule type="expression" dxfId="1201" priority="114">
      <formula>AND(U$9&gt;=8/24,U$9&lt;14/24)</formula>
    </cfRule>
    <cfRule type="expression" dxfId="1200" priority="115">
      <formula>U$9&lt;8/24</formula>
    </cfRule>
  </conditionalFormatting>
  <conditionalFormatting sqref="T66:AF71">
    <cfRule type="expression" dxfId="1199" priority="64">
      <formula>T$9&gt;=20/24</formula>
    </cfRule>
    <cfRule type="expression" dxfId="1198" priority="65">
      <formula>AND(T$9&gt;=14/24,T$9&lt;20/24)</formula>
    </cfRule>
    <cfRule type="expression" dxfId="1197" priority="66">
      <formula>AND(T$9&gt;=8/24,T$9&lt;14/24)</formula>
    </cfRule>
    <cfRule type="expression" dxfId="1196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195" priority="108">
      <formula>AD$9&gt;=20/24</formula>
    </cfRule>
    <cfRule type="expression" dxfId="1194" priority="109">
      <formula>AND(AD$9&gt;=14/24,AD$9&lt;20/24)</formula>
    </cfRule>
    <cfRule type="expression" dxfId="1193" priority="110">
      <formula>AND(AD$9&gt;=8/24,AD$9&lt;14/24)</formula>
    </cfRule>
    <cfRule type="expression" dxfId="1192" priority="111">
      <formula>AD$9&lt;8/24</formula>
    </cfRule>
  </conditionalFormatting>
  <conditionalFormatting sqref="AG65">
    <cfRule type="expression" dxfId="1191" priority="87">
      <formula>AG$9&gt;=20/24</formula>
    </cfRule>
    <cfRule type="expression" dxfId="1190" priority="88">
      <formula>AND(AG$9&gt;=14/24,AG$9&lt;20/24)</formula>
    </cfRule>
    <cfRule type="expression" dxfId="1189" priority="89">
      <formula>AND(AG$9&gt;=8/24,AG$9&lt;14/24)</formula>
    </cfRule>
    <cfRule type="expression" dxfId="1188" priority="90">
      <formula>AG$9&lt;8/24</formula>
    </cfRule>
  </conditionalFormatting>
  <conditionalFormatting sqref="AG78:AG79">
    <cfRule type="expression" dxfId="1187" priority="82">
      <formula>AG78&gt;$AG78</formula>
    </cfRule>
  </conditionalFormatting>
  <conditionalFormatting sqref="AG83">
    <cfRule type="expression" dxfId="1186" priority="83">
      <formula>AG$9&gt;=20/24</formula>
    </cfRule>
    <cfRule type="expression" dxfId="1185" priority="84">
      <formula>AND(AG$9&gt;=14/24,AG$9&lt;20/24)</formula>
    </cfRule>
    <cfRule type="expression" dxfId="1184" priority="85">
      <formula>AND(AG$9&gt;=8/24,AG$9&lt;14/24)</formula>
    </cfRule>
    <cfRule type="expression" dxfId="1183" priority="86">
      <formula>AG$9&lt;8/24</formula>
    </cfRule>
  </conditionalFormatting>
  <conditionalFormatting sqref="AG100">
    <cfRule type="expression" dxfId="1182" priority="104">
      <formula>AG$9&gt;=20/24</formula>
    </cfRule>
    <cfRule type="expression" dxfId="1181" priority="105">
      <formula>AND(AG$9&gt;=14/24,AG$9&lt;20/24)</formula>
    </cfRule>
    <cfRule type="expression" dxfId="1180" priority="106">
      <formula>AND(AG$9&gt;=8/24,AG$9&lt;14/24)</formula>
    </cfRule>
    <cfRule type="expression" dxfId="1179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178" priority="129">
      <formula>AJ$9&gt;=20/24</formula>
    </cfRule>
    <cfRule type="expression" dxfId="1177" priority="130">
      <formula>AND(AJ$9&gt;=14/24,AJ$9&lt;20/24)</formula>
    </cfRule>
    <cfRule type="expression" dxfId="1176" priority="131">
      <formula>AND(AJ$9&gt;=8/24,AJ$9&lt;14/24)</formula>
    </cfRule>
    <cfRule type="expression" dxfId="1175" priority="132">
      <formula>AJ$9&lt;8/24</formula>
    </cfRule>
  </conditionalFormatting>
  <conditionalFormatting sqref="AL86:AN86 AL92:AN92">
    <cfRule type="expression" dxfId="1174" priority="97">
      <formula>AL$9&gt;=20/24</formula>
    </cfRule>
    <cfRule type="expression" dxfId="1173" priority="98">
      <formula>AND(AL$9&gt;=14/24,AL$9&lt;20/24)</formula>
    </cfRule>
    <cfRule type="expression" dxfId="1172" priority="99">
      <formula>AND(AL$9&gt;=8/24,AL$9&lt;14/24)</formula>
    </cfRule>
    <cfRule type="expression" dxfId="1171" priority="100">
      <formula>AL$9&lt;8/24</formula>
    </cfRule>
  </conditionalFormatting>
  <conditionalFormatting sqref="AM15:AM21 AN16:AR21">
    <cfRule type="expression" dxfId="1170" priority="13">
      <formula>AX$9&gt;=20/24</formula>
    </cfRule>
    <cfRule type="expression" dxfId="1169" priority="14">
      <formula>AND(AX$9&gt;=14/24,AX$9&lt;20/24)</formula>
    </cfRule>
    <cfRule type="expression" dxfId="1168" priority="15">
      <formula>AND(AX$9&gt;=8/24,AX$9&lt;14/24)</formula>
    </cfRule>
    <cfRule type="expression" dxfId="1167" priority="16">
      <formula>AX$9&lt;8/24</formula>
    </cfRule>
  </conditionalFormatting>
  <conditionalFormatting sqref="AN87:AN90">
    <cfRule type="expression" dxfId="1166" priority="93">
      <formula>AN$9&gt;=20/24</formula>
    </cfRule>
    <cfRule type="expression" dxfId="1165" priority="94">
      <formula>AND(AN$9&gt;=14/24,AN$9&lt;20/24)</formula>
    </cfRule>
    <cfRule type="expression" dxfId="1164" priority="95">
      <formula>AND(AN$9&gt;=8/24,AN$9&lt;14/24)</formula>
    </cfRule>
    <cfRule type="expression" dxfId="1163" priority="96">
      <formula>AN$9&lt;8/24</formula>
    </cfRule>
  </conditionalFormatting>
  <conditionalFormatting sqref="AN15:AR15">
    <cfRule type="expression" dxfId="1162" priority="1">
      <formula>U$9&gt;=20/24</formula>
    </cfRule>
    <cfRule type="expression" dxfId="1161" priority="2">
      <formula>AND(U$9&gt;=14/24,U$9&lt;20/24)</formula>
    </cfRule>
    <cfRule type="expression" dxfId="1160" priority="3">
      <formula>AND(U$9&gt;=8/24,U$9&lt;14/24)</formula>
    </cfRule>
    <cfRule type="expression" dxfId="1159" priority="4">
      <formula>U$9&lt;8/24</formula>
    </cfRule>
  </conditionalFormatting>
  <conditionalFormatting sqref="AS15">
    <cfRule type="expression" dxfId="1158" priority="9">
      <formula>AA$9&gt;=20/24</formula>
    </cfRule>
    <cfRule type="expression" dxfId="1157" priority="10">
      <formula>AND(AA$9&gt;=14/24,AA$9&lt;20/24)</formula>
    </cfRule>
    <cfRule type="expression" dxfId="1156" priority="11">
      <formula>AND(AA$9&gt;=8/24,AA$9&lt;14/24)</formula>
    </cfRule>
    <cfRule type="expression" dxfId="1155" priority="12">
      <formula>AA$9&lt;8/24</formula>
    </cfRule>
  </conditionalFormatting>
  <conditionalFormatting sqref="AS16:AS21">
    <cfRule type="expression" dxfId="1154" priority="17">
      <formula>BE$9&gt;=20/24</formula>
    </cfRule>
    <cfRule type="expression" dxfId="1153" priority="18">
      <formula>AND(BE$9&gt;=14/24,BE$9&lt;20/24)</formula>
    </cfRule>
    <cfRule type="expression" dxfId="1152" priority="19">
      <formula>AND(BE$9&gt;=8/24,BE$9&lt;14/24)</formula>
    </cfRule>
    <cfRule type="expression" dxfId="1151" priority="20">
      <formula>BE$9&lt;8/24</formula>
    </cfRule>
  </conditionalFormatting>
  <conditionalFormatting sqref="AT15 AX15:BJ15">
    <cfRule type="expression" dxfId="1150" priority="21">
      <formula>AC$9&gt;=20/24</formula>
    </cfRule>
    <cfRule type="expression" dxfId="1149" priority="22">
      <formula>AND(AC$9&gt;=14/24,AC$9&lt;20/24)</formula>
    </cfRule>
    <cfRule type="expression" dxfId="1148" priority="23">
      <formula>AND(AC$9&gt;=8/24,AC$9&lt;14/24)</formula>
    </cfRule>
    <cfRule type="expression" dxfId="1147" priority="24">
      <formula>AC$9&lt;8/24</formula>
    </cfRule>
  </conditionalFormatting>
  <conditionalFormatting sqref="AT16:AT21">
    <cfRule type="expression" dxfId="1146" priority="25">
      <formula>BG$9&gt;=20/24</formula>
    </cfRule>
    <cfRule type="expression" dxfId="1145" priority="26">
      <formula>AND(BG$9&gt;=14/24,BG$9&lt;20/24)</formula>
    </cfRule>
    <cfRule type="expression" dxfId="1144" priority="27">
      <formula>AND(BG$9&gt;=8/24,BG$9&lt;14/24)</formula>
    </cfRule>
    <cfRule type="expression" dxfId="1143" priority="28">
      <formula>BG$9&lt;8/24</formula>
    </cfRule>
  </conditionalFormatting>
  <conditionalFormatting sqref="AU15:AV15">
    <cfRule type="expression" dxfId="1142" priority="29">
      <formula>AE$9&gt;=20/24</formula>
    </cfRule>
    <cfRule type="expression" dxfId="1141" priority="30">
      <formula>AND(AE$9&gt;=14/24,AE$9&lt;20/24)</formula>
    </cfRule>
    <cfRule type="expression" dxfId="1140" priority="31">
      <formula>AND(AE$9&gt;=8/24,AE$9&lt;14/24)</formula>
    </cfRule>
    <cfRule type="expression" dxfId="1139" priority="32">
      <formula>AE$9&lt;8/24</formula>
    </cfRule>
  </conditionalFormatting>
  <conditionalFormatting sqref="AU16:BJ21">
    <cfRule type="expression" dxfId="1138" priority="33">
      <formula>BI$9&gt;=20/24</formula>
    </cfRule>
    <cfRule type="expression" dxfId="1137" priority="34">
      <formula>AND(BI$9&gt;=14/24,BI$9&lt;20/24)</formula>
    </cfRule>
    <cfRule type="expression" dxfId="1136" priority="35">
      <formula>AND(BI$9&gt;=8/24,BI$9&lt;14/24)</formula>
    </cfRule>
    <cfRule type="expression" dxfId="1135" priority="36">
      <formula>BI$9&lt;8/24</formula>
    </cfRule>
  </conditionalFormatting>
  <conditionalFormatting sqref="AW15">
    <cfRule type="expression" dxfId="1134" priority="5">
      <formula>B$9&gt;=20/24</formula>
    </cfRule>
    <cfRule type="expression" dxfId="1133" priority="6">
      <formula>AND(B$9&gt;=14/24,B$9&lt;20/24)</formula>
    </cfRule>
    <cfRule type="expression" dxfId="1132" priority="7">
      <formula>AND(B$9&gt;=8/24,B$9&lt;14/24)</formula>
    </cfRule>
    <cfRule type="expression" dxfId="113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5341-D96C-4453-A81C-87770A2397C9}">
  <sheetPr codeName="Sheet28"/>
  <dimension ref="A1:CJ297"/>
  <sheetViews>
    <sheetView zoomScale="106" workbookViewId="0">
      <pane xSplit="1" ySplit="10" topLeftCell="B4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E86" sqref="AE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2080/10/27</v>
      </c>
      <c r="C4" s="187"/>
      <c r="D4" s="187"/>
      <c r="E4" s="188" t="str">
        <f ca="1">"2080/"&amp;"10/"&amp;INT(MID(CELL("filename",G6),FIND("]",CELL("filename",G6))+1,200))</f>
        <v>2080/10/27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77.5</v>
      </c>
      <c r="C5" s="30">
        <f t="shared" si="0"/>
        <v>76.5</v>
      </c>
      <c r="D5" s="30">
        <f t="shared" si="0"/>
        <v>76.099999999999994</v>
      </c>
      <c r="E5" s="30">
        <f t="shared" si="0"/>
        <v>71.300000000000011</v>
      </c>
      <c r="F5" s="30">
        <f t="shared" si="0"/>
        <v>64.900000000000006</v>
      </c>
      <c r="G5" s="30">
        <f t="shared" si="0"/>
        <v>60.9</v>
      </c>
      <c r="H5" s="30">
        <f t="shared" si="0"/>
        <v>64.5</v>
      </c>
      <c r="I5" s="30">
        <f t="shared" si="0"/>
        <v>237.89999999999998</v>
      </c>
      <c r="J5" s="30">
        <f t="shared" si="0"/>
        <v>225.29999999999998</v>
      </c>
      <c r="K5" s="30">
        <f t="shared" si="0"/>
        <v>213.70000000000002</v>
      </c>
      <c r="L5" s="30">
        <f t="shared" si="0"/>
        <v>237.7</v>
      </c>
      <c r="M5" s="30">
        <f t="shared" si="0"/>
        <v>225.9</v>
      </c>
      <c r="N5" s="30">
        <f t="shared" si="0"/>
        <v>278</v>
      </c>
      <c r="O5" s="30">
        <f t="shared" si="0"/>
        <v>375.8</v>
      </c>
      <c r="P5" s="30">
        <f t="shared" si="0"/>
        <v>431.90000000000003</v>
      </c>
      <c r="Q5" s="30">
        <f t="shared" si="0"/>
        <v>413.8</v>
      </c>
      <c r="R5" s="30">
        <f t="shared" si="0"/>
        <v>461.2</v>
      </c>
      <c r="S5" s="30">
        <f t="shared" si="0"/>
        <v>424.5</v>
      </c>
      <c r="T5" s="30">
        <f t="shared" si="0"/>
        <v>436.70000000000005</v>
      </c>
      <c r="U5" s="30">
        <f t="shared" si="0"/>
        <v>398.79999999999995</v>
      </c>
      <c r="V5" s="30">
        <f t="shared" si="0"/>
        <v>322.5</v>
      </c>
      <c r="W5" s="30">
        <f t="shared" si="0"/>
        <v>259.89999999999998</v>
      </c>
      <c r="X5" s="30">
        <f t="shared" si="0"/>
        <v>84.63</v>
      </c>
      <c r="Y5" s="30">
        <f t="shared" si="0"/>
        <v>79.5</v>
      </c>
      <c r="Z5" s="30">
        <f t="shared" si="0"/>
        <v>86.9</v>
      </c>
      <c r="AA5" s="30">
        <f t="shared" si="0"/>
        <v>95.4</v>
      </c>
      <c r="AB5" s="30">
        <f t="shared" si="0"/>
        <v>93.199999999999989</v>
      </c>
      <c r="AC5" s="30">
        <f t="shared" si="0"/>
        <v>91.2</v>
      </c>
      <c r="AD5" s="30">
        <f t="shared" si="0"/>
        <v>90</v>
      </c>
      <c r="AE5" s="30">
        <f t="shared" si="0"/>
        <v>80</v>
      </c>
      <c r="AF5" s="30">
        <f>B95</f>
        <v>79.400000000000006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1874MW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Load=1580</v>
      </c>
      <c r="B7" s="35">
        <f t="shared" ref="B7:AF7" si="1">B103</f>
        <v>1585.4</v>
      </c>
      <c r="C7" s="35">
        <f t="shared" si="1"/>
        <v>1591.5</v>
      </c>
      <c r="D7" s="35">
        <f t="shared" si="1"/>
        <v>1598</v>
      </c>
      <c r="E7" s="35">
        <f t="shared" si="1"/>
        <v>1595.6</v>
      </c>
      <c r="F7" s="35">
        <f t="shared" si="1"/>
        <v>1595.3999999999999</v>
      </c>
      <c r="G7" s="35">
        <f t="shared" si="1"/>
        <v>1581.5</v>
      </c>
      <c r="H7" s="35">
        <f t="shared" si="1"/>
        <v>1580</v>
      </c>
      <c r="I7" s="35">
        <f t="shared" si="1"/>
        <v>1590</v>
      </c>
      <c r="J7" s="35">
        <f t="shared" si="1"/>
        <v>1756.2</v>
      </c>
      <c r="K7" s="35">
        <f t="shared" si="1"/>
        <v>1822.2</v>
      </c>
      <c r="L7" s="35">
        <f t="shared" si="1"/>
        <v>1811.6000000000001</v>
      </c>
      <c r="M7" s="35">
        <f t="shared" si="1"/>
        <v>1814.64</v>
      </c>
      <c r="N7" s="35">
        <f t="shared" si="1"/>
        <v>1838.8400000000001</v>
      </c>
      <c r="O7" s="35">
        <f t="shared" si="1"/>
        <v>1902.7400000000002</v>
      </c>
      <c r="P7" s="35">
        <f t="shared" si="1"/>
        <v>2039.7400000000002</v>
      </c>
      <c r="Q7" s="35">
        <f t="shared" si="1"/>
        <v>2063.84</v>
      </c>
      <c r="R7" s="35">
        <f t="shared" si="1"/>
        <v>2016.2400000000002</v>
      </c>
      <c r="S7" s="35">
        <f t="shared" si="1"/>
        <v>1999.8400000000001</v>
      </c>
      <c r="T7" s="35">
        <f t="shared" si="1"/>
        <v>1984.7400000000002</v>
      </c>
      <c r="U7" s="35">
        <f t="shared" si="1"/>
        <v>1927.5400000000002</v>
      </c>
      <c r="V7" s="35">
        <f t="shared" si="1"/>
        <v>1873.84</v>
      </c>
      <c r="W7" s="35">
        <f t="shared" si="1"/>
        <v>1847.2400000000002</v>
      </c>
      <c r="X7" s="35">
        <f t="shared" si="1"/>
        <v>1784.6399999999999</v>
      </c>
      <c r="Y7" s="35">
        <f t="shared" si="1"/>
        <v>1813.4299999999998</v>
      </c>
      <c r="Z7" s="35">
        <f t="shared" si="1"/>
        <v>2028.4</v>
      </c>
      <c r="AA7" s="35">
        <f t="shared" si="1"/>
        <v>2059.4400000000005</v>
      </c>
      <c r="AB7" s="35">
        <f t="shared" si="1"/>
        <v>1966.1400000000003</v>
      </c>
      <c r="AC7" s="35">
        <f t="shared" si="1"/>
        <v>1982.94</v>
      </c>
      <c r="AD7" s="35">
        <f t="shared" si="1"/>
        <v>1919.04</v>
      </c>
      <c r="AE7" s="35">
        <f t="shared" si="1"/>
        <v>1845.24</v>
      </c>
      <c r="AF7" s="35">
        <f t="shared" si="1"/>
        <v>1775.7400000000002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2132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2063.84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17</v>
      </c>
      <c r="C11" s="46">
        <v>19.399999999999999</v>
      </c>
      <c r="D11" s="46">
        <v>28</v>
      </c>
      <c r="E11" s="46">
        <v>28</v>
      </c>
      <c r="F11" s="46">
        <v>28</v>
      </c>
      <c r="G11" s="46">
        <v>28</v>
      </c>
      <c r="H11" s="46">
        <v>28</v>
      </c>
      <c r="I11" s="46">
        <v>28</v>
      </c>
      <c r="J11" s="46">
        <v>28</v>
      </c>
      <c r="K11" s="46">
        <v>28</v>
      </c>
      <c r="L11" s="46">
        <v>28</v>
      </c>
      <c r="M11" s="46">
        <v>28</v>
      </c>
      <c r="N11" s="46">
        <v>28</v>
      </c>
      <c r="O11" s="46">
        <v>28</v>
      </c>
      <c r="P11" s="46">
        <v>26</v>
      </c>
      <c r="Q11" s="46">
        <v>26</v>
      </c>
      <c r="R11" s="46">
        <v>26</v>
      </c>
      <c r="S11" s="46">
        <v>26</v>
      </c>
      <c r="T11" s="46">
        <v>26</v>
      </c>
      <c r="U11" s="46">
        <v>26</v>
      </c>
      <c r="V11" s="46">
        <v>26</v>
      </c>
      <c r="W11" s="46">
        <v>26</v>
      </c>
      <c r="X11" s="46">
        <v>26</v>
      </c>
      <c r="Y11" s="46">
        <v>15.2</v>
      </c>
      <c r="Z11" s="46">
        <v>13.5</v>
      </c>
      <c r="AA11" s="46">
        <v>13.5</v>
      </c>
      <c r="AB11" s="46">
        <v>13.5</v>
      </c>
      <c r="AC11" s="46">
        <v>13.5</v>
      </c>
      <c r="AD11" s="46">
        <v>28</v>
      </c>
      <c r="AE11" s="46">
        <v>28</v>
      </c>
      <c r="AF11" s="46">
        <v>28</v>
      </c>
      <c r="AG11" s="47">
        <v>86</v>
      </c>
      <c r="AH11" s="48">
        <f t="shared" ref="AH11:AH74" si="2">MAX(B11:AF11)</f>
        <v>28</v>
      </c>
      <c r="AI11" s="49">
        <f t="shared" ref="AI11:AI74" si="3">MIN(B11:AF11)</f>
        <v>13.5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22.8</v>
      </c>
      <c r="C12" s="46">
        <v>22.8</v>
      </c>
      <c r="D12" s="46">
        <v>22.8</v>
      </c>
      <c r="E12" s="46">
        <v>22.8</v>
      </c>
      <c r="F12" s="46">
        <v>22.8</v>
      </c>
      <c r="G12" s="46">
        <v>22.8</v>
      </c>
      <c r="H12" s="46">
        <v>22.8</v>
      </c>
      <c r="I12" s="46">
        <v>22.8</v>
      </c>
      <c r="J12" s="46">
        <v>22.8</v>
      </c>
      <c r="K12" s="46">
        <v>22.8</v>
      </c>
      <c r="L12" s="46">
        <v>22.8</v>
      </c>
      <c r="M12" s="46">
        <v>22.8</v>
      </c>
      <c r="N12" s="46">
        <v>22.8</v>
      </c>
      <c r="O12" s="46">
        <v>22.8</v>
      </c>
      <c r="P12" s="46">
        <v>22.8</v>
      </c>
      <c r="Q12" s="46">
        <v>22.8</v>
      </c>
      <c r="R12" s="46">
        <v>22.8</v>
      </c>
      <c r="S12" s="46">
        <v>22.8</v>
      </c>
      <c r="T12" s="46">
        <v>22.8</v>
      </c>
      <c r="U12" s="46">
        <v>22.8</v>
      </c>
      <c r="V12" s="46">
        <v>22.8</v>
      </c>
      <c r="W12" s="46">
        <v>22.8</v>
      </c>
      <c r="X12" s="46">
        <v>22.8</v>
      </c>
      <c r="Y12" s="46">
        <v>22</v>
      </c>
      <c r="Z12" s="46">
        <v>22</v>
      </c>
      <c r="AA12" s="46">
        <v>22</v>
      </c>
      <c r="AB12" s="46">
        <v>22</v>
      </c>
      <c r="AC12" s="46">
        <v>22</v>
      </c>
      <c r="AD12" s="46">
        <v>22</v>
      </c>
      <c r="AE12" s="46">
        <v>22</v>
      </c>
      <c r="AF12" s="46">
        <v>22</v>
      </c>
      <c r="AG12" s="50">
        <v>77</v>
      </c>
      <c r="AH12" s="48">
        <f t="shared" si="2"/>
        <v>22.8</v>
      </c>
      <c r="AI12" s="49">
        <f t="shared" si="3"/>
        <v>22</v>
      </c>
      <c r="AK12" s="51"/>
      <c r="AL12" s="52" t="str">
        <f ca="1">MID(CELL("filename",C7),FIND("]",CELL("filename",C7))+1,600)</f>
        <v>27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69.7</v>
      </c>
      <c r="C13" s="46">
        <v>69.900000000000006</v>
      </c>
      <c r="D13" s="46">
        <v>70.599999999999994</v>
      </c>
      <c r="E13" s="46">
        <v>70.599999999999994</v>
      </c>
      <c r="F13" s="46">
        <v>70.599999999999994</v>
      </c>
      <c r="G13" s="46">
        <v>70.599999999999994</v>
      </c>
      <c r="H13" s="46">
        <v>70.599999999999994</v>
      </c>
      <c r="I13" s="46">
        <v>70.599999999999994</v>
      </c>
      <c r="J13" s="46">
        <v>70.599999999999994</v>
      </c>
      <c r="K13" s="46">
        <v>70.599999999999994</v>
      </c>
      <c r="L13" s="46">
        <v>70.599999999999994</v>
      </c>
      <c r="M13" s="46">
        <v>70.599999999999994</v>
      </c>
      <c r="N13" s="46">
        <v>70.599999999999994</v>
      </c>
      <c r="O13" s="46">
        <v>70.599999999999994</v>
      </c>
      <c r="P13" s="46">
        <v>70.599999999999994</v>
      </c>
      <c r="Q13" s="46">
        <v>70.599999999999994</v>
      </c>
      <c r="R13" s="46">
        <v>70.599999999999994</v>
      </c>
      <c r="S13" s="46">
        <v>70.599999999999994</v>
      </c>
      <c r="T13" s="46">
        <v>70.599999999999994</v>
      </c>
      <c r="U13" s="46">
        <v>70.599999999999994</v>
      </c>
      <c r="V13" s="46">
        <v>70.599999999999994</v>
      </c>
      <c r="W13" s="46">
        <v>70.599999999999994</v>
      </c>
      <c r="X13" s="46">
        <v>70.599999999999994</v>
      </c>
      <c r="Y13" s="46">
        <v>69.7</v>
      </c>
      <c r="Z13" s="46">
        <v>69.900000000000006</v>
      </c>
      <c r="AA13" s="46">
        <v>69.900000000000006</v>
      </c>
      <c r="AB13" s="46">
        <v>69.900000000000006</v>
      </c>
      <c r="AC13" s="46">
        <v>69.900000000000006</v>
      </c>
      <c r="AD13" s="46">
        <v>69.900000000000006</v>
      </c>
      <c r="AE13" s="46">
        <v>69.900000000000006</v>
      </c>
      <c r="AF13" s="46">
        <v>69.900000000000006</v>
      </c>
      <c r="AG13" s="50">
        <v>73</v>
      </c>
      <c r="AH13" s="48">
        <f t="shared" si="2"/>
        <v>70.599999999999994</v>
      </c>
      <c r="AI13" s="49">
        <f t="shared" si="3"/>
        <v>69.7</v>
      </c>
      <c r="AK13" s="51"/>
      <c r="AL13" s="52" t="str">
        <f ca="1">"Daily Load Curve(Excluding of Export) of Nepal ("&amp;A4&amp;" "&amp;B4&amp;")"</f>
        <v>Daily Load Curve(Excluding of Export) of Nepal (Nepali Date: 2080/10/27)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40.299999999999997</v>
      </c>
      <c r="C14" s="46">
        <v>40.200000000000003</v>
      </c>
      <c r="D14" s="46">
        <v>40.299999999999997</v>
      </c>
      <c r="E14" s="46">
        <v>40.299999999999997</v>
      </c>
      <c r="F14" s="46">
        <v>40.299999999999997</v>
      </c>
      <c r="G14" s="46">
        <v>40.299999999999997</v>
      </c>
      <c r="H14" s="46">
        <v>40.299999999999997</v>
      </c>
      <c r="I14" s="46">
        <v>40.299999999999997</v>
      </c>
      <c r="J14" s="46">
        <v>40.299999999999997</v>
      </c>
      <c r="K14" s="46">
        <v>40.299999999999997</v>
      </c>
      <c r="L14" s="46">
        <v>40.299999999999997</v>
      </c>
      <c r="M14" s="46">
        <v>40.299999999999997</v>
      </c>
      <c r="N14" s="46">
        <v>40.299999999999997</v>
      </c>
      <c r="O14" s="46">
        <v>40.299999999999997</v>
      </c>
      <c r="P14" s="46">
        <v>40.299999999999997</v>
      </c>
      <c r="Q14" s="46">
        <v>40.299999999999997</v>
      </c>
      <c r="R14" s="46">
        <v>40.299999999999997</v>
      </c>
      <c r="S14" s="46">
        <v>40.299999999999997</v>
      </c>
      <c r="T14" s="46">
        <v>40.299999999999997</v>
      </c>
      <c r="U14" s="46">
        <v>40.299999999999997</v>
      </c>
      <c r="V14" s="46">
        <v>40.299999999999997</v>
      </c>
      <c r="W14" s="46">
        <v>40.299999999999997</v>
      </c>
      <c r="X14" s="46">
        <v>40.299999999999997</v>
      </c>
      <c r="Y14" s="46">
        <v>40.700000000000003</v>
      </c>
      <c r="Z14" s="46">
        <v>40.700000000000003</v>
      </c>
      <c r="AA14" s="46">
        <v>40.700000000000003</v>
      </c>
      <c r="AB14" s="46">
        <v>40.700000000000003</v>
      </c>
      <c r="AC14" s="46">
        <v>40.700000000000003</v>
      </c>
      <c r="AD14" s="46">
        <v>40.700000000000003</v>
      </c>
      <c r="AE14" s="46">
        <v>40.700000000000003</v>
      </c>
      <c r="AF14" s="46">
        <v>40.700000000000003</v>
      </c>
      <c r="AG14" s="50">
        <v>71</v>
      </c>
      <c r="AH14" s="48">
        <f t="shared" si="2"/>
        <v>40.700000000000003</v>
      </c>
      <c r="AI14" s="49">
        <f t="shared" si="3"/>
        <v>40.200000000000003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14</v>
      </c>
      <c r="C15" s="46">
        <v>14</v>
      </c>
      <c r="D15" s="46">
        <v>14</v>
      </c>
      <c r="E15" s="46">
        <v>14</v>
      </c>
      <c r="F15" s="46">
        <v>14</v>
      </c>
      <c r="G15" s="46">
        <v>14</v>
      </c>
      <c r="H15" s="46">
        <v>14</v>
      </c>
      <c r="I15" s="46">
        <v>14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14</v>
      </c>
      <c r="AA15" s="46">
        <v>14</v>
      </c>
      <c r="AB15" s="46">
        <v>14</v>
      </c>
      <c r="AC15" s="46">
        <v>14</v>
      </c>
      <c r="AD15" s="46">
        <v>14</v>
      </c>
      <c r="AE15" s="46">
        <v>14</v>
      </c>
      <c r="AF15" s="46">
        <v>14</v>
      </c>
      <c r="AG15" s="50">
        <v>54</v>
      </c>
      <c r="AH15" s="48">
        <f t="shared" si="2"/>
        <v>14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26.9</v>
      </c>
      <c r="C16" s="46">
        <v>26.9</v>
      </c>
      <c r="D16" s="46">
        <v>26.9</v>
      </c>
      <c r="E16" s="46">
        <v>26.9</v>
      </c>
      <c r="F16" s="46">
        <v>26.9</v>
      </c>
      <c r="G16" s="46">
        <v>26.9</v>
      </c>
      <c r="H16" s="46">
        <v>26.9</v>
      </c>
      <c r="I16" s="46">
        <v>26.9</v>
      </c>
      <c r="J16" s="46">
        <v>26.9</v>
      </c>
      <c r="K16" s="46">
        <v>26.9</v>
      </c>
      <c r="L16" s="46">
        <v>26.9</v>
      </c>
      <c r="M16" s="46">
        <v>26.9</v>
      </c>
      <c r="N16" s="46">
        <v>26.9</v>
      </c>
      <c r="O16" s="46">
        <v>26.9</v>
      </c>
      <c r="P16" s="46">
        <v>26.9</v>
      </c>
      <c r="Q16" s="46">
        <v>26.9</v>
      </c>
      <c r="R16" s="46">
        <v>26.9</v>
      </c>
      <c r="S16" s="46">
        <v>26.9</v>
      </c>
      <c r="T16" s="46">
        <v>26.9</v>
      </c>
      <c r="U16" s="46">
        <v>26.9</v>
      </c>
      <c r="V16" s="46">
        <v>26.9</v>
      </c>
      <c r="W16" s="46">
        <v>26.9</v>
      </c>
      <c r="X16" s="46">
        <v>26.9</v>
      </c>
      <c r="Y16" s="46">
        <v>29.8</v>
      </c>
      <c r="Z16" s="46">
        <v>29.8</v>
      </c>
      <c r="AA16" s="46">
        <v>29.8</v>
      </c>
      <c r="AB16" s="46">
        <v>29.8</v>
      </c>
      <c r="AC16" s="46">
        <v>29.8</v>
      </c>
      <c r="AD16" s="46">
        <v>29.8</v>
      </c>
      <c r="AE16" s="46">
        <v>29.8</v>
      </c>
      <c r="AF16" s="46">
        <v>29.8</v>
      </c>
      <c r="AG16" s="50">
        <v>54</v>
      </c>
      <c r="AH16" s="48">
        <f t="shared" si="2"/>
        <v>29.8</v>
      </c>
      <c r="AI16" s="49">
        <f t="shared" si="3"/>
        <v>26.9</v>
      </c>
      <c r="AK16" s="51"/>
      <c r="AL16" s="54" t="s">
        <v>7</v>
      </c>
      <c r="AM16" s="59">
        <f t="shared" ref="AM16:AR16" si="4">B61</f>
        <v>764.5</v>
      </c>
      <c r="AN16" s="59">
        <f t="shared" si="4"/>
        <v>764.5</v>
      </c>
      <c r="AO16" s="59">
        <f t="shared" si="4"/>
        <v>764.5</v>
      </c>
      <c r="AP16" s="59">
        <f t="shared" si="4"/>
        <v>764.5</v>
      </c>
      <c r="AQ16" s="59">
        <f t="shared" si="4"/>
        <v>764.5</v>
      </c>
      <c r="AR16" s="59">
        <f t="shared" si="4"/>
        <v>764.5</v>
      </c>
      <c r="AS16" s="59">
        <f>I61</f>
        <v>764.5</v>
      </c>
      <c r="AT16" s="59">
        <f>K61</f>
        <v>764.5</v>
      </c>
      <c r="AU16" s="59">
        <f t="shared" ref="AU16:BD16" si="5">M61</f>
        <v>786.80000000000007</v>
      </c>
      <c r="AV16" s="59">
        <f t="shared" si="5"/>
        <v>786.80000000000007</v>
      </c>
      <c r="AW16" s="59">
        <f t="shared" si="5"/>
        <v>786.80000000000007</v>
      </c>
      <c r="AX16" s="59">
        <f t="shared" si="5"/>
        <v>784.80000000000007</v>
      </c>
      <c r="AY16" s="59">
        <f t="shared" si="5"/>
        <v>784.80000000000007</v>
      </c>
      <c r="AZ16" s="59">
        <f t="shared" si="5"/>
        <v>784.80000000000007</v>
      </c>
      <c r="BA16" s="59">
        <f t="shared" si="5"/>
        <v>784.80000000000007</v>
      </c>
      <c r="BB16" s="59">
        <f t="shared" si="5"/>
        <v>784.80000000000007</v>
      </c>
      <c r="BC16" s="59">
        <f t="shared" si="5"/>
        <v>784.80000000000007</v>
      </c>
      <c r="BD16" s="59">
        <f t="shared" si="5"/>
        <v>784.80000000000007</v>
      </c>
      <c r="BE16" s="60">
        <f>X61</f>
        <v>784.80000000000007</v>
      </c>
      <c r="BF16" s="60">
        <f>Z61</f>
        <v>778.30000000000007</v>
      </c>
      <c r="BG16" s="60">
        <f>AB61</f>
        <v>778.30000000000007</v>
      </c>
      <c r="BH16" s="60">
        <f>AD61</f>
        <v>806.50000000000011</v>
      </c>
      <c r="BI16" s="60">
        <f>AE61</f>
        <v>806.50000000000011</v>
      </c>
      <c r="BJ16" s="60">
        <f>AF61</f>
        <v>806.50000000000011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24.3</v>
      </c>
      <c r="C17" s="46">
        <v>23.1</v>
      </c>
      <c r="D17" s="46">
        <v>22.6</v>
      </c>
      <c r="E17" s="46">
        <v>22.6</v>
      </c>
      <c r="F17" s="46">
        <v>22.6</v>
      </c>
      <c r="G17" s="46">
        <v>22.6</v>
      </c>
      <c r="H17" s="46">
        <v>22.6</v>
      </c>
      <c r="I17" s="46">
        <v>22.6</v>
      </c>
      <c r="J17" s="46">
        <v>22.6</v>
      </c>
      <c r="K17" s="46">
        <v>22.6</v>
      </c>
      <c r="L17" s="46">
        <v>22.6</v>
      </c>
      <c r="M17" s="46">
        <v>22.6</v>
      </c>
      <c r="N17" s="46">
        <v>22.6</v>
      </c>
      <c r="O17" s="46">
        <v>22.6</v>
      </c>
      <c r="P17" s="46">
        <v>22.6</v>
      </c>
      <c r="Q17" s="46">
        <v>22.6</v>
      </c>
      <c r="R17" s="46">
        <v>22.6</v>
      </c>
      <c r="S17" s="46">
        <v>22.6</v>
      </c>
      <c r="T17" s="46">
        <v>22.6</v>
      </c>
      <c r="U17" s="46">
        <v>22.6</v>
      </c>
      <c r="V17" s="46">
        <v>22.6</v>
      </c>
      <c r="W17" s="46">
        <v>22.6</v>
      </c>
      <c r="X17" s="46">
        <v>22.6</v>
      </c>
      <c r="Y17" s="46">
        <v>20</v>
      </c>
      <c r="Z17" s="46">
        <v>20</v>
      </c>
      <c r="AA17" s="46">
        <v>20</v>
      </c>
      <c r="AB17" s="46">
        <v>20</v>
      </c>
      <c r="AC17" s="46">
        <v>20</v>
      </c>
      <c r="AD17" s="46">
        <v>25.1</v>
      </c>
      <c r="AE17" s="46">
        <v>25.1</v>
      </c>
      <c r="AF17" s="46">
        <v>25.1</v>
      </c>
      <c r="AG17" s="47">
        <v>52.4</v>
      </c>
      <c r="AH17" s="48">
        <f t="shared" si="2"/>
        <v>25.1</v>
      </c>
      <c r="AI17" s="49">
        <f t="shared" si="3"/>
        <v>20</v>
      </c>
      <c r="AK17" s="51"/>
      <c r="AL17" s="54" t="s">
        <v>27</v>
      </c>
      <c r="AM17" s="59">
        <f t="shared" ref="AM17:AR17" si="6">B65</f>
        <v>475.8</v>
      </c>
      <c r="AN17" s="59">
        <f t="shared" si="6"/>
        <v>475.8</v>
      </c>
      <c r="AO17" s="59">
        <f t="shared" si="6"/>
        <v>475.8</v>
      </c>
      <c r="AP17" s="59">
        <f t="shared" si="6"/>
        <v>475.8</v>
      </c>
      <c r="AQ17" s="59">
        <f t="shared" si="6"/>
        <v>475.8</v>
      </c>
      <c r="AR17" s="59">
        <f t="shared" si="6"/>
        <v>475.8</v>
      </c>
      <c r="AS17" s="59">
        <f>I65</f>
        <v>475.8</v>
      </c>
      <c r="AT17" s="59">
        <f>K65</f>
        <v>475.8</v>
      </c>
      <c r="AU17" s="59">
        <f t="shared" ref="AU17:BD17" si="7">M65</f>
        <v>354.8</v>
      </c>
      <c r="AV17" s="59">
        <f t="shared" si="7"/>
        <v>403.8</v>
      </c>
      <c r="AW17" s="59">
        <f t="shared" si="7"/>
        <v>403.8</v>
      </c>
      <c r="AX17" s="59">
        <f t="shared" si="7"/>
        <v>403.8</v>
      </c>
      <c r="AY17" s="59">
        <f t="shared" si="7"/>
        <v>372.8</v>
      </c>
      <c r="AZ17" s="59">
        <f t="shared" si="7"/>
        <v>373.8</v>
      </c>
      <c r="BA17" s="59">
        <f t="shared" si="7"/>
        <v>307.20000000000005</v>
      </c>
      <c r="BB17" s="59">
        <f t="shared" si="7"/>
        <v>313.7</v>
      </c>
      <c r="BC17" s="59">
        <f t="shared" si="7"/>
        <v>277.10000000000002</v>
      </c>
      <c r="BD17" s="59">
        <f t="shared" si="7"/>
        <v>276.7</v>
      </c>
      <c r="BE17" s="60">
        <f>X65</f>
        <v>355.2</v>
      </c>
      <c r="BF17" s="60">
        <f>Z65</f>
        <v>509.7</v>
      </c>
      <c r="BG17" s="60">
        <f>AB65</f>
        <v>509.7</v>
      </c>
      <c r="BH17" s="60">
        <f>AD65</f>
        <v>509.7</v>
      </c>
      <c r="BI17" s="60">
        <f>AE65</f>
        <v>509.7</v>
      </c>
      <c r="BJ17" s="60">
        <f>AF65</f>
        <v>473.7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53">
        <v>50.4</v>
      </c>
      <c r="C18" s="53">
        <v>50.4</v>
      </c>
      <c r="D18" s="53">
        <v>50.4</v>
      </c>
      <c r="E18" s="53">
        <v>50.4</v>
      </c>
      <c r="F18" s="53">
        <v>50.4</v>
      </c>
      <c r="G18" s="53">
        <v>50.4</v>
      </c>
      <c r="H18" s="53">
        <v>50.4</v>
      </c>
      <c r="I18" s="53">
        <v>50.4</v>
      </c>
      <c r="J18" s="53">
        <v>50.4</v>
      </c>
      <c r="K18" s="53">
        <v>50.4</v>
      </c>
      <c r="L18" s="53">
        <v>50.4</v>
      </c>
      <c r="M18" s="53">
        <v>50.4</v>
      </c>
      <c r="N18" s="53">
        <v>50.4</v>
      </c>
      <c r="O18" s="53">
        <v>50.4</v>
      </c>
      <c r="P18" s="53">
        <v>50.4</v>
      </c>
      <c r="Q18" s="53">
        <v>50.4</v>
      </c>
      <c r="R18" s="53">
        <v>50.4</v>
      </c>
      <c r="S18" s="53">
        <v>50.4</v>
      </c>
      <c r="T18" s="53">
        <v>50.4</v>
      </c>
      <c r="U18" s="53">
        <v>50.4</v>
      </c>
      <c r="V18" s="53">
        <v>50.4</v>
      </c>
      <c r="W18" s="53">
        <v>50.4</v>
      </c>
      <c r="X18" s="53">
        <v>50.4</v>
      </c>
      <c r="Y18" s="53">
        <v>50.5</v>
      </c>
      <c r="Z18" s="53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50.5</v>
      </c>
      <c r="AI18" s="49">
        <f t="shared" si="3"/>
        <v>50.4</v>
      </c>
      <c r="AK18" s="51"/>
      <c r="AL18" s="54" t="s">
        <v>29</v>
      </c>
      <c r="AM18" s="59">
        <f t="shared" ref="AM18:AR18" si="8">B79</f>
        <v>395.7</v>
      </c>
      <c r="AN18" s="59">
        <f t="shared" si="8"/>
        <v>395.7</v>
      </c>
      <c r="AO18" s="59">
        <f t="shared" si="8"/>
        <v>395.7</v>
      </c>
      <c r="AP18" s="59">
        <f t="shared" si="8"/>
        <v>395.7</v>
      </c>
      <c r="AQ18" s="59">
        <f t="shared" si="8"/>
        <v>395.7</v>
      </c>
      <c r="AR18" s="59">
        <f t="shared" si="8"/>
        <v>395.7</v>
      </c>
      <c r="AS18" s="59">
        <f>I79</f>
        <v>395.7</v>
      </c>
      <c r="AT18" s="59">
        <f>K79</f>
        <v>395.7</v>
      </c>
      <c r="AU18" s="59">
        <f t="shared" ref="AU18:BD18" si="9">M79</f>
        <v>413.74000000000007</v>
      </c>
      <c r="AV18" s="59">
        <f t="shared" si="9"/>
        <v>413.74000000000007</v>
      </c>
      <c r="AW18" s="59">
        <f t="shared" si="9"/>
        <v>412.54000000000008</v>
      </c>
      <c r="AX18" s="59">
        <f t="shared" si="9"/>
        <v>425.34000000000009</v>
      </c>
      <c r="AY18" s="59">
        <f t="shared" si="9"/>
        <v>424.34000000000009</v>
      </c>
      <c r="AZ18" s="59">
        <f t="shared" si="9"/>
        <v>424.34000000000009</v>
      </c>
      <c r="BA18" s="59">
        <f t="shared" si="9"/>
        <v>431.64000000000004</v>
      </c>
      <c r="BB18" s="59">
        <f t="shared" si="9"/>
        <v>431.54000000000008</v>
      </c>
      <c r="BC18" s="59">
        <f t="shared" si="9"/>
        <v>414.34000000000009</v>
      </c>
      <c r="BD18" s="59">
        <f t="shared" si="9"/>
        <v>409.74000000000007</v>
      </c>
      <c r="BE18" s="60">
        <f>X79</f>
        <v>384.74000000000007</v>
      </c>
      <c r="BF18" s="60">
        <f>Z79</f>
        <v>413.1</v>
      </c>
      <c r="BG18" s="60">
        <f>AB79</f>
        <v>409.04</v>
      </c>
      <c r="BH18" s="60">
        <f>AD79</f>
        <v>409.04</v>
      </c>
      <c r="BI18" s="60">
        <f>AE79</f>
        <v>409.04</v>
      </c>
      <c r="BJ18" s="60">
        <f>AF79</f>
        <v>407.54000000000008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79.400000000000006</v>
      </c>
      <c r="AN19" s="59">
        <f t="shared" si="10"/>
        <v>77.5</v>
      </c>
      <c r="AO19" s="59">
        <f t="shared" si="10"/>
        <v>76.5</v>
      </c>
      <c r="AP19" s="59">
        <f t="shared" si="10"/>
        <v>76.099999999999994</v>
      </c>
      <c r="AQ19" s="59">
        <f t="shared" si="10"/>
        <v>71.300000000000011</v>
      </c>
      <c r="AR19" s="59">
        <f t="shared" si="10"/>
        <v>64.900000000000006</v>
      </c>
      <c r="AS19" s="59">
        <f>I95</f>
        <v>64.5</v>
      </c>
      <c r="AT19" s="59">
        <f>K95</f>
        <v>225.29999999999998</v>
      </c>
      <c r="AU19" s="59">
        <f t="shared" ref="AU19:BD19" si="11">M95</f>
        <v>237.7</v>
      </c>
      <c r="AV19" s="59">
        <f t="shared" si="11"/>
        <v>225.9</v>
      </c>
      <c r="AW19" s="59">
        <f t="shared" si="11"/>
        <v>278</v>
      </c>
      <c r="AX19" s="59">
        <f t="shared" si="11"/>
        <v>375.8</v>
      </c>
      <c r="AY19" s="59">
        <f t="shared" si="11"/>
        <v>431.90000000000003</v>
      </c>
      <c r="AZ19" s="59">
        <f t="shared" si="11"/>
        <v>413.8</v>
      </c>
      <c r="BA19" s="59">
        <f t="shared" si="11"/>
        <v>461.2</v>
      </c>
      <c r="BB19" s="59">
        <f t="shared" si="11"/>
        <v>424.5</v>
      </c>
      <c r="BC19" s="59">
        <f t="shared" si="11"/>
        <v>436.70000000000005</v>
      </c>
      <c r="BD19" s="59">
        <f t="shared" si="11"/>
        <v>398.79999999999995</v>
      </c>
      <c r="BE19" s="60">
        <f>X95</f>
        <v>259.89999999999998</v>
      </c>
      <c r="BF19" s="60">
        <f>Z95</f>
        <v>79.5</v>
      </c>
      <c r="BG19" s="60">
        <f>AB95</f>
        <v>95.4</v>
      </c>
      <c r="BH19" s="60">
        <f>AD95</f>
        <v>91.2</v>
      </c>
      <c r="BI19" s="60">
        <f>AE95</f>
        <v>90</v>
      </c>
      <c r="BJ19" s="60">
        <f>AF95</f>
        <v>80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33.1</v>
      </c>
      <c r="C20" s="46">
        <v>32.299999999999997</v>
      </c>
      <c r="D20" s="46">
        <v>30.9</v>
      </c>
      <c r="E20" s="46">
        <v>30.9</v>
      </c>
      <c r="F20" s="46">
        <v>30.9</v>
      </c>
      <c r="G20" s="46">
        <v>30.9</v>
      </c>
      <c r="H20" s="46">
        <v>30.9</v>
      </c>
      <c r="I20" s="46">
        <v>30.9</v>
      </c>
      <c r="J20" s="46">
        <v>30.9</v>
      </c>
      <c r="K20" s="46">
        <v>30.9</v>
      </c>
      <c r="L20" s="46">
        <v>30.9</v>
      </c>
      <c r="M20" s="46">
        <v>30.9</v>
      </c>
      <c r="N20" s="46">
        <v>30.9</v>
      </c>
      <c r="O20" s="46">
        <v>30.9</v>
      </c>
      <c r="P20" s="46">
        <v>30.9</v>
      </c>
      <c r="Q20" s="46">
        <v>30.9</v>
      </c>
      <c r="R20" s="46">
        <v>30.9</v>
      </c>
      <c r="S20" s="46">
        <v>30.9</v>
      </c>
      <c r="T20" s="46">
        <v>30.9</v>
      </c>
      <c r="U20" s="46">
        <v>30.9</v>
      </c>
      <c r="V20" s="46">
        <v>30.9</v>
      </c>
      <c r="W20" s="46">
        <v>30.9</v>
      </c>
      <c r="X20" s="46">
        <v>30.9</v>
      </c>
      <c r="Y20" s="46">
        <v>33.1</v>
      </c>
      <c r="Z20" s="46">
        <v>33.1</v>
      </c>
      <c r="AA20" s="46">
        <v>33.1</v>
      </c>
      <c r="AB20" s="46">
        <v>33.1</v>
      </c>
      <c r="AC20" s="46">
        <v>33.1</v>
      </c>
      <c r="AD20" s="46">
        <v>33.1</v>
      </c>
      <c r="AE20" s="46">
        <v>33.1</v>
      </c>
      <c r="AF20" s="46">
        <v>33.1</v>
      </c>
      <c r="AG20" s="50">
        <v>44</v>
      </c>
      <c r="AH20" s="48">
        <f t="shared" si="2"/>
        <v>33.1</v>
      </c>
      <c r="AI20" s="49">
        <f t="shared" si="3"/>
        <v>30.9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21.6</v>
      </c>
      <c r="AV20" s="59">
        <f t="shared" si="13"/>
        <v>21.6</v>
      </c>
      <c r="AW20" s="59">
        <f t="shared" si="13"/>
        <v>21.6</v>
      </c>
      <c r="AX20" s="59">
        <f t="shared" si="13"/>
        <v>50</v>
      </c>
      <c r="AY20" s="59">
        <f t="shared" si="13"/>
        <v>50</v>
      </c>
      <c r="AZ20" s="59">
        <f t="shared" si="13"/>
        <v>19.5</v>
      </c>
      <c r="BA20" s="59">
        <f t="shared" si="13"/>
        <v>15</v>
      </c>
      <c r="BB20" s="59">
        <f t="shared" si="13"/>
        <v>30.2</v>
      </c>
      <c r="BC20" s="59">
        <f t="shared" si="13"/>
        <v>14.6</v>
      </c>
      <c r="BD20" s="59">
        <f t="shared" si="13"/>
        <v>3.8</v>
      </c>
      <c r="BE20" s="60">
        <f>X83</f>
        <v>0</v>
      </c>
      <c r="BF20" s="60">
        <f>Z83</f>
        <v>101.39999999999999</v>
      </c>
      <c r="BG20" s="60">
        <f>AB83</f>
        <v>46.7</v>
      </c>
      <c r="BH20" s="60">
        <f>AD83</f>
        <v>27.6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250</v>
      </c>
      <c r="BG21" s="60">
        <f>AB101</f>
        <v>250</v>
      </c>
      <c r="BH21" s="60">
        <f>AD101</f>
        <v>200</v>
      </c>
      <c r="BI21" s="60">
        <f>AE101</f>
        <v>150</v>
      </c>
      <c r="BJ21" s="60">
        <f>AF101</f>
        <v>120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26.7</v>
      </c>
      <c r="C22" s="46">
        <v>27.2</v>
      </c>
      <c r="D22" s="46">
        <v>27.2</v>
      </c>
      <c r="E22" s="46">
        <v>27.2</v>
      </c>
      <c r="F22" s="46">
        <v>27.2</v>
      </c>
      <c r="G22" s="46">
        <v>27.2</v>
      </c>
      <c r="H22" s="46">
        <v>27.2</v>
      </c>
      <c r="I22" s="46">
        <v>27.2</v>
      </c>
      <c r="J22" s="46">
        <v>27.2</v>
      </c>
      <c r="K22" s="46">
        <v>27.2</v>
      </c>
      <c r="L22" s="46">
        <v>27.2</v>
      </c>
      <c r="M22" s="46">
        <v>27.2</v>
      </c>
      <c r="N22" s="46">
        <v>27.2</v>
      </c>
      <c r="O22" s="46">
        <v>27.2</v>
      </c>
      <c r="P22" s="46">
        <v>27.2</v>
      </c>
      <c r="Q22" s="46">
        <v>27.2</v>
      </c>
      <c r="R22" s="46">
        <v>27.2</v>
      </c>
      <c r="S22" s="46">
        <v>27.2</v>
      </c>
      <c r="T22" s="46">
        <v>27.2</v>
      </c>
      <c r="U22" s="46">
        <v>27.2</v>
      </c>
      <c r="V22" s="46">
        <v>27.2</v>
      </c>
      <c r="W22" s="46">
        <v>27.2</v>
      </c>
      <c r="X22" s="46">
        <v>27.2</v>
      </c>
      <c r="Y22" s="46">
        <v>21.9</v>
      </c>
      <c r="Z22" s="46">
        <v>21.9</v>
      </c>
      <c r="AA22" s="46">
        <v>21.9</v>
      </c>
      <c r="AB22" s="46">
        <v>21.9</v>
      </c>
      <c r="AC22" s="46">
        <v>21.9</v>
      </c>
      <c r="AD22" s="46">
        <v>29.3</v>
      </c>
      <c r="AE22" s="46">
        <v>29.3</v>
      </c>
      <c r="AF22" s="46">
        <v>29.3</v>
      </c>
      <c r="AG22" s="50">
        <v>38.46</v>
      </c>
      <c r="AH22" s="48">
        <f t="shared" si="2"/>
        <v>29.3</v>
      </c>
      <c r="AI22" s="49">
        <f t="shared" si="3"/>
        <v>21.9</v>
      </c>
      <c r="AK22" s="51"/>
      <c r="AL22" s="62" t="s">
        <v>37</v>
      </c>
      <c r="AM22" s="63">
        <f t="shared" ref="AM22:BJ22" si="16">SUM(AM16:AM21)</f>
        <v>1715.4</v>
      </c>
      <c r="AN22" s="63">
        <f t="shared" si="16"/>
        <v>1713.5</v>
      </c>
      <c r="AO22" s="63">
        <f t="shared" si="16"/>
        <v>1712.5</v>
      </c>
      <c r="AP22" s="63">
        <f t="shared" si="16"/>
        <v>1712.1</v>
      </c>
      <c r="AQ22" s="63">
        <f t="shared" si="16"/>
        <v>1707.3</v>
      </c>
      <c r="AR22" s="63">
        <f t="shared" si="16"/>
        <v>1700.9</v>
      </c>
      <c r="AS22" s="63">
        <f t="shared" si="16"/>
        <v>1700.5</v>
      </c>
      <c r="AT22" s="63">
        <f t="shared" si="16"/>
        <v>1861.3</v>
      </c>
      <c r="AU22" s="63">
        <f t="shared" si="16"/>
        <v>1814.64</v>
      </c>
      <c r="AV22" s="63">
        <f t="shared" si="16"/>
        <v>1851.8400000000001</v>
      </c>
      <c r="AW22" s="63">
        <f t="shared" si="16"/>
        <v>1902.7400000000002</v>
      </c>
      <c r="AX22" s="63">
        <f t="shared" si="16"/>
        <v>2039.7400000000002</v>
      </c>
      <c r="AY22" s="63">
        <f t="shared" si="16"/>
        <v>2063.84</v>
      </c>
      <c r="AZ22" s="63">
        <f t="shared" si="16"/>
        <v>2016.2400000000002</v>
      </c>
      <c r="BA22" s="63">
        <f t="shared" si="16"/>
        <v>1999.8400000000001</v>
      </c>
      <c r="BB22" s="63">
        <f t="shared" si="16"/>
        <v>1984.74</v>
      </c>
      <c r="BC22" s="63">
        <f t="shared" si="16"/>
        <v>1927.5400000000002</v>
      </c>
      <c r="BD22" s="63">
        <f t="shared" si="16"/>
        <v>1873.84</v>
      </c>
      <c r="BE22" s="63">
        <f t="shared" si="16"/>
        <v>1784.6399999999999</v>
      </c>
      <c r="BF22" s="63">
        <f t="shared" si="16"/>
        <v>2132</v>
      </c>
      <c r="BG22" s="63">
        <f t="shared" si="16"/>
        <v>2089.1400000000003</v>
      </c>
      <c r="BH22" s="63">
        <f t="shared" si="16"/>
        <v>2044.04</v>
      </c>
      <c r="BI22" s="63">
        <f t="shared" si="16"/>
        <v>1965.24</v>
      </c>
      <c r="BJ22" s="63">
        <f t="shared" si="16"/>
        <v>1887.7400000000002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14.5</v>
      </c>
      <c r="C23" s="46">
        <v>14.5</v>
      </c>
      <c r="D23" s="46">
        <v>14.5</v>
      </c>
      <c r="E23" s="46">
        <v>14.5</v>
      </c>
      <c r="F23" s="46">
        <v>14.5</v>
      </c>
      <c r="G23" s="46">
        <v>14.5</v>
      </c>
      <c r="H23" s="46">
        <v>14.5</v>
      </c>
      <c r="I23" s="46">
        <v>14.5</v>
      </c>
      <c r="J23" s="46">
        <v>14.5</v>
      </c>
      <c r="K23" s="46">
        <v>14.5</v>
      </c>
      <c r="L23" s="46">
        <v>14.5</v>
      </c>
      <c r="M23" s="46">
        <v>14.5</v>
      </c>
      <c r="N23" s="46">
        <v>14.5</v>
      </c>
      <c r="O23" s="46">
        <v>14.5</v>
      </c>
      <c r="P23" s="46">
        <v>14.5</v>
      </c>
      <c r="Q23" s="46">
        <v>14.5</v>
      </c>
      <c r="R23" s="46">
        <v>14.5</v>
      </c>
      <c r="S23" s="46">
        <v>14.5</v>
      </c>
      <c r="T23" s="46">
        <v>14.5</v>
      </c>
      <c r="U23" s="46">
        <v>14.5</v>
      </c>
      <c r="V23" s="46">
        <v>14.5</v>
      </c>
      <c r="W23" s="46">
        <v>14.5</v>
      </c>
      <c r="X23" s="46">
        <v>14.5</v>
      </c>
      <c r="Y23" s="46">
        <v>14.8</v>
      </c>
      <c r="Z23" s="46">
        <v>14.8</v>
      </c>
      <c r="AA23" s="46">
        <v>14.8</v>
      </c>
      <c r="AB23" s="46">
        <v>14.8</v>
      </c>
      <c r="AC23" s="46">
        <v>14.8</v>
      </c>
      <c r="AD23" s="46">
        <v>14.8</v>
      </c>
      <c r="AE23" s="46">
        <v>14.8</v>
      </c>
      <c r="AF23" s="46">
        <v>14.8</v>
      </c>
      <c r="AG23" s="50">
        <v>38.46</v>
      </c>
      <c r="AH23" s="48">
        <f t="shared" si="2"/>
        <v>14.8</v>
      </c>
      <c r="AI23" s="49">
        <f t="shared" si="3"/>
        <v>14.5</v>
      </c>
      <c r="AK23" s="51"/>
      <c r="AL23" s="62" t="s">
        <v>39</v>
      </c>
      <c r="AM23" s="63">
        <f t="shared" ref="AM23:AR23" si="17">B110*-1</f>
        <v>-130</v>
      </c>
      <c r="AN23" s="63">
        <f t="shared" si="17"/>
        <v>-122</v>
      </c>
      <c r="AO23" s="63">
        <f t="shared" si="17"/>
        <v>-114.5</v>
      </c>
      <c r="AP23" s="63">
        <f t="shared" si="17"/>
        <v>-116.5</v>
      </c>
      <c r="AQ23" s="63">
        <f t="shared" si="17"/>
        <v>-111.9</v>
      </c>
      <c r="AR23" s="63">
        <f t="shared" si="17"/>
        <v>-119.4</v>
      </c>
      <c r="AS23" s="63">
        <f>I110*-1</f>
        <v>-110.5</v>
      </c>
      <c r="AT23" s="63">
        <f>K110*-1</f>
        <v>-39.1</v>
      </c>
      <c r="AU23" s="63">
        <f t="shared" ref="AU23:BD23" si="18">M110*-1</f>
        <v>0</v>
      </c>
      <c r="AV23" s="63">
        <f t="shared" si="18"/>
        <v>-13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-103.6</v>
      </c>
      <c r="BG23" s="63">
        <f>AB110*-1</f>
        <v>-123</v>
      </c>
      <c r="BH23" s="63">
        <f>AD110*-1</f>
        <v>-125</v>
      </c>
      <c r="BI23" s="63">
        <f>AE110*-1</f>
        <v>-120</v>
      </c>
      <c r="BJ23" s="63">
        <f>AF110*-1</f>
        <v>-112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1585.4</v>
      </c>
      <c r="AN24" s="63">
        <f t="shared" si="19"/>
        <v>1591.5</v>
      </c>
      <c r="AO24" s="63">
        <f t="shared" si="19"/>
        <v>1598</v>
      </c>
      <c r="AP24" s="63">
        <f t="shared" si="19"/>
        <v>1595.6</v>
      </c>
      <c r="AQ24" s="63">
        <f t="shared" si="19"/>
        <v>1595.3999999999999</v>
      </c>
      <c r="AR24" s="63">
        <f t="shared" si="19"/>
        <v>1581.5</v>
      </c>
      <c r="AS24" s="63">
        <f t="shared" si="19"/>
        <v>1590</v>
      </c>
      <c r="AT24" s="63">
        <f t="shared" si="19"/>
        <v>1822.2</v>
      </c>
      <c r="AU24" s="63">
        <f t="shared" si="19"/>
        <v>1814.64</v>
      </c>
      <c r="AV24" s="63">
        <f t="shared" si="19"/>
        <v>1838.8400000000001</v>
      </c>
      <c r="AW24" s="63">
        <f t="shared" si="19"/>
        <v>1902.7400000000002</v>
      </c>
      <c r="AX24" s="63">
        <f t="shared" si="19"/>
        <v>2039.7400000000002</v>
      </c>
      <c r="AY24" s="63">
        <f t="shared" si="19"/>
        <v>2063.84</v>
      </c>
      <c r="AZ24" s="63">
        <f t="shared" si="19"/>
        <v>2016.2400000000002</v>
      </c>
      <c r="BA24" s="63">
        <f t="shared" si="19"/>
        <v>1999.8400000000001</v>
      </c>
      <c r="BB24" s="63">
        <f t="shared" si="19"/>
        <v>1984.74</v>
      </c>
      <c r="BC24" s="63">
        <f t="shared" si="19"/>
        <v>1927.5400000000002</v>
      </c>
      <c r="BD24" s="63">
        <f t="shared" si="19"/>
        <v>1873.84</v>
      </c>
      <c r="BE24" s="63">
        <f t="shared" si="19"/>
        <v>1784.6399999999999</v>
      </c>
      <c r="BF24" s="63">
        <f t="shared" si="19"/>
        <v>2028.4</v>
      </c>
      <c r="BG24" s="63">
        <f t="shared" si="19"/>
        <v>1966.1400000000003</v>
      </c>
      <c r="BH24" s="63">
        <f t="shared" si="19"/>
        <v>1919.04</v>
      </c>
      <c r="BI24" s="63">
        <f t="shared" si="19"/>
        <v>1845.24</v>
      </c>
      <c r="BJ24" s="63">
        <f t="shared" si="19"/>
        <v>1775.7400000000002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14.8</v>
      </c>
      <c r="C25" s="46">
        <v>14.8</v>
      </c>
      <c r="D25" s="46">
        <v>14.8</v>
      </c>
      <c r="E25" s="46">
        <v>14.8</v>
      </c>
      <c r="F25" s="46">
        <v>14.8</v>
      </c>
      <c r="G25" s="46">
        <v>14.8</v>
      </c>
      <c r="H25" s="46">
        <v>14.8</v>
      </c>
      <c r="I25" s="46">
        <v>14.8</v>
      </c>
      <c r="J25" s="46">
        <v>14.8</v>
      </c>
      <c r="K25" s="46">
        <v>14.8</v>
      </c>
      <c r="L25" s="46">
        <v>14.8</v>
      </c>
      <c r="M25" s="46">
        <v>14.8</v>
      </c>
      <c r="N25" s="46">
        <v>14.8</v>
      </c>
      <c r="O25" s="46">
        <v>14.8</v>
      </c>
      <c r="P25" s="46">
        <v>14.8</v>
      </c>
      <c r="Q25" s="46">
        <v>14.8</v>
      </c>
      <c r="R25" s="46">
        <v>14.8</v>
      </c>
      <c r="S25" s="46">
        <v>14.8</v>
      </c>
      <c r="T25" s="46">
        <v>14.8</v>
      </c>
      <c r="U25" s="46">
        <v>14.8</v>
      </c>
      <c r="V25" s="46">
        <v>14.8</v>
      </c>
      <c r="W25" s="46">
        <v>14.8</v>
      </c>
      <c r="X25" s="46">
        <v>14.8</v>
      </c>
      <c r="Y25" s="46">
        <v>14.8</v>
      </c>
      <c r="Z25" s="46">
        <v>14.8</v>
      </c>
      <c r="AA25" s="46">
        <v>14.8</v>
      </c>
      <c r="AB25" s="46">
        <v>14.8</v>
      </c>
      <c r="AC25" s="46">
        <v>14.8</v>
      </c>
      <c r="AD25" s="46">
        <v>16</v>
      </c>
      <c r="AE25" s="46">
        <v>16</v>
      </c>
      <c r="AF25" s="46">
        <v>16</v>
      </c>
      <c r="AG25" s="61">
        <v>30</v>
      </c>
      <c r="AH25" s="48">
        <f t="shared" si="2"/>
        <v>16</v>
      </c>
      <c r="AI25" s="49">
        <f t="shared" si="3"/>
        <v>14.8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24.2</v>
      </c>
      <c r="AH26" s="48">
        <f t="shared" si="2"/>
        <v>10</v>
      </c>
      <c r="AI26" s="49">
        <f t="shared" si="3"/>
        <v>10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/>
      <c r="Z27" s="46"/>
      <c r="AA27" s="46"/>
      <c r="AB27" s="46"/>
      <c r="AC27" s="46"/>
      <c r="AD27" s="46"/>
      <c r="AE27" s="46"/>
      <c r="AF27" s="46"/>
      <c r="AG27" s="50">
        <v>28</v>
      </c>
      <c r="AH27" s="48">
        <f t="shared" si="2"/>
        <v>0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15.9</v>
      </c>
      <c r="C28" s="46">
        <v>16.2</v>
      </c>
      <c r="D28" s="46">
        <v>14.5</v>
      </c>
      <c r="E28" s="46">
        <v>14.5</v>
      </c>
      <c r="F28" s="46">
        <v>14.5</v>
      </c>
      <c r="G28" s="46">
        <v>14.5</v>
      </c>
      <c r="H28" s="46">
        <v>14.5</v>
      </c>
      <c r="I28" s="46">
        <v>14.5</v>
      </c>
      <c r="J28" s="46">
        <v>14.5</v>
      </c>
      <c r="K28" s="46">
        <v>14.5</v>
      </c>
      <c r="L28" s="46">
        <v>14.5</v>
      </c>
      <c r="M28" s="46">
        <v>14.5</v>
      </c>
      <c r="N28" s="46">
        <v>14.5</v>
      </c>
      <c r="O28" s="46">
        <v>14.5</v>
      </c>
      <c r="P28" s="46">
        <v>14.5</v>
      </c>
      <c r="Q28" s="46">
        <v>14.5</v>
      </c>
      <c r="R28" s="46">
        <v>14.5</v>
      </c>
      <c r="S28" s="46">
        <v>14.5</v>
      </c>
      <c r="T28" s="46">
        <v>14.5</v>
      </c>
      <c r="U28" s="46">
        <v>14.5</v>
      </c>
      <c r="V28" s="46">
        <v>14.5</v>
      </c>
      <c r="W28" s="46">
        <v>14.5</v>
      </c>
      <c r="X28" s="46">
        <v>14.5</v>
      </c>
      <c r="Y28" s="46">
        <v>16.7</v>
      </c>
      <c r="Z28" s="46">
        <v>16.7</v>
      </c>
      <c r="AA28" s="46">
        <v>16.7</v>
      </c>
      <c r="AB28" s="46">
        <v>16.7</v>
      </c>
      <c r="AC28" s="46">
        <v>16.7</v>
      </c>
      <c r="AD28" s="46">
        <v>16.7</v>
      </c>
      <c r="AE28" s="46">
        <v>16.7</v>
      </c>
      <c r="AF28" s="46">
        <v>16.7</v>
      </c>
      <c r="AG28" s="61">
        <v>30</v>
      </c>
      <c r="AH28" s="48">
        <f t="shared" si="2"/>
        <v>16.7</v>
      </c>
      <c r="AI28" s="49">
        <f t="shared" si="3"/>
        <v>14.5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19</v>
      </c>
      <c r="C29" s="46">
        <v>23.1</v>
      </c>
      <c r="D29" s="46">
        <v>21.3</v>
      </c>
      <c r="E29" s="46">
        <v>21.3</v>
      </c>
      <c r="F29" s="46">
        <v>21.3</v>
      </c>
      <c r="G29" s="46">
        <v>21.3</v>
      </c>
      <c r="H29" s="46">
        <v>21.3</v>
      </c>
      <c r="I29" s="46">
        <v>21.3</v>
      </c>
      <c r="J29" s="46">
        <v>21.3</v>
      </c>
      <c r="K29" s="46">
        <v>21.3</v>
      </c>
      <c r="L29" s="46">
        <v>21.3</v>
      </c>
      <c r="M29" s="46">
        <v>21.3</v>
      </c>
      <c r="N29" s="46">
        <v>21.3</v>
      </c>
      <c r="O29" s="46">
        <v>21.3</v>
      </c>
      <c r="P29" s="46">
        <v>21.3</v>
      </c>
      <c r="Q29" s="46">
        <v>21.3</v>
      </c>
      <c r="R29" s="46">
        <v>21.3</v>
      </c>
      <c r="S29" s="46">
        <v>21.3</v>
      </c>
      <c r="T29" s="46">
        <v>21.3</v>
      </c>
      <c r="U29" s="46">
        <v>21.3</v>
      </c>
      <c r="V29" s="46">
        <v>21.3</v>
      </c>
      <c r="W29" s="46">
        <v>21.3</v>
      </c>
      <c r="X29" s="46">
        <v>21.3</v>
      </c>
      <c r="Y29" s="46">
        <v>22.5</v>
      </c>
      <c r="Z29" s="46">
        <v>22.5</v>
      </c>
      <c r="AA29" s="46">
        <v>22.5</v>
      </c>
      <c r="AB29" s="46">
        <v>22.5</v>
      </c>
      <c r="AC29" s="46">
        <v>22.5</v>
      </c>
      <c r="AD29" s="46">
        <v>22.5</v>
      </c>
      <c r="AE29" s="46">
        <v>22.5</v>
      </c>
      <c r="AF29" s="46">
        <v>22.5</v>
      </c>
      <c r="AG29" s="50">
        <v>25</v>
      </c>
      <c r="AH29" s="48">
        <f t="shared" si="2"/>
        <v>23.1</v>
      </c>
      <c r="AI29" s="49">
        <f t="shared" si="3"/>
        <v>19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20</v>
      </c>
      <c r="C30" s="46">
        <v>20</v>
      </c>
      <c r="D30" s="46">
        <v>20</v>
      </c>
      <c r="E30" s="46">
        <v>20</v>
      </c>
      <c r="F30" s="46">
        <v>20</v>
      </c>
      <c r="G30" s="46">
        <v>20</v>
      </c>
      <c r="H30" s="46">
        <v>20</v>
      </c>
      <c r="I30" s="46">
        <v>20</v>
      </c>
      <c r="J30" s="46">
        <v>20</v>
      </c>
      <c r="K30" s="46">
        <v>20</v>
      </c>
      <c r="L30" s="46">
        <v>20</v>
      </c>
      <c r="M30" s="46">
        <v>20</v>
      </c>
      <c r="N30" s="46">
        <v>20</v>
      </c>
      <c r="O30" s="46">
        <v>20</v>
      </c>
      <c r="P30" s="46">
        <v>20</v>
      </c>
      <c r="Q30" s="46">
        <v>20</v>
      </c>
      <c r="R30" s="46">
        <v>20</v>
      </c>
      <c r="S30" s="46">
        <v>20</v>
      </c>
      <c r="T30" s="46">
        <v>20</v>
      </c>
      <c r="U30" s="46">
        <v>20</v>
      </c>
      <c r="V30" s="46">
        <v>20</v>
      </c>
      <c r="W30" s="46">
        <v>20</v>
      </c>
      <c r="X30" s="46">
        <v>20</v>
      </c>
      <c r="Y30" s="46">
        <v>20</v>
      </c>
      <c r="Z30" s="46">
        <v>20</v>
      </c>
      <c r="AA30" s="46">
        <v>20</v>
      </c>
      <c r="AB30" s="46">
        <v>20</v>
      </c>
      <c r="AC30" s="46">
        <v>20</v>
      </c>
      <c r="AD30" s="46">
        <v>20</v>
      </c>
      <c r="AE30" s="46">
        <v>20</v>
      </c>
      <c r="AF30" s="46">
        <v>20</v>
      </c>
      <c r="AG30" s="50">
        <v>25</v>
      </c>
      <c r="AH30" s="48">
        <f t="shared" si="2"/>
        <v>20</v>
      </c>
      <c r="AI30" s="49">
        <f t="shared" si="3"/>
        <v>20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21</v>
      </c>
      <c r="C32" s="46">
        <v>20.100000000000001</v>
      </c>
      <c r="D32" s="46">
        <v>20.100000000000001</v>
      </c>
      <c r="E32" s="46">
        <v>20.100000000000001</v>
      </c>
      <c r="F32" s="46">
        <v>20.100000000000001</v>
      </c>
      <c r="G32" s="46">
        <v>20.100000000000001</v>
      </c>
      <c r="H32" s="46">
        <v>20.100000000000001</v>
      </c>
      <c r="I32" s="46">
        <v>20.100000000000001</v>
      </c>
      <c r="J32" s="46">
        <v>20.100000000000001</v>
      </c>
      <c r="K32" s="46">
        <v>20.100000000000001</v>
      </c>
      <c r="L32" s="46">
        <v>20.100000000000001</v>
      </c>
      <c r="M32" s="46">
        <v>20.100000000000001</v>
      </c>
      <c r="N32" s="46">
        <v>20.100000000000001</v>
      </c>
      <c r="O32" s="46">
        <v>20.100000000000001</v>
      </c>
      <c r="P32" s="46">
        <v>20.100000000000001</v>
      </c>
      <c r="Q32" s="46">
        <v>20.100000000000001</v>
      </c>
      <c r="R32" s="46">
        <v>20.100000000000001</v>
      </c>
      <c r="S32" s="46">
        <v>20.100000000000001</v>
      </c>
      <c r="T32" s="46">
        <v>20.100000000000001</v>
      </c>
      <c r="U32" s="46">
        <v>20.100000000000001</v>
      </c>
      <c r="V32" s="46">
        <v>20.100000000000001</v>
      </c>
      <c r="W32" s="46">
        <v>20.100000000000001</v>
      </c>
      <c r="X32" s="46">
        <v>20.100000000000001</v>
      </c>
      <c r="Y32" s="46">
        <v>22</v>
      </c>
      <c r="Z32" s="46">
        <v>22</v>
      </c>
      <c r="AA32" s="46">
        <v>22</v>
      </c>
      <c r="AB32" s="46">
        <v>22</v>
      </c>
      <c r="AC32" s="46">
        <v>22</v>
      </c>
      <c r="AD32" s="46">
        <v>22</v>
      </c>
      <c r="AE32" s="46">
        <v>22</v>
      </c>
      <c r="AF32" s="46">
        <v>22</v>
      </c>
      <c r="AG32" s="50">
        <v>25</v>
      </c>
      <c r="AH32" s="48">
        <f t="shared" si="2"/>
        <v>22</v>
      </c>
      <c r="AI32" s="49">
        <f t="shared" si="3"/>
        <v>20.100000000000001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5.0999999999999996</v>
      </c>
      <c r="C33" s="46">
        <v>7.5</v>
      </c>
      <c r="D33" s="46">
        <v>7.3</v>
      </c>
      <c r="E33" s="46">
        <v>7.3</v>
      </c>
      <c r="F33" s="46">
        <v>7.3</v>
      </c>
      <c r="G33" s="46">
        <v>7.3</v>
      </c>
      <c r="H33" s="46">
        <v>7.3</v>
      </c>
      <c r="I33" s="46">
        <v>7.3</v>
      </c>
      <c r="J33" s="46">
        <v>7.3</v>
      </c>
      <c r="K33" s="46">
        <v>7.3</v>
      </c>
      <c r="L33" s="46">
        <v>7.3</v>
      </c>
      <c r="M33" s="46">
        <v>7.3</v>
      </c>
      <c r="N33" s="46">
        <v>7.3</v>
      </c>
      <c r="O33" s="46">
        <v>7.3</v>
      </c>
      <c r="P33" s="46">
        <v>7.3</v>
      </c>
      <c r="Q33" s="46">
        <v>7.3</v>
      </c>
      <c r="R33" s="46">
        <v>7.3</v>
      </c>
      <c r="S33" s="46">
        <v>7.3</v>
      </c>
      <c r="T33" s="46">
        <v>7.3</v>
      </c>
      <c r="U33" s="46">
        <v>7.3</v>
      </c>
      <c r="V33" s="46">
        <v>7.3</v>
      </c>
      <c r="W33" s="46">
        <v>7.3</v>
      </c>
      <c r="X33" s="46">
        <v>7.3</v>
      </c>
      <c r="Y33" s="46">
        <v>11.5</v>
      </c>
      <c r="Z33" s="46">
        <v>11.5</v>
      </c>
      <c r="AA33" s="46">
        <v>11.5</v>
      </c>
      <c r="AB33" s="46">
        <v>11.5</v>
      </c>
      <c r="AC33" s="46">
        <v>11.5</v>
      </c>
      <c r="AD33" s="46">
        <v>11.5</v>
      </c>
      <c r="AE33" s="46">
        <v>11.5</v>
      </c>
      <c r="AF33" s="46">
        <v>11.5</v>
      </c>
      <c r="AG33" s="50">
        <v>23.5</v>
      </c>
      <c r="AH33" s="48">
        <f t="shared" si="2"/>
        <v>11.5</v>
      </c>
      <c r="AI33" s="49">
        <f t="shared" si="3"/>
        <v>5.0999999999999996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11</v>
      </c>
      <c r="R36" s="46">
        <v>11</v>
      </c>
      <c r="S36" s="46">
        <v>11</v>
      </c>
      <c r="T36" s="46">
        <v>11</v>
      </c>
      <c r="U36" s="46">
        <v>11</v>
      </c>
      <c r="V36" s="46">
        <v>11</v>
      </c>
      <c r="W36" s="46">
        <v>11</v>
      </c>
      <c r="X36" s="46">
        <v>11</v>
      </c>
      <c r="Y36" s="46">
        <v>11</v>
      </c>
      <c r="Z36" s="46">
        <v>11</v>
      </c>
      <c r="AA36" s="46">
        <v>11</v>
      </c>
      <c r="AB36" s="46">
        <v>11</v>
      </c>
      <c r="AC36" s="46">
        <v>11</v>
      </c>
      <c r="AD36" s="46">
        <v>11</v>
      </c>
      <c r="AE36" s="46">
        <v>11</v>
      </c>
      <c r="AF36" s="46">
        <v>11</v>
      </c>
      <c r="AG36" s="50">
        <v>22</v>
      </c>
      <c r="AH36" s="48">
        <f t="shared" si="2"/>
        <v>11</v>
      </c>
      <c r="AI36" s="49">
        <f t="shared" si="3"/>
        <v>11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9.9</v>
      </c>
      <c r="C37" s="46">
        <v>9.9</v>
      </c>
      <c r="D37" s="46">
        <v>10.1</v>
      </c>
      <c r="E37" s="46">
        <v>10.1</v>
      </c>
      <c r="F37" s="46">
        <v>10.1</v>
      </c>
      <c r="G37" s="46">
        <v>10.1</v>
      </c>
      <c r="H37" s="46">
        <v>10.1</v>
      </c>
      <c r="I37" s="46">
        <v>10.1</v>
      </c>
      <c r="J37" s="46">
        <v>10.1</v>
      </c>
      <c r="K37" s="46">
        <v>10.1</v>
      </c>
      <c r="L37" s="46">
        <v>10.1</v>
      </c>
      <c r="M37" s="46">
        <v>10.1</v>
      </c>
      <c r="N37" s="46">
        <v>10.1</v>
      </c>
      <c r="O37" s="46">
        <v>10.1</v>
      </c>
      <c r="P37" s="46">
        <v>10.1</v>
      </c>
      <c r="Q37" s="46">
        <v>10.1</v>
      </c>
      <c r="R37" s="46">
        <v>10.1</v>
      </c>
      <c r="S37" s="46">
        <v>10.1</v>
      </c>
      <c r="T37" s="46">
        <v>10.1</v>
      </c>
      <c r="U37" s="46">
        <v>10.1</v>
      </c>
      <c r="V37" s="46">
        <v>10.1</v>
      </c>
      <c r="W37" s="46">
        <v>10.1</v>
      </c>
      <c r="X37" s="46">
        <v>10.1</v>
      </c>
      <c r="Y37" s="46">
        <v>10.1</v>
      </c>
      <c r="Z37" s="46">
        <v>10.1</v>
      </c>
      <c r="AA37" s="46">
        <v>10.1</v>
      </c>
      <c r="AB37" s="46">
        <v>10.1</v>
      </c>
      <c r="AC37" s="46">
        <v>10.1</v>
      </c>
      <c r="AD37" s="46">
        <v>10.1</v>
      </c>
      <c r="AE37" s="46">
        <v>10.1</v>
      </c>
      <c r="AF37" s="46">
        <v>10.1</v>
      </c>
      <c r="AG37" s="50">
        <v>22</v>
      </c>
      <c r="AH37" s="48">
        <f t="shared" si="2"/>
        <v>10.1</v>
      </c>
      <c r="AI37" s="49">
        <f t="shared" si="3"/>
        <v>9.9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19.5</v>
      </c>
      <c r="E38" s="46">
        <v>19.5</v>
      </c>
      <c r="F38" s="46">
        <v>19.5</v>
      </c>
      <c r="G38" s="46">
        <v>19.5</v>
      </c>
      <c r="H38" s="46">
        <v>19.5</v>
      </c>
      <c r="I38" s="46">
        <v>19.5</v>
      </c>
      <c r="J38" s="46">
        <v>19.5</v>
      </c>
      <c r="K38" s="46">
        <v>19.5</v>
      </c>
      <c r="L38" s="46">
        <v>19.5</v>
      </c>
      <c r="M38" s="46">
        <v>19.5</v>
      </c>
      <c r="N38" s="46">
        <v>19.5</v>
      </c>
      <c r="O38" s="46">
        <v>19.5</v>
      </c>
      <c r="P38" s="46">
        <v>19.5</v>
      </c>
      <c r="Q38" s="46">
        <v>19.5</v>
      </c>
      <c r="R38" s="46">
        <v>19.5</v>
      </c>
      <c r="S38" s="46">
        <v>19.5</v>
      </c>
      <c r="T38" s="46">
        <v>19.5</v>
      </c>
      <c r="U38" s="46">
        <v>19.5</v>
      </c>
      <c r="V38" s="46">
        <v>19.5</v>
      </c>
      <c r="W38" s="46">
        <v>19.5</v>
      </c>
      <c r="X38" s="46">
        <v>19.5</v>
      </c>
      <c r="Y38" s="46">
        <v>19.5</v>
      </c>
      <c r="Z38" s="46">
        <v>19.5</v>
      </c>
      <c r="AA38" s="46">
        <v>19.5</v>
      </c>
      <c r="AB38" s="46">
        <v>19.5</v>
      </c>
      <c r="AC38" s="46">
        <v>19.5</v>
      </c>
      <c r="AD38" s="46">
        <v>19.5</v>
      </c>
      <c r="AE38" s="46">
        <v>19.5</v>
      </c>
      <c r="AF38" s="46">
        <v>19.5</v>
      </c>
      <c r="AG38" s="50">
        <v>20</v>
      </c>
      <c r="AH38" s="48">
        <f t="shared" si="2"/>
        <v>20</v>
      </c>
      <c r="AI38" s="49">
        <f t="shared" si="3"/>
        <v>19.5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13.9</v>
      </c>
      <c r="C40" s="46">
        <v>13.9</v>
      </c>
      <c r="D40" s="46">
        <v>12.1</v>
      </c>
      <c r="E40" s="46">
        <v>12.1</v>
      </c>
      <c r="F40" s="46">
        <v>12.1</v>
      </c>
      <c r="G40" s="46">
        <v>12.1</v>
      </c>
      <c r="H40" s="46">
        <v>12.1</v>
      </c>
      <c r="I40" s="46">
        <v>12.1</v>
      </c>
      <c r="J40" s="46">
        <v>12.1</v>
      </c>
      <c r="K40" s="46">
        <v>12.1</v>
      </c>
      <c r="L40" s="46">
        <v>12.1</v>
      </c>
      <c r="M40" s="46">
        <v>12.1</v>
      </c>
      <c r="N40" s="46">
        <v>12.1</v>
      </c>
      <c r="O40" s="46">
        <v>12.1</v>
      </c>
      <c r="P40" s="46">
        <v>12.1</v>
      </c>
      <c r="Q40" s="46">
        <v>12.1</v>
      </c>
      <c r="R40" s="46">
        <v>12.1</v>
      </c>
      <c r="S40" s="46">
        <v>12.1</v>
      </c>
      <c r="T40" s="46">
        <v>12.1</v>
      </c>
      <c r="U40" s="46">
        <v>12.1</v>
      </c>
      <c r="V40" s="46">
        <v>12.1</v>
      </c>
      <c r="W40" s="46">
        <v>12.1</v>
      </c>
      <c r="X40" s="46">
        <v>12.1</v>
      </c>
      <c r="Y40" s="46">
        <v>12.1</v>
      </c>
      <c r="Z40" s="46">
        <v>12.1</v>
      </c>
      <c r="AA40" s="46">
        <v>12.1</v>
      </c>
      <c r="AB40" s="46">
        <v>12.1</v>
      </c>
      <c r="AC40" s="46">
        <v>12.1</v>
      </c>
      <c r="AD40" s="46">
        <v>12.1</v>
      </c>
      <c r="AE40" s="46">
        <v>12.1</v>
      </c>
      <c r="AF40" s="46">
        <v>12.1</v>
      </c>
      <c r="AG40" s="50">
        <v>18</v>
      </c>
      <c r="AH40" s="48">
        <f t="shared" si="2"/>
        <v>13.9</v>
      </c>
      <c r="AI40" s="49">
        <f t="shared" si="3"/>
        <v>12.1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2.7</v>
      </c>
      <c r="C46" s="46">
        <v>2.7</v>
      </c>
      <c r="D46" s="46">
        <v>2.7</v>
      </c>
      <c r="E46" s="46">
        <v>2.7</v>
      </c>
      <c r="F46" s="46">
        <v>2.7</v>
      </c>
      <c r="G46" s="46">
        <v>2.7</v>
      </c>
      <c r="H46" s="46">
        <v>2.7</v>
      </c>
      <c r="I46" s="46">
        <v>2.7</v>
      </c>
      <c r="J46" s="46">
        <v>2.7</v>
      </c>
      <c r="K46" s="46">
        <v>2.7</v>
      </c>
      <c r="L46" s="46">
        <v>2.7</v>
      </c>
      <c r="M46" s="46">
        <v>2.7</v>
      </c>
      <c r="N46" s="46">
        <v>2.7</v>
      </c>
      <c r="O46" s="46">
        <v>2.7</v>
      </c>
      <c r="P46" s="46">
        <v>2.7</v>
      </c>
      <c r="Q46" s="46">
        <v>2.7</v>
      </c>
      <c r="R46" s="46">
        <v>2.7</v>
      </c>
      <c r="S46" s="46">
        <v>2.7</v>
      </c>
      <c r="T46" s="46">
        <v>2.7</v>
      </c>
      <c r="U46" s="46">
        <v>2.7</v>
      </c>
      <c r="V46" s="46">
        <v>2.7</v>
      </c>
      <c r="W46" s="46">
        <v>2.7</v>
      </c>
      <c r="X46" s="46">
        <v>2.7</v>
      </c>
      <c r="Y46" s="46">
        <v>2.7</v>
      </c>
      <c r="Z46" s="46">
        <v>2.7</v>
      </c>
      <c r="AA46" s="46">
        <v>2.7</v>
      </c>
      <c r="AB46" s="46">
        <v>2.7</v>
      </c>
      <c r="AC46" s="46">
        <v>2.7</v>
      </c>
      <c r="AD46" s="46">
        <v>2.7</v>
      </c>
      <c r="AE46" s="46">
        <v>2.7</v>
      </c>
      <c r="AF46" s="46">
        <v>2.7</v>
      </c>
      <c r="AG46" s="50">
        <v>14</v>
      </c>
      <c r="AH46" s="48">
        <f t="shared" si="2"/>
        <v>2.7</v>
      </c>
      <c r="AI46" s="49">
        <f t="shared" si="3"/>
        <v>2.7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24.6+38.7</f>
        <v>63.300000000000004</v>
      </c>
      <c r="C60" s="68">
        <f>24.7+34.4</f>
        <v>59.099999999999994</v>
      </c>
      <c r="D60" s="68">
        <f>21.6+34.5</f>
        <v>56.1</v>
      </c>
      <c r="E60" s="68">
        <f>21.6+34.5</f>
        <v>56.1</v>
      </c>
      <c r="F60" s="68">
        <v>55.3</v>
      </c>
      <c r="G60" s="68">
        <v>61.5</v>
      </c>
      <c r="H60" s="68">
        <v>61.5</v>
      </c>
      <c r="I60" s="68">
        <v>61.5</v>
      </c>
      <c r="J60" s="68">
        <v>64.599999999999994</v>
      </c>
      <c r="K60" s="68">
        <v>64.599999999999994</v>
      </c>
      <c r="L60" s="68">
        <v>64.599999999999994</v>
      </c>
      <c r="M60" s="68">
        <v>64.599999999999994</v>
      </c>
      <c r="N60" s="68">
        <v>64.599999999999994</v>
      </c>
      <c r="O60" s="68">
        <v>64.599999999999994</v>
      </c>
      <c r="P60" s="68">
        <v>71</v>
      </c>
      <c r="Q60" s="68">
        <v>71</v>
      </c>
      <c r="R60" s="68">
        <v>71</v>
      </c>
      <c r="S60" s="68">
        <v>71</v>
      </c>
      <c r="T60" s="68">
        <v>71</v>
      </c>
      <c r="U60" s="68">
        <v>71</v>
      </c>
      <c r="V60" s="68">
        <v>71</v>
      </c>
      <c r="W60" s="68">
        <v>71</v>
      </c>
      <c r="X60" s="68">
        <v>71</v>
      </c>
      <c r="Y60" s="68">
        <v>56.6</v>
      </c>
      <c r="Z60" s="68">
        <v>60.2</v>
      </c>
      <c r="AA60" s="68">
        <v>60.2</v>
      </c>
      <c r="AB60" s="68">
        <v>60.2</v>
      </c>
      <c r="AC60" s="68">
        <v>60.2</v>
      </c>
      <c r="AD60" s="68">
        <v>60.2</v>
      </c>
      <c r="AE60" s="68">
        <v>60.2</v>
      </c>
      <c r="AF60" s="68">
        <v>60.2</v>
      </c>
      <c r="AG60" s="66">
        <v>240</v>
      </c>
      <c r="AH60" s="48">
        <f t="shared" si="2"/>
        <v>71</v>
      </c>
      <c r="AI60" s="49">
        <f t="shared" si="3"/>
        <v>55.3</v>
      </c>
      <c r="AK60" s="51"/>
    </row>
    <row r="61" spans="1:88" ht="15.75" thickBot="1" x14ac:dyDescent="0.3">
      <c r="A61" s="70" t="s">
        <v>75</v>
      </c>
      <c r="B61" s="71">
        <v>764.5</v>
      </c>
      <c r="C61" s="71">
        <v>764.5</v>
      </c>
      <c r="D61" s="71">
        <v>764.5</v>
      </c>
      <c r="E61" s="71">
        <v>764.5</v>
      </c>
      <c r="F61" s="71">
        <v>764.5</v>
      </c>
      <c r="G61" s="71">
        <v>764.5</v>
      </c>
      <c r="H61" s="71">
        <v>764.5</v>
      </c>
      <c r="I61" s="71">
        <v>764.5</v>
      </c>
      <c r="J61" s="71">
        <v>764.5</v>
      </c>
      <c r="K61" s="71">
        <v>764.5</v>
      </c>
      <c r="L61" s="71">
        <v>764.5</v>
      </c>
      <c r="M61" s="71">
        <f t="shared" ref="M61:AG61" si="20">SUM(M11:M59)</f>
        <v>786.80000000000007</v>
      </c>
      <c r="N61" s="71">
        <f t="shared" si="20"/>
        <v>786.80000000000007</v>
      </c>
      <c r="O61" s="71">
        <f t="shared" si="20"/>
        <v>786.80000000000007</v>
      </c>
      <c r="P61" s="71">
        <f t="shared" si="20"/>
        <v>784.80000000000007</v>
      </c>
      <c r="Q61" s="71">
        <f t="shared" si="20"/>
        <v>784.80000000000007</v>
      </c>
      <c r="R61" s="71">
        <f t="shared" si="20"/>
        <v>784.80000000000007</v>
      </c>
      <c r="S61" s="71">
        <f t="shared" si="20"/>
        <v>784.80000000000007</v>
      </c>
      <c r="T61" s="71">
        <f t="shared" si="20"/>
        <v>784.80000000000007</v>
      </c>
      <c r="U61" s="71">
        <f t="shared" si="20"/>
        <v>784.80000000000007</v>
      </c>
      <c r="V61" s="71">
        <f t="shared" si="20"/>
        <v>784.80000000000007</v>
      </c>
      <c r="W61" s="71">
        <f t="shared" si="20"/>
        <v>784.80000000000007</v>
      </c>
      <c r="X61" s="71">
        <f t="shared" si="20"/>
        <v>784.80000000000007</v>
      </c>
      <c r="Y61" s="71">
        <f t="shared" si="20"/>
        <v>779.80000000000007</v>
      </c>
      <c r="Z61" s="71">
        <f t="shared" si="20"/>
        <v>778.30000000000007</v>
      </c>
      <c r="AA61" s="71">
        <f t="shared" si="20"/>
        <v>778.30000000000007</v>
      </c>
      <c r="AB61" s="71">
        <f t="shared" si="20"/>
        <v>778.30000000000007</v>
      </c>
      <c r="AC61" s="71">
        <f t="shared" si="20"/>
        <v>778.30000000000007</v>
      </c>
      <c r="AD61" s="71">
        <f t="shared" si="20"/>
        <v>806.50000000000011</v>
      </c>
      <c r="AE61" s="71">
        <f t="shared" ref="AE61:AF61" si="21">SUM(AE11:AE59)</f>
        <v>806.50000000000011</v>
      </c>
      <c r="AF61" s="71">
        <f t="shared" si="21"/>
        <v>806.50000000000011</v>
      </c>
      <c r="AG61" s="71">
        <f t="shared" si="20"/>
        <v>1466.0300000000002</v>
      </c>
      <c r="AH61" s="48">
        <f t="shared" si="2"/>
        <v>806.50000000000011</v>
      </c>
      <c r="AI61" s="49">
        <f t="shared" si="3"/>
        <v>764.5</v>
      </c>
      <c r="AK61" s="51"/>
    </row>
    <row r="62" spans="1:88" x14ac:dyDescent="0.25">
      <c r="A62" s="73" t="s">
        <v>76</v>
      </c>
      <c r="B62" s="46">
        <v>360</v>
      </c>
      <c r="C62" s="46">
        <v>390</v>
      </c>
      <c r="D62" s="46">
        <v>370</v>
      </c>
      <c r="E62" s="46">
        <v>386.2</v>
      </c>
      <c r="F62" s="46">
        <v>374</v>
      </c>
      <c r="G62" s="46">
        <v>350</v>
      </c>
      <c r="H62" s="46">
        <v>350</v>
      </c>
      <c r="I62" s="46">
        <v>415.6</v>
      </c>
      <c r="J62" s="46">
        <v>301.60000000000002</v>
      </c>
      <c r="K62" s="46">
        <v>319.5</v>
      </c>
      <c r="L62" s="46">
        <v>366.2</v>
      </c>
      <c r="M62" s="46">
        <v>301</v>
      </c>
      <c r="N62" s="74">
        <v>350</v>
      </c>
      <c r="O62" s="74">
        <v>350</v>
      </c>
      <c r="P62" s="74">
        <v>350</v>
      </c>
      <c r="Q62" s="74">
        <v>319</v>
      </c>
      <c r="R62" s="74">
        <v>320</v>
      </c>
      <c r="S62" s="74">
        <v>253.4</v>
      </c>
      <c r="T62" s="74">
        <v>260</v>
      </c>
      <c r="U62" s="74">
        <v>223.4</v>
      </c>
      <c r="V62" s="74">
        <v>223</v>
      </c>
      <c r="W62" s="46">
        <v>301.60000000000002</v>
      </c>
      <c r="X62" s="46">
        <v>301.5</v>
      </c>
      <c r="Y62" s="46">
        <v>456</v>
      </c>
      <c r="Z62" s="46">
        <v>456</v>
      </c>
      <c r="AA62" s="46">
        <v>456</v>
      </c>
      <c r="AB62" s="46">
        <v>456</v>
      </c>
      <c r="AC62" s="46">
        <v>456</v>
      </c>
      <c r="AD62" s="46">
        <v>456</v>
      </c>
      <c r="AE62" s="46">
        <v>456</v>
      </c>
      <c r="AF62" s="46">
        <v>420</v>
      </c>
      <c r="AG62" s="61">
        <v>456</v>
      </c>
      <c r="AH62" s="48">
        <f t="shared" si="2"/>
        <v>456</v>
      </c>
      <c r="AI62" s="49">
        <f t="shared" si="3"/>
        <v>223</v>
      </c>
      <c r="AK62" s="51"/>
    </row>
    <row r="63" spans="1:88" x14ac:dyDescent="0.25">
      <c r="A63" s="75" t="s">
        <v>77</v>
      </c>
      <c r="B63" s="76">
        <v>31.2</v>
      </c>
      <c r="C63" s="76">
        <v>31.2</v>
      </c>
      <c r="D63" s="76">
        <v>31.2</v>
      </c>
      <c r="E63" s="76">
        <v>31.2</v>
      </c>
      <c r="F63" s="76">
        <v>31.2</v>
      </c>
      <c r="G63" s="76">
        <v>31.2</v>
      </c>
      <c r="H63" s="76">
        <v>31.2</v>
      </c>
      <c r="I63" s="76">
        <v>31.2</v>
      </c>
      <c r="J63" s="76">
        <v>31.2</v>
      </c>
      <c r="K63" s="76">
        <v>31.2</v>
      </c>
      <c r="L63" s="76">
        <v>31.2</v>
      </c>
      <c r="M63" s="76">
        <v>31.2</v>
      </c>
      <c r="N63" s="76">
        <v>31.2</v>
      </c>
      <c r="O63" s="76">
        <v>31.2</v>
      </c>
      <c r="P63" s="76">
        <v>31.2</v>
      </c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31.2</v>
      </c>
      <c r="AC63" s="76">
        <v>31.2</v>
      </c>
      <c r="AD63" s="76">
        <v>31.2</v>
      </c>
      <c r="AE63" s="76">
        <v>31.2</v>
      </c>
      <c r="AF63" s="76">
        <v>31.2</v>
      </c>
      <c r="AG63" s="66">
        <v>60</v>
      </c>
      <c r="AH63" s="48">
        <f t="shared" si="2"/>
        <v>31.2</v>
      </c>
      <c r="AI63" s="49">
        <f t="shared" si="3"/>
        <v>31.2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22.5</v>
      </c>
      <c r="U64" s="78">
        <v>22.5</v>
      </c>
      <c r="V64" s="78">
        <v>22.5</v>
      </c>
      <c r="W64" s="78">
        <v>22.6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v>475.8</v>
      </c>
      <c r="C65" s="71">
        <v>475.8</v>
      </c>
      <c r="D65" s="71">
        <v>475.8</v>
      </c>
      <c r="E65" s="71">
        <v>475.8</v>
      </c>
      <c r="F65" s="71">
        <v>475.8</v>
      </c>
      <c r="G65" s="71">
        <v>475.8</v>
      </c>
      <c r="H65" s="71">
        <v>475.8</v>
      </c>
      <c r="I65" s="71">
        <v>475.8</v>
      </c>
      <c r="J65" s="71">
        <v>475.8</v>
      </c>
      <c r="K65" s="71">
        <v>475.8</v>
      </c>
      <c r="L65" s="71">
        <v>475.8</v>
      </c>
      <c r="M65" s="71">
        <f t="shared" ref="M65:AG65" si="22">SUM(M62:M64)</f>
        <v>354.8</v>
      </c>
      <c r="N65" s="71">
        <f t="shared" si="22"/>
        <v>403.8</v>
      </c>
      <c r="O65" s="71">
        <f t="shared" si="22"/>
        <v>403.8</v>
      </c>
      <c r="P65" s="71">
        <f t="shared" si="22"/>
        <v>403.8</v>
      </c>
      <c r="Q65" s="71">
        <f t="shared" si="22"/>
        <v>372.8</v>
      </c>
      <c r="R65" s="71">
        <f t="shared" si="22"/>
        <v>373.8</v>
      </c>
      <c r="S65" s="71">
        <f t="shared" si="22"/>
        <v>307.20000000000005</v>
      </c>
      <c r="T65" s="71">
        <f t="shared" si="22"/>
        <v>313.7</v>
      </c>
      <c r="U65" s="71">
        <f>SUM(U62:U64)</f>
        <v>277.10000000000002</v>
      </c>
      <c r="V65" s="71">
        <f t="shared" si="22"/>
        <v>276.7</v>
      </c>
      <c r="W65" s="71">
        <f t="shared" si="22"/>
        <v>355.40000000000003</v>
      </c>
      <c r="X65" s="71">
        <f t="shared" si="22"/>
        <v>355.2</v>
      </c>
      <c r="Y65" s="71">
        <f t="shared" si="22"/>
        <v>509.7</v>
      </c>
      <c r="Z65" s="71">
        <f t="shared" si="22"/>
        <v>509.7</v>
      </c>
      <c r="AA65" s="71">
        <f t="shared" si="22"/>
        <v>509.7</v>
      </c>
      <c r="AB65" s="71">
        <f t="shared" si="22"/>
        <v>509.7</v>
      </c>
      <c r="AC65" s="71">
        <f t="shared" si="22"/>
        <v>509.7</v>
      </c>
      <c r="AD65" s="71">
        <f t="shared" si="22"/>
        <v>509.7</v>
      </c>
      <c r="AE65" s="71">
        <f t="shared" ref="AE65:AF65" si="23">SUM(AE62:AE64)</f>
        <v>509.7</v>
      </c>
      <c r="AF65" s="71">
        <f t="shared" si="23"/>
        <v>473.7</v>
      </c>
      <c r="AG65" s="72">
        <f t="shared" si="22"/>
        <v>538.1</v>
      </c>
      <c r="AH65" s="48">
        <f t="shared" si="2"/>
        <v>509.7</v>
      </c>
      <c r="AI65" s="49">
        <f t="shared" si="3"/>
        <v>276.7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144</v>
      </c>
      <c r="C66" s="46">
        <v>135</v>
      </c>
      <c r="D66" s="46">
        <v>135</v>
      </c>
      <c r="E66" s="46">
        <v>126</v>
      </c>
      <c r="F66" s="46">
        <v>136.1</v>
      </c>
      <c r="G66" s="46">
        <v>136.1</v>
      </c>
      <c r="H66" s="46">
        <v>145.4</v>
      </c>
      <c r="I66" s="46">
        <v>145.4</v>
      </c>
      <c r="J66" s="46">
        <v>145.4</v>
      </c>
      <c r="K66" s="46">
        <v>145.4</v>
      </c>
      <c r="L66" s="46">
        <v>145.4</v>
      </c>
      <c r="M66" s="46">
        <v>145.4</v>
      </c>
      <c r="N66" s="46">
        <v>145.4</v>
      </c>
      <c r="O66" s="46">
        <v>146</v>
      </c>
      <c r="P66" s="46">
        <v>146.9</v>
      </c>
      <c r="Q66" s="46">
        <v>147.5</v>
      </c>
      <c r="R66" s="46">
        <v>147.5</v>
      </c>
      <c r="S66" s="46">
        <v>147.5</v>
      </c>
      <c r="T66" s="46">
        <v>148</v>
      </c>
      <c r="U66" s="46">
        <v>148.4</v>
      </c>
      <c r="V66" s="46">
        <v>147.80000000000001</v>
      </c>
      <c r="W66" s="46">
        <v>147.80000000000001</v>
      </c>
      <c r="X66" s="46">
        <v>148</v>
      </c>
      <c r="Y66" s="46">
        <v>147.19999999999999</v>
      </c>
      <c r="Z66" s="46">
        <v>148.1</v>
      </c>
      <c r="AA66" s="46">
        <v>148.1</v>
      </c>
      <c r="AB66" s="46">
        <v>146</v>
      </c>
      <c r="AC66" s="46">
        <v>146</v>
      </c>
      <c r="AD66" s="46">
        <v>146</v>
      </c>
      <c r="AE66" s="46">
        <v>146</v>
      </c>
      <c r="AF66" s="46">
        <v>146</v>
      </c>
      <c r="AG66" s="61">
        <v>144</v>
      </c>
      <c r="AH66" s="48">
        <f t="shared" si="2"/>
        <v>148.4</v>
      </c>
      <c r="AI66" s="49">
        <f t="shared" si="3"/>
        <v>126</v>
      </c>
      <c r="AK66" s="51"/>
      <c r="AY66" s="1" t="s">
        <v>86</v>
      </c>
      <c r="AZ66" s="82">
        <f>ROUND(C84,0)</f>
        <v>28</v>
      </c>
      <c r="BA66" s="81">
        <f t="shared" ref="BA66:BD70" si="24">D84</f>
        <v>25.9</v>
      </c>
      <c r="BB66" s="81">
        <f t="shared" si="24"/>
        <v>22</v>
      </c>
      <c r="BC66" s="81">
        <f t="shared" si="24"/>
        <v>19.600000000000001</v>
      </c>
      <c r="BD66" s="81">
        <f t="shared" si="24"/>
        <v>13.5</v>
      </c>
      <c r="BE66" s="82">
        <f>I84</f>
        <v>13.2</v>
      </c>
      <c r="BF66" s="82">
        <f>K84</f>
        <v>48.9</v>
      </c>
      <c r="BG66" s="82">
        <f t="shared" ref="BG66:BP70" si="25">M84</f>
        <v>57.7</v>
      </c>
      <c r="BH66" s="82">
        <f t="shared" si="25"/>
        <v>59.9</v>
      </c>
      <c r="BI66" s="82">
        <f t="shared" si="25"/>
        <v>59</v>
      </c>
      <c r="BJ66" s="82">
        <f t="shared" si="25"/>
        <v>67</v>
      </c>
      <c r="BK66" s="82">
        <f t="shared" si="25"/>
        <v>53.3</v>
      </c>
      <c r="BL66" s="82">
        <f t="shared" si="25"/>
        <v>62.9</v>
      </c>
      <c r="BM66" s="82">
        <f t="shared" si="25"/>
        <v>64</v>
      </c>
      <c r="BN66" s="82">
        <f t="shared" si="25"/>
        <v>60.6</v>
      </c>
      <c r="BO66" s="82">
        <f t="shared" si="25"/>
        <v>67.3</v>
      </c>
      <c r="BP66" s="82">
        <f t="shared" si="25"/>
        <v>73.400000000000006</v>
      </c>
      <c r="BQ66" s="82">
        <f>X84</f>
        <v>41</v>
      </c>
      <c r="BR66" s="82">
        <f>Z84</f>
        <v>32.700000000000003</v>
      </c>
      <c r="BS66" s="81">
        <f>AB84</f>
        <v>50</v>
      </c>
      <c r="BT66" s="81">
        <f t="shared" ref="BT66:BV70" si="26">AD84</f>
        <v>44.2</v>
      </c>
      <c r="BU66" s="81">
        <f t="shared" si="26"/>
        <v>40</v>
      </c>
      <c r="BV66" s="81">
        <f t="shared" si="26"/>
        <v>30</v>
      </c>
      <c r="BW66" s="81">
        <f>B84</f>
        <v>29.7</v>
      </c>
    </row>
    <row r="67" spans="1:75" x14ac:dyDescent="0.25">
      <c r="A67" s="65" t="s">
        <v>81</v>
      </c>
      <c r="B67" s="46">
        <v>70.2</v>
      </c>
      <c r="C67" s="46">
        <v>70.2</v>
      </c>
      <c r="D67" s="46">
        <v>70.2</v>
      </c>
      <c r="E67" s="46">
        <v>70.2</v>
      </c>
      <c r="F67" s="46">
        <v>70.2</v>
      </c>
      <c r="G67" s="46">
        <v>70.2</v>
      </c>
      <c r="H67" s="46">
        <v>70.2</v>
      </c>
      <c r="I67" s="46">
        <v>70.2</v>
      </c>
      <c r="J67" s="46">
        <v>70.2</v>
      </c>
      <c r="K67" s="46">
        <v>70.2</v>
      </c>
      <c r="L67" s="46">
        <v>70.2</v>
      </c>
      <c r="M67" s="46">
        <v>70.2</v>
      </c>
      <c r="N67" s="46">
        <v>70.2</v>
      </c>
      <c r="O67" s="46">
        <v>72</v>
      </c>
      <c r="P67" s="76">
        <v>73</v>
      </c>
      <c r="Q67" s="76">
        <v>71.599999999999994</v>
      </c>
      <c r="R67" s="76">
        <v>71.599999999999994</v>
      </c>
      <c r="S67" s="76">
        <v>71.599999999999994</v>
      </c>
      <c r="T67" s="76">
        <v>70.8</v>
      </c>
      <c r="U67" s="76">
        <v>71.5</v>
      </c>
      <c r="V67" s="76">
        <v>71.5</v>
      </c>
      <c r="W67" s="46">
        <v>72.3</v>
      </c>
      <c r="X67" s="46">
        <v>72.3</v>
      </c>
      <c r="Y67" s="46">
        <v>71.7</v>
      </c>
      <c r="Z67" s="46">
        <v>70.7</v>
      </c>
      <c r="AA67" s="46">
        <v>70.7</v>
      </c>
      <c r="AB67" s="46">
        <v>70.7</v>
      </c>
      <c r="AC67" s="46">
        <v>70.7</v>
      </c>
      <c r="AD67" s="46">
        <v>70.7</v>
      </c>
      <c r="AE67" s="46">
        <v>70.7</v>
      </c>
      <c r="AF67" s="46">
        <v>69.8</v>
      </c>
      <c r="AG67" s="66">
        <v>70</v>
      </c>
      <c r="AH67" s="48">
        <f t="shared" si="2"/>
        <v>73</v>
      </c>
      <c r="AI67" s="49">
        <f t="shared" si="3"/>
        <v>69.8</v>
      </c>
      <c r="AK67" s="51"/>
      <c r="AY67" s="1" t="s">
        <v>88</v>
      </c>
      <c r="AZ67" s="82">
        <f>ROUND(C85,0)</f>
        <v>0</v>
      </c>
      <c r="BA67" s="81">
        <f t="shared" si="24"/>
        <v>0</v>
      </c>
      <c r="BB67" s="81">
        <f t="shared" si="24"/>
        <v>0</v>
      </c>
      <c r="BC67" s="81">
        <f t="shared" si="24"/>
        <v>0</v>
      </c>
      <c r="BD67" s="81">
        <f t="shared" si="24"/>
        <v>0</v>
      </c>
      <c r="BE67" s="82">
        <f>I85</f>
        <v>0</v>
      </c>
      <c r="BF67" s="82">
        <f>K85</f>
        <v>0</v>
      </c>
      <c r="BG67" s="82">
        <f t="shared" si="25"/>
        <v>0</v>
      </c>
      <c r="BH67" s="82">
        <f t="shared" si="25"/>
        <v>0</v>
      </c>
      <c r="BI67" s="82">
        <f t="shared" si="25"/>
        <v>0</v>
      </c>
      <c r="BJ67" s="82">
        <f t="shared" si="25"/>
        <v>0</v>
      </c>
      <c r="BK67" s="82">
        <f t="shared" si="25"/>
        <v>0</v>
      </c>
      <c r="BL67" s="82">
        <f t="shared" si="25"/>
        <v>0</v>
      </c>
      <c r="BM67" s="82">
        <f t="shared" si="25"/>
        <v>0</v>
      </c>
      <c r="BN67" s="82">
        <f t="shared" si="25"/>
        <v>0</v>
      </c>
      <c r="BO67" s="82">
        <f t="shared" si="25"/>
        <v>0</v>
      </c>
      <c r="BP67" s="82">
        <f t="shared" si="2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6"/>
        <v>0</v>
      </c>
      <c r="BU67" s="81">
        <f t="shared" si="26"/>
        <v>0</v>
      </c>
      <c r="BV67" s="81">
        <f t="shared" si="26"/>
        <v>0</v>
      </c>
      <c r="BW67" s="81">
        <f>B85</f>
        <v>0</v>
      </c>
    </row>
    <row r="68" spans="1:75" x14ac:dyDescent="0.25">
      <c r="A68" s="65" t="s">
        <v>82</v>
      </c>
      <c r="B68" s="46">
        <v>67.900000000000006</v>
      </c>
      <c r="C68" s="46">
        <v>67.900000000000006</v>
      </c>
      <c r="D68" s="46">
        <v>67.900000000000006</v>
      </c>
      <c r="E68" s="46">
        <v>67.900000000000006</v>
      </c>
      <c r="F68" s="46">
        <v>67.900000000000006</v>
      </c>
      <c r="G68" s="46">
        <v>67.900000000000006</v>
      </c>
      <c r="H68" s="46">
        <v>67.900000000000006</v>
      </c>
      <c r="I68" s="46">
        <v>67.900000000000006</v>
      </c>
      <c r="J68" s="46">
        <v>67.900000000000006</v>
      </c>
      <c r="K68" s="46">
        <v>67.900000000000006</v>
      </c>
      <c r="L68" s="46">
        <v>67.900000000000006</v>
      </c>
      <c r="M68" s="46">
        <v>67.900000000000006</v>
      </c>
      <c r="N68" s="46">
        <v>67.900000000000006</v>
      </c>
      <c r="O68" s="46">
        <v>68.7</v>
      </c>
      <c r="P68" s="76">
        <v>68.599999999999994</v>
      </c>
      <c r="Q68" s="76">
        <v>68.400000000000006</v>
      </c>
      <c r="R68" s="76">
        <v>68.400000000000006</v>
      </c>
      <c r="S68" s="76">
        <v>68.400000000000006</v>
      </c>
      <c r="T68" s="76">
        <v>69.2</v>
      </c>
      <c r="U68" s="76">
        <v>69.2</v>
      </c>
      <c r="V68" s="76">
        <v>69.2</v>
      </c>
      <c r="W68" s="46">
        <v>69.2</v>
      </c>
      <c r="X68" s="46">
        <v>69.2</v>
      </c>
      <c r="Y68" s="46">
        <v>69.2</v>
      </c>
      <c r="Z68" s="46">
        <v>69.2</v>
      </c>
      <c r="AA68" s="46">
        <v>69.2</v>
      </c>
      <c r="AB68" s="46">
        <v>69.2</v>
      </c>
      <c r="AC68" s="46">
        <v>69.2</v>
      </c>
      <c r="AD68" s="46">
        <v>69.2</v>
      </c>
      <c r="AE68" s="46">
        <v>69.2</v>
      </c>
      <c r="AF68" s="46">
        <v>68.8</v>
      </c>
      <c r="AG68" s="66">
        <v>69</v>
      </c>
      <c r="AH68" s="48">
        <f t="shared" si="2"/>
        <v>69.2</v>
      </c>
      <c r="AI68" s="49">
        <f t="shared" si="3"/>
        <v>67.900000000000006</v>
      </c>
      <c r="AK68" s="51"/>
      <c r="AL68" s="83"/>
      <c r="AO68" s="83"/>
      <c r="AY68" s="1" t="s">
        <v>90</v>
      </c>
      <c r="AZ68" s="82">
        <f>ROUND(C86,0)</f>
        <v>-122</v>
      </c>
      <c r="BA68" s="81">
        <f t="shared" si="24"/>
        <v>-114.5</v>
      </c>
      <c r="BB68" s="81">
        <f t="shared" si="24"/>
        <v>-116.5</v>
      </c>
      <c r="BC68" s="81">
        <f t="shared" si="24"/>
        <v>-111.9</v>
      </c>
      <c r="BD68" s="81">
        <f t="shared" si="24"/>
        <v>-119.4</v>
      </c>
      <c r="BE68" s="82">
        <f>I86</f>
        <v>-110.5</v>
      </c>
      <c r="BF68" s="82">
        <f>K86</f>
        <v>-39.1</v>
      </c>
      <c r="BG68" s="82">
        <f t="shared" si="25"/>
        <v>14</v>
      </c>
      <c r="BH68" s="82">
        <f t="shared" si="25"/>
        <v>-13</v>
      </c>
      <c r="BI68" s="82">
        <f t="shared" si="25"/>
        <v>38</v>
      </c>
      <c r="BJ68" s="82">
        <f t="shared" si="25"/>
        <v>96.6</v>
      </c>
      <c r="BK68" s="82">
        <f t="shared" si="25"/>
        <v>145</v>
      </c>
      <c r="BL68" s="82">
        <f t="shared" si="25"/>
        <v>154</v>
      </c>
      <c r="BM68" s="82">
        <f t="shared" si="25"/>
        <v>185</v>
      </c>
      <c r="BN68" s="82">
        <f t="shared" si="25"/>
        <v>166.8</v>
      </c>
      <c r="BO68" s="82">
        <f t="shared" si="25"/>
        <v>160.4</v>
      </c>
      <c r="BP68" s="82">
        <f t="shared" si="25"/>
        <v>119.8</v>
      </c>
      <c r="BQ68" s="82">
        <f>X86</f>
        <v>61.5</v>
      </c>
      <c r="BR68" s="82">
        <f>Z86</f>
        <v>-103.6</v>
      </c>
      <c r="BS68" s="81">
        <f>AB86</f>
        <v>-123</v>
      </c>
      <c r="BT68" s="81">
        <f t="shared" si="26"/>
        <v>-125</v>
      </c>
      <c r="BU68" s="81">
        <f t="shared" si="26"/>
        <v>-120</v>
      </c>
      <c r="BV68" s="81">
        <f t="shared" si="26"/>
        <v>-112</v>
      </c>
      <c r="BW68" s="81">
        <f>B86</f>
        <v>-130</v>
      </c>
    </row>
    <row r="69" spans="1:75" s="83" customFormat="1" x14ac:dyDescent="0.25">
      <c r="A69" s="65" t="s">
        <v>83</v>
      </c>
      <c r="B69" s="46">
        <v>60.4</v>
      </c>
      <c r="C69" s="46">
        <v>60.4</v>
      </c>
      <c r="D69" s="46">
        <v>60.4</v>
      </c>
      <c r="E69" s="46">
        <v>60.4</v>
      </c>
      <c r="F69" s="46">
        <v>60.4</v>
      </c>
      <c r="G69" s="46">
        <v>60.4</v>
      </c>
      <c r="H69" s="46">
        <v>60.4</v>
      </c>
      <c r="I69" s="46">
        <v>60.4</v>
      </c>
      <c r="J69" s="46">
        <v>60.4</v>
      </c>
      <c r="K69" s="46">
        <v>60.4</v>
      </c>
      <c r="L69" s="46">
        <v>60.4</v>
      </c>
      <c r="M69" s="46">
        <v>60.4</v>
      </c>
      <c r="N69" s="46">
        <v>60.4</v>
      </c>
      <c r="O69" s="46">
        <v>56</v>
      </c>
      <c r="P69" s="76">
        <v>56.7</v>
      </c>
      <c r="Q69" s="76">
        <v>56.7</v>
      </c>
      <c r="R69" s="76">
        <v>56.7</v>
      </c>
      <c r="S69" s="76">
        <v>60</v>
      </c>
      <c r="T69" s="76">
        <v>60</v>
      </c>
      <c r="U69" s="76">
        <v>60</v>
      </c>
      <c r="V69" s="76">
        <v>60</v>
      </c>
      <c r="W69" s="76">
        <v>30</v>
      </c>
      <c r="X69" s="76">
        <v>30</v>
      </c>
      <c r="Y69" s="46">
        <v>60</v>
      </c>
      <c r="Z69" s="46">
        <v>60.9</v>
      </c>
      <c r="AA69" s="46">
        <v>60.9</v>
      </c>
      <c r="AB69" s="46">
        <v>60.9</v>
      </c>
      <c r="AC69" s="46">
        <v>60.9</v>
      </c>
      <c r="AD69" s="46">
        <v>60.9</v>
      </c>
      <c r="AE69" s="46">
        <v>60.9</v>
      </c>
      <c r="AF69" s="46">
        <v>60.7</v>
      </c>
      <c r="AG69" s="66">
        <v>60</v>
      </c>
      <c r="AH69" s="48">
        <f t="shared" si="2"/>
        <v>60.9</v>
      </c>
      <c r="AI69" s="49">
        <f t="shared" si="3"/>
        <v>30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I87</f>
        <v>0</v>
      </c>
      <c r="BF69" s="82">
        <f>K87</f>
        <v>0</v>
      </c>
      <c r="BG69" s="82">
        <f t="shared" si="25"/>
        <v>0</v>
      </c>
      <c r="BH69" s="82">
        <f t="shared" si="25"/>
        <v>0</v>
      </c>
      <c r="BI69" s="82">
        <f t="shared" si="25"/>
        <v>15</v>
      </c>
      <c r="BJ69" s="82">
        <f t="shared" si="25"/>
        <v>39</v>
      </c>
      <c r="BK69" s="82">
        <f t="shared" si="25"/>
        <v>34.299999999999997</v>
      </c>
      <c r="BL69" s="82">
        <f t="shared" si="25"/>
        <v>35.9</v>
      </c>
      <c r="BM69" s="82">
        <f t="shared" si="25"/>
        <v>37.4</v>
      </c>
      <c r="BN69" s="82">
        <f t="shared" si="25"/>
        <v>37.6</v>
      </c>
      <c r="BO69" s="82">
        <f t="shared" si="25"/>
        <v>37.299999999999997</v>
      </c>
      <c r="BP69" s="82">
        <f t="shared" si="25"/>
        <v>25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B87</f>
        <v>0</v>
      </c>
    </row>
    <row r="70" spans="1:75" x14ac:dyDescent="0.25">
      <c r="A70" s="65" t="s">
        <v>84</v>
      </c>
      <c r="B70" s="46">
        <v>14.6</v>
      </c>
      <c r="C70" s="46">
        <v>14.6</v>
      </c>
      <c r="D70" s="46">
        <v>14.6</v>
      </c>
      <c r="E70" s="46">
        <v>14.6</v>
      </c>
      <c r="F70" s="46">
        <v>14.6</v>
      </c>
      <c r="G70" s="46">
        <v>14.6</v>
      </c>
      <c r="H70" s="46">
        <v>14.6</v>
      </c>
      <c r="I70" s="46">
        <v>14.6</v>
      </c>
      <c r="J70" s="46">
        <v>14.6</v>
      </c>
      <c r="K70" s="46">
        <v>14.6</v>
      </c>
      <c r="L70" s="46">
        <v>14.6</v>
      </c>
      <c r="M70" s="46">
        <v>14.6</v>
      </c>
      <c r="N70" s="46">
        <v>14.6</v>
      </c>
      <c r="O70" s="46">
        <v>14.6</v>
      </c>
      <c r="P70" s="46">
        <v>14.6</v>
      </c>
      <c r="Q70" s="46">
        <v>14.6</v>
      </c>
      <c r="R70" s="46">
        <v>14.6</v>
      </c>
      <c r="S70" s="46">
        <v>22.9</v>
      </c>
      <c r="T70" s="76">
        <v>22.8</v>
      </c>
      <c r="U70" s="76">
        <v>9.8000000000000007</v>
      </c>
      <c r="V70" s="76">
        <v>9.8000000000000007</v>
      </c>
      <c r="W70" s="76">
        <v>14.3</v>
      </c>
      <c r="X70" s="76">
        <v>14.3</v>
      </c>
      <c r="Y70" s="46">
        <v>10</v>
      </c>
      <c r="Z70" s="46">
        <v>10</v>
      </c>
      <c r="AA70" s="46">
        <v>10</v>
      </c>
      <c r="AB70" s="46">
        <v>10</v>
      </c>
      <c r="AC70" s="46">
        <v>10</v>
      </c>
      <c r="AD70" s="46">
        <v>10</v>
      </c>
      <c r="AE70" s="46">
        <v>10</v>
      </c>
      <c r="AF70" s="46">
        <v>10</v>
      </c>
      <c r="AG70" s="66">
        <v>30</v>
      </c>
      <c r="AH70" s="48">
        <f t="shared" si="2"/>
        <v>22.9</v>
      </c>
      <c r="AI70" s="49">
        <f t="shared" si="3"/>
        <v>9.8000000000000007</v>
      </c>
      <c r="AK70" s="51"/>
      <c r="AY70" s="1" t="s">
        <v>94</v>
      </c>
      <c r="AZ70" s="82">
        <f>ROUND(C88,0)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I88</f>
        <v>0</v>
      </c>
      <c r="BF70" s="82">
        <f>K88</f>
        <v>124.3</v>
      </c>
      <c r="BG70" s="82">
        <f t="shared" si="25"/>
        <v>117</v>
      </c>
      <c r="BH70" s="82">
        <f t="shared" si="25"/>
        <v>117</v>
      </c>
      <c r="BI70" s="82">
        <f t="shared" si="25"/>
        <v>117</v>
      </c>
      <c r="BJ70" s="82">
        <f t="shared" si="25"/>
        <v>122</v>
      </c>
      <c r="BK70" s="82">
        <f t="shared" si="25"/>
        <v>140.30000000000001</v>
      </c>
      <c r="BL70" s="82">
        <f t="shared" si="25"/>
        <v>126</v>
      </c>
      <c r="BM70" s="82">
        <f t="shared" si="25"/>
        <v>120.1</v>
      </c>
      <c r="BN70" s="82">
        <f t="shared" si="25"/>
        <v>102.7</v>
      </c>
      <c r="BO70" s="82">
        <f t="shared" si="25"/>
        <v>117.1</v>
      </c>
      <c r="BP70" s="82">
        <f t="shared" si="25"/>
        <v>124.7</v>
      </c>
      <c r="BQ70" s="82">
        <f>X88</f>
        <v>109.2</v>
      </c>
      <c r="BR70" s="82">
        <f>Z88</f>
        <v>0</v>
      </c>
      <c r="BS70" s="81">
        <f>AB88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1.7</v>
      </c>
      <c r="K71" s="46">
        <v>3.6</v>
      </c>
      <c r="L71" s="46">
        <v>6</v>
      </c>
      <c r="M71" s="46">
        <v>6</v>
      </c>
      <c r="N71" s="46">
        <v>6</v>
      </c>
      <c r="O71" s="46">
        <v>6</v>
      </c>
      <c r="P71" s="46">
        <v>16.3</v>
      </c>
      <c r="Q71" s="46">
        <v>16.3</v>
      </c>
      <c r="R71" s="46">
        <v>16.3</v>
      </c>
      <c r="S71" s="46">
        <v>12</v>
      </c>
      <c r="T71" s="76">
        <v>11.3</v>
      </c>
      <c r="U71" s="76">
        <v>6</v>
      </c>
      <c r="V71" s="76">
        <v>2</v>
      </c>
      <c r="W71" s="76">
        <v>1.5</v>
      </c>
      <c r="X71" s="76">
        <v>1.5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16.3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7">M94</f>
        <v>0</v>
      </c>
      <c r="BH71" s="82">
        <f t="shared" si="27"/>
        <v>0</v>
      </c>
      <c r="BI71" s="82">
        <f t="shared" si="27"/>
        <v>0</v>
      </c>
      <c r="BJ71" s="82">
        <f t="shared" si="27"/>
        <v>0</v>
      </c>
      <c r="BK71" s="82">
        <f t="shared" si="27"/>
        <v>0</v>
      </c>
      <c r="BL71" s="82">
        <f t="shared" si="27"/>
        <v>0</v>
      </c>
      <c r="BM71" s="82">
        <f t="shared" si="27"/>
        <v>0</v>
      </c>
      <c r="BN71" s="82">
        <f t="shared" si="27"/>
        <v>0</v>
      </c>
      <c r="BO71" s="82">
        <f t="shared" si="27"/>
        <v>0</v>
      </c>
      <c r="BP71" s="82">
        <f t="shared" si="2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9.5</v>
      </c>
      <c r="C72" s="76">
        <v>9.5</v>
      </c>
      <c r="D72" s="76">
        <v>9.5</v>
      </c>
      <c r="E72" s="76">
        <v>9.5</v>
      </c>
      <c r="F72" s="76">
        <v>9.5</v>
      </c>
      <c r="G72" s="76">
        <v>9.5</v>
      </c>
      <c r="H72" s="76">
        <v>9.5</v>
      </c>
      <c r="I72" s="76">
        <v>9.5</v>
      </c>
      <c r="J72" s="76">
        <v>9.5</v>
      </c>
      <c r="K72" s="76">
        <v>9.5</v>
      </c>
      <c r="L72" s="76">
        <v>9.5</v>
      </c>
      <c r="M72" s="76">
        <v>9.5</v>
      </c>
      <c r="N72" s="76">
        <v>9.5</v>
      </c>
      <c r="O72" s="76">
        <v>9.5</v>
      </c>
      <c r="P72" s="76">
        <v>9.5</v>
      </c>
      <c r="Q72" s="76">
        <v>9.5</v>
      </c>
      <c r="R72" s="76">
        <v>9.5</v>
      </c>
      <c r="S72" s="76">
        <v>9.5</v>
      </c>
      <c r="T72" s="76">
        <v>9.6999999999999993</v>
      </c>
      <c r="U72" s="76">
        <v>9.6999999999999993</v>
      </c>
      <c r="V72" s="76">
        <v>9.6999999999999993</v>
      </c>
      <c r="W72" s="76">
        <v>9.6999999999999993</v>
      </c>
      <c r="X72" s="76">
        <v>9.6999999999999993</v>
      </c>
      <c r="Y72" s="76">
        <v>11.1</v>
      </c>
      <c r="Z72" s="76">
        <v>11.2</v>
      </c>
      <c r="AA72" s="76">
        <v>11.2</v>
      </c>
      <c r="AB72" s="76">
        <v>11.2</v>
      </c>
      <c r="AC72" s="76">
        <v>11.2</v>
      </c>
      <c r="AD72" s="76">
        <v>11.2</v>
      </c>
      <c r="AE72" s="76">
        <v>11.2</v>
      </c>
      <c r="AF72" s="76">
        <v>11.2</v>
      </c>
      <c r="AG72" s="66">
        <v>24</v>
      </c>
      <c r="AH72" s="48">
        <f t="shared" si="2"/>
        <v>11.2</v>
      </c>
      <c r="AI72" s="49">
        <f t="shared" si="3"/>
        <v>9.5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28">VALUE(AZ66)</f>
        <v>28</v>
      </c>
      <c r="BA73" s="82">
        <f t="shared" si="28"/>
        <v>25.9</v>
      </c>
      <c r="BB73" s="82">
        <f t="shared" si="28"/>
        <v>22</v>
      </c>
      <c r="BC73" s="82">
        <f t="shared" si="28"/>
        <v>19.600000000000001</v>
      </c>
      <c r="BD73" s="82">
        <f t="shared" si="28"/>
        <v>13.5</v>
      </c>
      <c r="BE73" s="82">
        <f t="shared" si="28"/>
        <v>13.2</v>
      </c>
      <c r="BF73" s="82">
        <f t="shared" si="28"/>
        <v>48.9</v>
      </c>
      <c r="BG73" s="82">
        <f t="shared" si="28"/>
        <v>57.7</v>
      </c>
      <c r="BH73" s="82">
        <f t="shared" si="28"/>
        <v>59.9</v>
      </c>
      <c r="BI73" s="82">
        <f t="shared" si="28"/>
        <v>59</v>
      </c>
      <c r="BJ73" s="82">
        <f t="shared" si="28"/>
        <v>67</v>
      </c>
      <c r="BK73" s="82">
        <f t="shared" si="28"/>
        <v>53.3</v>
      </c>
      <c r="BL73" s="82">
        <f t="shared" si="28"/>
        <v>62.9</v>
      </c>
      <c r="BM73" s="82">
        <f t="shared" si="28"/>
        <v>64</v>
      </c>
      <c r="BN73" s="82">
        <f t="shared" si="28"/>
        <v>60.6</v>
      </c>
      <c r="BO73" s="82">
        <f t="shared" si="28"/>
        <v>67.3</v>
      </c>
      <c r="BP73" s="82">
        <f t="shared" si="28"/>
        <v>73.400000000000006</v>
      </c>
      <c r="BQ73" s="82">
        <f t="shared" si="28"/>
        <v>41</v>
      </c>
      <c r="BR73" s="82">
        <f t="shared" si="28"/>
        <v>32.700000000000003</v>
      </c>
      <c r="BS73" s="82">
        <f t="shared" si="28"/>
        <v>50</v>
      </c>
      <c r="BT73" s="82">
        <f t="shared" si="28"/>
        <v>44.2</v>
      </c>
      <c r="BU73" s="82">
        <f t="shared" si="28"/>
        <v>40</v>
      </c>
      <c r="BV73" s="82">
        <f t="shared" si="28"/>
        <v>30</v>
      </c>
      <c r="BW73" s="82">
        <f t="shared" si="28"/>
        <v>29.7</v>
      </c>
    </row>
    <row r="74" spans="1:75" x14ac:dyDescent="0.25">
      <c r="A74" s="65" t="s">
        <v>91</v>
      </c>
      <c r="B74" s="76">
        <v>7.1</v>
      </c>
      <c r="C74" s="76">
        <v>7.1</v>
      </c>
      <c r="D74" s="76">
        <v>7.1</v>
      </c>
      <c r="E74" s="76">
        <v>7.1</v>
      </c>
      <c r="F74" s="76">
        <v>7.1</v>
      </c>
      <c r="G74" s="76">
        <v>7.1</v>
      </c>
      <c r="H74" s="76">
        <v>7.1</v>
      </c>
      <c r="I74" s="76">
        <v>7.1</v>
      </c>
      <c r="J74" s="76">
        <v>7.1</v>
      </c>
      <c r="K74" s="76">
        <v>7.1</v>
      </c>
      <c r="L74" s="76">
        <v>7.1</v>
      </c>
      <c r="M74" s="76">
        <v>7.1</v>
      </c>
      <c r="N74" s="76">
        <v>7.1</v>
      </c>
      <c r="O74" s="76">
        <v>7.1</v>
      </c>
      <c r="P74" s="76">
        <v>7.1</v>
      </c>
      <c r="Q74" s="76">
        <v>7.1</v>
      </c>
      <c r="R74" s="76">
        <v>7.1</v>
      </c>
      <c r="S74" s="76">
        <v>7.1</v>
      </c>
      <c r="T74" s="76">
        <v>7.1</v>
      </c>
      <c r="U74" s="76">
        <v>7.1</v>
      </c>
      <c r="V74" s="76">
        <v>7.1</v>
      </c>
      <c r="W74" s="76">
        <v>7.1</v>
      </c>
      <c r="X74" s="76">
        <v>7.1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8.6</v>
      </c>
      <c r="AI74" s="49">
        <f t="shared" si="3"/>
        <v>7.1</v>
      </c>
      <c r="AK74" s="51"/>
      <c r="AZ74" s="82">
        <f t="shared" si="28"/>
        <v>0</v>
      </c>
      <c r="BA74" s="82">
        <f t="shared" si="28"/>
        <v>0</v>
      </c>
      <c r="BB74" s="82">
        <f t="shared" si="28"/>
        <v>0</v>
      </c>
      <c r="BC74" s="82">
        <f t="shared" si="28"/>
        <v>0</v>
      </c>
      <c r="BD74" s="82">
        <f t="shared" si="28"/>
        <v>0</v>
      </c>
      <c r="BE74" s="82">
        <f t="shared" si="28"/>
        <v>0</v>
      </c>
      <c r="BF74" s="82">
        <f t="shared" si="28"/>
        <v>0</v>
      </c>
      <c r="BG74" s="82">
        <f t="shared" si="28"/>
        <v>0</v>
      </c>
      <c r="BH74" s="82">
        <f t="shared" si="28"/>
        <v>0</v>
      </c>
      <c r="BI74" s="82">
        <f t="shared" si="28"/>
        <v>0</v>
      </c>
      <c r="BJ74" s="82">
        <f t="shared" si="28"/>
        <v>0</v>
      </c>
      <c r="BK74" s="82">
        <f t="shared" si="28"/>
        <v>0</v>
      </c>
      <c r="BL74" s="82">
        <f t="shared" si="28"/>
        <v>0</v>
      </c>
      <c r="BM74" s="82">
        <f t="shared" si="28"/>
        <v>0</v>
      </c>
      <c r="BN74" s="82">
        <f t="shared" si="28"/>
        <v>0</v>
      </c>
      <c r="BO74" s="82">
        <f t="shared" si="28"/>
        <v>0</v>
      </c>
      <c r="BP74" s="82">
        <f t="shared" si="28"/>
        <v>0</v>
      </c>
      <c r="BQ74" s="82">
        <f t="shared" si="28"/>
        <v>0</v>
      </c>
      <c r="BR74" s="82">
        <f t="shared" si="28"/>
        <v>0</v>
      </c>
      <c r="BS74" s="82">
        <f t="shared" si="28"/>
        <v>0</v>
      </c>
      <c r="BT74" s="82">
        <f t="shared" si="28"/>
        <v>0</v>
      </c>
      <c r="BU74" s="82">
        <f t="shared" si="28"/>
        <v>0</v>
      </c>
      <c r="BV74" s="82">
        <f t="shared" si="28"/>
        <v>0</v>
      </c>
      <c r="BW74" s="82">
        <f t="shared" si="28"/>
        <v>0</v>
      </c>
    </row>
    <row r="75" spans="1:75" x14ac:dyDescent="0.25">
      <c r="A75" s="84" t="s">
        <v>93</v>
      </c>
      <c r="B75" s="76">
        <v>14.3</v>
      </c>
      <c r="C75" s="76">
        <v>14.3</v>
      </c>
      <c r="D75" s="76">
        <v>14.3</v>
      </c>
      <c r="E75" s="76">
        <v>14.3</v>
      </c>
      <c r="F75" s="76">
        <v>14.3</v>
      </c>
      <c r="G75" s="76">
        <v>14.3</v>
      </c>
      <c r="H75" s="76">
        <v>14.3</v>
      </c>
      <c r="I75" s="76">
        <v>14.3</v>
      </c>
      <c r="J75" s="76">
        <v>14.3</v>
      </c>
      <c r="K75" s="76">
        <v>14.3</v>
      </c>
      <c r="L75" s="76">
        <v>14.3</v>
      </c>
      <c r="M75" s="76">
        <v>14.3</v>
      </c>
      <c r="N75" s="76">
        <v>14.3</v>
      </c>
      <c r="O75" s="76">
        <v>14.3</v>
      </c>
      <c r="P75" s="76">
        <v>14.3</v>
      </c>
      <c r="Q75" s="76">
        <v>14.3</v>
      </c>
      <c r="R75" s="76">
        <v>14.3</v>
      </c>
      <c r="S75" s="76">
        <v>14.3</v>
      </c>
      <c r="T75" s="76">
        <v>14.3</v>
      </c>
      <c r="U75" s="76">
        <v>14.3</v>
      </c>
      <c r="V75" s="76">
        <v>14.3</v>
      </c>
      <c r="W75" s="76">
        <v>14.3</v>
      </c>
      <c r="X75" s="76">
        <v>14.3</v>
      </c>
      <c r="Y75" s="76">
        <v>14.1</v>
      </c>
      <c r="Z75" s="76">
        <v>14.1</v>
      </c>
      <c r="AA75" s="76">
        <v>14.1</v>
      </c>
      <c r="AB75" s="76">
        <v>14.1</v>
      </c>
      <c r="AC75" s="76">
        <v>14.1</v>
      </c>
      <c r="AD75" s="76">
        <v>14.1</v>
      </c>
      <c r="AE75" s="76">
        <v>14.1</v>
      </c>
      <c r="AF75" s="76">
        <v>14.1</v>
      </c>
      <c r="AG75" s="66">
        <v>14</v>
      </c>
      <c r="AH75" s="48">
        <f t="shared" ref="AH75:AH126" si="29">MAX(B75:AF75)</f>
        <v>14.3</v>
      </c>
      <c r="AI75" s="49">
        <f t="shared" ref="AI75:AI126" si="30">MIN(B75:AF75)</f>
        <v>14.1</v>
      </c>
      <c r="AK75" s="51"/>
      <c r="AZ75" s="82">
        <f t="shared" si="28"/>
        <v>-122</v>
      </c>
      <c r="BA75" s="82">
        <f t="shared" si="28"/>
        <v>-114.5</v>
      </c>
      <c r="BB75" s="82">
        <f t="shared" si="28"/>
        <v>-116.5</v>
      </c>
      <c r="BC75" s="82">
        <f t="shared" si="28"/>
        <v>-111.9</v>
      </c>
      <c r="BD75" s="82">
        <f t="shared" si="28"/>
        <v>-119.4</v>
      </c>
      <c r="BE75" s="82">
        <f t="shared" si="28"/>
        <v>-110.5</v>
      </c>
      <c r="BF75" s="82">
        <f t="shared" si="28"/>
        <v>-39.1</v>
      </c>
      <c r="BG75" s="82">
        <f t="shared" si="28"/>
        <v>14</v>
      </c>
      <c r="BH75" s="82">
        <f t="shared" si="28"/>
        <v>-13</v>
      </c>
      <c r="BI75" s="82">
        <f t="shared" si="28"/>
        <v>38</v>
      </c>
      <c r="BJ75" s="82">
        <f t="shared" si="28"/>
        <v>96.6</v>
      </c>
      <c r="BK75" s="82">
        <f t="shared" si="28"/>
        <v>145</v>
      </c>
      <c r="BL75" s="82">
        <f t="shared" si="28"/>
        <v>154</v>
      </c>
      <c r="BM75" s="82">
        <f t="shared" si="28"/>
        <v>185</v>
      </c>
      <c r="BN75" s="82">
        <f t="shared" si="28"/>
        <v>166.8</v>
      </c>
      <c r="BO75" s="82">
        <f t="shared" si="28"/>
        <v>160.4</v>
      </c>
      <c r="BP75" s="82">
        <f t="shared" si="28"/>
        <v>119.8</v>
      </c>
      <c r="BQ75" s="82">
        <f t="shared" si="28"/>
        <v>61.5</v>
      </c>
      <c r="BR75" s="82">
        <f t="shared" si="28"/>
        <v>-103.6</v>
      </c>
      <c r="BS75" s="82">
        <f t="shared" si="28"/>
        <v>-123</v>
      </c>
      <c r="BT75" s="82">
        <f t="shared" si="28"/>
        <v>-125</v>
      </c>
      <c r="BU75" s="82">
        <f t="shared" si="28"/>
        <v>-120</v>
      </c>
      <c r="BV75" s="82">
        <f t="shared" si="28"/>
        <v>-112</v>
      </c>
      <c r="BW75" s="82">
        <f t="shared" si="28"/>
        <v>-130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29"/>
        <v>8</v>
      </c>
      <c r="AI76" s="49">
        <f t="shared" si="30"/>
        <v>8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15</v>
      </c>
      <c r="BJ76" s="82">
        <f t="shared" si="28"/>
        <v>39</v>
      </c>
      <c r="BK76" s="82">
        <f t="shared" si="28"/>
        <v>34.299999999999997</v>
      </c>
      <c r="BL76" s="82">
        <f t="shared" si="28"/>
        <v>35.9</v>
      </c>
      <c r="BM76" s="82">
        <f t="shared" si="28"/>
        <v>37.4</v>
      </c>
      <c r="BN76" s="82">
        <f t="shared" si="28"/>
        <v>37.6</v>
      </c>
      <c r="BO76" s="82">
        <f t="shared" si="28"/>
        <v>37.299999999999997</v>
      </c>
      <c r="BP76" s="82">
        <f t="shared" si="28"/>
        <v>25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29"/>
        <v>3</v>
      </c>
      <c r="AI77" s="49">
        <f t="shared" si="30"/>
        <v>3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124.3</v>
      </c>
      <c r="BG77" s="82">
        <f t="shared" si="28"/>
        <v>117</v>
      </c>
      <c r="BH77" s="82">
        <f t="shared" si="28"/>
        <v>117</v>
      </c>
      <c r="BI77" s="82">
        <f t="shared" si="28"/>
        <v>117</v>
      </c>
      <c r="BJ77" s="82">
        <f t="shared" si="28"/>
        <v>122</v>
      </c>
      <c r="BK77" s="82">
        <f t="shared" si="28"/>
        <v>140.30000000000001</v>
      </c>
      <c r="BL77" s="82">
        <f t="shared" si="28"/>
        <v>126</v>
      </c>
      <c r="BM77" s="82">
        <f t="shared" si="28"/>
        <v>120.1</v>
      </c>
      <c r="BN77" s="82">
        <f t="shared" si="28"/>
        <v>102.7</v>
      </c>
      <c r="BO77" s="82">
        <f t="shared" si="28"/>
        <v>117.1</v>
      </c>
      <c r="BP77" s="82">
        <f t="shared" si="28"/>
        <v>124.7</v>
      </c>
      <c r="BQ77" s="82">
        <f t="shared" si="28"/>
        <v>109.2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ht="15.75" thickBot="1" x14ac:dyDescent="0.3">
      <c r="A78" s="67" t="s">
        <v>98</v>
      </c>
      <c r="B78" s="85">
        <v>5.5</v>
      </c>
      <c r="C78" s="85">
        <v>5.5</v>
      </c>
      <c r="D78" s="85">
        <v>5.5</v>
      </c>
      <c r="E78" s="85">
        <v>5.5</v>
      </c>
      <c r="F78" s="85">
        <v>5.5</v>
      </c>
      <c r="G78" s="85">
        <v>5.5</v>
      </c>
      <c r="H78" s="85">
        <v>5.5</v>
      </c>
      <c r="I78" s="85">
        <v>5.5</v>
      </c>
      <c r="J78" s="85">
        <v>5.5</v>
      </c>
      <c r="K78" s="85">
        <v>5.5</v>
      </c>
      <c r="L78" s="85">
        <v>5.5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9"/>
        <v>5.5</v>
      </c>
      <c r="AI78" s="49">
        <f t="shared" si="30"/>
        <v>3.5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7" t="s">
        <v>99</v>
      </c>
      <c r="B79" s="71">
        <v>395.7</v>
      </c>
      <c r="C79" s="71">
        <v>395.7</v>
      </c>
      <c r="D79" s="71">
        <v>395.7</v>
      </c>
      <c r="E79" s="71">
        <v>395.7</v>
      </c>
      <c r="F79" s="71">
        <v>395.7</v>
      </c>
      <c r="G79" s="71">
        <v>395.7</v>
      </c>
      <c r="H79" s="71">
        <v>395.7</v>
      </c>
      <c r="I79" s="71">
        <v>395.7</v>
      </c>
      <c r="J79" s="71">
        <v>395.7</v>
      </c>
      <c r="K79" s="71">
        <v>395.7</v>
      </c>
      <c r="L79" s="71">
        <v>395.7</v>
      </c>
      <c r="M79" s="71">
        <f t="shared" ref="M79:AG79" si="31">SUM(M66:M78)</f>
        <v>413.74000000000007</v>
      </c>
      <c r="N79" s="71">
        <f t="shared" si="31"/>
        <v>413.74000000000007</v>
      </c>
      <c r="O79" s="71">
        <f t="shared" si="31"/>
        <v>412.54000000000008</v>
      </c>
      <c r="P79" s="71">
        <f t="shared" si="31"/>
        <v>425.34000000000009</v>
      </c>
      <c r="Q79" s="71">
        <f t="shared" si="31"/>
        <v>424.34000000000009</v>
      </c>
      <c r="R79" s="71">
        <f t="shared" si="31"/>
        <v>424.34000000000009</v>
      </c>
      <c r="S79" s="71">
        <f t="shared" si="31"/>
        <v>431.64000000000004</v>
      </c>
      <c r="T79" s="71">
        <f t="shared" si="31"/>
        <v>431.54000000000008</v>
      </c>
      <c r="U79" s="71">
        <f t="shared" si="31"/>
        <v>414.34000000000009</v>
      </c>
      <c r="V79" s="71">
        <f t="shared" si="31"/>
        <v>409.74000000000007</v>
      </c>
      <c r="W79" s="71">
        <f t="shared" si="31"/>
        <v>384.54000000000008</v>
      </c>
      <c r="X79" s="71">
        <f t="shared" si="31"/>
        <v>384.74000000000007</v>
      </c>
      <c r="Y79" s="71">
        <f t="shared" si="31"/>
        <v>410.20000000000005</v>
      </c>
      <c r="Z79" s="71">
        <f t="shared" si="31"/>
        <v>413.1</v>
      </c>
      <c r="AA79" s="71">
        <f t="shared" si="31"/>
        <v>411.14000000000004</v>
      </c>
      <c r="AB79" s="71">
        <f t="shared" si="31"/>
        <v>409.04</v>
      </c>
      <c r="AC79" s="71">
        <f t="shared" si="31"/>
        <v>409.04</v>
      </c>
      <c r="AD79" s="71">
        <f t="shared" si="31"/>
        <v>409.04</v>
      </c>
      <c r="AE79" s="71">
        <f t="shared" ref="AE79:AF79" si="32">SUM(AE66:AE78)</f>
        <v>409.04</v>
      </c>
      <c r="AF79" s="71">
        <f t="shared" si="32"/>
        <v>407.54000000000008</v>
      </c>
      <c r="AG79" s="72">
        <f t="shared" si="31"/>
        <v>489.91</v>
      </c>
      <c r="AH79" s="48">
        <f t="shared" si="29"/>
        <v>431.64000000000004</v>
      </c>
      <c r="AI79" s="49">
        <f t="shared" si="30"/>
        <v>384.54000000000008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14</v>
      </c>
      <c r="N80" s="46">
        <v>14</v>
      </c>
      <c r="O80" s="46">
        <v>14</v>
      </c>
      <c r="P80" s="46">
        <v>29.5</v>
      </c>
      <c r="Q80" s="46">
        <v>29.5</v>
      </c>
      <c r="R80" s="46">
        <v>13.4</v>
      </c>
      <c r="S80" s="46">
        <v>10</v>
      </c>
      <c r="T80" s="46">
        <v>19.7</v>
      </c>
      <c r="U80" s="46">
        <v>10</v>
      </c>
      <c r="V80" s="46">
        <v>0</v>
      </c>
      <c r="W80" s="46">
        <v>0</v>
      </c>
      <c r="X80" s="46">
        <v>0</v>
      </c>
      <c r="Y80" s="46">
        <v>0</v>
      </c>
      <c r="Z80" s="46">
        <v>59.9</v>
      </c>
      <c r="AA80" s="46">
        <v>59.9</v>
      </c>
      <c r="AB80" s="46">
        <v>29</v>
      </c>
      <c r="AC80" s="46">
        <v>29</v>
      </c>
      <c r="AD80" s="46">
        <v>14</v>
      </c>
      <c r="AE80" s="46">
        <v>0</v>
      </c>
      <c r="AF80" s="46">
        <v>0</v>
      </c>
      <c r="AG80" s="61">
        <v>60</v>
      </c>
      <c r="AH80" s="48">
        <f t="shared" si="29"/>
        <v>59.9</v>
      </c>
      <c r="AI80" s="49">
        <f t="shared" si="3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5.6</v>
      </c>
      <c r="N81" s="76">
        <v>5.6</v>
      </c>
      <c r="O81" s="76">
        <v>5.6</v>
      </c>
      <c r="P81" s="76">
        <v>15</v>
      </c>
      <c r="Q81" s="76">
        <v>15</v>
      </c>
      <c r="R81" s="76">
        <v>4.5</v>
      </c>
      <c r="S81" s="76">
        <v>3.7</v>
      </c>
      <c r="T81" s="76">
        <v>7.7</v>
      </c>
      <c r="U81" s="76">
        <v>3.4</v>
      </c>
      <c r="V81" s="76">
        <v>2.8</v>
      </c>
      <c r="W81" s="76">
        <v>0</v>
      </c>
      <c r="X81" s="76">
        <v>0</v>
      </c>
      <c r="Y81" s="76">
        <v>0</v>
      </c>
      <c r="Z81" s="76">
        <v>30.4</v>
      </c>
      <c r="AA81" s="76">
        <v>30.4</v>
      </c>
      <c r="AB81" s="76">
        <v>13</v>
      </c>
      <c r="AC81" s="76">
        <v>13</v>
      </c>
      <c r="AD81" s="76">
        <v>10</v>
      </c>
      <c r="AE81" s="76">
        <v>0</v>
      </c>
      <c r="AF81" s="76">
        <v>0</v>
      </c>
      <c r="AG81" s="66">
        <v>32</v>
      </c>
      <c r="AH81" s="48">
        <f t="shared" si="29"/>
        <v>30.4</v>
      </c>
      <c r="AI81" s="49">
        <f t="shared" si="3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2</v>
      </c>
      <c r="N82" s="78">
        <v>2</v>
      </c>
      <c r="O82" s="78">
        <v>2</v>
      </c>
      <c r="P82" s="78">
        <v>5.5</v>
      </c>
      <c r="Q82" s="78">
        <v>5.5</v>
      </c>
      <c r="R82" s="78">
        <v>1.6</v>
      </c>
      <c r="S82" s="78">
        <v>1.3</v>
      </c>
      <c r="T82" s="78">
        <v>2.8</v>
      </c>
      <c r="U82" s="78">
        <v>1.2</v>
      </c>
      <c r="V82" s="78">
        <v>1</v>
      </c>
      <c r="W82" s="78">
        <v>0</v>
      </c>
      <c r="X82" s="78">
        <v>0</v>
      </c>
      <c r="Y82" s="78">
        <v>0</v>
      </c>
      <c r="Z82" s="78">
        <v>11.1</v>
      </c>
      <c r="AA82" s="78">
        <v>11.1</v>
      </c>
      <c r="AB82" s="78">
        <v>4.7</v>
      </c>
      <c r="AC82" s="78">
        <v>4.7</v>
      </c>
      <c r="AD82" s="78">
        <v>3.6</v>
      </c>
      <c r="AE82" s="78">
        <v>0</v>
      </c>
      <c r="AF82" s="78">
        <v>0</v>
      </c>
      <c r="AG82" s="79">
        <v>14</v>
      </c>
      <c r="AH82" s="48">
        <f t="shared" si="29"/>
        <v>11.1</v>
      </c>
      <c r="AI82" s="49">
        <f t="shared" si="30"/>
        <v>0</v>
      </c>
      <c r="AK82" s="51"/>
      <c r="AY82" s="82"/>
      <c r="BF82" s="81"/>
      <c r="BG82" s="82">
        <f t="array" ref="BG82:BL105">TRANSPOSE(AZ66:BW71)</f>
        <v>28</v>
      </c>
      <c r="BH82" s="82">
        <v>0</v>
      </c>
      <c r="BI82" s="82">
        <v>-122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D83" si="33">B80+B81+B82</f>
        <v>0</v>
      </c>
      <c r="C83" s="71">
        <f t="shared" ref="C83" si="34">C80+C81+C82</f>
        <v>0</v>
      </c>
      <c r="D83" s="71">
        <f t="shared" ref="D83:E83" si="35">D80+D81+D82</f>
        <v>0</v>
      </c>
      <c r="E83" s="71">
        <f t="shared" si="35"/>
        <v>0</v>
      </c>
      <c r="F83" s="71">
        <f t="shared" ref="F83:G83" si="36">F80+F81+F82</f>
        <v>0</v>
      </c>
      <c r="G83" s="71">
        <f t="shared" si="36"/>
        <v>0</v>
      </c>
      <c r="H83" s="71">
        <f t="shared" ref="H83:I83" si="37">H80+H81+H82</f>
        <v>0</v>
      </c>
      <c r="I83" s="71">
        <f t="shared" si="37"/>
        <v>0</v>
      </c>
      <c r="J83" s="71">
        <f t="shared" ref="J83:K83" si="38">J80+J81+J82</f>
        <v>0</v>
      </c>
      <c r="K83" s="71">
        <f t="shared" si="38"/>
        <v>0</v>
      </c>
      <c r="L83" s="71">
        <f t="shared" ref="L83" si="39">L80+L81+L82</f>
        <v>0</v>
      </c>
      <c r="M83" s="71">
        <f t="shared" si="33"/>
        <v>21.6</v>
      </c>
      <c r="N83" s="71">
        <f t="shared" si="33"/>
        <v>21.6</v>
      </c>
      <c r="O83" s="71">
        <f t="shared" si="33"/>
        <v>21.6</v>
      </c>
      <c r="P83" s="71">
        <f t="shared" si="33"/>
        <v>50</v>
      </c>
      <c r="Q83" s="71">
        <f t="shared" si="33"/>
        <v>50</v>
      </c>
      <c r="R83" s="71">
        <f t="shared" si="33"/>
        <v>19.5</v>
      </c>
      <c r="S83" s="71">
        <f>S80+S81+S82</f>
        <v>15</v>
      </c>
      <c r="T83" s="71">
        <f t="shared" si="33"/>
        <v>30.2</v>
      </c>
      <c r="U83" s="71">
        <f t="shared" si="33"/>
        <v>14.6</v>
      </c>
      <c r="V83" s="71">
        <f t="shared" si="33"/>
        <v>3.8</v>
      </c>
      <c r="W83" s="71">
        <f t="shared" si="33"/>
        <v>0</v>
      </c>
      <c r="X83" s="71">
        <f t="shared" si="33"/>
        <v>0</v>
      </c>
      <c r="Y83" s="71">
        <f t="shared" si="33"/>
        <v>0</v>
      </c>
      <c r="Z83" s="71">
        <f t="shared" si="33"/>
        <v>101.39999999999999</v>
      </c>
      <c r="AA83" s="71">
        <f t="shared" si="33"/>
        <v>101.39999999999999</v>
      </c>
      <c r="AB83" s="71">
        <f t="shared" si="33"/>
        <v>46.7</v>
      </c>
      <c r="AC83" s="71">
        <f t="shared" si="33"/>
        <v>46.7</v>
      </c>
      <c r="AD83" s="71">
        <f t="shared" si="33"/>
        <v>27.6</v>
      </c>
      <c r="AE83" s="71">
        <f t="shared" ref="AE83:AF83" si="40">AE80+AE81+AE82</f>
        <v>0</v>
      </c>
      <c r="AF83" s="71">
        <f t="shared" si="40"/>
        <v>0</v>
      </c>
      <c r="AG83" s="72">
        <f>SUM(AG80:AG82)</f>
        <v>106</v>
      </c>
      <c r="AH83" s="48">
        <f t="shared" si="29"/>
        <v>101.39999999999999</v>
      </c>
      <c r="AI83" s="49">
        <f t="shared" si="30"/>
        <v>0</v>
      </c>
      <c r="AK83" s="51"/>
      <c r="AY83" s="82"/>
      <c r="BF83" s="81"/>
      <c r="BG83" s="82">
        <v>25.9</v>
      </c>
      <c r="BH83" s="82">
        <v>0</v>
      </c>
      <c r="BI83" s="82">
        <v>-114.5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29.7</v>
      </c>
      <c r="C84" s="46">
        <v>27.9</v>
      </c>
      <c r="D84" s="46">
        <v>25.9</v>
      </c>
      <c r="E84" s="46">
        <v>22</v>
      </c>
      <c r="F84" s="46">
        <v>19.600000000000001</v>
      </c>
      <c r="G84" s="46">
        <v>13.5</v>
      </c>
      <c r="H84" s="46">
        <v>12.5</v>
      </c>
      <c r="I84" s="46">
        <v>13.2</v>
      </c>
      <c r="J84" s="46">
        <v>46.1</v>
      </c>
      <c r="K84" s="46">
        <v>48.9</v>
      </c>
      <c r="L84" s="46">
        <v>51.2</v>
      </c>
      <c r="M84" s="46">
        <v>57.7</v>
      </c>
      <c r="N84" s="46">
        <v>59.9</v>
      </c>
      <c r="O84" s="46">
        <v>59</v>
      </c>
      <c r="P84" s="46">
        <v>67</v>
      </c>
      <c r="Q84" s="46">
        <v>53.3</v>
      </c>
      <c r="R84" s="46">
        <v>62.9</v>
      </c>
      <c r="S84" s="46">
        <v>64</v>
      </c>
      <c r="T84" s="46">
        <v>60.6</v>
      </c>
      <c r="U84" s="46">
        <v>67.3</v>
      </c>
      <c r="V84" s="46">
        <v>73.400000000000006</v>
      </c>
      <c r="W84" s="46">
        <v>70.400000000000006</v>
      </c>
      <c r="X84" s="46">
        <v>41</v>
      </c>
      <c r="Y84" s="46">
        <v>36</v>
      </c>
      <c r="Z84" s="46">
        <v>32.700000000000003</v>
      </c>
      <c r="AA84" s="46">
        <v>37.1</v>
      </c>
      <c r="AB84" s="46">
        <v>50</v>
      </c>
      <c r="AC84" s="46">
        <v>46.3</v>
      </c>
      <c r="AD84" s="46">
        <v>44.2</v>
      </c>
      <c r="AE84" s="46">
        <v>40</v>
      </c>
      <c r="AF84" s="46">
        <v>30</v>
      </c>
      <c r="AG84" s="61"/>
      <c r="AH84" s="48">
        <f t="shared" si="29"/>
        <v>73.400000000000006</v>
      </c>
      <c r="AI84" s="49">
        <f t="shared" si="30"/>
        <v>12.5</v>
      </c>
      <c r="AK84" s="51"/>
      <c r="AY84" s="82"/>
      <c r="BF84" s="81"/>
      <c r="BG84" s="82">
        <v>22</v>
      </c>
      <c r="BH84" s="82">
        <v>0</v>
      </c>
      <c r="BI84" s="82">
        <v>-116.5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9"/>
        <v>0</v>
      </c>
      <c r="AI85" s="49">
        <f t="shared" si="30"/>
        <v>0</v>
      </c>
      <c r="AK85" s="51"/>
      <c r="AL85" s="91" t="s">
        <v>111</v>
      </c>
      <c r="AM85" s="91"/>
      <c r="AY85" s="82"/>
      <c r="BF85" s="82"/>
      <c r="BG85" s="82">
        <v>19.600000000000001</v>
      </c>
      <c r="BH85" s="82">
        <v>0</v>
      </c>
      <c r="BI85" s="82">
        <v>-111.9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-130</v>
      </c>
      <c r="C86" s="76">
        <v>-122</v>
      </c>
      <c r="D86" s="76">
        <v>-114.5</v>
      </c>
      <c r="E86" s="76">
        <v>-116.5</v>
      </c>
      <c r="F86" s="76">
        <v>-111.9</v>
      </c>
      <c r="G86" s="76">
        <v>-119.4</v>
      </c>
      <c r="H86" s="76">
        <v>-116.9</v>
      </c>
      <c r="I86" s="76">
        <v>-110.5</v>
      </c>
      <c r="J86" s="76">
        <v>-117.7</v>
      </c>
      <c r="K86" s="76">
        <v>-39.1</v>
      </c>
      <c r="L86" s="76">
        <v>-38.1</v>
      </c>
      <c r="M86" s="76">
        <v>14</v>
      </c>
      <c r="N86" s="76">
        <v>-13</v>
      </c>
      <c r="O86" s="76">
        <v>38</v>
      </c>
      <c r="P86" s="76">
        <v>96.6</v>
      </c>
      <c r="Q86" s="76">
        <v>145</v>
      </c>
      <c r="R86" s="76">
        <v>154</v>
      </c>
      <c r="S86" s="76">
        <v>185</v>
      </c>
      <c r="T86" s="76">
        <v>166.8</v>
      </c>
      <c r="U86" s="76">
        <v>160.4</v>
      </c>
      <c r="V86" s="76">
        <v>119.8</v>
      </c>
      <c r="W86" s="76">
        <v>78</v>
      </c>
      <c r="X86" s="76">
        <v>61.5</v>
      </c>
      <c r="Y86" s="76">
        <v>-120.9</v>
      </c>
      <c r="Z86" s="76">
        <v>-103.6</v>
      </c>
      <c r="AA86" s="76">
        <v>-78</v>
      </c>
      <c r="AB86" s="76">
        <v>-123</v>
      </c>
      <c r="AC86" s="76">
        <v>-104</v>
      </c>
      <c r="AD86" s="76">
        <v>-125</v>
      </c>
      <c r="AE86" s="76">
        <v>-120</v>
      </c>
      <c r="AF86" s="76">
        <v>-112</v>
      </c>
      <c r="AG86" s="88"/>
      <c r="AH86" s="48">
        <f t="shared" si="29"/>
        <v>185</v>
      </c>
      <c r="AI86" s="49">
        <f t="shared" si="30"/>
        <v>-130</v>
      </c>
      <c r="AK86" s="92"/>
      <c r="AL86" s="93"/>
      <c r="AM86" s="93"/>
      <c r="AN86" s="94"/>
      <c r="AY86" s="82"/>
      <c r="BF86" s="82"/>
      <c r="BG86" s="82">
        <v>13.5</v>
      </c>
      <c r="BH86" s="82">
        <v>0</v>
      </c>
      <c r="BI86" s="82">
        <v>-119.4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76"/>
      <c r="F87" s="76"/>
      <c r="G87" s="76"/>
      <c r="H87" s="76"/>
      <c r="I87" s="76"/>
      <c r="J87" s="76">
        <v>35.9</v>
      </c>
      <c r="K87" s="76">
        <v>0</v>
      </c>
      <c r="L87" s="76">
        <v>0</v>
      </c>
      <c r="M87" s="89">
        <v>0</v>
      </c>
      <c r="N87" s="89">
        <v>0</v>
      </c>
      <c r="O87" s="89">
        <v>15</v>
      </c>
      <c r="P87" s="89">
        <v>39</v>
      </c>
      <c r="Q87" s="89">
        <v>34.299999999999997</v>
      </c>
      <c r="R87" s="89">
        <v>35.9</v>
      </c>
      <c r="S87" s="89">
        <v>37.4</v>
      </c>
      <c r="T87" s="89">
        <v>37.6</v>
      </c>
      <c r="U87" s="89">
        <v>37.299999999999997</v>
      </c>
      <c r="V87" s="89">
        <v>25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/>
      <c r="AD87" s="89"/>
      <c r="AE87" s="89"/>
      <c r="AF87" s="89"/>
      <c r="AG87" s="88"/>
      <c r="AH87" s="48">
        <f t="shared" si="29"/>
        <v>39</v>
      </c>
      <c r="AI87" s="49">
        <f t="shared" si="30"/>
        <v>0</v>
      </c>
      <c r="AK87" s="95" t="s">
        <v>114</v>
      </c>
      <c r="AL87" s="76"/>
      <c r="AM87" s="89"/>
      <c r="AN87" s="96"/>
      <c r="AY87" s="82"/>
      <c r="BF87" s="82"/>
      <c r="BG87" s="82">
        <v>13.2</v>
      </c>
      <c r="BH87" s="82">
        <v>0</v>
      </c>
      <c r="BI87" s="82">
        <v>-110.5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101.7</v>
      </c>
      <c r="K88" s="46">
        <v>124.3</v>
      </c>
      <c r="L88" s="46">
        <v>115.6</v>
      </c>
      <c r="M88" s="46">
        <v>117</v>
      </c>
      <c r="N88" s="46">
        <v>117</v>
      </c>
      <c r="O88" s="46">
        <v>117</v>
      </c>
      <c r="P88" s="46">
        <v>122</v>
      </c>
      <c r="Q88" s="46">
        <v>140.30000000000001</v>
      </c>
      <c r="R88" s="46">
        <v>126</v>
      </c>
      <c r="S88" s="46">
        <v>120.1</v>
      </c>
      <c r="T88" s="46">
        <v>102.7</v>
      </c>
      <c r="U88" s="46">
        <v>117.1</v>
      </c>
      <c r="V88" s="46">
        <v>124.7</v>
      </c>
      <c r="W88" s="46">
        <v>119.2</v>
      </c>
      <c r="X88" s="46">
        <v>109.2</v>
      </c>
      <c r="Y88" s="46">
        <v>0</v>
      </c>
      <c r="Z88" s="46">
        <v>0</v>
      </c>
      <c r="AA88" s="46">
        <v>0</v>
      </c>
      <c r="AB88" s="46">
        <v>0</v>
      </c>
      <c r="AC88" s="46"/>
      <c r="AD88" s="46"/>
      <c r="AE88" s="46"/>
      <c r="AF88" s="46"/>
      <c r="AG88" s="88"/>
      <c r="AH88" s="48">
        <f t="shared" si="29"/>
        <v>140.30000000000001</v>
      </c>
      <c r="AI88" s="49">
        <f t="shared" si="30"/>
        <v>0</v>
      </c>
      <c r="AK88" s="95" t="s">
        <v>116</v>
      </c>
      <c r="AL88" s="89"/>
      <c r="AM88" s="89"/>
      <c r="AN88" s="96"/>
      <c r="AY88" s="82"/>
      <c r="BF88" s="82"/>
      <c r="BG88" s="82">
        <v>48.9</v>
      </c>
      <c r="BH88" s="82">
        <v>0</v>
      </c>
      <c r="BI88" s="82">
        <v>-39.1</v>
      </c>
      <c r="BJ88" s="82">
        <v>0</v>
      </c>
      <c r="BK88" s="82">
        <v>124.3</v>
      </c>
      <c r="BL88" s="82">
        <v>0</v>
      </c>
    </row>
    <row r="89" spans="1:64" ht="15.75" thickBot="1" x14ac:dyDescent="0.3">
      <c r="A89" s="97" t="s">
        <v>117</v>
      </c>
      <c r="B89" s="90">
        <v>49.7</v>
      </c>
      <c r="C89" s="90">
        <v>49.6</v>
      </c>
      <c r="D89" s="90">
        <v>50.6</v>
      </c>
      <c r="E89" s="90">
        <v>54.1</v>
      </c>
      <c r="F89" s="90">
        <v>51.7</v>
      </c>
      <c r="G89" s="90">
        <v>51.4</v>
      </c>
      <c r="H89" s="90">
        <v>48.4</v>
      </c>
      <c r="I89" s="90">
        <v>51.3</v>
      </c>
      <c r="J89" s="90">
        <v>54.2</v>
      </c>
      <c r="K89" s="90">
        <v>52.1</v>
      </c>
      <c r="L89" s="90">
        <v>46.9</v>
      </c>
      <c r="M89" s="90">
        <v>49</v>
      </c>
      <c r="N89" s="90">
        <v>49</v>
      </c>
      <c r="O89" s="90">
        <v>49</v>
      </c>
      <c r="P89" s="90">
        <v>51.2</v>
      </c>
      <c r="Q89" s="90">
        <v>59</v>
      </c>
      <c r="R89" s="90">
        <v>35</v>
      </c>
      <c r="S89" s="90">
        <v>54.7</v>
      </c>
      <c r="T89" s="90">
        <v>56.8</v>
      </c>
      <c r="U89" s="90">
        <v>54.6</v>
      </c>
      <c r="V89" s="90">
        <v>55.9</v>
      </c>
      <c r="W89" s="90">
        <v>54.9</v>
      </c>
      <c r="X89" s="90">
        <v>48.2</v>
      </c>
      <c r="Y89" s="90">
        <v>48.63</v>
      </c>
      <c r="Z89" s="90">
        <v>46.8</v>
      </c>
      <c r="AA89" s="90">
        <v>49.8</v>
      </c>
      <c r="AB89" s="90">
        <v>45.4</v>
      </c>
      <c r="AC89" s="90">
        <v>46.9</v>
      </c>
      <c r="AD89" s="90">
        <v>47</v>
      </c>
      <c r="AE89" s="90">
        <v>50</v>
      </c>
      <c r="AF89" s="90">
        <v>50</v>
      </c>
      <c r="AG89" s="88"/>
      <c r="AH89" s="48">
        <f>MAX(B89:AF89)</f>
        <v>59</v>
      </c>
      <c r="AI89" s="49">
        <f t="shared" si="30"/>
        <v>35</v>
      </c>
      <c r="AK89" s="99"/>
      <c r="AL89" s="46"/>
      <c r="AM89" s="46"/>
      <c r="AN89" s="100"/>
      <c r="AY89" s="82"/>
      <c r="BF89" s="82"/>
      <c r="BG89" s="82">
        <v>57.7</v>
      </c>
      <c r="BH89" s="82">
        <v>0</v>
      </c>
      <c r="BI89" s="82">
        <v>14</v>
      </c>
      <c r="BJ89" s="82">
        <v>0</v>
      </c>
      <c r="BK89" s="82">
        <v>117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9"/>
        <v>0</v>
      </c>
      <c r="AI90" s="49">
        <f t="shared" si="30"/>
        <v>0</v>
      </c>
      <c r="AK90" s="99"/>
      <c r="AL90" s="90"/>
      <c r="AM90" s="102"/>
      <c r="AN90" s="202"/>
      <c r="AY90" s="82"/>
      <c r="BF90" s="82"/>
      <c r="BG90" s="82">
        <v>59.9</v>
      </c>
      <c r="BH90" s="82">
        <v>0</v>
      </c>
      <c r="BI90" s="82">
        <v>-13</v>
      </c>
      <c r="BJ90" s="82">
        <v>0</v>
      </c>
      <c r="BK90" s="82">
        <v>117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9"/>
        <v>0</v>
      </c>
      <c r="AI91" s="49">
        <f t="shared" si="30"/>
        <v>0</v>
      </c>
      <c r="AK91" s="99"/>
      <c r="AL91" s="90"/>
      <c r="AM91" s="90"/>
      <c r="AN91" s="203"/>
      <c r="BF91" s="82"/>
      <c r="BG91" s="82">
        <v>59</v>
      </c>
      <c r="BH91" s="82">
        <v>0</v>
      </c>
      <c r="BI91" s="82">
        <v>38</v>
      </c>
      <c r="BJ91" s="82">
        <v>15</v>
      </c>
      <c r="BK91" s="82">
        <v>117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9"/>
        <v>0</v>
      </c>
      <c r="AI92" s="49">
        <f t="shared" si="30"/>
        <v>0</v>
      </c>
      <c r="AK92" s="104"/>
      <c r="AL92" s="105"/>
      <c r="AM92" s="105"/>
      <c r="AN92" s="106"/>
      <c r="BF92" s="82"/>
      <c r="BG92" s="82">
        <v>67</v>
      </c>
      <c r="BH92" s="82">
        <v>0</v>
      </c>
      <c r="BI92" s="82">
        <v>96.6</v>
      </c>
      <c r="BJ92" s="82">
        <v>39</v>
      </c>
      <c r="BK92" s="82">
        <v>122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9"/>
        <v>0</v>
      </c>
      <c r="AI93" s="49">
        <f t="shared" si="30"/>
        <v>0</v>
      </c>
      <c r="BF93" s="82"/>
      <c r="BG93" s="82">
        <v>53.3</v>
      </c>
      <c r="BH93" s="82">
        <v>0</v>
      </c>
      <c r="BI93" s="82">
        <v>145</v>
      </c>
      <c r="BJ93" s="82">
        <v>34.299999999999997</v>
      </c>
      <c r="BK93" s="82">
        <v>140.30000000000001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9"/>
        <v>0</v>
      </c>
      <c r="AI94" s="49">
        <f t="shared" si="30"/>
        <v>0</v>
      </c>
      <c r="BF94" s="82"/>
      <c r="BG94" s="82">
        <v>62.9</v>
      </c>
      <c r="BH94" s="82">
        <v>0</v>
      </c>
      <c r="BI94" s="82">
        <v>154</v>
      </c>
      <c r="BJ94" s="82">
        <v>35.9</v>
      </c>
      <c r="BK94" s="82">
        <v>126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79.400000000000006</v>
      </c>
      <c r="C95" s="71">
        <f>SUMIF(C84:C94,"&gt;0")</f>
        <v>77.5</v>
      </c>
      <c r="D95" s="71">
        <f t="shared" ref="D95:AD95" si="41">SUMIF(D84:D94,"&gt;0")</f>
        <v>76.5</v>
      </c>
      <c r="E95" s="71">
        <f t="shared" ref="E95:F95" si="42">SUMIF(E84:E94,"&gt;0")</f>
        <v>76.099999999999994</v>
      </c>
      <c r="F95" s="71">
        <f t="shared" si="42"/>
        <v>71.300000000000011</v>
      </c>
      <c r="G95" s="71">
        <f t="shared" ref="G95:H95" si="43">SUMIF(G84:G94,"&gt;0")</f>
        <v>64.900000000000006</v>
      </c>
      <c r="H95" s="71">
        <f t="shared" si="43"/>
        <v>60.9</v>
      </c>
      <c r="I95" s="71">
        <f t="shared" ref="I95:J95" si="44">SUMIF(I84:I94,"&gt;0")</f>
        <v>64.5</v>
      </c>
      <c r="J95" s="71">
        <f t="shared" si="44"/>
        <v>237.89999999999998</v>
      </c>
      <c r="K95" s="71">
        <f t="shared" ref="K95:L95" si="45">SUMIF(K84:K94,"&gt;0")</f>
        <v>225.29999999999998</v>
      </c>
      <c r="L95" s="71">
        <f t="shared" si="45"/>
        <v>213.70000000000002</v>
      </c>
      <c r="M95" s="71">
        <f t="shared" si="41"/>
        <v>237.7</v>
      </c>
      <c r="N95" s="71">
        <f t="shared" si="41"/>
        <v>225.9</v>
      </c>
      <c r="O95" s="71">
        <f t="shared" si="41"/>
        <v>278</v>
      </c>
      <c r="P95" s="71">
        <f t="shared" si="41"/>
        <v>375.8</v>
      </c>
      <c r="Q95" s="71">
        <f t="shared" si="41"/>
        <v>431.90000000000003</v>
      </c>
      <c r="R95" s="71">
        <f t="shared" si="41"/>
        <v>413.8</v>
      </c>
      <c r="S95" s="71">
        <f t="shared" si="41"/>
        <v>461.2</v>
      </c>
      <c r="T95" s="71">
        <f t="shared" si="41"/>
        <v>424.5</v>
      </c>
      <c r="U95" s="71">
        <f>SUMIF(U84:U94,"&gt;0")</f>
        <v>436.70000000000005</v>
      </c>
      <c r="V95" s="71">
        <f t="shared" si="41"/>
        <v>398.79999999999995</v>
      </c>
      <c r="W95" s="71">
        <f t="shared" si="41"/>
        <v>322.5</v>
      </c>
      <c r="X95" s="71">
        <f t="shared" si="41"/>
        <v>259.89999999999998</v>
      </c>
      <c r="Y95" s="71">
        <f t="shared" si="41"/>
        <v>84.63</v>
      </c>
      <c r="Z95" s="71">
        <f t="shared" si="41"/>
        <v>79.5</v>
      </c>
      <c r="AA95" s="71">
        <f t="shared" si="41"/>
        <v>86.9</v>
      </c>
      <c r="AB95" s="71">
        <f t="shared" si="41"/>
        <v>95.4</v>
      </c>
      <c r="AC95" s="71">
        <f t="shared" si="41"/>
        <v>93.199999999999989</v>
      </c>
      <c r="AD95" s="71">
        <f t="shared" si="41"/>
        <v>91.2</v>
      </c>
      <c r="AE95" s="71">
        <f t="shared" ref="AE95:AF95" si="46">SUMIF(AE84:AE94,"&gt;0")</f>
        <v>90</v>
      </c>
      <c r="AF95" s="71">
        <f t="shared" si="46"/>
        <v>80</v>
      </c>
      <c r="AG95" s="101">
        <f>SUM(AG84:AG94)</f>
        <v>0</v>
      </c>
      <c r="AH95" s="48">
        <f t="shared" si="29"/>
        <v>461.2</v>
      </c>
      <c r="AI95" s="49">
        <f t="shared" si="30"/>
        <v>60.9</v>
      </c>
      <c r="BF95" s="82"/>
      <c r="BG95" s="82">
        <v>64</v>
      </c>
      <c r="BH95" s="82">
        <v>0</v>
      </c>
      <c r="BI95" s="82">
        <v>185</v>
      </c>
      <c r="BJ95" s="82">
        <v>37.4</v>
      </c>
      <c r="BK95" s="82">
        <v>120.1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9"/>
        <v>0</v>
      </c>
      <c r="AI96" s="49">
        <f t="shared" si="30"/>
        <v>0</v>
      </c>
      <c r="BF96" s="82"/>
      <c r="BG96" s="82">
        <v>60.6</v>
      </c>
      <c r="BH96" s="82">
        <v>0</v>
      </c>
      <c r="BI96" s="82">
        <v>166.8</v>
      </c>
      <c r="BJ96" s="82">
        <v>37.6</v>
      </c>
      <c r="BK96" s="82">
        <v>102.7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9"/>
        <v>0</v>
      </c>
      <c r="AI97" s="49">
        <f t="shared" si="30"/>
        <v>0</v>
      </c>
      <c r="BF97" s="82"/>
      <c r="BG97" s="82">
        <v>67.3</v>
      </c>
      <c r="BH97" s="82">
        <v>0</v>
      </c>
      <c r="BI97" s="82">
        <v>160.4</v>
      </c>
      <c r="BJ97" s="82">
        <v>37.299999999999997</v>
      </c>
      <c r="BK97" s="82">
        <v>117.1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9"/>
        <v>0</v>
      </c>
      <c r="AI98" s="49">
        <f t="shared" si="30"/>
        <v>0</v>
      </c>
      <c r="BF98" s="82"/>
      <c r="BG98" s="82">
        <v>73.400000000000006</v>
      </c>
      <c r="BH98" s="82">
        <v>0</v>
      </c>
      <c r="BI98" s="82">
        <v>119.8</v>
      </c>
      <c r="BJ98" s="82">
        <v>25</v>
      </c>
      <c r="BK98" s="82">
        <v>124.7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9"/>
        <v>0</v>
      </c>
      <c r="AI99" s="49">
        <f t="shared" si="30"/>
        <v>0</v>
      </c>
      <c r="BF99" s="81"/>
      <c r="BG99" s="82">
        <v>41</v>
      </c>
      <c r="BH99" s="82">
        <v>0</v>
      </c>
      <c r="BI99" s="82">
        <v>61.5</v>
      </c>
      <c r="BJ99" s="82">
        <v>0</v>
      </c>
      <c r="BK99" s="82">
        <v>109.2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47">B61+B65+B83+B79+B95+B99</f>
        <v>1715.4</v>
      </c>
      <c r="C100" s="108">
        <f t="shared" ref="C100" si="48">C61+C65+C83+C79+C95+C99</f>
        <v>1713.5</v>
      </c>
      <c r="D100" s="108">
        <f t="shared" si="47"/>
        <v>1712.5</v>
      </c>
      <c r="E100" s="108">
        <f t="shared" ref="E100:F100" si="49">E61+E65+E83+E79+E95+E99</f>
        <v>1712.1</v>
      </c>
      <c r="F100" s="108">
        <f t="shared" si="49"/>
        <v>1707.3</v>
      </c>
      <c r="G100" s="108">
        <f t="shared" ref="G100:H100" si="50">G61+G65+G83+G79+G95+G99</f>
        <v>1700.9</v>
      </c>
      <c r="H100" s="108">
        <f t="shared" si="50"/>
        <v>1696.9</v>
      </c>
      <c r="I100" s="108">
        <f t="shared" ref="I100:J100" si="51">I61+I65+I83+I79+I95+I99</f>
        <v>1700.5</v>
      </c>
      <c r="J100" s="108">
        <f t="shared" si="51"/>
        <v>1873.9</v>
      </c>
      <c r="K100" s="108">
        <f t="shared" ref="K100:L100" si="52">K61+K65+K83+K79+K95+K99</f>
        <v>1861.3</v>
      </c>
      <c r="L100" s="108">
        <f t="shared" si="52"/>
        <v>1849.7</v>
      </c>
      <c r="M100" s="108">
        <f t="shared" si="47"/>
        <v>1814.64</v>
      </c>
      <c r="N100" s="108">
        <f t="shared" si="47"/>
        <v>1851.8400000000001</v>
      </c>
      <c r="O100" s="108">
        <f t="shared" si="47"/>
        <v>1902.7400000000002</v>
      </c>
      <c r="P100" s="108">
        <f t="shared" si="47"/>
        <v>2039.7400000000002</v>
      </c>
      <c r="Q100" s="108">
        <f t="shared" si="47"/>
        <v>2063.84</v>
      </c>
      <c r="R100" s="108">
        <f t="shared" si="47"/>
        <v>2016.2400000000002</v>
      </c>
      <c r="S100" s="108">
        <f t="shared" si="47"/>
        <v>1999.8400000000001</v>
      </c>
      <c r="T100" s="108">
        <f t="shared" si="47"/>
        <v>1984.7400000000002</v>
      </c>
      <c r="U100" s="108">
        <f t="shared" si="47"/>
        <v>1927.5400000000002</v>
      </c>
      <c r="V100" s="108">
        <f t="shared" si="47"/>
        <v>1873.84</v>
      </c>
      <c r="W100" s="108">
        <f t="shared" si="47"/>
        <v>1847.2400000000002</v>
      </c>
      <c r="X100" s="108">
        <f t="shared" si="47"/>
        <v>1784.6399999999999</v>
      </c>
      <c r="Y100" s="108">
        <f t="shared" si="47"/>
        <v>1784.33</v>
      </c>
      <c r="Z100" s="108">
        <f t="shared" si="47"/>
        <v>1882</v>
      </c>
      <c r="AA100" s="108">
        <f t="shared" si="47"/>
        <v>1887.4400000000003</v>
      </c>
      <c r="AB100" s="108">
        <f t="shared" si="47"/>
        <v>1839.14</v>
      </c>
      <c r="AC100" s="108">
        <f t="shared" si="47"/>
        <v>1836.94</v>
      </c>
      <c r="AD100" s="108">
        <f t="shared" si="47"/>
        <v>1844.04</v>
      </c>
      <c r="AE100" s="108">
        <f t="shared" ref="AE100:AF100" si="53">AE61+AE65+AE83+AE79+AE95+AE99</f>
        <v>1815.24</v>
      </c>
      <c r="AF100" s="108">
        <f t="shared" si="53"/>
        <v>1767.7400000000002</v>
      </c>
      <c r="AG100" s="72">
        <f t="shared" si="47"/>
        <v>2655.44</v>
      </c>
      <c r="AH100" s="48">
        <f t="shared" si="29"/>
        <v>2063.84</v>
      </c>
      <c r="AI100" s="49">
        <f t="shared" si="30"/>
        <v>1696.9</v>
      </c>
      <c r="BF100" s="81"/>
      <c r="BG100" s="82">
        <v>32.700000000000003</v>
      </c>
      <c r="BH100" s="82">
        <v>0</v>
      </c>
      <c r="BI100" s="82">
        <v>-103.6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150</v>
      </c>
      <c r="Z101" s="110">
        <v>250</v>
      </c>
      <c r="AA101" s="110">
        <v>250</v>
      </c>
      <c r="AB101" s="110">
        <v>250</v>
      </c>
      <c r="AC101" s="110">
        <v>250</v>
      </c>
      <c r="AD101" s="110">
        <v>200</v>
      </c>
      <c r="AE101" s="110">
        <v>150</v>
      </c>
      <c r="AF101" s="110">
        <v>120</v>
      </c>
      <c r="AG101" s="101"/>
      <c r="AH101" s="48">
        <f t="shared" si="29"/>
        <v>250</v>
      </c>
      <c r="AI101" s="49">
        <f t="shared" si="30"/>
        <v>120</v>
      </c>
      <c r="BF101" s="81"/>
      <c r="BG101" s="82">
        <v>50</v>
      </c>
      <c r="BH101" s="82">
        <v>0</v>
      </c>
      <c r="BI101" s="82">
        <v>-123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1715.4</v>
      </c>
      <c r="C102" s="108">
        <f>C100+C101</f>
        <v>1713.5</v>
      </c>
      <c r="D102" s="108">
        <f t="shared" ref="D102:AD102" si="54">D100+D101</f>
        <v>1712.5</v>
      </c>
      <c r="E102" s="108">
        <f t="shared" ref="E102:F102" si="55">E100+E101</f>
        <v>1712.1</v>
      </c>
      <c r="F102" s="108">
        <f t="shared" si="55"/>
        <v>1707.3</v>
      </c>
      <c r="G102" s="108">
        <f t="shared" ref="G102:H102" si="56">G100+G101</f>
        <v>1700.9</v>
      </c>
      <c r="H102" s="108">
        <f t="shared" si="56"/>
        <v>1696.9</v>
      </c>
      <c r="I102" s="108">
        <f t="shared" ref="I102:J102" si="57">I100+I101</f>
        <v>1700.5</v>
      </c>
      <c r="J102" s="108">
        <f t="shared" si="57"/>
        <v>1873.9</v>
      </c>
      <c r="K102" s="108">
        <f t="shared" ref="K102:L102" si="58">K100+K101</f>
        <v>1861.3</v>
      </c>
      <c r="L102" s="108">
        <f t="shared" si="58"/>
        <v>1849.7</v>
      </c>
      <c r="M102" s="108">
        <f t="shared" si="54"/>
        <v>1814.64</v>
      </c>
      <c r="N102" s="108">
        <f t="shared" si="54"/>
        <v>1851.8400000000001</v>
      </c>
      <c r="O102" s="108">
        <f t="shared" si="54"/>
        <v>1902.7400000000002</v>
      </c>
      <c r="P102" s="108">
        <f t="shared" si="54"/>
        <v>2039.7400000000002</v>
      </c>
      <c r="Q102" s="108">
        <f t="shared" si="54"/>
        <v>2063.84</v>
      </c>
      <c r="R102" s="108">
        <f t="shared" si="54"/>
        <v>2016.2400000000002</v>
      </c>
      <c r="S102" s="108">
        <f t="shared" si="54"/>
        <v>1999.8400000000001</v>
      </c>
      <c r="T102" s="108">
        <f t="shared" si="54"/>
        <v>1984.7400000000002</v>
      </c>
      <c r="U102" s="108">
        <f t="shared" si="54"/>
        <v>1927.5400000000002</v>
      </c>
      <c r="V102" s="108">
        <f t="shared" si="54"/>
        <v>1873.84</v>
      </c>
      <c r="W102" s="108">
        <f t="shared" si="54"/>
        <v>1847.2400000000002</v>
      </c>
      <c r="X102" s="108">
        <f t="shared" si="54"/>
        <v>1784.6399999999999</v>
      </c>
      <c r="Y102" s="108">
        <f t="shared" si="54"/>
        <v>1934.33</v>
      </c>
      <c r="Z102" s="108">
        <f t="shared" si="54"/>
        <v>2132</v>
      </c>
      <c r="AA102" s="108">
        <f t="shared" si="54"/>
        <v>2137.4400000000005</v>
      </c>
      <c r="AB102" s="108">
        <f t="shared" si="54"/>
        <v>2089.1400000000003</v>
      </c>
      <c r="AC102" s="108">
        <f t="shared" si="54"/>
        <v>2086.94</v>
      </c>
      <c r="AD102" s="108">
        <f t="shared" si="54"/>
        <v>2044.04</v>
      </c>
      <c r="AE102" s="108">
        <f t="shared" ref="AE102:AF102" si="59">AE100+AE101</f>
        <v>1965.24</v>
      </c>
      <c r="AF102" s="108">
        <f t="shared" si="59"/>
        <v>1887.7400000000002</v>
      </c>
      <c r="AG102" s="101">
        <f>AG99+AG95+AG83+AG79+AG61+AG101</f>
        <v>2117.34</v>
      </c>
      <c r="AH102" s="48">
        <f t="shared" si="29"/>
        <v>2137.4400000000005</v>
      </c>
      <c r="AI102" s="49">
        <f t="shared" si="30"/>
        <v>1696.9</v>
      </c>
      <c r="BF102" s="81"/>
      <c r="BG102" s="82">
        <v>44.2</v>
      </c>
      <c r="BH102" s="82">
        <v>0</v>
      </c>
      <c r="BI102" s="82">
        <v>-125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1585.4</v>
      </c>
      <c r="C103" s="108">
        <f>C102-(C110)</f>
        <v>1591.5</v>
      </c>
      <c r="D103" s="108">
        <f t="shared" ref="D103:AD103" si="60">D102-(D110)</f>
        <v>1598</v>
      </c>
      <c r="E103" s="108">
        <f t="shared" ref="E103:F103" si="61">E102-(E110)</f>
        <v>1595.6</v>
      </c>
      <c r="F103" s="108">
        <f t="shared" si="61"/>
        <v>1595.3999999999999</v>
      </c>
      <c r="G103" s="108">
        <f t="shared" ref="G103:H103" si="62">G102-(G110)</f>
        <v>1581.5</v>
      </c>
      <c r="H103" s="108">
        <f t="shared" si="62"/>
        <v>1580</v>
      </c>
      <c r="I103" s="108">
        <f t="shared" ref="I103:J103" si="63">I102-(I110)</f>
        <v>1590</v>
      </c>
      <c r="J103" s="108">
        <f t="shared" si="63"/>
        <v>1756.2</v>
      </c>
      <c r="K103" s="108">
        <f t="shared" ref="K103:L103" si="64">K102-(K110)</f>
        <v>1822.2</v>
      </c>
      <c r="L103" s="108">
        <f t="shared" si="64"/>
        <v>1811.6000000000001</v>
      </c>
      <c r="M103" s="108">
        <f t="shared" si="60"/>
        <v>1814.64</v>
      </c>
      <c r="N103" s="108">
        <f t="shared" si="60"/>
        <v>1838.8400000000001</v>
      </c>
      <c r="O103" s="108">
        <f t="shared" si="60"/>
        <v>1902.7400000000002</v>
      </c>
      <c r="P103" s="108">
        <f t="shared" si="60"/>
        <v>2039.7400000000002</v>
      </c>
      <c r="Q103" s="108">
        <f t="shared" si="60"/>
        <v>2063.84</v>
      </c>
      <c r="R103" s="108">
        <f t="shared" si="60"/>
        <v>2016.2400000000002</v>
      </c>
      <c r="S103" s="108">
        <f t="shared" si="60"/>
        <v>1999.8400000000001</v>
      </c>
      <c r="T103" s="108">
        <f t="shared" si="60"/>
        <v>1984.7400000000002</v>
      </c>
      <c r="U103" s="108">
        <f t="shared" si="60"/>
        <v>1927.5400000000002</v>
      </c>
      <c r="V103" s="108">
        <f t="shared" si="60"/>
        <v>1873.84</v>
      </c>
      <c r="W103" s="108">
        <f t="shared" si="60"/>
        <v>1847.2400000000002</v>
      </c>
      <c r="X103" s="108">
        <f t="shared" si="60"/>
        <v>1784.6399999999999</v>
      </c>
      <c r="Y103" s="108">
        <f t="shared" si="60"/>
        <v>1813.4299999999998</v>
      </c>
      <c r="Z103" s="108">
        <f t="shared" si="60"/>
        <v>2028.4</v>
      </c>
      <c r="AA103" s="108">
        <f t="shared" si="60"/>
        <v>2059.4400000000005</v>
      </c>
      <c r="AB103" s="108">
        <f t="shared" si="60"/>
        <v>1966.1400000000003</v>
      </c>
      <c r="AC103" s="108">
        <f t="shared" si="60"/>
        <v>1982.94</v>
      </c>
      <c r="AD103" s="108">
        <f t="shared" si="60"/>
        <v>1919.04</v>
      </c>
      <c r="AE103" s="108">
        <f t="shared" ref="AE103:AF103" si="65">AE102-(AE110)</f>
        <v>1845.24</v>
      </c>
      <c r="AF103" s="108">
        <f t="shared" si="65"/>
        <v>1775.7400000000002</v>
      </c>
      <c r="AG103" s="101"/>
      <c r="AH103" s="48">
        <f t="shared" si="29"/>
        <v>2063.84</v>
      </c>
      <c r="AI103" s="49">
        <f t="shared" si="30"/>
        <v>1580</v>
      </c>
      <c r="BF103" s="81"/>
      <c r="BG103" s="82">
        <v>40</v>
      </c>
      <c r="BH103" s="82">
        <v>0</v>
      </c>
      <c r="BI103" s="82">
        <v>-120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>IF(C84&lt;0,C84*-1,0)</f>
        <v>0</v>
      </c>
      <c r="D104" s="89">
        <f t="shared" ref="D104:AD109" si="66">IF(D84&lt;0,D84*-1,0)</f>
        <v>0</v>
      </c>
      <c r="E104" s="89">
        <f t="shared" ref="E104:F104" si="67">IF(E84&lt;0,E84*-1,0)</f>
        <v>0</v>
      </c>
      <c r="F104" s="89">
        <f t="shared" si="67"/>
        <v>0</v>
      </c>
      <c r="G104" s="89">
        <f t="shared" ref="G104:H104" si="68">IF(G84&lt;0,G84*-1,0)</f>
        <v>0</v>
      </c>
      <c r="H104" s="89">
        <f t="shared" si="68"/>
        <v>0</v>
      </c>
      <c r="I104" s="89">
        <f t="shared" ref="I104:J104" si="69">IF(I84&lt;0,I84*-1,0)</f>
        <v>0</v>
      </c>
      <c r="J104" s="89">
        <f t="shared" si="69"/>
        <v>0</v>
      </c>
      <c r="K104" s="89">
        <f t="shared" ref="K104:L104" si="70">IF(K84&lt;0,K84*-1,0)</f>
        <v>0</v>
      </c>
      <c r="L104" s="89">
        <f t="shared" si="70"/>
        <v>0</v>
      </c>
      <c r="M104" s="89">
        <f t="shared" si="66"/>
        <v>0</v>
      </c>
      <c r="N104" s="89">
        <f t="shared" si="66"/>
        <v>0</v>
      </c>
      <c r="O104" s="89">
        <f t="shared" si="66"/>
        <v>0</v>
      </c>
      <c r="P104" s="89">
        <f t="shared" si="66"/>
        <v>0</v>
      </c>
      <c r="Q104" s="89">
        <f t="shared" si="66"/>
        <v>0</v>
      </c>
      <c r="R104" s="89">
        <f t="shared" si="66"/>
        <v>0</v>
      </c>
      <c r="S104" s="89">
        <f t="shared" si="66"/>
        <v>0</v>
      </c>
      <c r="T104" s="89">
        <f t="shared" si="66"/>
        <v>0</v>
      </c>
      <c r="U104" s="89">
        <f t="shared" si="66"/>
        <v>0</v>
      </c>
      <c r="V104" s="89">
        <f t="shared" si="66"/>
        <v>0</v>
      </c>
      <c r="W104" s="89">
        <f t="shared" si="66"/>
        <v>0</v>
      </c>
      <c r="X104" s="89">
        <f t="shared" si="66"/>
        <v>0</v>
      </c>
      <c r="Y104" s="89">
        <f t="shared" si="66"/>
        <v>0</v>
      </c>
      <c r="Z104" s="89">
        <f t="shared" si="66"/>
        <v>0</v>
      </c>
      <c r="AA104" s="89">
        <f t="shared" si="66"/>
        <v>0</v>
      </c>
      <c r="AB104" s="89">
        <f t="shared" si="66"/>
        <v>0</v>
      </c>
      <c r="AC104" s="89">
        <f t="shared" si="66"/>
        <v>0</v>
      </c>
      <c r="AD104" s="89">
        <f t="shared" si="66"/>
        <v>0</v>
      </c>
      <c r="AE104" s="89">
        <f t="shared" ref="AE104:AF104" si="71">IF(AE84&lt;0,AE84*-1,0)</f>
        <v>0</v>
      </c>
      <c r="AF104" s="89">
        <f t="shared" si="71"/>
        <v>0</v>
      </c>
      <c r="AG104" s="61"/>
      <c r="AH104" s="48">
        <f t="shared" si="29"/>
        <v>0</v>
      </c>
      <c r="AI104" s="49">
        <f t="shared" si="30"/>
        <v>0</v>
      </c>
      <c r="BG104" s="82">
        <v>30</v>
      </c>
      <c r="BH104" s="82">
        <v>0</v>
      </c>
      <c r="BI104" s="82">
        <v>-112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72">IF(B85&lt;0,B85*-1,0)</f>
        <v>0</v>
      </c>
      <c r="C105" s="89">
        <f t="shared" ref="C105" si="73">IF(C85&lt;0,C85*-1,0)</f>
        <v>0</v>
      </c>
      <c r="D105" s="89">
        <f t="shared" si="72"/>
        <v>0</v>
      </c>
      <c r="E105" s="89">
        <f t="shared" ref="E105:F105" si="74">IF(E85&lt;0,E85*-1,0)</f>
        <v>0</v>
      </c>
      <c r="F105" s="89">
        <f t="shared" si="74"/>
        <v>0</v>
      </c>
      <c r="G105" s="89">
        <f t="shared" ref="G105:H105" si="75">IF(G85&lt;0,G85*-1,0)</f>
        <v>0</v>
      </c>
      <c r="H105" s="89">
        <f t="shared" si="75"/>
        <v>0</v>
      </c>
      <c r="I105" s="89">
        <f t="shared" ref="I105:J105" si="76">IF(I85&lt;0,I85*-1,0)</f>
        <v>0</v>
      </c>
      <c r="J105" s="89">
        <f t="shared" si="76"/>
        <v>0</v>
      </c>
      <c r="K105" s="89">
        <f t="shared" ref="K105:L105" si="77">IF(K85&lt;0,K85*-1,0)</f>
        <v>0</v>
      </c>
      <c r="L105" s="89">
        <f t="shared" si="77"/>
        <v>0</v>
      </c>
      <c r="M105" s="89">
        <f t="shared" si="72"/>
        <v>0</v>
      </c>
      <c r="N105" s="89">
        <f t="shared" si="72"/>
        <v>0</v>
      </c>
      <c r="O105" s="89">
        <f t="shared" si="72"/>
        <v>0</v>
      </c>
      <c r="P105" s="89">
        <f t="shared" si="72"/>
        <v>0</v>
      </c>
      <c r="Q105" s="89">
        <f t="shared" si="72"/>
        <v>0</v>
      </c>
      <c r="R105" s="89">
        <f t="shared" si="66"/>
        <v>0</v>
      </c>
      <c r="S105" s="89">
        <f t="shared" si="66"/>
        <v>0</v>
      </c>
      <c r="T105" s="89">
        <f t="shared" si="66"/>
        <v>0</v>
      </c>
      <c r="U105" s="89">
        <f t="shared" si="66"/>
        <v>0</v>
      </c>
      <c r="V105" s="89">
        <f t="shared" si="66"/>
        <v>0</v>
      </c>
      <c r="W105" s="89">
        <f t="shared" si="66"/>
        <v>0</v>
      </c>
      <c r="X105" s="89">
        <f t="shared" si="66"/>
        <v>0</v>
      </c>
      <c r="Y105" s="89">
        <f t="shared" si="66"/>
        <v>0</v>
      </c>
      <c r="Z105" s="89">
        <f t="shared" si="66"/>
        <v>0</v>
      </c>
      <c r="AA105" s="89">
        <f t="shared" si="66"/>
        <v>0</v>
      </c>
      <c r="AB105" s="89">
        <f t="shared" si="66"/>
        <v>0</v>
      </c>
      <c r="AC105" s="89">
        <f t="shared" si="66"/>
        <v>0</v>
      </c>
      <c r="AD105" s="89">
        <f t="shared" si="66"/>
        <v>0</v>
      </c>
      <c r="AE105" s="89">
        <f t="shared" ref="AE105:AF105" si="78">IF(AE85&lt;0,AE85*-1,0)</f>
        <v>0</v>
      </c>
      <c r="AF105" s="89">
        <f t="shared" si="78"/>
        <v>0</v>
      </c>
      <c r="AG105" s="66"/>
      <c r="AH105" s="48">
        <f t="shared" si="29"/>
        <v>0</v>
      </c>
      <c r="AI105" s="49">
        <f t="shared" si="30"/>
        <v>0</v>
      </c>
      <c r="AK105" s="51"/>
      <c r="BG105" s="82">
        <v>29.7</v>
      </c>
      <c r="BH105" s="82">
        <v>0</v>
      </c>
      <c r="BI105" s="82">
        <v>-130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72"/>
        <v>130</v>
      </c>
      <c r="C106" s="89">
        <f t="shared" ref="C106" si="79">IF(C86&lt;0,C86*-1,0)</f>
        <v>122</v>
      </c>
      <c r="D106" s="89">
        <f t="shared" si="66"/>
        <v>114.5</v>
      </c>
      <c r="E106" s="89">
        <f t="shared" ref="E106:F106" si="80">IF(E86&lt;0,E86*-1,0)</f>
        <v>116.5</v>
      </c>
      <c r="F106" s="89">
        <f t="shared" si="80"/>
        <v>111.9</v>
      </c>
      <c r="G106" s="89">
        <f t="shared" ref="G106:H106" si="81">IF(G86&lt;0,G86*-1,0)</f>
        <v>119.4</v>
      </c>
      <c r="H106" s="89">
        <f t="shared" si="81"/>
        <v>116.9</v>
      </c>
      <c r="I106" s="89">
        <f t="shared" ref="I106:J106" si="82">IF(I86&lt;0,I86*-1,0)</f>
        <v>110.5</v>
      </c>
      <c r="J106" s="89">
        <f t="shared" si="82"/>
        <v>117.7</v>
      </c>
      <c r="K106" s="89">
        <f t="shared" ref="K106:L106" si="83">IF(K86&lt;0,K86*-1,0)</f>
        <v>39.1</v>
      </c>
      <c r="L106" s="89">
        <f t="shared" si="83"/>
        <v>38.1</v>
      </c>
      <c r="M106" s="89">
        <f t="shared" si="66"/>
        <v>0</v>
      </c>
      <c r="N106" s="89">
        <f t="shared" si="66"/>
        <v>13</v>
      </c>
      <c r="O106" s="89">
        <f t="shared" si="66"/>
        <v>0</v>
      </c>
      <c r="P106" s="89">
        <f t="shared" si="66"/>
        <v>0</v>
      </c>
      <c r="Q106" s="89">
        <f t="shared" si="66"/>
        <v>0</v>
      </c>
      <c r="R106" s="89">
        <f t="shared" si="66"/>
        <v>0</v>
      </c>
      <c r="S106" s="89">
        <f t="shared" si="66"/>
        <v>0</v>
      </c>
      <c r="T106" s="89">
        <f t="shared" si="66"/>
        <v>0</v>
      </c>
      <c r="U106" s="89">
        <f t="shared" si="66"/>
        <v>0</v>
      </c>
      <c r="V106" s="89">
        <f t="shared" si="66"/>
        <v>0</v>
      </c>
      <c r="W106" s="89">
        <f t="shared" si="66"/>
        <v>0</v>
      </c>
      <c r="X106" s="89">
        <f t="shared" si="66"/>
        <v>0</v>
      </c>
      <c r="Y106" s="89">
        <f t="shared" si="66"/>
        <v>120.9</v>
      </c>
      <c r="Z106" s="89">
        <f t="shared" si="66"/>
        <v>103.6</v>
      </c>
      <c r="AA106" s="89">
        <f t="shared" si="66"/>
        <v>78</v>
      </c>
      <c r="AB106" s="89">
        <f t="shared" si="66"/>
        <v>123</v>
      </c>
      <c r="AC106" s="89">
        <f t="shared" si="66"/>
        <v>104</v>
      </c>
      <c r="AD106" s="89">
        <f t="shared" si="66"/>
        <v>125</v>
      </c>
      <c r="AE106" s="89">
        <f t="shared" ref="AE106:AF106" si="84">IF(AE86&lt;0,AE86*-1,0)</f>
        <v>120</v>
      </c>
      <c r="AF106" s="89">
        <f t="shared" si="84"/>
        <v>112</v>
      </c>
      <c r="AG106" s="111"/>
      <c r="AH106" s="48">
        <f t="shared" si="29"/>
        <v>130</v>
      </c>
      <c r="AI106" s="49">
        <f t="shared" si="30"/>
        <v>0</v>
      </c>
    </row>
    <row r="107" spans="1:64" x14ac:dyDescent="0.25">
      <c r="A107" s="97" t="s">
        <v>107</v>
      </c>
      <c r="B107" s="89">
        <f t="shared" si="72"/>
        <v>0</v>
      </c>
      <c r="C107" s="89">
        <f t="shared" ref="C107" si="85">IF(C87&lt;0,C87*-1,0)</f>
        <v>0</v>
      </c>
      <c r="D107" s="89">
        <f t="shared" si="66"/>
        <v>0</v>
      </c>
      <c r="E107" s="89">
        <f t="shared" ref="E107:F107" si="86">IF(E87&lt;0,E87*-1,0)</f>
        <v>0</v>
      </c>
      <c r="F107" s="89">
        <f t="shared" si="86"/>
        <v>0</v>
      </c>
      <c r="G107" s="89">
        <f t="shared" ref="G107:H107" si="87">IF(G87&lt;0,G87*-1,0)</f>
        <v>0</v>
      </c>
      <c r="H107" s="89">
        <f t="shared" si="87"/>
        <v>0</v>
      </c>
      <c r="I107" s="89">
        <f t="shared" ref="I107:J107" si="88">IF(I87&lt;0,I87*-1,0)</f>
        <v>0</v>
      </c>
      <c r="J107" s="89">
        <f t="shared" si="88"/>
        <v>0</v>
      </c>
      <c r="K107" s="89">
        <f t="shared" ref="K107:L107" si="89">IF(K87&lt;0,K87*-1,0)</f>
        <v>0</v>
      </c>
      <c r="L107" s="89">
        <f t="shared" si="89"/>
        <v>0</v>
      </c>
      <c r="M107" s="89">
        <f t="shared" si="66"/>
        <v>0</v>
      </c>
      <c r="N107" s="89">
        <f t="shared" si="66"/>
        <v>0</v>
      </c>
      <c r="O107" s="89">
        <f t="shared" si="66"/>
        <v>0</v>
      </c>
      <c r="P107" s="89">
        <f t="shared" si="66"/>
        <v>0</v>
      </c>
      <c r="Q107" s="89">
        <f t="shared" si="66"/>
        <v>0</v>
      </c>
      <c r="R107" s="89">
        <f t="shared" si="66"/>
        <v>0</v>
      </c>
      <c r="S107" s="89">
        <f t="shared" si="66"/>
        <v>0</v>
      </c>
      <c r="T107" s="89">
        <f t="shared" si="66"/>
        <v>0</v>
      </c>
      <c r="U107" s="89">
        <f t="shared" si="66"/>
        <v>0</v>
      </c>
      <c r="V107" s="89">
        <f t="shared" si="66"/>
        <v>0</v>
      </c>
      <c r="W107" s="89">
        <f t="shared" si="66"/>
        <v>0</v>
      </c>
      <c r="X107" s="89">
        <f t="shared" si="66"/>
        <v>0</v>
      </c>
      <c r="Y107" s="89">
        <f t="shared" si="66"/>
        <v>0</v>
      </c>
      <c r="Z107" s="89">
        <f t="shared" si="66"/>
        <v>0</v>
      </c>
      <c r="AA107" s="89">
        <f t="shared" si="66"/>
        <v>0</v>
      </c>
      <c r="AB107" s="89">
        <f t="shared" si="66"/>
        <v>0</v>
      </c>
      <c r="AC107" s="89">
        <f t="shared" si="66"/>
        <v>0</v>
      </c>
      <c r="AD107" s="89">
        <f t="shared" si="66"/>
        <v>0</v>
      </c>
      <c r="AE107" s="89">
        <f t="shared" ref="AE107:AF107" si="90">IF(AE87&lt;0,AE87*-1,0)</f>
        <v>0</v>
      </c>
      <c r="AF107" s="89">
        <f t="shared" si="90"/>
        <v>0</v>
      </c>
      <c r="AG107" s="111"/>
      <c r="AH107" s="48">
        <f t="shared" si="29"/>
        <v>0</v>
      </c>
      <c r="AI107" s="49">
        <f t="shared" si="30"/>
        <v>0</v>
      </c>
    </row>
    <row r="108" spans="1:64" x14ac:dyDescent="0.25">
      <c r="A108" s="97" t="s">
        <v>108</v>
      </c>
      <c r="B108" s="89">
        <f t="shared" si="72"/>
        <v>0</v>
      </c>
      <c r="C108" s="89">
        <f t="shared" ref="C108" si="91">IF(C88&lt;0,C88*-1,0)</f>
        <v>0</v>
      </c>
      <c r="D108" s="89">
        <f t="shared" si="66"/>
        <v>0</v>
      </c>
      <c r="E108" s="89">
        <f t="shared" ref="E108:F108" si="92">IF(E88&lt;0,E88*-1,0)</f>
        <v>0</v>
      </c>
      <c r="F108" s="89">
        <f t="shared" si="92"/>
        <v>0</v>
      </c>
      <c r="G108" s="89">
        <f t="shared" ref="G108:H108" si="93">IF(G88&lt;0,G88*-1,0)</f>
        <v>0</v>
      </c>
      <c r="H108" s="89">
        <f t="shared" si="93"/>
        <v>0</v>
      </c>
      <c r="I108" s="89">
        <f t="shared" ref="I108:J108" si="94">IF(I88&lt;0,I88*-1,0)</f>
        <v>0</v>
      </c>
      <c r="J108" s="89">
        <f t="shared" si="94"/>
        <v>0</v>
      </c>
      <c r="K108" s="89">
        <f t="shared" ref="K108:L108" si="95">IF(K88&lt;0,K88*-1,0)</f>
        <v>0</v>
      </c>
      <c r="L108" s="89">
        <f t="shared" si="95"/>
        <v>0</v>
      </c>
      <c r="M108" s="89">
        <f t="shared" si="66"/>
        <v>0</v>
      </c>
      <c r="N108" s="89">
        <f t="shared" si="66"/>
        <v>0</v>
      </c>
      <c r="O108" s="89">
        <f t="shared" si="66"/>
        <v>0</v>
      </c>
      <c r="P108" s="89">
        <f t="shared" si="66"/>
        <v>0</v>
      </c>
      <c r="Q108" s="89">
        <f t="shared" si="66"/>
        <v>0</v>
      </c>
      <c r="R108" s="89">
        <f t="shared" si="66"/>
        <v>0</v>
      </c>
      <c r="S108" s="89">
        <f t="shared" si="66"/>
        <v>0</v>
      </c>
      <c r="T108" s="89">
        <f t="shared" si="66"/>
        <v>0</v>
      </c>
      <c r="U108" s="89">
        <f t="shared" si="66"/>
        <v>0</v>
      </c>
      <c r="V108" s="89">
        <f t="shared" si="66"/>
        <v>0</v>
      </c>
      <c r="W108" s="89">
        <f t="shared" si="66"/>
        <v>0</v>
      </c>
      <c r="X108" s="89">
        <f t="shared" si="66"/>
        <v>0</v>
      </c>
      <c r="Y108" s="89">
        <f t="shared" si="66"/>
        <v>0</v>
      </c>
      <c r="Z108" s="89">
        <f t="shared" si="66"/>
        <v>0</v>
      </c>
      <c r="AA108" s="89">
        <f t="shared" si="66"/>
        <v>0</v>
      </c>
      <c r="AB108" s="89">
        <f t="shared" si="66"/>
        <v>0</v>
      </c>
      <c r="AC108" s="89">
        <f t="shared" si="66"/>
        <v>0</v>
      </c>
      <c r="AD108" s="89">
        <f t="shared" si="66"/>
        <v>0</v>
      </c>
      <c r="AE108" s="89">
        <f t="shared" ref="AE108:AF108" si="96">IF(AE88&lt;0,AE88*-1,0)</f>
        <v>0</v>
      </c>
      <c r="AF108" s="89">
        <f t="shared" si="96"/>
        <v>0</v>
      </c>
      <c r="AG108" s="111"/>
      <c r="AH108" s="48">
        <f t="shared" si="29"/>
        <v>0</v>
      </c>
      <c r="AI108" s="49">
        <f t="shared" si="30"/>
        <v>0</v>
      </c>
    </row>
    <row r="109" spans="1:64" ht="15.75" thickBot="1" x14ac:dyDescent="0.3">
      <c r="A109" s="97" t="s">
        <v>117</v>
      </c>
      <c r="B109" s="89">
        <f t="shared" si="72"/>
        <v>0</v>
      </c>
      <c r="C109" s="89">
        <f t="shared" ref="C109" si="97">IF(C89&lt;0,C89*-1,0)</f>
        <v>0</v>
      </c>
      <c r="D109" s="89">
        <f t="shared" si="66"/>
        <v>0</v>
      </c>
      <c r="E109" s="89">
        <f t="shared" ref="E109:F109" si="98">IF(E89&lt;0,E89*-1,0)</f>
        <v>0</v>
      </c>
      <c r="F109" s="89">
        <f t="shared" si="98"/>
        <v>0</v>
      </c>
      <c r="G109" s="89">
        <f t="shared" ref="G109:H109" si="99">IF(G89&lt;0,G89*-1,0)</f>
        <v>0</v>
      </c>
      <c r="H109" s="89">
        <f t="shared" si="99"/>
        <v>0</v>
      </c>
      <c r="I109" s="89">
        <f t="shared" ref="I109:J109" si="100">IF(I89&lt;0,I89*-1,0)</f>
        <v>0</v>
      </c>
      <c r="J109" s="89">
        <f t="shared" si="100"/>
        <v>0</v>
      </c>
      <c r="K109" s="89">
        <f t="shared" ref="K109:L109" si="101">IF(K89&lt;0,K89*-1,0)</f>
        <v>0</v>
      </c>
      <c r="L109" s="89">
        <f t="shared" si="101"/>
        <v>0</v>
      </c>
      <c r="M109" s="89">
        <f t="shared" si="66"/>
        <v>0</v>
      </c>
      <c r="N109" s="89">
        <f t="shared" si="66"/>
        <v>0</v>
      </c>
      <c r="O109" s="89">
        <f t="shared" si="66"/>
        <v>0</v>
      </c>
      <c r="P109" s="89">
        <f t="shared" si="66"/>
        <v>0</v>
      </c>
      <c r="Q109" s="89">
        <f t="shared" si="66"/>
        <v>0</v>
      </c>
      <c r="R109" s="89">
        <f t="shared" si="66"/>
        <v>0</v>
      </c>
      <c r="S109" s="89">
        <f t="shared" si="66"/>
        <v>0</v>
      </c>
      <c r="T109" s="89">
        <f t="shared" si="66"/>
        <v>0</v>
      </c>
      <c r="U109" s="89">
        <f t="shared" si="66"/>
        <v>0</v>
      </c>
      <c r="V109" s="89">
        <f t="shared" si="66"/>
        <v>0</v>
      </c>
      <c r="W109" s="89">
        <f t="shared" si="66"/>
        <v>0</v>
      </c>
      <c r="X109" s="89">
        <f t="shared" si="66"/>
        <v>0</v>
      </c>
      <c r="Y109" s="89">
        <f t="shared" si="66"/>
        <v>0</v>
      </c>
      <c r="Z109" s="89">
        <f t="shared" si="66"/>
        <v>0</v>
      </c>
      <c r="AA109" s="89">
        <f t="shared" si="66"/>
        <v>0</v>
      </c>
      <c r="AB109" s="89">
        <f t="shared" si="66"/>
        <v>0</v>
      </c>
      <c r="AC109" s="89">
        <f t="shared" si="66"/>
        <v>0</v>
      </c>
      <c r="AD109" s="89">
        <f t="shared" si="66"/>
        <v>0</v>
      </c>
      <c r="AE109" s="89">
        <f t="shared" ref="AE109:AF109" si="102">IF(AE89&lt;0,AE89*-1,0)</f>
        <v>0</v>
      </c>
      <c r="AF109" s="89">
        <f t="shared" si="102"/>
        <v>0</v>
      </c>
      <c r="AG109" s="98"/>
      <c r="AH109" s="48">
        <f t="shared" si="29"/>
        <v>0</v>
      </c>
      <c r="AI109" s="49">
        <f t="shared" si="30"/>
        <v>0</v>
      </c>
    </row>
    <row r="110" spans="1:64" ht="15.75" thickBot="1" x14ac:dyDescent="0.3">
      <c r="A110" s="112" t="s">
        <v>130</v>
      </c>
      <c r="B110" s="71">
        <f>SUM(B104:B109)</f>
        <v>130</v>
      </c>
      <c r="C110" s="71">
        <f>SUM(C104:C109)</f>
        <v>122</v>
      </c>
      <c r="D110" s="71">
        <f t="shared" ref="D110:AD110" si="103">SUM(D104:D109)</f>
        <v>114.5</v>
      </c>
      <c r="E110" s="71">
        <f t="shared" ref="E110:F110" si="104">SUM(E104:E109)</f>
        <v>116.5</v>
      </c>
      <c r="F110" s="71">
        <f t="shared" si="104"/>
        <v>111.9</v>
      </c>
      <c r="G110" s="71">
        <f t="shared" ref="G110:H110" si="105">SUM(G104:G109)</f>
        <v>119.4</v>
      </c>
      <c r="H110" s="71">
        <f t="shared" si="105"/>
        <v>116.9</v>
      </c>
      <c r="I110" s="71">
        <f t="shared" ref="I110:J110" si="106">SUM(I104:I109)</f>
        <v>110.5</v>
      </c>
      <c r="J110" s="71">
        <f t="shared" si="106"/>
        <v>117.7</v>
      </c>
      <c r="K110" s="71">
        <f t="shared" ref="K110:L110" si="107">SUM(K104:K109)</f>
        <v>39.1</v>
      </c>
      <c r="L110" s="71">
        <f t="shared" si="107"/>
        <v>38.1</v>
      </c>
      <c r="M110" s="71">
        <f t="shared" si="103"/>
        <v>0</v>
      </c>
      <c r="N110" s="71">
        <f t="shared" si="103"/>
        <v>13</v>
      </c>
      <c r="O110" s="71">
        <f t="shared" si="103"/>
        <v>0</v>
      </c>
      <c r="P110" s="71">
        <f t="shared" si="103"/>
        <v>0</v>
      </c>
      <c r="Q110" s="71">
        <f t="shared" si="103"/>
        <v>0</v>
      </c>
      <c r="R110" s="71">
        <f t="shared" si="103"/>
        <v>0</v>
      </c>
      <c r="S110" s="71">
        <f t="shared" si="103"/>
        <v>0</v>
      </c>
      <c r="T110" s="71">
        <f t="shared" si="103"/>
        <v>0</v>
      </c>
      <c r="U110" s="71">
        <f t="shared" si="103"/>
        <v>0</v>
      </c>
      <c r="V110" s="71">
        <f t="shared" si="103"/>
        <v>0</v>
      </c>
      <c r="W110" s="71">
        <f t="shared" si="103"/>
        <v>0</v>
      </c>
      <c r="X110" s="71">
        <f t="shared" si="103"/>
        <v>0</v>
      </c>
      <c r="Y110" s="71">
        <f t="shared" si="103"/>
        <v>120.9</v>
      </c>
      <c r="Z110" s="71">
        <f t="shared" si="103"/>
        <v>103.6</v>
      </c>
      <c r="AA110" s="71">
        <f t="shared" si="103"/>
        <v>78</v>
      </c>
      <c r="AB110" s="71">
        <f t="shared" si="103"/>
        <v>123</v>
      </c>
      <c r="AC110" s="71">
        <f t="shared" si="103"/>
        <v>104</v>
      </c>
      <c r="AD110" s="71">
        <f t="shared" si="103"/>
        <v>125</v>
      </c>
      <c r="AE110" s="71">
        <f t="shared" ref="AE110:AF110" si="108">SUM(AE104:AE109)</f>
        <v>120</v>
      </c>
      <c r="AF110" s="71">
        <f t="shared" si="108"/>
        <v>112</v>
      </c>
      <c r="AG110" s="101"/>
      <c r="AH110" s="48">
        <f t="shared" si="29"/>
        <v>130</v>
      </c>
      <c r="AI110" s="49">
        <f t="shared" si="30"/>
        <v>0</v>
      </c>
    </row>
    <row r="111" spans="1:64" ht="15.75" thickBot="1" x14ac:dyDescent="0.3">
      <c r="A111" s="87" t="s">
        <v>131</v>
      </c>
      <c r="B111" s="71">
        <f t="shared" ref="B111:AD111" si="109">B95-B110</f>
        <v>-50.599999999999994</v>
      </c>
      <c r="C111" s="71">
        <f t="shared" ref="C111" si="110">C95-C110</f>
        <v>-44.5</v>
      </c>
      <c r="D111" s="71">
        <f t="shared" si="109"/>
        <v>-38</v>
      </c>
      <c r="E111" s="71">
        <f t="shared" ref="E111:F111" si="111">E95-E110</f>
        <v>-40.400000000000006</v>
      </c>
      <c r="F111" s="71">
        <f t="shared" si="111"/>
        <v>-40.599999999999994</v>
      </c>
      <c r="G111" s="71">
        <f t="shared" ref="G111:H111" si="112">G95-G110</f>
        <v>-54.5</v>
      </c>
      <c r="H111" s="71">
        <f t="shared" si="112"/>
        <v>-56.000000000000007</v>
      </c>
      <c r="I111" s="71">
        <f t="shared" ref="I111:J111" si="113">I95-I110</f>
        <v>-46</v>
      </c>
      <c r="J111" s="71">
        <f t="shared" si="113"/>
        <v>120.19999999999997</v>
      </c>
      <c r="K111" s="71">
        <f t="shared" ref="K111:L111" si="114">K95-K110</f>
        <v>186.2</v>
      </c>
      <c r="L111" s="71">
        <f t="shared" si="114"/>
        <v>175.60000000000002</v>
      </c>
      <c r="M111" s="71">
        <f t="shared" si="109"/>
        <v>237.7</v>
      </c>
      <c r="N111" s="71">
        <f t="shared" si="109"/>
        <v>212.9</v>
      </c>
      <c r="O111" s="71">
        <f t="shared" si="109"/>
        <v>278</v>
      </c>
      <c r="P111" s="71">
        <f t="shared" si="109"/>
        <v>375.8</v>
      </c>
      <c r="Q111" s="71">
        <f t="shared" si="109"/>
        <v>431.90000000000003</v>
      </c>
      <c r="R111" s="71">
        <f t="shared" si="109"/>
        <v>413.8</v>
      </c>
      <c r="S111" s="71">
        <f t="shared" si="109"/>
        <v>461.2</v>
      </c>
      <c r="T111" s="71">
        <f t="shared" si="109"/>
        <v>424.5</v>
      </c>
      <c r="U111" s="71">
        <f t="shared" si="109"/>
        <v>436.70000000000005</v>
      </c>
      <c r="V111" s="71">
        <f t="shared" si="109"/>
        <v>398.79999999999995</v>
      </c>
      <c r="W111" s="71">
        <f t="shared" si="109"/>
        <v>322.5</v>
      </c>
      <c r="X111" s="71">
        <f t="shared" si="109"/>
        <v>259.89999999999998</v>
      </c>
      <c r="Y111" s="71">
        <f t="shared" si="109"/>
        <v>-36.27000000000001</v>
      </c>
      <c r="Z111" s="71">
        <f t="shared" si="109"/>
        <v>-24.099999999999994</v>
      </c>
      <c r="AA111" s="71">
        <f t="shared" si="109"/>
        <v>8.9000000000000057</v>
      </c>
      <c r="AB111" s="71">
        <f t="shared" si="109"/>
        <v>-27.599999999999994</v>
      </c>
      <c r="AC111" s="71">
        <f t="shared" si="109"/>
        <v>-10.800000000000011</v>
      </c>
      <c r="AD111" s="71">
        <f t="shared" si="109"/>
        <v>-33.799999999999997</v>
      </c>
      <c r="AE111" s="71">
        <f t="shared" ref="AE111:AF111" si="115">AE95-AE110</f>
        <v>-30</v>
      </c>
      <c r="AF111" s="71">
        <f t="shared" si="115"/>
        <v>-32</v>
      </c>
      <c r="AG111" s="101"/>
      <c r="AH111" s="48">
        <f t="shared" si="29"/>
        <v>461.2</v>
      </c>
      <c r="AI111" s="49">
        <f t="shared" si="30"/>
        <v>-56.000000000000007</v>
      </c>
    </row>
    <row r="112" spans="1:64" x14ac:dyDescent="0.25">
      <c r="A112" s="113" t="s">
        <v>132</v>
      </c>
      <c r="B112" s="114">
        <v>49.99</v>
      </c>
      <c r="C112" s="114">
        <v>49.99</v>
      </c>
      <c r="D112" s="114">
        <v>49.92</v>
      </c>
      <c r="E112" s="114">
        <v>49.92</v>
      </c>
      <c r="F112" s="114">
        <v>50.01</v>
      </c>
      <c r="G112" s="114">
        <v>49.93</v>
      </c>
      <c r="H112" s="114">
        <v>49.93</v>
      </c>
      <c r="I112" s="114">
        <v>49.95</v>
      </c>
      <c r="J112" s="114">
        <v>50</v>
      </c>
      <c r="K112" s="114">
        <v>50.06</v>
      </c>
      <c r="L112" s="114">
        <v>50.03</v>
      </c>
      <c r="M112" s="114">
        <v>50.137999999999998</v>
      </c>
      <c r="N112" s="114">
        <v>50.137999999999998</v>
      </c>
      <c r="O112" s="114">
        <v>50.029000000000003</v>
      </c>
      <c r="P112" s="114">
        <v>49.88</v>
      </c>
      <c r="Q112" s="114">
        <v>49.993000000000002</v>
      </c>
      <c r="R112" s="114">
        <v>50.051000000000002</v>
      </c>
      <c r="S112" s="114">
        <v>50.014000000000003</v>
      </c>
      <c r="T112" s="114">
        <v>50.002000000000002</v>
      </c>
      <c r="U112" s="114">
        <v>50.033999999999999</v>
      </c>
      <c r="V112" s="114">
        <v>50.054000000000002</v>
      </c>
      <c r="W112" s="114">
        <v>49.872</v>
      </c>
      <c r="X112" s="114">
        <v>49.975999999999999</v>
      </c>
      <c r="Y112" s="114">
        <v>49.972999999999999</v>
      </c>
      <c r="Z112" s="114">
        <v>49.92</v>
      </c>
      <c r="AA112" s="114">
        <v>49.959000000000003</v>
      </c>
      <c r="AB112" s="114">
        <v>50.045000000000002</v>
      </c>
      <c r="AC112" s="114">
        <v>49.997999999999998</v>
      </c>
      <c r="AD112" s="114">
        <v>49.911000000000001</v>
      </c>
      <c r="AE112" s="114">
        <v>50.02</v>
      </c>
      <c r="AF112" s="114">
        <v>49.96</v>
      </c>
      <c r="AG112" s="115"/>
      <c r="AH112" s="48">
        <f t="shared" si="29"/>
        <v>50.137999999999998</v>
      </c>
      <c r="AI112" s="49">
        <f t="shared" si="30"/>
        <v>49.872</v>
      </c>
    </row>
    <row r="113" spans="1:35" x14ac:dyDescent="0.25">
      <c r="A113" s="116" t="s">
        <v>133</v>
      </c>
      <c r="B113" s="76">
        <v>123.6</v>
      </c>
      <c r="C113" s="76">
        <v>123.6</v>
      </c>
      <c r="D113" s="76">
        <v>123.5</v>
      </c>
      <c r="E113" s="76">
        <v>123.5</v>
      </c>
      <c r="F113" s="76">
        <v>122.3</v>
      </c>
      <c r="G113" s="76">
        <v>121.8</v>
      </c>
      <c r="H113" s="76">
        <v>121.8</v>
      </c>
      <c r="I113" s="76">
        <v>121</v>
      </c>
      <c r="J113" s="76">
        <v>121</v>
      </c>
      <c r="K113" s="76">
        <v>123.9</v>
      </c>
      <c r="L113" s="76">
        <v>124.5</v>
      </c>
      <c r="M113" s="76">
        <v>122.7</v>
      </c>
      <c r="N113" s="76">
        <v>122.7</v>
      </c>
      <c r="O113" s="76">
        <v>121.1</v>
      </c>
      <c r="P113" s="76">
        <v>119.6</v>
      </c>
      <c r="Q113" s="76">
        <v>122</v>
      </c>
      <c r="R113" s="76">
        <v>120.1</v>
      </c>
      <c r="S113" s="76">
        <v>120.1</v>
      </c>
      <c r="T113" s="76">
        <v>122.2</v>
      </c>
      <c r="U113" s="76">
        <v>121.6</v>
      </c>
      <c r="V113" s="76">
        <v>124</v>
      </c>
      <c r="W113" s="76">
        <v>122.9</v>
      </c>
      <c r="X113" s="76">
        <v>123.2</v>
      </c>
      <c r="Y113" s="76">
        <v>122</v>
      </c>
      <c r="Z113" s="76">
        <v>122.5</v>
      </c>
      <c r="AA113" s="76">
        <v>122.4</v>
      </c>
      <c r="AB113" s="76">
        <v>123</v>
      </c>
      <c r="AC113" s="76">
        <v>122.6</v>
      </c>
      <c r="AD113" s="76">
        <v>121.6</v>
      </c>
      <c r="AE113" s="76">
        <v>122</v>
      </c>
      <c r="AF113" s="76">
        <v>121</v>
      </c>
      <c r="AG113" s="117"/>
      <c r="AH113" s="48">
        <f t="shared" si="29"/>
        <v>124.5</v>
      </c>
      <c r="AI113" s="49">
        <f t="shared" si="30"/>
        <v>119.6</v>
      </c>
    </row>
    <row r="114" spans="1:35" x14ac:dyDescent="0.25">
      <c r="A114" s="116" t="s">
        <v>134</v>
      </c>
      <c r="B114" s="76">
        <v>128.69999999999999</v>
      </c>
      <c r="C114" s="76">
        <v>128.6</v>
      </c>
      <c r="D114" s="76">
        <v>129.19999999999999</v>
      </c>
      <c r="E114" s="76">
        <v>129.19999999999999</v>
      </c>
      <c r="F114" s="76">
        <v>128</v>
      </c>
      <c r="G114" s="76">
        <v>127.1</v>
      </c>
      <c r="H114" s="76">
        <v>127.1</v>
      </c>
      <c r="I114" s="76">
        <v>126.2</v>
      </c>
      <c r="J114" s="76">
        <v>126.2</v>
      </c>
      <c r="K114" s="76">
        <v>126.8</v>
      </c>
      <c r="L114" s="76">
        <v>126.8</v>
      </c>
      <c r="M114" s="76">
        <v>125.5</v>
      </c>
      <c r="N114" s="76">
        <v>125.5</v>
      </c>
      <c r="O114" s="76">
        <v>123.7</v>
      </c>
      <c r="P114" s="76">
        <v>123</v>
      </c>
      <c r="Q114" s="76">
        <v>125</v>
      </c>
      <c r="R114" s="76">
        <v>123.7</v>
      </c>
      <c r="S114" s="76">
        <v>123.4</v>
      </c>
      <c r="T114" s="76">
        <v>125.4</v>
      </c>
      <c r="U114" s="76">
        <v>125.2</v>
      </c>
      <c r="V114" s="76">
        <v>127.1</v>
      </c>
      <c r="W114" s="76">
        <v>126.1</v>
      </c>
      <c r="X114" s="76">
        <v>126.2</v>
      </c>
      <c r="Y114" s="76">
        <v>126.1</v>
      </c>
      <c r="Z114" s="76">
        <v>126.8</v>
      </c>
      <c r="AA114" s="76">
        <v>126</v>
      </c>
      <c r="AB114" s="76">
        <v>127</v>
      </c>
      <c r="AC114" s="76">
        <v>126.4</v>
      </c>
      <c r="AD114" s="76">
        <v>126.1</v>
      </c>
      <c r="AE114" s="76">
        <v>127.3</v>
      </c>
      <c r="AF114" s="76">
        <v>127.3</v>
      </c>
      <c r="AG114" s="117"/>
      <c r="AH114" s="48">
        <f t="shared" si="29"/>
        <v>129.19999999999999</v>
      </c>
      <c r="AI114" s="49">
        <f t="shared" si="30"/>
        <v>123</v>
      </c>
    </row>
    <row r="115" spans="1:35" x14ac:dyDescent="0.25">
      <c r="A115" s="116" t="s">
        <v>135</v>
      </c>
      <c r="B115" s="76">
        <v>130.19999999999999</v>
      </c>
      <c r="C115" s="76">
        <v>130.30000000000001</v>
      </c>
      <c r="D115" s="76">
        <v>131.4</v>
      </c>
      <c r="E115" s="76">
        <v>131.4</v>
      </c>
      <c r="F115" s="76">
        <v>131.9</v>
      </c>
      <c r="G115" s="76">
        <v>131.69999999999999</v>
      </c>
      <c r="H115" s="76">
        <v>131.69999999999999</v>
      </c>
      <c r="I115" s="76">
        <v>130.4</v>
      </c>
      <c r="J115" s="76">
        <v>130.4</v>
      </c>
      <c r="K115" s="76">
        <v>130.19999999999999</v>
      </c>
      <c r="L115" s="76">
        <v>130.19999999999999</v>
      </c>
      <c r="M115" s="76">
        <v>129.6</v>
      </c>
      <c r="N115" s="76">
        <v>129.6</v>
      </c>
      <c r="O115" s="76">
        <v>127.1</v>
      </c>
      <c r="P115" s="76">
        <v>125.5</v>
      </c>
      <c r="Q115" s="76">
        <v>129</v>
      </c>
      <c r="R115" s="76">
        <v>126.3</v>
      </c>
      <c r="S115" s="76">
        <v>128.1</v>
      </c>
      <c r="T115" s="76">
        <v>126.1</v>
      </c>
      <c r="U115" s="76">
        <v>127.1</v>
      </c>
      <c r="V115" s="76">
        <v>131.6</v>
      </c>
      <c r="W115" s="76">
        <v>129.4</v>
      </c>
      <c r="X115" s="76">
        <v>129.9</v>
      </c>
      <c r="Y115" s="76">
        <v>129.30000000000001</v>
      </c>
      <c r="Z115" s="76">
        <v>125.4</v>
      </c>
      <c r="AA115" s="76">
        <v>126.8</v>
      </c>
      <c r="AB115" s="76">
        <v>132.4</v>
      </c>
      <c r="AC115" s="76">
        <v>132.6</v>
      </c>
      <c r="AD115" s="76">
        <v>131.1</v>
      </c>
      <c r="AE115" s="76">
        <v>129</v>
      </c>
      <c r="AF115" s="76">
        <v>126</v>
      </c>
      <c r="AG115" s="117"/>
      <c r="AH115" s="48">
        <f t="shared" si="29"/>
        <v>132.6</v>
      </c>
      <c r="AI115" s="49">
        <f t="shared" si="30"/>
        <v>125.4</v>
      </c>
    </row>
    <row r="116" spans="1:35" x14ac:dyDescent="0.25">
      <c r="A116" s="118" t="s">
        <v>136</v>
      </c>
      <c r="B116" s="76">
        <v>130.5</v>
      </c>
      <c r="C116" s="76">
        <v>130.80000000000001</v>
      </c>
      <c r="D116" s="76">
        <v>132.1</v>
      </c>
      <c r="E116" s="76">
        <v>132.1</v>
      </c>
      <c r="F116" s="76">
        <v>131.1</v>
      </c>
      <c r="G116" s="76">
        <v>131.19999999999999</v>
      </c>
      <c r="H116" s="76">
        <v>131.19999999999999</v>
      </c>
      <c r="I116" s="76">
        <v>129.5</v>
      </c>
      <c r="J116" s="76">
        <v>129.5</v>
      </c>
      <c r="K116" s="76">
        <v>132</v>
      </c>
      <c r="L116" s="76">
        <v>132</v>
      </c>
      <c r="M116" s="76">
        <v>130.1</v>
      </c>
      <c r="N116" s="76">
        <v>130.1</v>
      </c>
      <c r="O116" s="76">
        <v>127.5</v>
      </c>
      <c r="P116" s="76">
        <v>126</v>
      </c>
      <c r="Q116" s="76">
        <v>129.5</v>
      </c>
      <c r="R116" s="76">
        <v>128.19999999999999</v>
      </c>
      <c r="S116" s="76">
        <v>128.5</v>
      </c>
      <c r="T116" s="76">
        <v>126.1</v>
      </c>
      <c r="U116" s="76">
        <v>127.9</v>
      </c>
      <c r="V116" s="76">
        <v>132.4</v>
      </c>
      <c r="W116" s="76">
        <v>130.4</v>
      </c>
      <c r="X116" s="76">
        <v>130.6</v>
      </c>
      <c r="Y116" s="76">
        <v>130.69999999999999</v>
      </c>
      <c r="Z116" s="76">
        <v>126.3</v>
      </c>
      <c r="AA116" s="76">
        <v>126.7</v>
      </c>
      <c r="AB116" s="76">
        <v>132.30000000000001</v>
      </c>
      <c r="AC116" s="76">
        <v>132.5</v>
      </c>
      <c r="AD116" s="76">
        <v>131.6</v>
      </c>
      <c r="AE116" s="76">
        <v>130</v>
      </c>
      <c r="AF116" s="76">
        <v>128</v>
      </c>
      <c r="AG116" s="117"/>
      <c r="AH116" s="48">
        <f t="shared" si="29"/>
        <v>132.5</v>
      </c>
      <c r="AI116" s="49">
        <f t="shared" si="30"/>
        <v>126</v>
      </c>
    </row>
    <row r="117" spans="1:35" x14ac:dyDescent="0.25">
      <c r="A117" s="118" t="s">
        <v>137</v>
      </c>
      <c r="B117" s="119">
        <v>134.30000000000001</v>
      </c>
      <c r="C117" s="119">
        <v>131.80000000000001</v>
      </c>
      <c r="D117" s="119">
        <v>131.4</v>
      </c>
      <c r="E117" s="119">
        <v>131.4</v>
      </c>
      <c r="F117" s="119">
        <v>133.80000000000001</v>
      </c>
      <c r="G117" s="119">
        <v>133.1</v>
      </c>
      <c r="H117" s="119">
        <v>133.1</v>
      </c>
      <c r="I117" s="119">
        <v>132.4</v>
      </c>
      <c r="J117" s="119">
        <v>132.4</v>
      </c>
      <c r="K117" s="119">
        <v>133.30000000000001</v>
      </c>
      <c r="L117" s="119">
        <v>133.30000000000001</v>
      </c>
      <c r="M117" s="119">
        <v>131.30000000000001</v>
      </c>
      <c r="N117" s="119">
        <v>131.30000000000001</v>
      </c>
      <c r="O117" s="119">
        <v>131.4</v>
      </c>
      <c r="P117" s="119">
        <v>134</v>
      </c>
      <c r="Q117" s="119">
        <v>135.5</v>
      </c>
      <c r="R117" s="119">
        <v>133.30000000000001</v>
      </c>
      <c r="S117" s="119">
        <v>128.5</v>
      </c>
      <c r="T117" s="119">
        <v>134.80000000000001</v>
      </c>
      <c r="U117" s="119">
        <v>134.5</v>
      </c>
      <c r="V117" s="119">
        <v>134.5</v>
      </c>
      <c r="W117" s="119">
        <v>136.4</v>
      </c>
      <c r="X117" s="119">
        <v>136.69999999999999</v>
      </c>
      <c r="Y117" s="119">
        <v>135.5</v>
      </c>
      <c r="Z117" s="119">
        <v>136.4</v>
      </c>
      <c r="AA117" s="119">
        <v>134.80000000000001</v>
      </c>
      <c r="AB117" s="119">
        <v>135.30000000000001</v>
      </c>
      <c r="AC117" s="119">
        <v>134.4</v>
      </c>
      <c r="AD117" s="119">
        <v>133.30000000000001</v>
      </c>
      <c r="AE117" s="119">
        <v>133.9</v>
      </c>
      <c r="AF117" s="119">
        <v>133.9</v>
      </c>
      <c r="AG117" s="120"/>
      <c r="AH117" s="48">
        <f t="shared" si="29"/>
        <v>136.69999999999999</v>
      </c>
      <c r="AI117" s="49">
        <f t="shared" si="30"/>
        <v>128.5</v>
      </c>
    </row>
    <row r="118" spans="1:35" x14ac:dyDescent="0.25">
      <c r="A118" s="116" t="s">
        <v>138</v>
      </c>
      <c r="B118" s="76">
        <v>126.1</v>
      </c>
      <c r="C118" s="76">
        <v>123.3</v>
      </c>
      <c r="D118" s="76">
        <v>121.3</v>
      </c>
      <c r="E118" s="76">
        <v>121.3</v>
      </c>
      <c r="F118" s="76">
        <v>126</v>
      </c>
      <c r="G118" s="76">
        <v>123.3</v>
      </c>
      <c r="H118" s="76">
        <v>123.3</v>
      </c>
      <c r="I118" s="76">
        <v>120.3</v>
      </c>
      <c r="J118" s="76">
        <v>120.3</v>
      </c>
      <c r="K118" s="76">
        <v>126.6</v>
      </c>
      <c r="L118" s="76">
        <v>126.6</v>
      </c>
      <c r="M118" s="76">
        <v>128.30000000000001</v>
      </c>
      <c r="N118" s="76">
        <v>128.30000000000001</v>
      </c>
      <c r="O118" s="76">
        <v>123.2</v>
      </c>
      <c r="P118" s="76">
        <v>124.8</v>
      </c>
      <c r="Q118" s="76">
        <v>128.30000000000001</v>
      </c>
      <c r="R118" s="76">
        <v>124.4</v>
      </c>
      <c r="S118" s="76">
        <v>115.8</v>
      </c>
      <c r="T118" s="76">
        <v>124.8</v>
      </c>
      <c r="U118" s="76">
        <v>126.2</v>
      </c>
      <c r="V118" s="76">
        <v>123.9</v>
      </c>
      <c r="W118" s="76">
        <v>123.9</v>
      </c>
      <c r="X118" s="76">
        <v>126.2</v>
      </c>
      <c r="Y118" s="76">
        <v>123.7</v>
      </c>
      <c r="Z118" s="76">
        <v>125.6</v>
      </c>
      <c r="AA118" s="76">
        <v>127.8</v>
      </c>
      <c r="AB118" s="76">
        <v>130.69999999999999</v>
      </c>
      <c r="AC118" s="76">
        <v>128.1</v>
      </c>
      <c r="AD118" s="76">
        <v>126.5</v>
      </c>
      <c r="AE118" s="76">
        <v>129</v>
      </c>
      <c r="AF118" s="76">
        <v>124</v>
      </c>
      <c r="AG118" s="117"/>
      <c r="AH118" s="48">
        <f t="shared" si="29"/>
        <v>130.69999999999999</v>
      </c>
      <c r="AI118" s="49">
        <f t="shared" si="30"/>
        <v>115.8</v>
      </c>
    </row>
    <row r="119" spans="1:35" ht="15.75" thickBot="1" x14ac:dyDescent="0.3">
      <c r="A119" s="116" t="s">
        <v>139</v>
      </c>
      <c r="B119" s="105">
        <v>64.8</v>
      </c>
      <c r="C119" s="105">
        <v>64.8</v>
      </c>
      <c r="D119" s="105">
        <v>64.900000000000006</v>
      </c>
      <c r="E119" s="105">
        <v>64.900000000000006</v>
      </c>
      <c r="F119" s="105">
        <v>64.5</v>
      </c>
      <c r="G119" s="105">
        <v>63.8</v>
      </c>
      <c r="H119" s="105">
        <v>63.8</v>
      </c>
      <c r="I119" s="105">
        <v>63.7</v>
      </c>
      <c r="J119" s="105">
        <v>63.7</v>
      </c>
      <c r="K119" s="105">
        <v>63.8</v>
      </c>
      <c r="L119" s="105">
        <v>63.8</v>
      </c>
      <c r="M119" s="105">
        <v>63.8</v>
      </c>
      <c r="N119" s="105">
        <v>63.8</v>
      </c>
      <c r="O119" s="105">
        <v>62.4</v>
      </c>
      <c r="P119" s="105">
        <v>62</v>
      </c>
      <c r="Q119" s="105">
        <v>62.9</v>
      </c>
      <c r="R119" s="105">
        <v>62.1</v>
      </c>
      <c r="S119" s="105">
        <v>61.6</v>
      </c>
      <c r="T119" s="105">
        <v>63</v>
      </c>
      <c r="U119" s="105">
        <v>62.8</v>
      </c>
      <c r="V119" s="105">
        <v>63.9</v>
      </c>
      <c r="W119" s="105">
        <v>63.4</v>
      </c>
      <c r="X119" s="105">
        <v>64</v>
      </c>
      <c r="Y119" s="105">
        <v>63.4</v>
      </c>
      <c r="Z119" s="105">
        <v>64</v>
      </c>
      <c r="AA119" s="105">
        <v>63.6</v>
      </c>
      <c r="AB119" s="105">
        <v>64.2</v>
      </c>
      <c r="AC119" s="105">
        <v>63.6</v>
      </c>
      <c r="AD119" s="105">
        <v>63.4</v>
      </c>
      <c r="AE119" s="105">
        <v>64.5</v>
      </c>
      <c r="AF119" s="105">
        <v>64.599999999999994</v>
      </c>
      <c r="AG119" s="121"/>
      <c r="AH119" s="48">
        <f t="shared" si="29"/>
        <v>64.900000000000006</v>
      </c>
      <c r="AI119" s="49">
        <f t="shared" si="30"/>
        <v>61.6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9"/>
        <v>0</v>
      </c>
      <c r="AI120" s="49">
        <f t="shared" si="30"/>
        <v>0</v>
      </c>
    </row>
    <row r="121" spans="1:35" ht="15.75" thickBot="1" x14ac:dyDescent="0.3">
      <c r="A121" s="123" t="s">
        <v>141</v>
      </c>
      <c r="B121" s="124">
        <f t="shared" ref="B121:O121" si="116">SUM(B25,B31,B34:B35,B69,B71:B72,B74,B76,B122:B126,B158,B164,B170,B179,B181,B193,B200,B203:B204,B211,B213,B215,B219:B221,B223:B225,B230,B236:B237,B239:B241,B249,B254)</f>
        <v>104.93999999999998</v>
      </c>
      <c r="C121" s="124">
        <f t="shared" si="116"/>
        <v>82.84</v>
      </c>
      <c r="D121" s="124">
        <f t="shared" si="116"/>
        <v>76.84</v>
      </c>
      <c r="E121" s="124">
        <f t="shared" si="116"/>
        <v>62.039999999999992</v>
      </c>
      <c r="F121" s="124">
        <f t="shared" si="116"/>
        <v>70.239999999999981</v>
      </c>
      <c r="G121" s="124">
        <f t="shared" si="116"/>
        <v>98.139999999999986</v>
      </c>
      <c r="H121" s="124">
        <f t="shared" si="116"/>
        <v>105.33999999999997</v>
      </c>
      <c r="I121" s="124">
        <f t="shared" si="116"/>
        <v>108.83999999999997</v>
      </c>
      <c r="J121" s="124">
        <f t="shared" si="116"/>
        <v>172.64</v>
      </c>
      <c r="K121" s="124">
        <f t="shared" si="116"/>
        <v>161.43999999999997</v>
      </c>
      <c r="L121" s="124">
        <f t="shared" si="116"/>
        <v>155.43999999999997</v>
      </c>
      <c r="M121" s="124">
        <f t="shared" si="116"/>
        <v>176.14</v>
      </c>
      <c r="N121" s="124">
        <f t="shared" si="116"/>
        <v>122.74</v>
      </c>
      <c r="O121" s="124">
        <f t="shared" si="116"/>
        <v>207.73999999999998</v>
      </c>
      <c r="P121" s="124">
        <v>42</v>
      </c>
      <c r="Q121" s="124">
        <f t="shared" ref="Q121:X121" si="117">SUM(Q25,Q31,Q34:Q35,Q69,Q71:Q72,Q74,Q76,Q122:Q126,Q158,Q164,Q170,Q179,Q181,Q193,Q200,Q203:Q204,Q211,Q213,Q215,Q219:Q221,Q223:Q225,Q230,Q236:Q237,Q239:Q241,Q249,Q254)</f>
        <v>210.14</v>
      </c>
      <c r="R121" s="124">
        <f t="shared" si="117"/>
        <v>184.73999999999998</v>
      </c>
      <c r="S121" s="124">
        <f t="shared" si="117"/>
        <v>199.94</v>
      </c>
      <c r="T121" s="124">
        <f t="shared" si="117"/>
        <v>198.93999999999997</v>
      </c>
      <c r="U121" s="124">
        <f t="shared" si="117"/>
        <v>204.23999999999995</v>
      </c>
      <c r="V121" s="124">
        <f t="shared" si="117"/>
        <v>182.93999999999997</v>
      </c>
      <c r="W121" s="124">
        <f t="shared" si="117"/>
        <v>182.14</v>
      </c>
      <c r="X121" s="124">
        <f t="shared" si="117"/>
        <v>196.03999999999996</v>
      </c>
      <c r="Y121" s="124">
        <f>SUM(Y23,Y29,Y40:Y41,Y69,Y71:Y72,Y74,Y76,Y122:Y126,Y151,Y157,Y163,Y172,Y174,Y186,Y193,Y196:Y197,Y204,Y206,Y208,Y212:Y214,Y216:Y218,Y223,Y229:Y230,Y232:Y234,Y242,Y247)</f>
        <v>211.69999999999996</v>
      </c>
      <c r="Z121" s="124">
        <f>SUM(Z23,Z29,Z40:Z41,Z69,Z71:Z72,Z74,Z76,Z122:Z126,Z151,Z157,Z163,Z172,Z174,Z186,Z193,Z196:Z197,Z204,Z206,Z208,Z212:Z214,Z216:Z218,Z223,Z229:Z230,Z232:Z234,Z242,Z247)</f>
        <v>234.1</v>
      </c>
      <c r="AA121" s="124">
        <f t="shared" ref="AA121:AF121" si="118">SUM(AA25,AA31,AA34:AA35,AA69,AA71:AA72,AA74,AA76,AA122:AA126,AA158,AA164,AA170,AA179,AA181,AA193,AA200,AA203:AA204,AA211,AA213,AA215,AA219:AA221,AA223:AA225,AA230,AA236:AA237,AA239:AA241,AA249,AA254)</f>
        <v>216.44</v>
      </c>
      <c r="AB121" s="124">
        <f t="shared" si="118"/>
        <v>195.24</v>
      </c>
      <c r="AC121" s="124">
        <f t="shared" si="118"/>
        <v>209.24</v>
      </c>
      <c r="AD121" s="124">
        <f t="shared" si="118"/>
        <v>189.04000000000002</v>
      </c>
      <c r="AE121" s="124">
        <f t="shared" si="118"/>
        <v>140.04</v>
      </c>
      <c r="AF121" s="124">
        <f t="shared" si="118"/>
        <v>96.44</v>
      </c>
      <c r="AG121" s="125"/>
      <c r="AH121" s="48">
        <f t="shared" si="29"/>
        <v>234.1</v>
      </c>
      <c r="AI121" s="49">
        <f t="shared" si="30"/>
        <v>42</v>
      </c>
    </row>
    <row r="122" spans="1:35" x14ac:dyDescent="0.25">
      <c r="A122" s="126" t="s">
        <v>142</v>
      </c>
      <c r="B122" s="127">
        <v>64.099999999999994</v>
      </c>
      <c r="C122" s="127">
        <v>50.7</v>
      </c>
      <c r="D122" s="127">
        <v>48.9</v>
      </c>
      <c r="E122" s="127">
        <v>42.9</v>
      </c>
      <c r="F122" s="127">
        <v>56.9</v>
      </c>
      <c r="G122" s="127">
        <v>64.599999999999994</v>
      </c>
      <c r="H122" s="127">
        <v>69.400000000000006</v>
      </c>
      <c r="I122" s="127">
        <v>58.8</v>
      </c>
      <c r="J122" s="127">
        <v>72.900000000000006</v>
      </c>
      <c r="K122" s="127">
        <v>47.6</v>
      </c>
      <c r="L122" s="127">
        <v>38.200000000000003</v>
      </c>
      <c r="M122" s="127">
        <v>46.7</v>
      </c>
      <c r="N122" s="127"/>
      <c r="O122" s="127">
        <v>54.4</v>
      </c>
      <c r="P122" s="127">
        <v>35.700000000000003</v>
      </c>
      <c r="Q122" s="127">
        <v>41.4</v>
      </c>
      <c r="R122" s="127">
        <v>36.799999999999997</v>
      </c>
      <c r="S122" s="127">
        <v>46.8</v>
      </c>
      <c r="T122" s="127">
        <v>47.9</v>
      </c>
      <c r="U122" s="127">
        <v>48.8</v>
      </c>
      <c r="V122" s="127">
        <v>36.6</v>
      </c>
      <c r="W122" s="127">
        <v>39.299999999999997</v>
      </c>
      <c r="X122" s="127">
        <v>44.3</v>
      </c>
      <c r="Y122" s="127">
        <v>52.2</v>
      </c>
      <c r="Z122" s="127">
        <v>50.8</v>
      </c>
      <c r="AA122" s="127">
        <v>55.2</v>
      </c>
      <c r="AB122" s="127">
        <v>54.4</v>
      </c>
      <c r="AC122" s="127">
        <v>52.7</v>
      </c>
      <c r="AD122" s="127">
        <v>58.4</v>
      </c>
      <c r="AE122" s="127">
        <v>81</v>
      </c>
      <c r="AF122" s="127">
        <v>85</v>
      </c>
      <c r="AG122" s="128">
        <v>75</v>
      </c>
      <c r="AH122" s="48">
        <f t="shared" si="29"/>
        <v>85</v>
      </c>
      <c r="AI122" s="49">
        <f t="shared" si="30"/>
        <v>35.700000000000003</v>
      </c>
    </row>
    <row r="123" spans="1:35" x14ac:dyDescent="0.25">
      <c r="A123" s="129" t="s">
        <v>143</v>
      </c>
      <c r="B123" s="130">
        <v>90.8</v>
      </c>
      <c r="C123" s="130">
        <v>74</v>
      </c>
      <c r="D123" s="130">
        <v>73.8</v>
      </c>
      <c r="E123" s="130">
        <v>63.3</v>
      </c>
      <c r="F123" s="130">
        <v>81.7</v>
      </c>
      <c r="G123" s="130">
        <v>91.3</v>
      </c>
      <c r="H123" s="130">
        <v>95.7</v>
      </c>
      <c r="I123" s="130">
        <v>82.8</v>
      </c>
      <c r="J123" s="130">
        <v>100.6</v>
      </c>
      <c r="K123" s="130">
        <v>67.2</v>
      </c>
      <c r="L123" s="130">
        <v>50.7</v>
      </c>
      <c r="M123" s="130">
        <v>64</v>
      </c>
      <c r="N123" s="130"/>
      <c r="O123" s="130">
        <v>73</v>
      </c>
      <c r="P123" s="130">
        <v>48.4</v>
      </c>
      <c r="Q123" s="130">
        <v>56.1</v>
      </c>
      <c r="R123" s="130">
        <v>49.4</v>
      </c>
      <c r="S123" s="130">
        <v>63.4</v>
      </c>
      <c r="T123" s="130">
        <v>66.3</v>
      </c>
      <c r="U123" s="130">
        <v>65.2</v>
      </c>
      <c r="V123" s="130">
        <v>56.7</v>
      </c>
      <c r="W123" s="130">
        <v>60.5</v>
      </c>
      <c r="X123" s="130">
        <v>67.900000000000006</v>
      </c>
      <c r="Y123" s="130">
        <v>77.5</v>
      </c>
      <c r="Z123" s="130">
        <v>74.5</v>
      </c>
      <c r="AA123" s="130">
        <v>79</v>
      </c>
      <c r="AB123" s="130">
        <v>54.4</v>
      </c>
      <c r="AC123" s="130">
        <v>76.8</v>
      </c>
      <c r="AD123" s="130">
        <v>85</v>
      </c>
      <c r="AE123" s="130">
        <v>55</v>
      </c>
      <c r="AF123" s="130">
        <v>59</v>
      </c>
      <c r="AG123" s="128">
        <v>240</v>
      </c>
      <c r="AH123" s="48">
        <f t="shared" si="29"/>
        <v>100.6</v>
      </c>
      <c r="AI123" s="49">
        <f t="shared" si="30"/>
        <v>48.4</v>
      </c>
    </row>
    <row r="124" spans="1:35" x14ac:dyDescent="0.25">
      <c r="A124" s="129" t="s">
        <v>144</v>
      </c>
      <c r="B124" s="130">
        <f>-72.9-77.5</f>
        <v>-150.4</v>
      </c>
      <c r="C124" s="130">
        <f>-68.6-73.1</f>
        <v>-141.69999999999999</v>
      </c>
      <c r="D124" s="130">
        <f>-70.7-74.8</f>
        <v>-145.5</v>
      </c>
      <c r="E124" s="130">
        <v>-143.9</v>
      </c>
      <c r="F124" s="130">
        <v>-158.1</v>
      </c>
      <c r="G124" s="130">
        <v>-151.5</v>
      </c>
      <c r="H124" s="130">
        <v>-154.6</v>
      </c>
      <c r="I124" s="130">
        <v>-129.4</v>
      </c>
      <c r="J124" s="130">
        <v>-104.9</v>
      </c>
      <c r="K124" s="130">
        <v>-62.8</v>
      </c>
      <c r="L124" s="130">
        <v>-47.9</v>
      </c>
      <c r="M124" s="130">
        <v>-54</v>
      </c>
      <c r="N124" s="130"/>
      <c r="O124" s="130">
        <v>-50</v>
      </c>
      <c r="P124" s="130">
        <v>-51</v>
      </c>
      <c r="Q124" s="130">
        <v>-26</v>
      </c>
      <c r="R124" s="130">
        <v>-32</v>
      </c>
      <c r="S124" s="130">
        <v>-45</v>
      </c>
      <c r="T124" s="130">
        <v>-48</v>
      </c>
      <c r="U124" s="130">
        <v>-36</v>
      </c>
      <c r="V124" s="130">
        <v>-32</v>
      </c>
      <c r="W124" s="130">
        <v>-14</v>
      </c>
      <c r="X124" s="130">
        <v>-13.4</v>
      </c>
      <c r="Y124" s="130">
        <v>-64.5</v>
      </c>
      <c r="Z124" s="130">
        <v>-64.5</v>
      </c>
      <c r="AA124" s="130">
        <v>-79</v>
      </c>
      <c r="AB124" s="130">
        <v>-55</v>
      </c>
      <c r="AC124" s="130">
        <v>-61</v>
      </c>
      <c r="AD124" s="130">
        <v>-84</v>
      </c>
      <c r="AE124" s="130">
        <v>-108</v>
      </c>
      <c r="AF124" s="130">
        <v>-154</v>
      </c>
      <c r="AG124" s="128">
        <v>240</v>
      </c>
      <c r="AH124" s="48">
        <f t="shared" si="29"/>
        <v>-13.4</v>
      </c>
      <c r="AI124" s="49">
        <f t="shared" si="30"/>
        <v>-158.1</v>
      </c>
    </row>
    <row r="125" spans="1:35" ht="15.75" thickBot="1" x14ac:dyDescent="0.3">
      <c r="A125" s="129" t="s">
        <v>145</v>
      </c>
      <c r="B125" s="130">
        <v>-16.3</v>
      </c>
      <c r="C125" s="130">
        <v>-16.899999999999999</v>
      </c>
      <c r="D125" s="130">
        <v>-17.100000000000001</v>
      </c>
      <c r="E125" s="130">
        <v>-17</v>
      </c>
      <c r="F125" s="130">
        <v>-27</v>
      </c>
      <c r="G125" s="130">
        <v>-23</v>
      </c>
      <c r="H125" s="130">
        <v>-21.9</v>
      </c>
      <c r="I125" s="130">
        <v>-20.100000000000001</v>
      </c>
      <c r="J125" s="130">
        <v>-14.4</v>
      </c>
      <c r="K125" s="130">
        <v>-10.9</v>
      </c>
      <c r="L125" s="130">
        <v>-8.3000000000000007</v>
      </c>
      <c r="M125" s="130">
        <v>-3.3</v>
      </c>
      <c r="N125" s="130"/>
      <c r="O125" s="130">
        <v>12</v>
      </c>
      <c r="P125" s="130">
        <v>9.3000000000000007</v>
      </c>
      <c r="Q125" s="130">
        <v>9.3000000000000007</v>
      </c>
      <c r="R125" s="130">
        <v>1.2</v>
      </c>
      <c r="S125" s="130">
        <v>6.4</v>
      </c>
      <c r="T125" s="130">
        <v>4.9000000000000004</v>
      </c>
      <c r="U125" s="130">
        <v>3.7</v>
      </c>
      <c r="V125" s="130">
        <v>3.1</v>
      </c>
      <c r="W125" s="130">
        <v>8.3000000000000007</v>
      </c>
      <c r="X125" s="130">
        <v>9.1999999999999993</v>
      </c>
      <c r="Y125" s="130">
        <v>4.5999999999999996</v>
      </c>
      <c r="Z125" s="130">
        <v>30.4</v>
      </c>
      <c r="AA125" s="130">
        <v>40.799999999999997</v>
      </c>
      <c r="AB125" s="130">
        <v>21</v>
      </c>
      <c r="AC125" s="130">
        <v>20.3</v>
      </c>
      <c r="AD125" s="130">
        <v>8</v>
      </c>
      <c r="AE125" s="130">
        <v>-9.6</v>
      </c>
      <c r="AF125" s="130">
        <v>-15</v>
      </c>
      <c r="AG125" s="128">
        <v>60</v>
      </c>
      <c r="AH125" s="48">
        <f t="shared" si="29"/>
        <v>40.799999999999997</v>
      </c>
      <c r="AI125" s="49">
        <f t="shared" si="30"/>
        <v>-27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9"/>
        <v>0</v>
      </c>
      <c r="AI126" s="49">
        <f t="shared" si="30"/>
        <v>0</v>
      </c>
    </row>
    <row r="127" spans="1:35" x14ac:dyDescent="0.25">
      <c r="A127" s="129" t="s">
        <v>147</v>
      </c>
      <c r="B127" s="131">
        <v>56.1</v>
      </c>
      <c r="C127" s="131">
        <v>62</v>
      </c>
      <c r="D127" s="131">
        <v>61.4</v>
      </c>
      <c r="E127" s="131">
        <v>61.8</v>
      </c>
      <c r="F127" s="131">
        <v>58.9</v>
      </c>
      <c r="G127" s="131">
        <v>58.6</v>
      </c>
      <c r="H127" s="131">
        <v>59</v>
      </c>
      <c r="I127" s="131">
        <v>74.099999999999994</v>
      </c>
      <c r="J127" s="131">
        <v>58.1</v>
      </c>
      <c r="K127" s="131">
        <v>78.900000000000006</v>
      </c>
      <c r="L127" s="131">
        <v>93.8</v>
      </c>
      <c r="M127" s="131">
        <v>94</v>
      </c>
      <c r="N127" s="131"/>
      <c r="O127" s="131">
        <v>94</v>
      </c>
      <c r="P127" s="131">
        <v>101.9</v>
      </c>
      <c r="Q127" s="131">
        <v>92</v>
      </c>
      <c r="R127" s="131">
        <v>102</v>
      </c>
      <c r="S127" s="131">
        <v>96.1</v>
      </c>
      <c r="T127" s="131">
        <v>92.5</v>
      </c>
      <c r="U127" s="131">
        <v>93.5</v>
      </c>
      <c r="V127" s="131">
        <v>94.2</v>
      </c>
      <c r="W127" s="131">
        <v>103.4</v>
      </c>
      <c r="X127" s="131">
        <v>98.9</v>
      </c>
      <c r="Y127" s="131">
        <v>95.7</v>
      </c>
      <c r="Z127" s="131">
        <v>95.6</v>
      </c>
      <c r="AA127" s="131">
        <v>95.3</v>
      </c>
      <c r="AB127" s="131">
        <v>98</v>
      </c>
      <c r="AC127" s="131">
        <v>94.3</v>
      </c>
      <c r="AD127" s="131">
        <v>91.6</v>
      </c>
      <c r="AE127" s="131">
        <v>83</v>
      </c>
      <c r="AF127" s="131">
        <v>83</v>
      </c>
      <c r="AG127" s="132"/>
      <c r="AH127" s="48"/>
      <c r="AI127" s="49"/>
    </row>
    <row r="128" spans="1:35" x14ac:dyDescent="0.25">
      <c r="A128" s="129" t="s">
        <v>148</v>
      </c>
      <c r="B128" s="131">
        <v>2.2999999999999998</v>
      </c>
      <c r="C128" s="131">
        <v>20.8</v>
      </c>
      <c r="D128" s="131">
        <v>26.2</v>
      </c>
      <c r="E128" s="131">
        <v>36</v>
      </c>
      <c r="F128" s="131">
        <v>27.1</v>
      </c>
      <c r="G128" s="131">
        <v>12.7</v>
      </c>
      <c r="H128" s="131">
        <v>3.3</v>
      </c>
      <c r="I128" s="131">
        <v>17.8</v>
      </c>
      <c r="J128" s="131">
        <v>-31.4</v>
      </c>
      <c r="K128" s="131">
        <v>-8.4</v>
      </c>
      <c r="L128" s="131">
        <v>6.2</v>
      </c>
      <c r="M128" s="131">
        <v>-9.8000000000000007</v>
      </c>
      <c r="N128" s="131"/>
      <c r="O128" s="131">
        <v>-6</v>
      </c>
      <c r="P128" s="131">
        <v>10.5</v>
      </c>
      <c r="Q128" s="131">
        <v>-4.8</v>
      </c>
      <c r="R128" s="131">
        <v>15</v>
      </c>
      <c r="S128" s="131">
        <v>-1.3</v>
      </c>
      <c r="T128" s="131">
        <v>-14.2</v>
      </c>
      <c r="U128" s="131">
        <v>-16</v>
      </c>
      <c r="V128" s="131">
        <v>-13.6</v>
      </c>
      <c r="W128" s="131">
        <v>7.1</v>
      </c>
      <c r="X128" s="131">
        <v>2.9</v>
      </c>
      <c r="Y128" s="131">
        <v>-13.5</v>
      </c>
      <c r="Z128" s="131">
        <v>-26.1</v>
      </c>
      <c r="AA128" s="131">
        <v>-39.6</v>
      </c>
      <c r="AB128" s="131">
        <v>-23</v>
      </c>
      <c r="AC128" s="131">
        <v>-20.8</v>
      </c>
      <c r="AD128" s="131">
        <v>-13</v>
      </c>
      <c r="AE128" s="131">
        <v>3</v>
      </c>
      <c r="AF128" s="131">
        <v>14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45.8</v>
      </c>
      <c r="C129" s="131">
        <v>51.5</v>
      </c>
      <c r="D129" s="131">
        <v>56.9</v>
      </c>
      <c r="E129" s="131">
        <v>61</v>
      </c>
      <c r="F129" s="131">
        <v>59.4</v>
      </c>
      <c r="G129" s="131">
        <v>56</v>
      </c>
      <c r="H129" s="131">
        <v>57.9</v>
      </c>
      <c r="I129" s="131">
        <v>69.099999999999994</v>
      </c>
      <c r="J129" s="131">
        <v>32.1</v>
      </c>
      <c r="K129" s="131">
        <v>58.4</v>
      </c>
      <c r="L129" s="131">
        <v>71.099999999999994</v>
      </c>
      <c r="M129" s="131">
        <v>66.900000000000006</v>
      </c>
      <c r="N129" s="131"/>
      <c r="O129" s="131">
        <v>70</v>
      </c>
      <c r="P129" s="131">
        <v>76.2</v>
      </c>
      <c r="Q129" s="131">
        <v>82</v>
      </c>
      <c r="R129" s="131">
        <v>92</v>
      </c>
      <c r="S129" s="131">
        <v>82.6</v>
      </c>
      <c r="T129" s="131">
        <v>79.2</v>
      </c>
      <c r="U129" s="131">
        <v>82.5</v>
      </c>
      <c r="V129" s="131">
        <v>78.3</v>
      </c>
      <c r="W129" s="131">
        <v>84.5</v>
      </c>
      <c r="X129" s="131">
        <v>79.5</v>
      </c>
      <c r="Y129" s="131">
        <v>74.599999999999994</v>
      </c>
      <c r="Z129" s="131">
        <v>70</v>
      </c>
      <c r="AA129" s="131">
        <v>74</v>
      </c>
      <c r="AB129" s="131">
        <v>85</v>
      </c>
      <c r="AC129" s="131">
        <v>72.5</v>
      </c>
      <c r="AD129" s="131">
        <v>70</v>
      </c>
      <c r="AE129" s="131">
        <v>63</v>
      </c>
      <c r="AF129" s="131">
        <v>61</v>
      </c>
      <c r="AG129" s="128"/>
      <c r="AH129" s="48">
        <f>MAX(B129:AF129)</f>
        <v>92</v>
      </c>
      <c r="AI129" s="49">
        <f>MIN(B129:AF129)</f>
        <v>32.1</v>
      </c>
    </row>
    <row r="130" spans="1:37" x14ac:dyDescent="0.25">
      <c r="A130" s="126" t="s">
        <v>150</v>
      </c>
      <c r="B130" s="131">
        <v>-217.8</v>
      </c>
      <c r="C130" s="131">
        <v>-227.4</v>
      </c>
      <c r="D130" s="131">
        <v>-217.9</v>
      </c>
      <c r="E130" s="131">
        <v>-222.6</v>
      </c>
      <c r="F130" s="131">
        <v>-219.2</v>
      </c>
      <c r="G130" s="131">
        <v>-206.8</v>
      </c>
      <c r="H130" s="131">
        <v>-204.8</v>
      </c>
      <c r="I130" s="131">
        <v>-224.1</v>
      </c>
      <c r="J130" s="131">
        <v>-183.4</v>
      </c>
      <c r="K130" s="131">
        <v>-165.4</v>
      </c>
      <c r="L130" s="131">
        <v>-175.5</v>
      </c>
      <c r="M130" s="131">
        <v>-147</v>
      </c>
      <c r="N130" s="131"/>
      <c r="O130" s="131">
        <v>-168</v>
      </c>
      <c r="P130" s="131">
        <v>-159.35</v>
      </c>
      <c r="Q130" s="131">
        <v>-132</v>
      </c>
      <c r="R130" s="131">
        <v>-142</v>
      </c>
      <c r="S130" s="131">
        <v>-116.6</v>
      </c>
      <c r="T130" s="131">
        <v>-124.6</v>
      </c>
      <c r="U130" s="131">
        <v>-108</v>
      </c>
      <c r="V130" s="131">
        <v>-111.1</v>
      </c>
      <c r="W130" s="131">
        <v>-141.69999999999999</v>
      </c>
      <c r="X130" s="131">
        <v>-147.4</v>
      </c>
      <c r="Y130" s="131">
        <v>-225.5</v>
      </c>
      <c r="Z130" s="131">
        <v>-226.3</v>
      </c>
      <c r="AA130" s="131">
        <v>-227.1</v>
      </c>
      <c r="AB130" s="131">
        <v>-224</v>
      </c>
      <c r="AC130" s="131">
        <v>-233</v>
      </c>
      <c r="AD130" s="131">
        <v>-238</v>
      </c>
      <c r="AE130" s="131">
        <v>-245</v>
      </c>
      <c r="AF130" s="131">
        <v>-234</v>
      </c>
      <c r="AG130" s="128"/>
      <c r="AH130" s="48">
        <f>MAX(B130:AF130)</f>
        <v>-108</v>
      </c>
      <c r="AI130" s="49">
        <f>MIN(B130:AF130)</f>
        <v>-245</v>
      </c>
    </row>
    <row r="131" spans="1:37" x14ac:dyDescent="0.25">
      <c r="A131" s="129" t="s">
        <v>151</v>
      </c>
      <c r="B131" s="119">
        <v>-8.6999999999999993</v>
      </c>
      <c r="C131" s="119">
        <v>-8.1999999999999993</v>
      </c>
      <c r="D131" s="119">
        <v>-13</v>
      </c>
      <c r="E131" s="119">
        <v>-13.3</v>
      </c>
      <c r="F131" s="119">
        <v>-8.6</v>
      </c>
      <c r="G131" s="119">
        <v>1.4</v>
      </c>
      <c r="H131" s="119">
        <v>2.7</v>
      </c>
      <c r="I131" s="119">
        <v>0.8</v>
      </c>
      <c r="J131" s="119">
        <v>1.4</v>
      </c>
      <c r="K131" s="119">
        <v>-0.5</v>
      </c>
      <c r="L131" s="119">
        <v>6.7</v>
      </c>
      <c r="M131" s="119">
        <v>8.9</v>
      </c>
      <c r="N131" s="119"/>
      <c r="O131" s="119">
        <v>-0.6</v>
      </c>
      <c r="P131" s="119">
        <v>1.9</v>
      </c>
      <c r="Q131" s="119">
        <v>5</v>
      </c>
      <c r="R131" s="119">
        <v>0.8</v>
      </c>
      <c r="S131" s="119">
        <v>-3.1</v>
      </c>
      <c r="T131" s="119">
        <v>-10.199999999999999</v>
      </c>
      <c r="U131" s="119">
        <v>2</v>
      </c>
      <c r="V131" s="119">
        <v>-0.4</v>
      </c>
      <c r="W131" s="119">
        <v>1.8</v>
      </c>
      <c r="X131" s="119">
        <v>-12.4</v>
      </c>
      <c r="Y131" s="119">
        <v>-17.899999999999999</v>
      </c>
      <c r="Z131" s="119">
        <v>-22.7</v>
      </c>
      <c r="AA131" s="119">
        <v>-24.8</v>
      </c>
      <c r="AB131" s="119">
        <v>-22</v>
      </c>
      <c r="AC131" s="119">
        <v>-21</v>
      </c>
      <c r="AD131" s="119">
        <v>-21</v>
      </c>
      <c r="AE131" s="119">
        <v>-17</v>
      </c>
      <c r="AF131" s="119">
        <v>-17</v>
      </c>
      <c r="AG131" s="128"/>
      <c r="AH131" s="48">
        <f>MAX(B131:AF131)</f>
        <v>8.9</v>
      </c>
      <c r="AI131" s="49">
        <f>MIN(B131:AF131)</f>
        <v>-24.8</v>
      </c>
    </row>
    <row r="132" spans="1:37" x14ac:dyDescent="0.25">
      <c r="A132" s="129" t="s">
        <v>152</v>
      </c>
      <c r="B132" s="119">
        <v>59.8</v>
      </c>
      <c r="C132" s="119">
        <v>52.4</v>
      </c>
      <c r="D132" s="119">
        <v>60.9</v>
      </c>
      <c r="E132" s="119">
        <v>55.3</v>
      </c>
      <c r="F132" s="119">
        <v>56.4</v>
      </c>
      <c r="G132" s="119">
        <v>45.4</v>
      </c>
      <c r="H132" s="119">
        <v>43.6</v>
      </c>
      <c r="I132" s="119">
        <v>46</v>
      </c>
      <c r="J132" s="119">
        <v>56.3</v>
      </c>
      <c r="K132" s="119">
        <v>57.7</v>
      </c>
      <c r="L132" s="119">
        <v>51.7</v>
      </c>
      <c r="M132" s="119">
        <v>59</v>
      </c>
      <c r="N132" s="119"/>
      <c r="O132" s="119">
        <v>86</v>
      </c>
      <c r="P132" s="119">
        <v>88.9</v>
      </c>
      <c r="Q132" s="119">
        <v>91</v>
      </c>
      <c r="R132" s="119">
        <v>91</v>
      </c>
      <c r="S132" s="119">
        <v>86</v>
      </c>
      <c r="T132" s="119">
        <v>93</v>
      </c>
      <c r="U132" s="119">
        <v>67.5</v>
      </c>
      <c r="V132" s="119">
        <v>59.8</v>
      </c>
      <c r="W132" s="119">
        <v>53.2</v>
      </c>
      <c r="X132" s="119">
        <v>57.7</v>
      </c>
      <c r="Y132" s="119">
        <v>52.96</v>
      </c>
      <c r="Z132" s="119">
        <v>68.3</v>
      </c>
      <c r="AA132" s="119">
        <v>71.5</v>
      </c>
      <c r="AB132" s="119">
        <v>45.4</v>
      </c>
      <c r="AC132" s="119">
        <v>54</v>
      </c>
      <c r="AD132" s="119">
        <v>61</v>
      </c>
      <c r="AE132" s="119">
        <v>69</v>
      </c>
      <c r="AF132" s="119">
        <v>76</v>
      </c>
      <c r="AG132" s="128"/>
      <c r="AH132" s="48">
        <f>MAX(B132:AF132)</f>
        <v>93</v>
      </c>
      <c r="AI132" s="49">
        <f>MIN(B132:AF132)</f>
        <v>43.6</v>
      </c>
    </row>
    <row r="133" spans="1:37" ht="15.75" thickBot="1" x14ac:dyDescent="0.3">
      <c r="A133" s="129" t="s">
        <v>153</v>
      </c>
      <c r="B133" s="119">
        <v>76.2</v>
      </c>
      <c r="C133" s="119">
        <v>78.7</v>
      </c>
      <c r="D133" s="119">
        <v>78.900000000000006</v>
      </c>
      <c r="E133" s="119">
        <v>76.099999999999994</v>
      </c>
      <c r="F133" s="119">
        <v>71.5</v>
      </c>
      <c r="G133" s="119">
        <v>60.4</v>
      </c>
      <c r="H133" s="119">
        <v>58.6</v>
      </c>
      <c r="I133" s="119">
        <v>59.2</v>
      </c>
      <c r="J133" s="119">
        <v>68</v>
      </c>
      <c r="K133" s="119">
        <v>68.3</v>
      </c>
      <c r="L133" s="119">
        <v>66.7</v>
      </c>
      <c r="M133" s="119">
        <v>69</v>
      </c>
      <c r="N133" s="119"/>
      <c r="O133" s="119">
        <v>87</v>
      </c>
      <c r="P133" s="119">
        <v>88.2</v>
      </c>
      <c r="Q133" s="119">
        <v>86</v>
      </c>
      <c r="R133" s="119">
        <v>94</v>
      </c>
      <c r="S133" s="119">
        <v>87.7</v>
      </c>
      <c r="T133" s="119">
        <v>95.9</v>
      </c>
      <c r="U133" s="119">
        <v>85.6</v>
      </c>
      <c r="V133" s="119">
        <v>72.099999999999994</v>
      </c>
      <c r="W133" s="119">
        <v>66.099999999999994</v>
      </c>
      <c r="X133" s="119">
        <v>72.3</v>
      </c>
      <c r="Y133" s="119">
        <v>65.099999999999994</v>
      </c>
      <c r="Z133" s="119">
        <v>80.7</v>
      </c>
      <c r="AA133" s="119">
        <v>89.9</v>
      </c>
      <c r="AB133" s="119">
        <v>73</v>
      </c>
      <c r="AC133" s="119">
        <v>70</v>
      </c>
      <c r="AD133" s="119">
        <v>75</v>
      </c>
      <c r="AE133" s="119">
        <v>83</v>
      </c>
      <c r="AF133" s="119">
        <v>85</v>
      </c>
      <c r="AG133" s="128"/>
      <c r="AH133" s="48">
        <f>MAX(B133:AF133)</f>
        <v>95.9</v>
      </c>
      <c r="AI133" s="49">
        <f>MIN(B133:AF133)</f>
        <v>58.6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1985.74</v>
      </c>
      <c r="C135" s="137">
        <v>1985.78</v>
      </c>
      <c r="D135" s="137">
        <v>1985.78</v>
      </c>
      <c r="E135" s="137">
        <v>1985.79</v>
      </c>
      <c r="F135" s="137">
        <v>1985.79</v>
      </c>
      <c r="G135" s="137">
        <v>1985.78</v>
      </c>
      <c r="H135" s="137"/>
      <c r="I135" s="137">
        <v>1985.8</v>
      </c>
      <c r="J135" s="137">
        <v>1985.78</v>
      </c>
      <c r="K135" s="137">
        <v>1985.8</v>
      </c>
      <c r="L135" s="137"/>
      <c r="M135" s="137">
        <v>1985.8</v>
      </c>
      <c r="N135" s="137">
        <v>1985.825</v>
      </c>
      <c r="O135" s="137">
        <v>1985.7</v>
      </c>
      <c r="P135" s="137">
        <v>1985.52</v>
      </c>
      <c r="Q135" s="137">
        <v>1985.58</v>
      </c>
      <c r="R135" s="137"/>
      <c r="S135" s="137">
        <v>1985.7</v>
      </c>
      <c r="T135" s="137"/>
      <c r="U135" s="137"/>
      <c r="V135" s="137"/>
      <c r="W135" s="137"/>
      <c r="X135" s="137"/>
      <c r="Y135" s="137">
        <v>1986.7</v>
      </c>
      <c r="Z135" s="137"/>
      <c r="AA135" s="137"/>
      <c r="AB135" s="137">
        <v>1986.62</v>
      </c>
      <c r="AC135" s="137">
        <v>1986.55</v>
      </c>
      <c r="AD135" s="137">
        <v>1986.5</v>
      </c>
      <c r="AE135" s="137">
        <v>1986.4</v>
      </c>
      <c r="AF135" s="138">
        <v>1986.32</v>
      </c>
      <c r="AG135" s="139"/>
      <c r="AH135" s="48"/>
      <c r="AI135" s="49"/>
    </row>
    <row r="136" spans="1:37" x14ac:dyDescent="0.25">
      <c r="A136" s="136" t="s">
        <v>156</v>
      </c>
      <c r="B136" s="140">
        <v>521.76</v>
      </c>
      <c r="C136" s="140">
        <v>521.94000000000005</v>
      </c>
      <c r="D136" s="140">
        <v>522.16</v>
      </c>
      <c r="E136" s="140">
        <v>522.41</v>
      </c>
      <c r="F136" s="140">
        <v>522.66</v>
      </c>
      <c r="G136" s="140">
        <v>622.9</v>
      </c>
      <c r="H136" s="140"/>
      <c r="I136" s="140">
        <v>623.1</v>
      </c>
      <c r="J136" s="140">
        <v>623.20000000000005</v>
      </c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>
        <v>523.77</v>
      </c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>
        <v>625.1</v>
      </c>
      <c r="AF137" s="141">
        <v>625.05999999999995</v>
      </c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>
        <v>883.3</v>
      </c>
      <c r="J139" s="140"/>
      <c r="K139" s="140"/>
      <c r="L139" s="140"/>
      <c r="M139" s="140"/>
      <c r="N139" s="140"/>
      <c r="O139" s="140"/>
      <c r="P139" s="140">
        <v>886.2</v>
      </c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>
        <v>883.5</v>
      </c>
      <c r="AE139" s="140">
        <v>883.8</v>
      </c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1486.5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>
        <v>1486.5</v>
      </c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>
        <v>1486.31</v>
      </c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19">SUM(B142:B246)</f>
        <v>0</v>
      </c>
      <c r="C247" s="161">
        <f t="shared" si="119"/>
        <v>0</v>
      </c>
      <c r="D247" s="161">
        <f t="shared" si="119"/>
        <v>0</v>
      </c>
      <c r="E247" s="161">
        <f t="shared" si="119"/>
        <v>0</v>
      </c>
      <c r="F247" s="161">
        <f t="shared" si="119"/>
        <v>0</v>
      </c>
      <c r="G247" s="161">
        <f t="shared" si="119"/>
        <v>0</v>
      </c>
      <c r="H247" s="161">
        <f t="shared" si="119"/>
        <v>0</v>
      </c>
      <c r="I247" s="161">
        <f t="shared" si="119"/>
        <v>0</v>
      </c>
      <c r="J247" s="161">
        <f t="shared" si="119"/>
        <v>0</v>
      </c>
      <c r="K247" s="161">
        <f t="shared" si="119"/>
        <v>0</v>
      </c>
      <c r="L247" s="161">
        <f t="shared" si="119"/>
        <v>0</v>
      </c>
      <c r="M247" s="161">
        <f t="shared" si="119"/>
        <v>0</v>
      </c>
      <c r="N247" s="161">
        <f t="shared" si="119"/>
        <v>0</v>
      </c>
      <c r="O247" s="161">
        <f t="shared" si="119"/>
        <v>0</v>
      </c>
      <c r="P247" s="161">
        <f t="shared" si="119"/>
        <v>0</v>
      </c>
      <c r="Q247" s="161">
        <f t="shared" si="119"/>
        <v>0</v>
      </c>
      <c r="R247" s="161">
        <f t="shared" si="119"/>
        <v>0</v>
      </c>
      <c r="S247" s="161">
        <f t="shared" si="119"/>
        <v>0</v>
      </c>
      <c r="T247" s="161">
        <f t="shared" si="119"/>
        <v>0</v>
      </c>
      <c r="U247" s="161">
        <f t="shared" si="119"/>
        <v>0</v>
      </c>
      <c r="V247" s="161">
        <f t="shared" si="119"/>
        <v>0</v>
      </c>
      <c r="W247" s="161">
        <f t="shared" si="119"/>
        <v>0</v>
      </c>
      <c r="X247" s="161">
        <f t="shared" si="119"/>
        <v>0</v>
      </c>
      <c r="Y247" s="161">
        <f t="shared" si="119"/>
        <v>0</v>
      </c>
      <c r="Z247" s="161">
        <f t="shared" si="119"/>
        <v>0</v>
      </c>
      <c r="AA247" s="161">
        <f t="shared" si="119"/>
        <v>0</v>
      </c>
      <c r="AB247" s="161">
        <f t="shared" si="119"/>
        <v>0</v>
      </c>
      <c r="AC247" s="161">
        <f t="shared" si="119"/>
        <v>0</v>
      </c>
      <c r="AD247" s="161">
        <f t="shared" si="119"/>
        <v>0</v>
      </c>
      <c r="AE247" s="161">
        <f t="shared" si="119"/>
        <v>0</v>
      </c>
      <c r="AF247" s="162">
        <f t="shared" si="119"/>
        <v>0</v>
      </c>
      <c r="AG247" s="163">
        <f t="shared" si="119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20">AF249</f>
        <v>0.3</v>
      </c>
      <c r="C249" s="166">
        <v>0.3</v>
      </c>
      <c r="D249" s="166">
        <f t="shared" ref="D249:S254" si="121">C249</f>
        <v>0.3</v>
      </c>
      <c r="E249" s="166">
        <f t="shared" si="121"/>
        <v>0.3</v>
      </c>
      <c r="F249" s="166">
        <f t="shared" si="121"/>
        <v>0.3</v>
      </c>
      <c r="G249" s="166">
        <f t="shared" si="121"/>
        <v>0.3</v>
      </c>
      <c r="H249" s="166">
        <f t="shared" si="121"/>
        <v>0.3</v>
      </c>
      <c r="I249" s="166">
        <f t="shared" si="121"/>
        <v>0.3</v>
      </c>
      <c r="J249" s="166">
        <f t="shared" si="121"/>
        <v>0.3</v>
      </c>
      <c r="K249" s="166">
        <f t="shared" si="121"/>
        <v>0.3</v>
      </c>
      <c r="L249" s="166">
        <f t="shared" si="121"/>
        <v>0.3</v>
      </c>
      <c r="M249" s="166">
        <f t="shared" si="121"/>
        <v>0.3</v>
      </c>
      <c r="N249" s="166">
        <f t="shared" si="121"/>
        <v>0.3</v>
      </c>
      <c r="O249" s="166">
        <f t="shared" si="121"/>
        <v>0.3</v>
      </c>
      <c r="P249" s="166">
        <f t="shared" si="121"/>
        <v>0.3</v>
      </c>
      <c r="Q249" s="166">
        <f t="shared" si="121"/>
        <v>0.3</v>
      </c>
      <c r="R249" s="166">
        <f t="shared" si="121"/>
        <v>0.3</v>
      </c>
      <c r="S249" s="166">
        <f t="shared" si="121"/>
        <v>0.3</v>
      </c>
      <c r="T249" s="166">
        <f t="shared" ref="T249:AF254" si="122">S249</f>
        <v>0.3</v>
      </c>
      <c r="U249" s="166">
        <f t="shared" si="122"/>
        <v>0.3</v>
      </c>
      <c r="V249" s="166">
        <f t="shared" si="122"/>
        <v>0.3</v>
      </c>
      <c r="W249" s="166">
        <f t="shared" si="122"/>
        <v>0.3</v>
      </c>
      <c r="X249" s="166">
        <f t="shared" si="122"/>
        <v>0.3</v>
      </c>
      <c r="Y249" s="166">
        <f t="shared" si="122"/>
        <v>0.3</v>
      </c>
      <c r="Z249" s="166">
        <f t="shared" si="122"/>
        <v>0.3</v>
      </c>
      <c r="AA249" s="166">
        <f t="shared" si="122"/>
        <v>0.3</v>
      </c>
      <c r="AB249" s="166">
        <f t="shared" si="122"/>
        <v>0.3</v>
      </c>
      <c r="AC249" s="166">
        <f t="shared" si="122"/>
        <v>0.3</v>
      </c>
      <c r="AD249" s="166">
        <f t="shared" si="122"/>
        <v>0.3</v>
      </c>
      <c r="AE249" s="166">
        <f t="shared" si="122"/>
        <v>0.3</v>
      </c>
      <c r="AF249" s="166">
        <f t="shared" si="122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20"/>
        <v>0.4</v>
      </c>
      <c r="C250" s="152">
        <v>0.4</v>
      </c>
      <c r="D250" s="152">
        <f t="shared" si="121"/>
        <v>0.4</v>
      </c>
      <c r="E250" s="152">
        <f t="shared" si="121"/>
        <v>0.4</v>
      </c>
      <c r="F250" s="152">
        <f t="shared" si="121"/>
        <v>0.4</v>
      </c>
      <c r="G250" s="152">
        <f t="shared" si="121"/>
        <v>0.4</v>
      </c>
      <c r="H250" s="152">
        <f t="shared" si="121"/>
        <v>0.4</v>
      </c>
      <c r="I250" s="152">
        <f t="shared" si="121"/>
        <v>0.4</v>
      </c>
      <c r="J250" s="152">
        <f t="shared" si="121"/>
        <v>0.4</v>
      </c>
      <c r="K250" s="152">
        <f t="shared" si="121"/>
        <v>0.4</v>
      </c>
      <c r="L250" s="152">
        <f t="shared" si="121"/>
        <v>0.4</v>
      </c>
      <c r="M250" s="152">
        <f t="shared" si="121"/>
        <v>0.4</v>
      </c>
      <c r="N250" s="152">
        <f t="shared" si="121"/>
        <v>0.4</v>
      </c>
      <c r="O250" s="152">
        <f t="shared" si="121"/>
        <v>0.4</v>
      </c>
      <c r="P250" s="152">
        <f t="shared" si="121"/>
        <v>0.4</v>
      </c>
      <c r="Q250" s="152">
        <f t="shared" si="121"/>
        <v>0.4</v>
      </c>
      <c r="R250" s="152">
        <f t="shared" si="121"/>
        <v>0.4</v>
      </c>
      <c r="S250" s="152">
        <f t="shared" si="121"/>
        <v>0.4</v>
      </c>
      <c r="T250" s="152">
        <f t="shared" si="122"/>
        <v>0.4</v>
      </c>
      <c r="U250" s="152">
        <f t="shared" si="122"/>
        <v>0.4</v>
      </c>
      <c r="V250" s="152">
        <f t="shared" si="122"/>
        <v>0.4</v>
      </c>
      <c r="W250" s="152">
        <f t="shared" si="122"/>
        <v>0.4</v>
      </c>
      <c r="X250" s="152">
        <f t="shared" si="122"/>
        <v>0.4</v>
      </c>
      <c r="Y250" s="152">
        <f t="shared" si="122"/>
        <v>0.4</v>
      </c>
      <c r="Z250" s="152">
        <f t="shared" si="122"/>
        <v>0.4</v>
      </c>
      <c r="AA250" s="152">
        <f t="shared" si="122"/>
        <v>0.4</v>
      </c>
      <c r="AB250" s="152">
        <f t="shared" si="122"/>
        <v>0.4</v>
      </c>
      <c r="AC250" s="152">
        <f t="shared" si="122"/>
        <v>0.4</v>
      </c>
      <c r="AD250" s="152">
        <f t="shared" si="122"/>
        <v>0.4</v>
      </c>
      <c r="AE250" s="152">
        <f t="shared" si="122"/>
        <v>0.4</v>
      </c>
      <c r="AF250" s="152">
        <f t="shared" si="122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20"/>
        <v>1.5</v>
      </c>
      <c r="C251" s="152">
        <v>1.5</v>
      </c>
      <c r="D251" s="152">
        <f t="shared" si="121"/>
        <v>1.5</v>
      </c>
      <c r="E251" s="152">
        <f t="shared" si="121"/>
        <v>1.5</v>
      </c>
      <c r="F251" s="152">
        <f t="shared" si="121"/>
        <v>1.5</v>
      </c>
      <c r="G251" s="152">
        <f t="shared" si="121"/>
        <v>1.5</v>
      </c>
      <c r="H251" s="152">
        <f t="shared" si="121"/>
        <v>1.5</v>
      </c>
      <c r="I251" s="152">
        <f t="shared" si="121"/>
        <v>1.5</v>
      </c>
      <c r="J251" s="152">
        <f t="shared" si="121"/>
        <v>1.5</v>
      </c>
      <c r="K251" s="152">
        <f t="shared" si="121"/>
        <v>1.5</v>
      </c>
      <c r="L251" s="152">
        <f t="shared" si="121"/>
        <v>1.5</v>
      </c>
      <c r="M251" s="152">
        <f t="shared" si="121"/>
        <v>1.5</v>
      </c>
      <c r="N251" s="152">
        <f t="shared" si="121"/>
        <v>1.5</v>
      </c>
      <c r="O251" s="152">
        <f t="shared" si="121"/>
        <v>1.5</v>
      </c>
      <c r="P251" s="152">
        <f t="shared" si="121"/>
        <v>1.5</v>
      </c>
      <c r="Q251" s="152">
        <f t="shared" si="121"/>
        <v>1.5</v>
      </c>
      <c r="R251" s="152">
        <f t="shared" si="121"/>
        <v>1.5</v>
      </c>
      <c r="S251" s="152">
        <f t="shared" si="121"/>
        <v>1.5</v>
      </c>
      <c r="T251" s="152">
        <f t="shared" si="122"/>
        <v>1.5</v>
      </c>
      <c r="U251" s="152">
        <f t="shared" si="122"/>
        <v>1.5</v>
      </c>
      <c r="V251" s="152">
        <f t="shared" si="122"/>
        <v>1.5</v>
      </c>
      <c r="W251" s="152">
        <f t="shared" si="122"/>
        <v>1.5</v>
      </c>
      <c r="X251" s="152">
        <f t="shared" si="122"/>
        <v>1.5</v>
      </c>
      <c r="Y251" s="152">
        <f t="shared" si="122"/>
        <v>1.5</v>
      </c>
      <c r="Z251" s="152">
        <f t="shared" si="122"/>
        <v>1.5</v>
      </c>
      <c r="AA251" s="152">
        <f t="shared" si="122"/>
        <v>1.5</v>
      </c>
      <c r="AB251" s="152">
        <f t="shared" si="122"/>
        <v>1.5</v>
      </c>
      <c r="AC251" s="152">
        <f t="shared" si="122"/>
        <v>1.5</v>
      </c>
      <c r="AD251" s="152">
        <f t="shared" si="122"/>
        <v>1.5</v>
      </c>
      <c r="AE251" s="152">
        <f t="shared" si="122"/>
        <v>1.5</v>
      </c>
      <c r="AF251" s="152">
        <f t="shared" si="122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20"/>
        <v>0.3</v>
      </c>
      <c r="C252" s="152">
        <v>0.3</v>
      </c>
      <c r="D252" s="152">
        <f t="shared" si="121"/>
        <v>0.3</v>
      </c>
      <c r="E252" s="152">
        <f t="shared" si="121"/>
        <v>0.3</v>
      </c>
      <c r="F252" s="152">
        <f t="shared" si="121"/>
        <v>0.3</v>
      </c>
      <c r="G252" s="152">
        <f t="shared" si="121"/>
        <v>0.3</v>
      </c>
      <c r="H252" s="152">
        <f t="shared" si="121"/>
        <v>0.3</v>
      </c>
      <c r="I252" s="152">
        <f t="shared" si="121"/>
        <v>0.3</v>
      </c>
      <c r="J252" s="152">
        <f t="shared" si="121"/>
        <v>0.3</v>
      </c>
      <c r="K252" s="152">
        <f t="shared" si="121"/>
        <v>0.3</v>
      </c>
      <c r="L252" s="152">
        <f t="shared" si="121"/>
        <v>0.3</v>
      </c>
      <c r="M252" s="152">
        <f t="shared" si="121"/>
        <v>0.3</v>
      </c>
      <c r="N252" s="152">
        <f t="shared" si="121"/>
        <v>0.3</v>
      </c>
      <c r="O252" s="152">
        <f t="shared" si="121"/>
        <v>0.3</v>
      </c>
      <c r="P252" s="152">
        <f t="shared" si="121"/>
        <v>0.3</v>
      </c>
      <c r="Q252" s="152">
        <f t="shared" si="121"/>
        <v>0.3</v>
      </c>
      <c r="R252" s="152">
        <f t="shared" si="121"/>
        <v>0.3</v>
      </c>
      <c r="S252" s="152">
        <f t="shared" si="121"/>
        <v>0.3</v>
      </c>
      <c r="T252" s="152">
        <f t="shared" si="122"/>
        <v>0.3</v>
      </c>
      <c r="U252" s="152">
        <f t="shared" si="122"/>
        <v>0.3</v>
      </c>
      <c r="V252" s="152">
        <f t="shared" si="122"/>
        <v>0.3</v>
      </c>
      <c r="W252" s="152">
        <f t="shared" si="122"/>
        <v>0.3</v>
      </c>
      <c r="X252" s="152">
        <f t="shared" si="122"/>
        <v>0.3</v>
      </c>
      <c r="Y252" s="152">
        <f t="shared" si="122"/>
        <v>0.3</v>
      </c>
      <c r="Z252" s="152">
        <f t="shared" si="122"/>
        <v>0.3</v>
      </c>
      <c r="AA252" s="152">
        <f t="shared" si="122"/>
        <v>0.3</v>
      </c>
      <c r="AB252" s="152">
        <f t="shared" si="122"/>
        <v>0.3</v>
      </c>
      <c r="AC252" s="152">
        <f t="shared" si="122"/>
        <v>0.3</v>
      </c>
      <c r="AD252" s="152">
        <f t="shared" si="122"/>
        <v>0.3</v>
      </c>
      <c r="AE252" s="152">
        <f t="shared" si="122"/>
        <v>0.3</v>
      </c>
      <c r="AF252" s="152">
        <f t="shared" si="122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20"/>
        <v>0.4</v>
      </c>
      <c r="C253" s="152">
        <v>0.4</v>
      </c>
      <c r="D253" s="152">
        <f t="shared" si="121"/>
        <v>0.4</v>
      </c>
      <c r="E253" s="152">
        <f t="shared" si="121"/>
        <v>0.4</v>
      </c>
      <c r="F253" s="152">
        <f t="shared" si="121"/>
        <v>0.4</v>
      </c>
      <c r="G253" s="152">
        <f t="shared" si="121"/>
        <v>0.4</v>
      </c>
      <c r="H253" s="152">
        <f t="shared" si="121"/>
        <v>0.4</v>
      </c>
      <c r="I253" s="152">
        <f t="shared" si="121"/>
        <v>0.4</v>
      </c>
      <c r="J253" s="152">
        <f t="shared" si="121"/>
        <v>0.4</v>
      </c>
      <c r="K253" s="152">
        <f t="shared" si="121"/>
        <v>0.4</v>
      </c>
      <c r="L253" s="152">
        <f t="shared" si="121"/>
        <v>0.4</v>
      </c>
      <c r="M253" s="152">
        <f t="shared" si="121"/>
        <v>0.4</v>
      </c>
      <c r="N253" s="152">
        <f t="shared" si="121"/>
        <v>0.4</v>
      </c>
      <c r="O253" s="152">
        <f t="shared" si="121"/>
        <v>0.4</v>
      </c>
      <c r="P253" s="152">
        <f t="shared" si="121"/>
        <v>0.4</v>
      </c>
      <c r="Q253" s="152">
        <f t="shared" si="121"/>
        <v>0.4</v>
      </c>
      <c r="R253" s="152">
        <f t="shared" si="121"/>
        <v>0.4</v>
      </c>
      <c r="S253" s="152">
        <f t="shared" si="121"/>
        <v>0.4</v>
      </c>
      <c r="T253" s="152">
        <f t="shared" si="122"/>
        <v>0.4</v>
      </c>
      <c r="U253" s="152">
        <f t="shared" si="122"/>
        <v>0.4</v>
      </c>
      <c r="V253" s="152">
        <f t="shared" si="122"/>
        <v>0.4</v>
      </c>
      <c r="W253" s="152">
        <f t="shared" si="122"/>
        <v>0.4</v>
      </c>
      <c r="X253" s="152">
        <f t="shared" si="122"/>
        <v>0.4</v>
      </c>
      <c r="Y253" s="152">
        <f t="shared" si="122"/>
        <v>0.4</v>
      </c>
      <c r="Z253" s="152">
        <f t="shared" si="122"/>
        <v>0.4</v>
      </c>
      <c r="AA253" s="152">
        <f t="shared" si="122"/>
        <v>0.4</v>
      </c>
      <c r="AB253" s="152">
        <f t="shared" si="122"/>
        <v>0.4</v>
      </c>
      <c r="AC253" s="152">
        <f t="shared" si="122"/>
        <v>0.4</v>
      </c>
      <c r="AD253" s="152">
        <f t="shared" si="122"/>
        <v>0.4</v>
      </c>
      <c r="AE253" s="152">
        <f t="shared" si="122"/>
        <v>0.4</v>
      </c>
      <c r="AF253" s="152">
        <f t="shared" si="122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20"/>
        <v>0.64</v>
      </c>
      <c r="C254" s="157">
        <v>0.64</v>
      </c>
      <c r="D254" s="157">
        <f t="shared" si="121"/>
        <v>0.64</v>
      </c>
      <c r="E254" s="157">
        <f t="shared" si="121"/>
        <v>0.64</v>
      </c>
      <c r="F254" s="157">
        <f t="shared" si="121"/>
        <v>0.64</v>
      </c>
      <c r="G254" s="157">
        <f t="shared" si="121"/>
        <v>0.64</v>
      </c>
      <c r="H254" s="157">
        <f t="shared" si="121"/>
        <v>0.64</v>
      </c>
      <c r="I254" s="157">
        <f t="shared" si="121"/>
        <v>0.64</v>
      </c>
      <c r="J254" s="157">
        <f t="shared" si="121"/>
        <v>0.64</v>
      </c>
      <c r="K254" s="157">
        <f t="shared" si="121"/>
        <v>0.64</v>
      </c>
      <c r="L254" s="157">
        <f t="shared" si="121"/>
        <v>0.64</v>
      </c>
      <c r="M254" s="157">
        <f t="shared" si="121"/>
        <v>0.64</v>
      </c>
      <c r="N254" s="157">
        <f t="shared" si="121"/>
        <v>0.64</v>
      </c>
      <c r="O254" s="157">
        <f t="shared" si="121"/>
        <v>0.64</v>
      </c>
      <c r="P254" s="157">
        <f t="shared" si="121"/>
        <v>0.64</v>
      </c>
      <c r="Q254" s="157">
        <f t="shared" si="121"/>
        <v>0.64</v>
      </c>
      <c r="R254" s="157">
        <f t="shared" si="121"/>
        <v>0.64</v>
      </c>
      <c r="S254" s="157">
        <f t="shared" si="121"/>
        <v>0.64</v>
      </c>
      <c r="T254" s="157">
        <f t="shared" si="122"/>
        <v>0.64</v>
      </c>
      <c r="U254" s="157">
        <f t="shared" si="122"/>
        <v>0.64</v>
      </c>
      <c r="V254" s="157">
        <f t="shared" si="122"/>
        <v>0.64</v>
      </c>
      <c r="W254" s="157">
        <f t="shared" si="122"/>
        <v>0.64</v>
      </c>
      <c r="X254" s="157">
        <f t="shared" si="122"/>
        <v>0.64</v>
      </c>
      <c r="Y254" s="157">
        <f t="shared" si="122"/>
        <v>0.64</v>
      </c>
      <c r="Z254" s="157">
        <f t="shared" si="122"/>
        <v>0.64</v>
      </c>
      <c r="AA254" s="157">
        <f t="shared" si="122"/>
        <v>0.64</v>
      </c>
      <c r="AB254" s="157">
        <f t="shared" si="122"/>
        <v>0.64</v>
      </c>
      <c r="AC254" s="157">
        <f t="shared" si="122"/>
        <v>0.64</v>
      </c>
      <c r="AD254" s="157">
        <f t="shared" si="122"/>
        <v>0.64</v>
      </c>
      <c r="AE254" s="157">
        <f t="shared" si="122"/>
        <v>0.64</v>
      </c>
      <c r="AF254" s="157">
        <f t="shared" si="122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23">SUM(B249:B254)</f>
        <v>3.54</v>
      </c>
      <c r="C255" s="161">
        <f t="shared" si="123"/>
        <v>3.54</v>
      </c>
      <c r="D255" s="161">
        <f t="shared" si="123"/>
        <v>3.54</v>
      </c>
      <c r="E255" s="161">
        <f t="shared" si="123"/>
        <v>3.54</v>
      </c>
      <c r="F255" s="161">
        <f t="shared" si="123"/>
        <v>3.54</v>
      </c>
      <c r="G255" s="161">
        <f t="shared" si="123"/>
        <v>3.54</v>
      </c>
      <c r="H255" s="161">
        <f t="shared" si="123"/>
        <v>3.54</v>
      </c>
      <c r="I255" s="161">
        <f t="shared" si="123"/>
        <v>3.54</v>
      </c>
      <c r="J255" s="161">
        <f t="shared" si="123"/>
        <v>3.54</v>
      </c>
      <c r="K255" s="161">
        <f t="shared" si="123"/>
        <v>3.54</v>
      </c>
      <c r="L255" s="161">
        <f t="shared" si="123"/>
        <v>3.54</v>
      </c>
      <c r="M255" s="161">
        <f t="shared" si="123"/>
        <v>3.54</v>
      </c>
      <c r="N255" s="161">
        <f t="shared" si="123"/>
        <v>3.54</v>
      </c>
      <c r="O255" s="161">
        <f t="shared" si="123"/>
        <v>3.54</v>
      </c>
      <c r="P255" s="161">
        <f t="shared" si="123"/>
        <v>3.54</v>
      </c>
      <c r="Q255" s="161">
        <f t="shared" si="123"/>
        <v>3.54</v>
      </c>
      <c r="R255" s="161">
        <f t="shared" si="123"/>
        <v>3.54</v>
      </c>
      <c r="S255" s="161">
        <f t="shared" si="123"/>
        <v>3.54</v>
      </c>
      <c r="T255" s="161">
        <f t="shared" si="123"/>
        <v>3.54</v>
      </c>
      <c r="U255" s="161">
        <f t="shared" si="123"/>
        <v>3.54</v>
      </c>
      <c r="V255" s="161">
        <f t="shared" si="123"/>
        <v>3.54</v>
      </c>
      <c r="W255" s="161">
        <f t="shared" si="123"/>
        <v>3.54</v>
      </c>
      <c r="X255" s="161">
        <f t="shared" si="123"/>
        <v>3.54</v>
      </c>
      <c r="Y255" s="161">
        <f t="shared" si="123"/>
        <v>3.54</v>
      </c>
      <c r="Z255" s="161">
        <f t="shared" si="123"/>
        <v>3.54</v>
      </c>
      <c r="AA255" s="161">
        <f t="shared" si="123"/>
        <v>3.54</v>
      </c>
      <c r="AB255" s="161">
        <f t="shared" si="123"/>
        <v>3.54</v>
      </c>
      <c r="AC255" s="161">
        <f t="shared" si="123"/>
        <v>3.54</v>
      </c>
      <c r="AD255" s="161">
        <f t="shared" si="123"/>
        <v>3.54</v>
      </c>
      <c r="AE255" s="161">
        <f t="shared" si="123"/>
        <v>3.54</v>
      </c>
      <c r="AF255" s="161">
        <f t="shared" si="123"/>
        <v>3.54</v>
      </c>
      <c r="AG255" s="171">
        <f t="shared" si="123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1873.9</v>
      </c>
      <c r="C259" s="174">
        <f>INDEX(G9:N9,1,MATCH(MAX(G102:N102),G102:N102,0))</f>
        <v>0.27083333333333331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2080/10/27)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130" priority="102">
      <formula>$AH11=0</formula>
    </cfRule>
  </conditionalFormatting>
  <conditionalFormatting sqref="A89">
    <cfRule type="expression" dxfId="1129" priority="160">
      <formula>$AH94=0</formula>
    </cfRule>
  </conditionalFormatting>
  <conditionalFormatting sqref="A90:A94">
    <cfRule type="expression" dxfId="1128" priority="103">
      <formula>$AH89=0</formula>
    </cfRule>
  </conditionalFormatting>
  <conditionalFormatting sqref="B8">
    <cfRule type="expression" dxfId="1127" priority="156">
      <formula>AND(C$9&gt;=14/24,C$9&lt;20/24)</formula>
    </cfRule>
    <cfRule type="expression" dxfId="1126" priority="157">
      <formula>AND(C$9&gt;=8/24,C$9&lt;14/24)</formula>
    </cfRule>
    <cfRule type="expression" dxfId="1125" priority="158">
      <formula>C$9&lt;8/24</formula>
    </cfRule>
    <cfRule type="expression" dxfId="1124" priority="159">
      <formula>C$9&gt;=20/24</formula>
    </cfRule>
  </conditionalFormatting>
  <conditionalFormatting sqref="B66:S77 Y73:AF73 T73:X77 B80:L82">
    <cfRule type="expression" dxfId="1123" priority="5">
      <formula>B$9&gt;=20/24</formula>
    </cfRule>
    <cfRule type="expression" dxfId="1122" priority="6">
      <formula>AND(B$9&gt;=14/24,B$9&lt;20/24)</formula>
    </cfRule>
    <cfRule type="expression" dxfId="1121" priority="7">
      <formula>AND(B$9&gt;=8/24,B$9&lt;14/24)</formula>
    </cfRule>
    <cfRule type="expression" dxfId="1120" priority="8">
      <formula>B$9&lt;8/24</formula>
    </cfRule>
  </conditionalFormatting>
  <conditionalFormatting sqref="B11:X14">
    <cfRule type="expression" dxfId="1119" priority="10">
      <formula>B11&gt;$AG11</formula>
    </cfRule>
  </conditionalFormatting>
  <conditionalFormatting sqref="B62:AD65">
    <cfRule type="expression" dxfId="1118" priority="15">
      <formula>B$9&gt;=20/24</formula>
    </cfRule>
    <cfRule type="expression" dxfId="1117" priority="16">
      <formula>AND(B$9&gt;=14/24,B$9&lt;20/24)</formula>
    </cfRule>
    <cfRule type="expression" dxfId="1116" priority="17">
      <formula>AND(B$9&gt;=8/24,B$9&lt;14/24)</formula>
    </cfRule>
    <cfRule type="expression" dxfId="1115" priority="18">
      <formula>B$9&lt;8/24</formula>
    </cfRule>
  </conditionalFormatting>
  <conditionalFormatting sqref="B9:AF57">
    <cfRule type="expression" dxfId="1114" priority="11">
      <formula>B$9&gt;=20/24</formula>
    </cfRule>
    <cfRule type="expression" dxfId="1113" priority="12">
      <formula>AND(B$9&gt;=14/24,B$9&lt;20/24)</formula>
    </cfRule>
    <cfRule type="expression" dxfId="1112" priority="13">
      <formula>AND(B$9&gt;=8/24,B$9&lt;14/24)</formula>
    </cfRule>
    <cfRule type="expression" dxfId="1111" priority="14">
      <formula>B$9&lt;8/24</formula>
    </cfRule>
  </conditionalFormatting>
  <conditionalFormatting sqref="B58:AF60">
    <cfRule type="expression" dxfId="1110" priority="1">
      <formula>B$9&gt;=20/24</formula>
    </cfRule>
    <cfRule type="expression" dxfId="1109" priority="2">
      <formula>AND(B$9&gt;=14/24,B$9&lt;20/24)</formula>
    </cfRule>
    <cfRule type="expression" dxfId="1108" priority="3">
      <formula>AND(B$9&gt;=8/24,B$9&lt;14/24)</formula>
    </cfRule>
    <cfRule type="expression" dxfId="1107" priority="9">
      <formula>B$9&lt;8/24</formula>
    </cfRule>
  </conditionalFormatting>
  <conditionalFormatting sqref="D249:AF255">
    <cfRule type="expression" dxfId="1106" priority="141">
      <formula>D$9&gt;=20/24</formula>
    </cfRule>
    <cfRule type="expression" dxfId="1105" priority="142">
      <formula>AND(D$9&gt;=14/24,D$9&lt;20/24)</formula>
    </cfRule>
    <cfRule type="expression" dxfId="1104" priority="143">
      <formula>AND(D$9&gt;=8/24,D$9&lt;14/24)</formula>
    </cfRule>
    <cfRule type="expression" dxfId="1103" priority="144">
      <formula>D$9&lt;8/24</formula>
    </cfRule>
  </conditionalFormatting>
  <conditionalFormatting sqref="M8 S8 AB8">
    <cfRule type="expression" dxfId="1102" priority="148">
      <formula>AND(N$9&gt;=14/24,N$9&lt;20/24)</formula>
    </cfRule>
    <cfRule type="expression" dxfId="1101" priority="149">
      <formula>AND(N$9&gt;=8/24,N$9&lt;14/24)</formula>
    </cfRule>
    <cfRule type="expression" dxfId="1100" priority="150">
      <formula>N$9&lt;8/24</formula>
    </cfRule>
  </conditionalFormatting>
  <conditionalFormatting sqref="O3:P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99" priority="147">
      <formula>N$9&gt;=20/24</formula>
    </cfRule>
  </conditionalFormatting>
  <conditionalFormatting sqref="S8">
    <cfRule type="expression" dxfId="1098" priority="134">
      <formula>U$9&gt;=20/24</formula>
    </cfRule>
    <cfRule type="expression" dxfId="1097" priority="135">
      <formula>AND(U$9&gt;=14/24,U$9&lt;20/24)</formula>
    </cfRule>
    <cfRule type="expression" dxfId="1096" priority="136">
      <formula>AND(U$9&gt;=8/24,U$9&lt;14/24)</formula>
    </cfRule>
    <cfRule type="expression" dxfId="1095" priority="137">
      <formula>U$9&lt;8/24</formula>
    </cfRule>
  </conditionalFormatting>
  <conditionalFormatting sqref="T66:V70 W69:X70">
    <cfRule type="expression" dxfId="1094" priority="98">
      <formula>T$9&gt;=20/24</formula>
    </cfRule>
    <cfRule type="expression" dxfId="1093" priority="99">
      <formula>AND(T$9&gt;=14/24,T$9&lt;20/24)</formula>
    </cfRule>
    <cfRule type="expression" dxfId="1092" priority="100">
      <formula>AND(T$9&gt;=8/24,T$9&lt;14/24)</formula>
    </cfRule>
    <cfRule type="expression" dxfId="1091" priority="101">
      <formula>T$9&lt;8/24</formula>
    </cfRule>
  </conditionalFormatting>
  <conditionalFormatting sqref="T71:X71">
    <cfRule type="expression" dxfId="1090" priority="90">
      <formula>T$9&gt;=20/24</formula>
    </cfRule>
    <cfRule type="expression" dxfId="1089" priority="91">
      <formula>AND(T$9&gt;=14/24,T$9&lt;20/24)</formula>
    </cfRule>
    <cfRule type="expression" dxfId="1088" priority="92">
      <formula>AND(T$9&gt;=8/24,T$9&lt;14/24)</formula>
    </cfRule>
    <cfRule type="expression" dxfId="1087" priority="93">
      <formula>T$9&lt;8/24</formula>
    </cfRule>
  </conditionalFormatting>
  <conditionalFormatting sqref="T66:AF72 Y74:AF77 M80:AF102 B83:L102 B104:AF120 B122:AF140 B247:AF247 B249:B255">
    <cfRule type="expression" dxfId="1086" priority="63">
      <formula>B$9&gt;=20/24</formula>
    </cfRule>
    <cfRule type="expression" dxfId="1085" priority="64">
      <formula>AND(B$9&gt;=14/24,B$9&lt;20/24)</formula>
    </cfRule>
    <cfRule type="expression" dxfId="1084" priority="65">
      <formula>AND(B$9&gt;=8/24,B$9&lt;14/24)</formula>
    </cfRule>
    <cfRule type="expression" dxfId="1083" priority="66">
      <formula>B$9&lt;8/24</formula>
    </cfRule>
  </conditionalFormatting>
  <conditionalFormatting sqref="V3 AB3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Y11:AF60 M15:X60 B15:L82 M61:AD65 M66:S77 Y73:AF73 T73:X77">
    <cfRule type="expression" dxfId="1082" priority="4">
      <formula>B11&gt;$AG11</formula>
    </cfRule>
  </conditionalFormatting>
  <conditionalFormatting sqref="AB8">
    <cfRule type="expression" dxfId="1081" priority="130">
      <formula>AD$9&gt;=20/24</formula>
    </cfRule>
    <cfRule type="expression" dxfId="1080" priority="131">
      <formula>AND(AD$9&gt;=14/24,AD$9&lt;20/24)</formula>
    </cfRule>
    <cfRule type="expression" dxfId="1079" priority="132">
      <formula>AND(AD$9&gt;=8/24,AD$9&lt;14/24)</formula>
    </cfRule>
    <cfRule type="expression" dxfId="1078" priority="133">
      <formula>AD$9&lt;8/24</formula>
    </cfRule>
  </conditionalFormatting>
  <conditionalFormatting sqref="AE62:AF65">
    <cfRule type="expression" dxfId="1077" priority="82">
      <formula>AE$9&gt;=20/24</formula>
    </cfRule>
    <cfRule type="expression" dxfId="1076" priority="83">
      <formula>AND(AE$9&gt;=14/24,AE$9&lt;20/24)</formula>
    </cfRule>
    <cfRule type="expression" dxfId="1075" priority="84">
      <formula>AND(AE$9&gt;=8/24,AE$9&lt;14/24)</formula>
    </cfRule>
    <cfRule type="expression" dxfId="1074" priority="85">
      <formula>AE$9&lt;8/24</formula>
    </cfRule>
  </conditionalFormatting>
  <conditionalFormatting sqref="AG61 AE61:AF72 AG65 T66:AD72 Y74:AD77 AE74:AF83 M78:AD82 B83:AD83 AG83">
    <cfRule type="expression" dxfId="1073" priority="62">
      <formula>B61&gt;$AG61</formula>
    </cfRule>
  </conditionalFormatting>
  <conditionalFormatting sqref="AG65">
    <cfRule type="expression" dxfId="1072" priority="109">
      <formula>AG$9&gt;=20/24</formula>
    </cfRule>
    <cfRule type="expression" dxfId="1071" priority="110">
      <formula>AND(AG$9&gt;=14/24,AG$9&lt;20/24)</formula>
    </cfRule>
    <cfRule type="expression" dxfId="1070" priority="111">
      <formula>AND(AG$9&gt;=8/24,AG$9&lt;14/24)</formula>
    </cfRule>
    <cfRule type="expression" dxfId="1069" priority="112">
      <formula>AG$9&lt;8/24</formula>
    </cfRule>
  </conditionalFormatting>
  <conditionalFormatting sqref="AG78:AG79">
    <cfRule type="expression" dxfId="1068" priority="104">
      <formula>AG78&gt;$AG78</formula>
    </cfRule>
  </conditionalFormatting>
  <conditionalFormatting sqref="AG83">
    <cfRule type="expression" dxfId="1067" priority="105">
      <formula>AG$9&gt;=20/24</formula>
    </cfRule>
    <cfRule type="expression" dxfId="1066" priority="106">
      <formula>AND(AG$9&gt;=14/24,AG$9&lt;20/24)</formula>
    </cfRule>
    <cfRule type="expression" dxfId="1065" priority="107">
      <formula>AND(AG$9&gt;=8/24,AG$9&lt;14/24)</formula>
    </cfRule>
    <cfRule type="expression" dxfId="1064" priority="108">
      <formula>AG$9&lt;8/24</formula>
    </cfRule>
  </conditionalFormatting>
  <conditionalFormatting sqref="AG100">
    <cfRule type="expression" dxfId="1063" priority="126">
      <formula>AG$9&gt;=20/24</formula>
    </cfRule>
    <cfRule type="expression" dxfId="1062" priority="127">
      <formula>AND(AG$9&gt;=14/24,AG$9&lt;20/24)</formula>
    </cfRule>
    <cfRule type="expression" dxfId="1061" priority="128">
      <formula>AND(AG$9&gt;=8/24,AG$9&lt;14/24)</formula>
    </cfRule>
    <cfRule type="expression" dxfId="1060" priority="129">
      <formula>AG$9&lt;8/24</formula>
    </cfRule>
  </conditionalFormatting>
  <conditionalFormatting sqref="AL4:AL6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059" priority="151">
      <formula>AJ$9&gt;=20/24</formula>
    </cfRule>
    <cfRule type="expression" dxfId="1058" priority="152">
      <formula>AND(AJ$9&gt;=14/24,AJ$9&lt;20/24)</formula>
    </cfRule>
    <cfRule type="expression" dxfId="1057" priority="153">
      <formula>AND(AJ$9&gt;=8/24,AJ$9&lt;14/24)</formula>
    </cfRule>
    <cfRule type="expression" dxfId="1056" priority="154">
      <formula>AJ$9&lt;8/24</formula>
    </cfRule>
  </conditionalFormatting>
  <conditionalFormatting sqref="AL86:AN86 AL92:AN92">
    <cfRule type="expression" dxfId="1055" priority="119">
      <formula>AL$9&gt;=20/24</formula>
    </cfRule>
    <cfRule type="expression" dxfId="1054" priority="120">
      <formula>AND(AL$9&gt;=14/24,AL$9&lt;20/24)</formula>
    </cfRule>
    <cfRule type="expression" dxfId="1053" priority="121">
      <formula>AND(AL$9&gt;=8/24,AL$9&lt;14/24)</formula>
    </cfRule>
    <cfRule type="expression" dxfId="1052" priority="122">
      <formula>AL$9&lt;8/24</formula>
    </cfRule>
  </conditionalFormatting>
  <conditionalFormatting sqref="AM15:AM21 AN16:AR21">
    <cfRule type="expression" dxfId="1051" priority="35">
      <formula>AX$9&gt;=20/24</formula>
    </cfRule>
    <cfRule type="expression" dxfId="1050" priority="36">
      <formula>AND(AX$9&gt;=14/24,AX$9&lt;20/24)</formula>
    </cfRule>
    <cfRule type="expression" dxfId="1049" priority="37">
      <formula>AND(AX$9&gt;=8/24,AX$9&lt;14/24)</formula>
    </cfRule>
    <cfRule type="expression" dxfId="1048" priority="38">
      <formula>AX$9&lt;8/24</formula>
    </cfRule>
  </conditionalFormatting>
  <conditionalFormatting sqref="AN87:AN90">
    <cfRule type="expression" dxfId="1047" priority="115">
      <formula>AN$9&gt;=20/24</formula>
    </cfRule>
    <cfRule type="expression" dxfId="1046" priority="116">
      <formula>AND(AN$9&gt;=14/24,AN$9&lt;20/24)</formula>
    </cfRule>
    <cfRule type="expression" dxfId="1045" priority="117">
      <formula>AND(AN$9&gt;=8/24,AN$9&lt;14/24)</formula>
    </cfRule>
    <cfRule type="expression" dxfId="1044" priority="118">
      <formula>AN$9&lt;8/24</formula>
    </cfRule>
  </conditionalFormatting>
  <conditionalFormatting sqref="AN15:AR15">
    <cfRule type="expression" dxfId="1043" priority="23">
      <formula>U$9&gt;=20/24</formula>
    </cfRule>
    <cfRule type="expression" dxfId="1042" priority="24">
      <formula>AND(U$9&gt;=14/24,U$9&lt;20/24)</formula>
    </cfRule>
    <cfRule type="expression" dxfId="1041" priority="25">
      <formula>AND(U$9&gt;=8/24,U$9&lt;14/24)</formula>
    </cfRule>
    <cfRule type="expression" dxfId="1040" priority="26">
      <formula>U$9&lt;8/24</formula>
    </cfRule>
  </conditionalFormatting>
  <conditionalFormatting sqref="AS15">
    <cfRule type="expression" dxfId="1039" priority="31">
      <formula>AA$9&gt;=20/24</formula>
    </cfRule>
    <cfRule type="expression" dxfId="1038" priority="32">
      <formula>AND(AA$9&gt;=14/24,AA$9&lt;20/24)</formula>
    </cfRule>
    <cfRule type="expression" dxfId="1037" priority="33">
      <formula>AND(AA$9&gt;=8/24,AA$9&lt;14/24)</formula>
    </cfRule>
    <cfRule type="expression" dxfId="1036" priority="34">
      <formula>AA$9&lt;8/24</formula>
    </cfRule>
  </conditionalFormatting>
  <conditionalFormatting sqref="AS16:AS21">
    <cfRule type="expression" dxfId="1035" priority="39">
      <formula>BE$9&gt;=20/24</formula>
    </cfRule>
    <cfRule type="expression" dxfId="1034" priority="40">
      <formula>AND(BE$9&gt;=14/24,BE$9&lt;20/24)</formula>
    </cfRule>
    <cfRule type="expression" dxfId="1033" priority="41">
      <formula>AND(BE$9&gt;=8/24,BE$9&lt;14/24)</formula>
    </cfRule>
    <cfRule type="expression" dxfId="1032" priority="42">
      <formula>BE$9&lt;8/24</formula>
    </cfRule>
  </conditionalFormatting>
  <conditionalFormatting sqref="AT15 AX15:BJ15">
    <cfRule type="expression" dxfId="1031" priority="43">
      <formula>AC$9&gt;=20/24</formula>
    </cfRule>
    <cfRule type="expression" dxfId="1030" priority="44">
      <formula>AND(AC$9&gt;=14/24,AC$9&lt;20/24)</formula>
    </cfRule>
    <cfRule type="expression" dxfId="1029" priority="45">
      <formula>AND(AC$9&gt;=8/24,AC$9&lt;14/24)</formula>
    </cfRule>
    <cfRule type="expression" dxfId="1028" priority="46">
      <formula>AC$9&lt;8/24</formula>
    </cfRule>
  </conditionalFormatting>
  <conditionalFormatting sqref="AT16:AT21">
    <cfRule type="expression" dxfId="1027" priority="47">
      <formula>BG$9&gt;=20/24</formula>
    </cfRule>
    <cfRule type="expression" dxfId="1026" priority="48">
      <formula>AND(BG$9&gt;=14/24,BG$9&lt;20/24)</formula>
    </cfRule>
    <cfRule type="expression" dxfId="1025" priority="49">
      <formula>AND(BG$9&gt;=8/24,BG$9&lt;14/24)</formula>
    </cfRule>
    <cfRule type="expression" dxfId="1024" priority="50">
      <formula>BG$9&lt;8/24</formula>
    </cfRule>
  </conditionalFormatting>
  <conditionalFormatting sqref="AU15:AV15">
    <cfRule type="expression" dxfId="1023" priority="51">
      <formula>AE$9&gt;=20/24</formula>
    </cfRule>
    <cfRule type="expression" dxfId="1022" priority="52">
      <formula>AND(AE$9&gt;=14/24,AE$9&lt;20/24)</formula>
    </cfRule>
    <cfRule type="expression" dxfId="1021" priority="53">
      <formula>AND(AE$9&gt;=8/24,AE$9&lt;14/24)</formula>
    </cfRule>
    <cfRule type="expression" dxfId="1020" priority="54">
      <formula>AE$9&lt;8/24</formula>
    </cfRule>
  </conditionalFormatting>
  <conditionalFormatting sqref="AU16:BJ21">
    <cfRule type="expression" dxfId="1019" priority="55">
      <formula>BI$9&gt;=20/24</formula>
    </cfRule>
    <cfRule type="expression" dxfId="1018" priority="56">
      <formula>AND(BI$9&gt;=14/24,BI$9&lt;20/24)</formula>
    </cfRule>
    <cfRule type="expression" dxfId="1017" priority="57">
      <formula>AND(BI$9&gt;=8/24,BI$9&lt;14/24)</formula>
    </cfRule>
    <cfRule type="expression" dxfId="1016" priority="58">
      <formula>BI$9&lt;8/24</formula>
    </cfRule>
  </conditionalFormatting>
  <conditionalFormatting sqref="AW15">
    <cfRule type="expression" dxfId="1015" priority="27">
      <formula>B$9&gt;=20/24</formula>
    </cfRule>
    <cfRule type="expression" dxfId="1014" priority="28">
      <formula>AND(B$9&gt;=14/24,B$9&lt;20/24)</formula>
    </cfRule>
    <cfRule type="expression" dxfId="1013" priority="29">
      <formula>AND(B$9&gt;=8/24,B$9&lt;14/24)</formula>
    </cfRule>
    <cfRule type="expression" dxfId="1012" priority="30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3D8F-7B2C-4F01-A9C5-148BC5C820D3}">
  <sheetPr codeName="Sheet29"/>
  <dimension ref="A1:CJ297"/>
  <sheetViews>
    <sheetView zoomScale="106" workbookViewId="0">
      <pane xSplit="1" ySplit="10" topLeftCell="B12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P101" sqref="P10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2080/10/28</v>
      </c>
      <c r="C4" s="187"/>
      <c r="D4" s="187"/>
      <c r="E4" s="188" t="str">
        <f ca="1">"2080/"&amp;"10/"&amp;INT(MID(CELL("filename",G6),FIND("]",CELL("filename",G6))+1,200))</f>
        <v>2080/10/28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80</v>
      </c>
      <c r="C5" s="30">
        <f t="shared" si="0"/>
        <v>78</v>
      </c>
      <c r="D5" s="30">
        <f t="shared" si="0"/>
        <v>80</v>
      </c>
      <c r="E5" s="30">
        <f t="shared" si="0"/>
        <v>60.8</v>
      </c>
      <c r="F5" s="30">
        <f t="shared" si="0"/>
        <v>60.8</v>
      </c>
      <c r="G5" s="30">
        <f t="shared" si="0"/>
        <v>63</v>
      </c>
      <c r="H5" s="30">
        <f t="shared" si="0"/>
        <v>56.4</v>
      </c>
      <c r="I5" s="30">
        <f t="shared" si="0"/>
        <v>194.4</v>
      </c>
      <c r="J5" s="30">
        <f t="shared" si="0"/>
        <v>169</v>
      </c>
      <c r="K5" s="30">
        <f t="shared" si="0"/>
        <v>197</v>
      </c>
      <c r="L5" s="30">
        <f t="shared" si="0"/>
        <v>191.2</v>
      </c>
      <c r="M5" s="30">
        <f t="shared" si="0"/>
        <v>225.2</v>
      </c>
      <c r="N5" s="30">
        <f t="shared" si="0"/>
        <v>239.8</v>
      </c>
      <c r="O5" s="30">
        <f t="shared" si="0"/>
        <v>272</v>
      </c>
      <c r="P5" s="30">
        <f t="shared" si="0"/>
        <v>210.3</v>
      </c>
      <c r="Q5" s="30">
        <f t="shared" si="0"/>
        <v>213</v>
      </c>
      <c r="R5" s="30">
        <f t="shared" si="0"/>
        <v>289.7</v>
      </c>
      <c r="S5" s="30">
        <f t="shared" si="0"/>
        <v>290.90000000000003</v>
      </c>
      <c r="T5" s="30">
        <f t="shared" si="0"/>
        <v>269.2</v>
      </c>
      <c r="U5" s="30">
        <f t="shared" si="0"/>
        <v>278.2</v>
      </c>
      <c r="V5" s="30">
        <f t="shared" si="0"/>
        <v>274.22999999999996</v>
      </c>
      <c r="W5" s="30">
        <f t="shared" si="0"/>
        <v>265.5</v>
      </c>
      <c r="X5" s="30">
        <f t="shared" si="0"/>
        <v>75.8</v>
      </c>
      <c r="Y5" s="30">
        <f t="shared" si="0"/>
        <v>72.699999999999989</v>
      </c>
      <c r="Z5" s="30">
        <f t="shared" si="0"/>
        <v>72.5</v>
      </c>
      <c r="AA5" s="30">
        <f t="shared" si="0"/>
        <v>84.300000000000011</v>
      </c>
      <c r="AB5" s="30">
        <f t="shared" si="0"/>
        <v>89</v>
      </c>
      <c r="AC5" s="30">
        <f t="shared" si="0"/>
        <v>85</v>
      </c>
      <c r="AD5" s="30">
        <f t="shared" si="0"/>
        <v>85</v>
      </c>
      <c r="AE5" s="30">
        <f t="shared" si="0"/>
        <v>30</v>
      </c>
      <c r="AF5" s="30">
        <f>B95</f>
        <v>80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1971MW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Load=1592</v>
      </c>
      <c r="B7" s="35">
        <f t="shared" ref="B7:AF7" si="1">B103</f>
        <v>1757.7400000000002</v>
      </c>
      <c r="C7" s="35">
        <f t="shared" si="1"/>
        <v>1747.7400000000002</v>
      </c>
      <c r="D7" s="35">
        <f t="shared" si="1"/>
        <v>1680.7400000000002</v>
      </c>
      <c r="E7" s="35">
        <f t="shared" si="1"/>
        <v>1667.7400000000002</v>
      </c>
      <c r="F7" s="35">
        <f t="shared" si="1"/>
        <v>1641.5400000000002</v>
      </c>
      <c r="G7" s="35">
        <f t="shared" si="1"/>
        <v>1671.0400000000002</v>
      </c>
      <c r="H7" s="35">
        <f t="shared" si="1"/>
        <v>1610.2400000000002</v>
      </c>
      <c r="I7" s="35">
        <f t="shared" si="1"/>
        <v>1592.6400000000003</v>
      </c>
      <c r="J7" s="35">
        <f t="shared" si="1"/>
        <v>1679.8400000000001</v>
      </c>
      <c r="K7" s="35">
        <f t="shared" si="1"/>
        <v>1737.5400000000002</v>
      </c>
      <c r="L7" s="35">
        <f t="shared" si="1"/>
        <v>1832.94</v>
      </c>
      <c r="M7" s="35">
        <f t="shared" si="1"/>
        <v>1805.0400000000002</v>
      </c>
      <c r="N7" s="35">
        <f t="shared" si="1"/>
        <v>1861.0400000000002</v>
      </c>
      <c r="O7" s="35">
        <f t="shared" si="1"/>
        <v>1906.14</v>
      </c>
      <c r="P7" s="35">
        <f t="shared" si="1"/>
        <v>1984.44</v>
      </c>
      <c r="Q7" s="35">
        <f t="shared" si="1"/>
        <v>1799.54</v>
      </c>
      <c r="R7" s="35">
        <f t="shared" si="1"/>
        <v>1802.24</v>
      </c>
      <c r="S7" s="35">
        <f t="shared" si="1"/>
        <v>1863.94</v>
      </c>
      <c r="T7" s="35">
        <f t="shared" si="1"/>
        <v>1864.5400000000002</v>
      </c>
      <c r="U7" s="35">
        <f t="shared" si="1"/>
        <v>1755.1400000000003</v>
      </c>
      <c r="V7" s="35">
        <f t="shared" si="1"/>
        <v>1838.3400000000001</v>
      </c>
      <c r="W7" s="35">
        <f t="shared" si="1"/>
        <v>1706.3700000000003</v>
      </c>
      <c r="X7" s="35">
        <f t="shared" si="1"/>
        <v>1592.4400000000003</v>
      </c>
      <c r="Y7" s="35">
        <f t="shared" si="1"/>
        <v>1796.34</v>
      </c>
      <c r="Z7" s="35">
        <f t="shared" si="1"/>
        <v>1896.44</v>
      </c>
      <c r="AA7" s="35">
        <f t="shared" si="1"/>
        <v>2018.8400000000001</v>
      </c>
      <c r="AB7" s="35">
        <f t="shared" si="1"/>
        <v>1947.94</v>
      </c>
      <c r="AC7" s="35">
        <f t="shared" si="1"/>
        <v>1943.6400000000003</v>
      </c>
      <c r="AD7" s="35">
        <f t="shared" si="1"/>
        <v>1923.2400000000002</v>
      </c>
      <c r="AE7" s="35">
        <f t="shared" si="1"/>
        <v>1839.2400000000002</v>
      </c>
      <c r="AF7" s="35">
        <f t="shared" si="1"/>
        <v>1717.64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2067.94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1984.44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28</v>
      </c>
      <c r="C11" s="46">
        <v>28</v>
      </c>
      <c r="D11" s="46">
        <v>28</v>
      </c>
      <c r="E11" s="46">
        <v>28</v>
      </c>
      <c r="F11" s="46">
        <v>28</v>
      </c>
      <c r="G11" s="46">
        <v>28</v>
      </c>
      <c r="H11" s="46">
        <v>28</v>
      </c>
      <c r="I11" s="46">
        <v>28</v>
      </c>
      <c r="J11" s="46">
        <v>28</v>
      </c>
      <c r="K11" s="46">
        <v>28</v>
      </c>
      <c r="L11" s="46">
        <v>28</v>
      </c>
      <c r="M11" s="46">
        <v>28</v>
      </c>
      <c r="N11" s="46">
        <v>28</v>
      </c>
      <c r="O11" s="46">
        <v>28</v>
      </c>
      <c r="P11" s="46">
        <v>28</v>
      </c>
      <c r="Q11" s="46">
        <v>28</v>
      </c>
      <c r="R11" s="46">
        <v>28</v>
      </c>
      <c r="S11" s="46">
        <v>28</v>
      </c>
      <c r="T11" s="46">
        <v>28</v>
      </c>
      <c r="U11" s="46">
        <v>28</v>
      </c>
      <c r="V11" s="46">
        <v>28</v>
      </c>
      <c r="W11" s="46">
        <v>28</v>
      </c>
      <c r="X11" s="46">
        <v>28</v>
      </c>
      <c r="Y11" s="46">
        <v>28</v>
      </c>
      <c r="Z11" s="46">
        <v>28</v>
      </c>
      <c r="AA11" s="46">
        <v>28</v>
      </c>
      <c r="AB11" s="46">
        <v>30.5</v>
      </c>
      <c r="AC11" s="46">
        <v>30.5</v>
      </c>
      <c r="AD11" s="46">
        <v>30.5</v>
      </c>
      <c r="AE11" s="46">
        <v>30.5</v>
      </c>
      <c r="AF11" s="46">
        <v>30.5</v>
      </c>
      <c r="AG11" s="47">
        <v>86</v>
      </c>
      <c r="AH11" s="48">
        <f t="shared" ref="AH11:AH74" si="2">MAX(B11:AF11)</f>
        <v>30.5</v>
      </c>
      <c r="AI11" s="49">
        <f t="shared" ref="AI11:AI74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22</v>
      </c>
      <c r="C12" s="46">
        <v>22</v>
      </c>
      <c r="D12" s="46">
        <v>22</v>
      </c>
      <c r="E12" s="46">
        <v>22</v>
      </c>
      <c r="F12" s="46">
        <v>22</v>
      </c>
      <c r="G12" s="46">
        <v>22</v>
      </c>
      <c r="H12" s="46">
        <v>22</v>
      </c>
      <c r="I12" s="46">
        <v>22</v>
      </c>
      <c r="J12" s="46">
        <v>22</v>
      </c>
      <c r="K12" s="46">
        <v>22</v>
      </c>
      <c r="L12" s="46">
        <v>22</v>
      </c>
      <c r="M12" s="46">
        <v>22</v>
      </c>
      <c r="N12" s="46">
        <v>22</v>
      </c>
      <c r="O12" s="46">
        <v>22</v>
      </c>
      <c r="P12" s="46">
        <v>22</v>
      </c>
      <c r="Q12" s="46">
        <v>22</v>
      </c>
      <c r="R12" s="46">
        <v>22</v>
      </c>
      <c r="S12" s="46">
        <v>22</v>
      </c>
      <c r="T12" s="46">
        <v>22</v>
      </c>
      <c r="U12" s="46">
        <v>22</v>
      </c>
      <c r="V12" s="46">
        <v>22</v>
      </c>
      <c r="W12" s="46">
        <v>22</v>
      </c>
      <c r="X12" s="46">
        <v>22</v>
      </c>
      <c r="Y12" s="46">
        <v>22</v>
      </c>
      <c r="Z12" s="46">
        <v>22</v>
      </c>
      <c r="AA12" s="46">
        <v>22</v>
      </c>
      <c r="AB12" s="46">
        <v>22</v>
      </c>
      <c r="AC12" s="46">
        <v>22</v>
      </c>
      <c r="AD12" s="46">
        <v>22</v>
      </c>
      <c r="AE12" s="46">
        <v>22</v>
      </c>
      <c r="AF12" s="46">
        <v>22</v>
      </c>
      <c r="AG12" s="50">
        <v>77</v>
      </c>
      <c r="AH12" s="48">
        <f t="shared" si="2"/>
        <v>22</v>
      </c>
      <c r="AI12" s="49">
        <f t="shared" si="3"/>
        <v>22</v>
      </c>
      <c r="AK12" s="51"/>
      <c r="AL12" s="52" t="str">
        <f ca="1">MID(CELL("filename",C7),FIND("]",CELL("filename",C7))+1,600)</f>
        <v>28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69.900000000000006</v>
      </c>
      <c r="C13" s="46">
        <v>69.900000000000006</v>
      </c>
      <c r="D13" s="46">
        <v>69.900000000000006</v>
      </c>
      <c r="E13" s="46">
        <v>69.900000000000006</v>
      </c>
      <c r="F13" s="46">
        <v>69.900000000000006</v>
      </c>
      <c r="G13" s="46">
        <v>69.900000000000006</v>
      </c>
      <c r="H13" s="46">
        <v>69.900000000000006</v>
      </c>
      <c r="I13" s="46">
        <v>69.900000000000006</v>
      </c>
      <c r="J13" s="46">
        <v>69.900000000000006</v>
      </c>
      <c r="K13" s="46">
        <v>69.900000000000006</v>
      </c>
      <c r="L13" s="46">
        <v>69.900000000000006</v>
      </c>
      <c r="M13" s="46">
        <v>69.900000000000006</v>
      </c>
      <c r="N13" s="46">
        <v>69.900000000000006</v>
      </c>
      <c r="O13" s="46">
        <v>69.900000000000006</v>
      </c>
      <c r="P13" s="46">
        <v>69.900000000000006</v>
      </c>
      <c r="Q13" s="46">
        <v>69.900000000000006</v>
      </c>
      <c r="R13" s="46">
        <v>69.900000000000006</v>
      </c>
      <c r="S13" s="46">
        <v>69.900000000000006</v>
      </c>
      <c r="T13" s="46">
        <v>69.900000000000006</v>
      </c>
      <c r="U13" s="46">
        <v>69.900000000000006</v>
      </c>
      <c r="V13" s="46">
        <v>69.900000000000006</v>
      </c>
      <c r="W13" s="46">
        <v>69.900000000000006</v>
      </c>
      <c r="X13" s="46">
        <v>69.900000000000006</v>
      </c>
      <c r="Y13" s="46">
        <v>69.900000000000006</v>
      </c>
      <c r="Z13" s="46">
        <v>69.900000000000006</v>
      </c>
      <c r="AA13" s="46">
        <v>69.900000000000006</v>
      </c>
      <c r="AB13" s="46">
        <v>69.900000000000006</v>
      </c>
      <c r="AC13" s="46">
        <v>69.900000000000006</v>
      </c>
      <c r="AD13" s="46">
        <v>69.900000000000006</v>
      </c>
      <c r="AE13" s="46">
        <v>69.900000000000006</v>
      </c>
      <c r="AF13" s="46">
        <v>69.900000000000006</v>
      </c>
      <c r="AG13" s="50">
        <v>73</v>
      </c>
      <c r="AH13" s="48">
        <f t="shared" si="2"/>
        <v>69.900000000000006</v>
      </c>
      <c r="AI13" s="49">
        <f t="shared" si="3"/>
        <v>69.900000000000006</v>
      </c>
      <c r="AK13" s="51"/>
      <c r="AL13" s="52" t="str">
        <f ca="1">"Daily Load Curve(Excluding of Export) of Nepal ("&amp;A4&amp;" "&amp;B4&amp;")"</f>
        <v>Daily Load Curve(Excluding of Export) of Nepal (Nepali Date: 2080/10/28)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40.700000000000003</v>
      </c>
      <c r="C14" s="46">
        <v>40.700000000000003</v>
      </c>
      <c r="D14" s="46">
        <v>40.700000000000003</v>
      </c>
      <c r="E14" s="46">
        <v>40.700000000000003</v>
      </c>
      <c r="F14" s="46">
        <v>40.700000000000003</v>
      </c>
      <c r="G14" s="46">
        <v>40.700000000000003</v>
      </c>
      <c r="H14" s="46">
        <v>40.700000000000003</v>
      </c>
      <c r="I14" s="46">
        <v>40.700000000000003</v>
      </c>
      <c r="J14" s="46">
        <v>40.700000000000003</v>
      </c>
      <c r="K14" s="46">
        <v>40.700000000000003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40.700000000000003</v>
      </c>
      <c r="Y14" s="46">
        <v>40.700000000000003</v>
      </c>
      <c r="Z14" s="46">
        <v>40.700000000000003</v>
      </c>
      <c r="AA14" s="46">
        <v>40.700000000000003</v>
      </c>
      <c r="AB14" s="46">
        <v>40.700000000000003</v>
      </c>
      <c r="AC14" s="46">
        <v>40.700000000000003</v>
      </c>
      <c r="AD14" s="46">
        <v>40.700000000000003</v>
      </c>
      <c r="AE14" s="46">
        <v>40.700000000000003</v>
      </c>
      <c r="AF14" s="46">
        <v>40.700000000000003</v>
      </c>
      <c r="AG14" s="50">
        <v>71</v>
      </c>
      <c r="AH14" s="48">
        <f t="shared" si="2"/>
        <v>40.700000000000003</v>
      </c>
      <c r="AI14" s="49">
        <f t="shared" si="3"/>
        <v>40.700000000000003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14</v>
      </c>
      <c r="C15" s="46">
        <v>14</v>
      </c>
      <c r="D15" s="46">
        <v>14</v>
      </c>
      <c r="E15" s="46">
        <v>14</v>
      </c>
      <c r="F15" s="46">
        <v>14</v>
      </c>
      <c r="G15" s="46">
        <v>14</v>
      </c>
      <c r="H15" s="46">
        <v>14</v>
      </c>
      <c r="I15" s="46">
        <v>14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14</v>
      </c>
      <c r="AA15" s="46">
        <v>14</v>
      </c>
      <c r="AB15" s="46">
        <v>14</v>
      </c>
      <c r="AC15" s="46">
        <v>14</v>
      </c>
      <c r="AD15" s="46">
        <v>14</v>
      </c>
      <c r="AE15" s="46">
        <v>14</v>
      </c>
      <c r="AF15" s="46">
        <v>14</v>
      </c>
      <c r="AG15" s="50">
        <v>54</v>
      </c>
      <c r="AH15" s="48">
        <f t="shared" si="2"/>
        <v>14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29.8</v>
      </c>
      <c r="C16" s="46">
        <v>29.8</v>
      </c>
      <c r="D16" s="46">
        <v>29.8</v>
      </c>
      <c r="E16" s="46">
        <v>29.8</v>
      </c>
      <c r="F16" s="46">
        <v>29.8</v>
      </c>
      <c r="G16" s="46">
        <v>29.8</v>
      </c>
      <c r="H16" s="46">
        <v>29.8</v>
      </c>
      <c r="I16" s="46">
        <v>29.8</v>
      </c>
      <c r="J16" s="46">
        <v>29.8</v>
      </c>
      <c r="K16" s="46">
        <v>29.8</v>
      </c>
      <c r="L16" s="46">
        <v>29.8</v>
      </c>
      <c r="M16" s="46">
        <v>29.8</v>
      </c>
      <c r="N16" s="46">
        <v>29.8</v>
      </c>
      <c r="O16" s="46">
        <v>29.8</v>
      </c>
      <c r="P16" s="46">
        <v>29.8</v>
      </c>
      <c r="Q16" s="46">
        <v>29.8</v>
      </c>
      <c r="R16" s="46">
        <v>29.8</v>
      </c>
      <c r="S16" s="46">
        <v>29.8</v>
      </c>
      <c r="T16" s="46">
        <v>29.8</v>
      </c>
      <c r="U16" s="46">
        <v>29.8</v>
      </c>
      <c r="V16" s="46">
        <v>29.8</v>
      </c>
      <c r="W16" s="46">
        <v>29.8</v>
      </c>
      <c r="X16" s="46">
        <v>29.8</v>
      </c>
      <c r="Y16" s="46">
        <v>29.8</v>
      </c>
      <c r="Z16" s="46">
        <v>29.8</v>
      </c>
      <c r="AA16" s="46">
        <v>29.8</v>
      </c>
      <c r="AB16" s="46">
        <v>29.8</v>
      </c>
      <c r="AC16" s="46">
        <v>29.8</v>
      </c>
      <c r="AD16" s="46">
        <v>29.8</v>
      </c>
      <c r="AE16" s="46">
        <v>29.8</v>
      </c>
      <c r="AF16" s="46">
        <v>29.8</v>
      </c>
      <c r="AG16" s="50">
        <v>54</v>
      </c>
      <c r="AH16" s="48">
        <f t="shared" si="2"/>
        <v>29.8</v>
      </c>
      <c r="AI16" s="49">
        <f t="shared" si="3"/>
        <v>29.8</v>
      </c>
      <c r="AK16" s="51"/>
      <c r="AL16" s="54" t="s">
        <v>7</v>
      </c>
      <c r="AM16" s="59">
        <f t="shared" ref="AM16:AR16" si="4">B61</f>
        <v>806.50000000000011</v>
      </c>
      <c r="AN16" s="59">
        <f t="shared" si="4"/>
        <v>806.50000000000011</v>
      </c>
      <c r="AO16" s="59">
        <f t="shared" si="4"/>
        <v>806.50000000000011</v>
      </c>
      <c r="AP16" s="59">
        <f t="shared" si="4"/>
        <v>806.50000000000011</v>
      </c>
      <c r="AQ16" s="59">
        <f t="shared" si="4"/>
        <v>806.50000000000011</v>
      </c>
      <c r="AR16" s="59">
        <f t="shared" si="4"/>
        <v>821.00000000000011</v>
      </c>
      <c r="AS16" s="59">
        <f>I61</f>
        <v>821.00000000000011</v>
      </c>
      <c r="AT16" s="59">
        <f>K61</f>
        <v>819.00000000000011</v>
      </c>
      <c r="AU16" s="59">
        <f t="shared" ref="AU16:BD16" si="5">M61</f>
        <v>817.00000000000011</v>
      </c>
      <c r="AV16" s="59">
        <f t="shared" si="5"/>
        <v>817.00000000000011</v>
      </c>
      <c r="AW16" s="59">
        <f t="shared" si="5"/>
        <v>817.00000000000011</v>
      </c>
      <c r="AX16" s="59">
        <f t="shared" si="5"/>
        <v>817.00000000000011</v>
      </c>
      <c r="AY16" s="59">
        <f t="shared" si="5"/>
        <v>786.00000000000011</v>
      </c>
      <c r="AZ16" s="59">
        <f t="shared" si="5"/>
        <v>786.00000000000011</v>
      </c>
      <c r="BA16" s="59">
        <f t="shared" si="5"/>
        <v>786.00000000000011</v>
      </c>
      <c r="BB16" s="59">
        <f t="shared" si="5"/>
        <v>786.00000000000011</v>
      </c>
      <c r="BC16" s="59">
        <f t="shared" si="5"/>
        <v>786.00000000000011</v>
      </c>
      <c r="BD16" s="59">
        <f t="shared" si="5"/>
        <v>786.00000000000011</v>
      </c>
      <c r="BE16" s="60">
        <f>X61</f>
        <v>786.00000000000011</v>
      </c>
      <c r="BF16" s="60">
        <f>Z61</f>
        <v>786.00000000000011</v>
      </c>
      <c r="BG16" s="60">
        <f>AB61</f>
        <v>788.50000000000011</v>
      </c>
      <c r="BH16" s="60">
        <f>AD61</f>
        <v>788.50000000000011</v>
      </c>
      <c r="BI16" s="60">
        <f>AE61</f>
        <v>788.50000000000011</v>
      </c>
      <c r="BJ16" s="60">
        <f>AF61</f>
        <v>788.50000000000011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25.1</v>
      </c>
      <c r="C17" s="46">
        <v>25.1</v>
      </c>
      <c r="D17" s="46">
        <v>25.1</v>
      </c>
      <c r="E17" s="46">
        <v>25.1</v>
      </c>
      <c r="F17" s="46">
        <v>25.1</v>
      </c>
      <c r="G17" s="46">
        <v>25.1</v>
      </c>
      <c r="H17" s="46">
        <v>25.1</v>
      </c>
      <c r="I17" s="46">
        <v>25.1</v>
      </c>
      <c r="J17" s="46">
        <v>25.1</v>
      </c>
      <c r="K17" s="46">
        <v>25.1</v>
      </c>
      <c r="L17" s="46">
        <v>25.1</v>
      </c>
      <c r="M17" s="46">
        <v>25.1</v>
      </c>
      <c r="N17" s="46">
        <v>25.1</v>
      </c>
      <c r="O17" s="46">
        <v>25.1</v>
      </c>
      <c r="P17" s="46">
        <v>25.1</v>
      </c>
      <c r="Q17" s="46">
        <v>25.1</v>
      </c>
      <c r="R17" s="46">
        <v>25.1</v>
      </c>
      <c r="S17" s="46">
        <v>25.1</v>
      </c>
      <c r="T17" s="46">
        <v>25.1</v>
      </c>
      <c r="U17" s="46">
        <v>25.1</v>
      </c>
      <c r="V17" s="46">
        <v>25.1</v>
      </c>
      <c r="W17" s="46">
        <v>25.1</v>
      </c>
      <c r="X17" s="46">
        <v>25.1</v>
      </c>
      <c r="Y17" s="46">
        <v>25.1</v>
      </c>
      <c r="Z17" s="46">
        <v>25.1</v>
      </c>
      <c r="AA17" s="46">
        <v>25.1</v>
      </c>
      <c r="AB17" s="46">
        <v>25.1</v>
      </c>
      <c r="AC17" s="46">
        <v>25.1</v>
      </c>
      <c r="AD17" s="46">
        <v>25.1</v>
      </c>
      <c r="AE17" s="46">
        <v>25.1</v>
      </c>
      <c r="AF17" s="46">
        <v>25.1</v>
      </c>
      <c r="AG17" s="47">
        <v>52.4</v>
      </c>
      <c r="AH17" s="48">
        <f t="shared" si="2"/>
        <v>25.1</v>
      </c>
      <c r="AI17" s="49">
        <f t="shared" si="3"/>
        <v>25.1</v>
      </c>
      <c r="AK17" s="51"/>
      <c r="AL17" s="54" t="s">
        <v>27</v>
      </c>
      <c r="AM17" s="59">
        <f t="shared" ref="AM17:AR17" si="6">B65</f>
        <v>473.7</v>
      </c>
      <c r="AN17" s="59">
        <f t="shared" si="6"/>
        <v>473.7</v>
      </c>
      <c r="AO17" s="59">
        <f t="shared" si="6"/>
        <v>473.7</v>
      </c>
      <c r="AP17" s="59">
        <f t="shared" si="6"/>
        <v>463.7</v>
      </c>
      <c r="AQ17" s="59">
        <f t="shared" si="6"/>
        <v>443.7</v>
      </c>
      <c r="AR17" s="59">
        <f t="shared" si="6"/>
        <v>509.7</v>
      </c>
      <c r="AS17" s="59">
        <f>I65</f>
        <v>453.7</v>
      </c>
      <c r="AT17" s="59">
        <f>K65</f>
        <v>463.7</v>
      </c>
      <c r="AU17" s="59">
        <f t="shared" ref="AU17:BD17" si="7">M65</f>
        <v>509.7</v>
      </c>
      <c r="AV17" s="59">
        <f t="shared" si="7"/>
        <v>509.7</v>
      </c>
      <c r="AW17" s="59">
        <f t="shared" si="7"/>
        <v>459.7</v>
      </c>
      <c r="AX17" s="59">
        <f t="shared" si="7"/>
        <v>511.9</v>
      </c>
      <c r="AY17" s="59">
        <f t="shared" si="7"/>
        <v>378.7</v>
      </c>
      <c r="AZ17" s="59">
        <f t="shared" si="7"/>
        <v>378.7</v>
      </c>
      <c r="BA17" s="59">
        <f t="shared" si="7"/>
        <v>378.7</v>
      </c>
      <c r="BB17" s="59">
        <f t="shared" si="7"/>
        <v>397.7</v>
      </c>
      <c r="BC17" s="59">
        <f t="shared" si="7"/>
        <v>342.8</v>
      </c>
      <c r="BD17" s="59">
        <f t="shared" si="7"/>
        <v>377.5</v>
      </c>
      <c r="BE17" s="60">
        <f>X65</f>
        <v>168.29999999999998</v>
      </c>
      <c r="BF17" s="60">
        <f>Z65</f>
        <v>498.7</v>
      </c>
      <c r="BG17" s="60">
        <f>AB65</f>
        <v>511.7</v>
      </c>
      <c r="BH17" s="60">
        <f>AD65</f>
        <v>511.7</v>
      </c>
      <c r="BI17" s="60">
        <f>AE65</f>
        <v>511.7</v>
      </c>
      <c r="BJ17" s="60">
        <f>AF65</f>
        <v>511.7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50.5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407.54000000000008</v>
      </c>
      <c r="AN18" s="59">
        <f t="shared" si="8"/>
        <v>407.54000000000008</v>
      </c>
      <c r="AO18" s="59">
        <f t="shared" si="8"/>
        <v>407.54000000000008</v>
      </c>
      <c r="AP18" s="59">
        <f t="shared" si="8"/>
        <v>407.54000000000008</v>
      </c>
      <c r="AQ18" s="59">
        <f t="shared" si="8"/>
        <v>407.54000000000008</v>
      </c>
      <c r="AR18" s="59">
        <f t="shared" si="8"/>
        <v>407.54000000000008</v>
      </c>
      <c r="AS18" s="59">
        <f>I79</f>
        <v>408.54000000000008</v>
      </c>
      <c r="AT18" s="59">
        <f>K79</f>
        <v>410.84000000000009</v>
      </c>
      <c r="AU18" s="59">
        <f t="shared" ref="AU18:BD18" si="9">M79</f>
        <v>419.14000000000004</v>
      </c>
      <c r="AV18" s="59">
        <f t="shared" si="9"/>
        <v>419.14000000000004</v>
      </c>
      <c r="AW18" s="59">
        <f t="shared" si="9"/>
        <v>420.64000000000004</v>
      </c>
      <c r="AX18" s="59">
        <f t="shared" si="9"/>
        <v>424.54</v>
      </c>
      <c r="AY18" s="59">
        <f t="shared" si="9"/>
        <v>424.54</v>
      </c>
      <c r="AZ18" s="59">
        <f t="shared" si="9"/>
        <v>424.54</v>
      </c>
      <c r="BA18" s="59">
        <f t="shared" si="9"/>
        <v>424.54</v>
      </c>
      <c r="BB18" s="59">
        <f t="shared" si="9"/>
        <v>430.94000000000005</v>
      </c>
      <c r="BC18" s="59">
        <f t="shared" si="9"/>
        <v>413.84000000000003</v>
      </c>
      <c r="BD18" s="59">
        <f t="shared" si="9"/>
        <v>418.34000000000003</v>
      </c>
      <c r="BE18" s="60">
        <f>X79</f>
        <v>415.94000000000005</v>
      </c>
      <c r="BF18" s="60">
        <f>Z79</f>
        <v>411.54</v>
      </c>
      <c r="BG18" s="60">
        <f>AB79</f>
        <v>408.24000000000007</v>
      </c>
      <c r="BH18" s="60">
        <f>AD79</f>
        <v>409.04000000000008</v>
      </c>
      <c r="BI18" s="60">
        <f>AE79</f>
        <v>409.04000000000008</v>
      </c>
      <c r="BJ18" s="60">
        <f>AF79</f>
        <v>407.44000000000011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80</v>
      </c>
      <c r="AN19" s="59">
        <f t="shared" si="10"/>
        <v>80</v>
      </c>
      <c r="AO19" s="59">
        <f t="shared" si="10"/>
        <v>78</v>
      </c>
      <c r="AP19" s="59">
        <f t="shared" si="10"/>
        <v>80</v>
      </c>
      <c r="AQ19" s="59">
        <f t="shared" si="10"/>
        <v>60.8</v>
      </c>
      <c r="AR19" s="59">
        <f t="shared" si="10"/>
        <v>60.8</v>
      </c>
      <c r="AS19" s="59">
        <f>I95</f>
        <v>56.4</v>
      </c>
      <c r="AT19" s="59">
        <f>K95</f>
        <v>169</v>
      </c>
      <c r="AU19" s="59">
        <f t="shared" ref="AU19:BD19" si="11">M95</f>
        <v>191.2</v>
      </c>
      <c r="AV19" s="59">
        <f t="shared" si="11"/>
        <v>225.2</v>
      </c>
      <c r="AW19" s="59">
        <f t="shared" si="11"/>
        <v>239.8</v>
      </c>
      <c r="AX19" s="59">
        <f t="shared" si="11"/>
        <v>272</v>
      </c>
      <c r="AY19" s="59">
        <f t="shared" si="11"/>
        <v>210.3</v>
      </c>
      <c r="AZ19" s="59">
        <f t="shared" si="11"/>
        <v>213</v>
      </c>
      <c r="BA19" s="59">
        <f t="shared" si="11"/>
        <v>289.7</v>
      </c>
      <c r="BB19" s="59">
        <f t="shared" si="11"/>
        <v>290.90000000000003</v>
      </c>
      <c r="BC19" s="59">
        <f t="shared" si="11"/>
        <v>269.2</v>
      </c>
      <c r="BD19" s="59">
        <f t="shared" si="11"/>
        <v>278.2</v>
      </c>
      <c r="BE19" s="60">
        <f>X95</f>
        <v>265.5</v>
      </c>
      <c r="BF19" s="60">
        <f>Z95</f>
        <v>72.699999999999989</v>
      </c>
      <c r="BG19" s="60">
        <f>AB95</f>
        <v>84.300000000000011</v>
      </c>
      <c r="BH19" s="60">
        <f>AD95</f>
        <v>85</v>
      </c>
      <c r="BI19" s="60">
        <f>AE95</f>
        <v>85</v>
      </c>
      <c r="BJ19" s="60">
        <f>AF95</f>
        <v>30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33.1</v>
      </c>
      <c r="C20" s="46">
        <v>33.1</v>
      </c>
      <c r="D20" s="46">
        <v>33.1</v>
      </c>
      <c r="E20" s="46">
        <v>33.1</v>
      </c>
      <c r="F20" s="46">
        <v>33.1</v>
      </c>
      <c r="G20" s="46">
        <v>33.1</v>
      </c>
      <c r="H20" s="46">
        <v>33.1</v>
      </c>
      <c r="I20" s="46">
        <v>33.1</v>
      </c>
      <c r="J20" s="46">
        <v>33.1</v>
      </c>
      <c r="K20" s="46">
        <v>33.1</v>
      </c>
      <c r="L20" s="46">
        <v>33.1</v>
      </c>
      <c r="M20" s="46">
        <v>33.1</v>
      </c>
      <c r="N20" s="46">
        <v>33.1</v>
      </c>
      <c r="O20" s="46">
        <v>33.1</v>
      </c>
      <c r="P20" s="46">
        <v>33.1</v>
      </c>
      <c r="Q20" s="46">
        <v>33.1</v>
      </c>
      <c r="R20" s="46">
        <v>33.1</v>
      </c>
      <c r="S20" s="46">
        <v>33.1</v>
      </c>
      <c r="T20" s="46">
        <v>33.1</v>
      </c>
      <c r="U20" s="46">
        <v>33.1</v>
      </c>
      <c r="V20" s="46">
        <v>33.1</v>
      </c>
      <c r="W20" s="46">
        <v>33.1</v>
      </c>
      <c r="X20" s="46">
        <v>33.1</v>
      </c>
      <c r="Y20" s="46">
        <v>33.1</v>
      </c>
      <c r="Z20" s="46">
        <v>33.1</v>
      </c>
      <c r="AA20" s="46">
        <v>33.1</v>
      </c>
      <c r="AB20" s="46">
        <v>33.1</v>
      </c>
      <c r="AC20" s="46">
        <v>33.1</v>
      </c>
      <c r="AD20" s="46">
        <v>33.1</v>
      </c>
      <c r="AE20" s="46">
        <v>33.1</v>
      </c>
      <c r="AF20" s="46">
        <v>33.1</v>
      </c>
      <c r="AG20" s="50">
        <v>44</v>
      </c>
      <c r="AH20" s="48">
        <f t="shared" si="2"/>
        <v>33.1</v>
      </c>
      <c r="AI20" s="49">
        <f t="shared" si="3"/>
        <v>33.1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25.2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50</v>
      </c>
      <c r="AP21" s="59">
        <f t="shared" si="14"/>
        <v>50</v>
      </c>
      <c r="AQ21" s="59">
        <f t="shared" si="14"/>
        <v>50</v>
      </c>
      <c r="AR21" s="59">
        <f t="shared" si="14"/>
        <v>50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250</v>
      </c>
      <c r="BG21" s="60">
        <f>AB101</f>
        <v>250</v>
      </c>
      <c r="BH21" s="60">
        <f>AD101</f>
        <v>250</v>
      </c>
      <c r="BI21" s="60">
        <f>AE101</f>
        <v>180</v>
      </c>
      <c r="BJ21" s="60">
        <f>AF101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29.3</v>
      </c>
      <c r="C22" s="46">
        <v>29.3</v>
      </c>
      <c r="D22" s="46">
        <v>29.3</v>
      </c>
      <c r="E22" s="46">
        <v>29.3</v>
      </c>
      <c r="F22" s="46">
        <v>29.3</v>
      </c>
      <c r="G22" s="46">
        <v>29.3</v>
      </c>
      <c r="H22" s="46">
        <v>29.3</v>
      </c>
      <c r="I22" s="46">
        <v>29.3</v>
      </c>
      <c r="J22" s="46">
        <v>29.3</v>
      </c>
      <c r="K22" s="46">
        <v>29.3</v>
      </c>
      <c r="L22" s="46">
        <v>29.3</v>
      </c>
      <c r="M22" s="46">
        <v>29.3</v>
      </c>
      <c r="N22" s="46">
        <v>29.3</v>
      </c>
      <c r="O22" s="46">
        <v>29.3</v>
      </c>
      <c r="P22" s="46">
        <v>29.3</v>
      </c>
      <c r="Q22" s="46">
        <v>29.3</v>
      </c>
      <c r="R22" s="46">
        <v>29.3</v>
      </c>
      <c r="S22" s="46">
        <v>29.3</v>
      </c>
      <c r="T22" s="46">
        <v>29.3</v>
      </c>
      <c r="U22" s="46">
        <v>29.3</v>
      </c>
      <c r="V22" s="46">
        <v>29.3</v>
      </c>
      <c r="W22" s="46">
        <v>29.3</v>
      </c>
      <c r="X22" s="46">
        <v>29.3</v>
      </c>
      <c r="Y22" s="46">
        <v>29.3</v>
      </c>
      <c r="Z22" s="46">
        <v>29.3</v>
      </c>
      <c r="AA22" s="46">
        <v>29.3</v>
      </c>
      <c r="AB22" s="46">
        <v>29.3</v>
      </c>
      <c r="AC22" s="46">
        <v>29.3</v>
      </c>
      <c r="AD22" s="46">
        <v>29.3</v>
      </c>
      <c r="AE22" s="46">
        <v>29.3</v>
      </c>
      <c r="AF22" s="46">
        <v>29.3</v>
      </c>
      <c r="AG22" s="50">
        <v>38.46</v>
      </c>
      <c r="AH22" s="48">
        <f t="shared" si="2"/>
        <v>29.3</v>
      </c>
      <c r="AI22" s="49">
        <f t="shared" si="3"/>
        <v>29.3</v>
      </c>
      <c r="AK22" s="51"/>
      <c r="AL22" s="62" t="s">
        <v>37</v>
      </c>
      <c r="AM22" s="63">
        <f t="shared" ref="AM22:BJ22" si="16">SUM(AM16:AM21)</f>
        <v>1867.7400000000002</v>
      </c>
      <c r="AN22" s="63">
        <f t="shared" si="16"/>
        <v>1867.7400000000002</v>
      </c>
      <c r="AO22" s="63">
        <f t="shared" si="16"/>
        <v>1815.7400000000002</v>
      </c>
      <c r="AP22" s="63">
        <f t="shared" si="16"/>
        <v>1807.7400000000002</v>
      </c>
      <c r="AQ22" s="63">
        <f t="shared" si="16"/>
        <v>1768.5400000000002</v>
      </c>
      <c r="AR22" s="63">
        <f t="shared" si="16"/>
        <v>1849.0400000000002</v>
      </c>
      <c r="AS22" s="63">
        <f t="shared" si="16"/>
        <v>1739.6400000000003</v>
      </c>
      <c r="AT22" s="63">
        <f t="shared" si="16"/>
        <v>1862.5400000000002</v>
      </c>
      <c r="AU22" s="63">
        <f t="shared" si="16"/>
        <v>1937.0400000000002</v>
      </c>
      <c r="AV22" s="63">
        <f t="shared" si="16"/>
        <v>1971.0400000000002</v>
      </c>
      <c r="AW22" s="63">
        <f t="shared" si="16"/>
        <v>1937.14</v>
      </c>
      <c r="AX22" s="63">
        <f t="shared" si="16"/>
        <v>2025.44</v>
      </c>
      <c r="AY22" s="63">
        <f t="shared" si="16"/>
        <v>1799.54</v>
      </c>
      <c r="AZ22" s="63">
        <f t="shared" si="16"/>
        <v>1802.24</v>
      </c>
      <c r="BA22" s="63">
        <f t="shared" si="16"/>
        <v>1878.94</v>
      </c>
      <c r="BB22" s="63">
        <f t="shared" si="16"/>
        <v>1905.5400000000002</v>
      </c>
      <c r="BC22" s="63">
        <f t="shared" si="16"/>
        <v>1811.8400000000004</v>
      </c>
      <c r="BD22" s="63">
        <f t="shared" si="16"/>
        <v>1860.0400000000002</v>
      </c>
      <c r="BE22" s="63">
        <f t="shared" si="16"/>
        <v>1635.7400000000002</v>
      </c>
      <c r="BF22" s="63">
        <f t="shared" si="16"/>
        <v>2018.94</v>
      </c>
      <c r="BG22" s="63">
        <f t="shared" si="16"/>
        <v>2067.94</v>
      </c>
      <c r="BH22" s="63">
        <f t="shared" si="16"/>
        <v>2044.2400000000002</v>
      </c>
      <c r="BI22" s="63">
        <f t="shared" si="16"/>
        <v>1974.2400000000002</v>
      </c>
      <c r="BJ22" s="63">
        <f t="shared" si="16"/>
        <v>1837.64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14.8</v>
      </c>
      <c r="C23" s="46">
        <v>14.8</v>
      </c>
      <c r="D23" s="46">
        <v>14.8</v>
      </c>
      <c r="E23" s="46">
        <v>14.8</v>
      </c>
      <c r="F23" s="46">
        <v>14.8</v>
      </c>
      <c r="G23" s="46">
        <v>14.8</v>
      </c>
      <c r="H23" s="46">
        <v>14.8</v>
      </c>
      <c r="I23" s="46">
        <v>14.8</v>
      </c>
      <c r="J23" s="46">
        <v>14.8</v>
      </c>
      <c r="K23" s="46">
        <v>14.8</v>
      </c>
      <c r="L23" s="46">
        <v>14.8</v>
      </c>
      <c r="M23" s="46">
        <v>14.8</v>
      </c>
      <c r="N23" s="46">
        <v>14.8</v>
      </c>
      <c r="O23" s="46">
        <v>14.8</v>
      </c>
      <c r="P23" s="46">
        <v>14.8</v>
      </c>
      <c r="Q23" s="46">
        <v>14.8</v>
      </c>
      <c r="R23" s="46">
        <v>14.8</v>
      </c>
      <c r="S23" s="46">
        <v>14.8</v>
      </c>
      <c r="T23" s="46">
        <v>14.8</v>
      </c>
      <c r="U23" s="46">
        <v>14.8</v>
      </c>
      <c r="V23" s="46">
        <v>14.8</v>
      </c>
      <c r="W23" s="46">
        <v>14.8</v>
      </c>
      <c r="X23" s="46">
        <v>14.8</v>
      </c>
      <c r="Y23" s="46">
        <v>14.8</v>
      </c>
      <c r="Z23" s="46">
        <v>14.8</v>
      </c>
      <c r="AA23" s="46">
        <v>14.8</v>
      </c>
      <c r="AB23" s="46">
        <v>14.8</v>
      </c>
      <c r="AC23" s="46">
        <v>14.8</v>
      </c>
      <c r="AD23" s="46">
        <v>14.8</v>
      </c>
      <c r="AE23" s="46">
        <v>14.8</v>
      </c>
      <c r="AF23" s="46">
        <v>14.8</v>
      </c>
      <c r="AG23" s="50">
        <v>38.46</v>
      </c>
      <c r="AH23" s="48">
        <f t="shared" si="2"/>
        <v>14.8</v>
      </c>
      <c r="AI23" s="49">
        <f t="shared" si="3"/>
        <v>14.8</v>
      </c>
      <c r="AK23" s="51"/>
      <c r="AL23" s="62" t="s">
        <v>39</v>
      </c>
      <c r="AM23" s="63">
        <f t="shared" ref="AM23:AR23" si="17">B110*-1</f>
        <v>-110</v>
      </c>
      <c r="AN23" s="63">
        <f t="shared" si="17"/>
        <v>-120</v>
      </c>
      <c r="AO23" s="63">
        <f t="shared" si="17"/>
        <v>-135</v>
      </c>
      <c r="AP23" s="63">
        <f t="shared" si="17"/>
        <v>-140</v>
      </c>
      <c r="AQ23" s="63">
        <f t="shared" si="17"/>
        <v>-127</v>
      </c>
      <c r="AR23" s="63">
        <f t="shared" si="17"/>
        <v>-178</v>
      </c>
      <c r="AS23" s="63">
        <f>I110*-1</f>
        <v>-147</v>
      </c>
      <c r="AT23" s="63">
        <f>K110*-1</f>
        <v>-125</v>
      </c>
      <c r="AU23" s="63">
        <f t="shared" ref="AU23:BD23" si="18">M110*-1</f>
        <v>-132</v>
      </c>
      <c r="AV23" s="63">
        <f t="shared" si="18"/>
        <v>-110</v>
      </c>
      <c r="AW23" s="63">
        <f t="shared" si="18"/>
        <v>-31</v>
      </c>
      <c r="AX23" s="63">
        <f t="shared" si="18"/>
        <v>-41</v>
      </c>
      <c r="AY23" s="63">
        <f t="shared" si="18"/>
        <v>0</v>
      </c>
      <c r="AZ23" s="63">
        <f t="shared" si="18"/>
        <v>0</v>
      </c>
      <c r="BA23" s="63">
        <f t="shared" si="18"/>
        <v>-15</v>
      </c>
      <c r="BB23" s="63">
        <f t="shared" si="18"/>
        <v>-41</v>
      </c>
      <c r="BC23" s="63">
        <f t="shared" si="18"/>
        <v>-56.7</v>
      </c>
      <c r="BD23" s="63">
        <f t="shared" si="18"/>
        <v>-21.7</v>
      </c>
      <c r="BE23" s="63">
        <f>X110*-1</f>
        <v>-43.3</v>
      </c>
      <c r="BF23" s="63">
        <f>Z110*-1</f>
        <v>-122.5</v>
      </c>
      <c r="BG23" s="63">
        <f>AB110*-1</f>
        <v>-120</v>
      </c>
      <c r="BH23" s="63">
        <f>AD110*-1</f>
        <v>-121</v>
      </c>
      <c r="BI23" s="63">
        <f>AE110*-1</f>
        <v>-135</v>
      </c>
      <c r="BJ23" s="63">
        <f>AF110*-1</f>
        <v>-120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1757.7400000000002</v>
      </c>
      <c r="AN24" s="63">
        <f t="shared" si="19"/>
        <v>1747.7400000000002</v>
      </c>
      <c r="AO24" s="63">
        <f t="shared" si="19"/>
        <v>1680.7400000000002</v>
      </c>
      <c r="AP24" s="63">
        <f t="shared" si="19"/>
        <v>1667.7400000000002</v>
      </c>
      <c r="AQ24" s="63">
        <f t="shared" si="19"/>
        <v>1641.5400000000002</v>
      </c>
      <c r="AR24" s="63">
        <f t="shared" si="19"/>
        <v>1671.0400000000002</v>
      </c>
      <c r="AS24" s="63">
        <f t="shared" si="19"/>
        <v>1592.6400000000003</v>
      </c>
      <c r="AT24" s="63">
        <f t="shared" si="19"/>
        <v>1737.5400000000002</v>
      </c>
      <c r="AU24" s="63">
        <f t="shared" si="19"/>
        <v>1805.0400000000002</v>
      </c>
      <c r="AV24" s="63">
        <f t="shared" si="19"/>
        <v>1861.0400000000002</v>
      </c>
      <c r="AW24" s="63">
        <f t="shared" si="19"/>
        <v>1906.14</v>
      </c>
      <c r="AX24" s="63">
        <f t="shared" si="19"/>
        <v>1984.44</v>
      </c>
      <c r="AY24" s="63">
        <f t="shared" si="19"/>
        <v>1799.54</v>
      </c>
      <c r="AZ24" s="63">
        <f t="shared" si="19"/>
        <v>1802.24</v>
      </c>
      <c r="BA24" s="63">
        <f t="shared" si="19"/>
        <v>1863.94</v>
      </c>
      <c r="BB24" s="63">
        <f t="shared" si="19"/>
        <v>1864.5400000000002</v>
      </c>
      <c r="BC24" s="63">
        <f t="shared" si="19"/>
        <v>1755.1400000000003</v>
      </c>
      <c r="BD24" s="63">
        <f t="shared" si="19"/>
        <v>1838.3400000000001</v>
      </c>
      <c r="BE24" s="63">
        <f t="shared" si="19"/>
        <v>1592.4400000000003</v>
      </c>
      <c r="BF24" s="63">
        <f t="shared" si="19"/>
        <v>1896.44</v>
      </c>
      <c r="BG24" s="63">
        <f t="shared" si="19"/>
        <v>1947.94</v>
      </c>
      <c r="BH24" s="63">
        <f t="shared" si="19"/>
        <v>1923.2400000000002</v>
      </c>
      <c r="BI24" s="63">
        <f t="shared" si="19"/>
        <v>1839.2400000000002</v>
      </c>
      <c r="BJ24" s="63">
        <f t="shared" si="19"/>
        <v>1717.64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16</v>
      </c>
      <c r="C25" s="46">
        <v>16</v>
      </c>
      <c r="D25" s="46">
        <v>16</v>
      </c>
      <c r="E25" s="46">
        <v>16</v>
      </c>
      <c r="F25" s="46">
        <v>16</v>
      </c>
      <c r="G25" s="46">
        <v>16</v>
      </c>
      <c r="H25" s="46">
        <v>16</v>
      </c>
      <c r="I25" s="46">
        <v>16</v>
      </c>
      <c r="J25" s="46">
        <v>16</v>
      </c>
      <c r="K25" s="46">
        <v>14</v>
      </c>
      <c r="L25" s="46">
        <v>12</v>
      </c>
      <c r="M25" s="46">
        <v>12</v>
      </c>
      <c r="N25" s="46">
        <v>12</v>
      </c>
      <c r="O25" s="46">
        <v>12</v>
      </c>
      <c r="P25" s="46">
        <v>12</v>
      </c>
      <c r="Q25" s="46">
        <v>12</v>
      </c>
      <c r="R25" s="46">
        <v>12</v>
      </c>
      <c r="S25" s="46">
        <v>12</v>
      </c>
      <c r="T25" s="46">
        <v>12</v>
      </c>
      <c r="U25" s="46">
        <v>12</v>
      </c>
      <c r="V25" s="46">
        <v>12</v>
      </c>
      <c r="W25" s="46">
        <v>12</v>
      </c>
      <c r="X25" s="46">
        <v>12</v>
      </c>
      <c r="Y25" s="46">
        <v>12</v>
      </c>
      <c r="Z25" s="46">
        <v>12</v>
      </c>
      <c r="AA25" s="46">
        <v>12</v>
      </c>
      <c r="AB25" s="46">
        <v>12</v>
      </c>
      <c r="AC25" s="46">
        <v>12</v>
      </c>
      <c r="AD25" s="46">
        <v>12</v>
      </c>
      <c r="AE25" s="46">
        <v>12</v>
      </c>
      <c r="AF25" s="46">
        <v>12</v>
      </c>
      <c r="AG25" s="61">
        <v>30</v>
      </c>
      <c r="AH25" s="48">
        <f t="shared" si="2"/>
        <v>16</v>
      </c>
      <c r="AI25" s="49">
        <f t="shared" si="3"/>
        <v>12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24.2</v>
      </c>
      <c r="AH26" s="48">
        <f t="shared" si="2"/>
        <v>10</v>
      </c>
      <c r="AI26" s="49">
        <f t="shared" si="3"/>
        <v>10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/>
      <c r="C27" s="46"/>
      <c r="D27" s="46"/>
      <c r="E27" s="46"/>
      <c r="F27" s="46"/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14.5</v>
      </c>
      <c r="R27" s="46">
        <v>14.5</v>
      </c>
      <c r="S27" s="46">
        <v>14.5</v>
      </c>
      <c r="T27" s="46">
        <v>14.5</v>
      </c>
      <c r="U27" s="46">
        <v>14.5</v>
      </c>
      <c r="V27" s="46">
        <v>14.5</v>
      </c>
      <c r="W27" s="46">
        <v>14.5</v>
      </c>
      <c r="X27" s="46">
        <v>14.5</v>
      </c>
      <c r="Y27" s="46">
        <v>14.5</v>
      </c>
      <c r="Z27" s="46">
        <v>14.5</v>
      </c>
      <c r="AA27" s="46">
        <v>14.5</v>
      </c>
      <c r="AB27" s="46">
        <v>14.5</v>
      </c>
      <c r="AC27" s="46">
        <v>14.5</v>
      </c>
      <c r="AD27" s="46">
        <v>14.5</v>
      </c>
      <c r="AE27" s="46">
        <v>14.5</v>
      </c>
      <c r="AF27" s="46">
        <v>14.5</v>
      </c>
      <c r="AG27" s="50">
        <v>28</v>
      </c>
      <c r="AH27" s="48">
        <f t="shared" si="2"/>
        <v>14.5</v>
      </c>
      <c r="AI27" s="49">
        <f t="shared" si="3"/>
        <v>14.5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16.7</v>
      </c>
      <c r="C28" s="46">
        <v>16.7</v>
      </c>
      <c r="D28" s="46">
        <v>16.7</v>
      </c>
      <c r="E28" s="46">
        <v>16.7</v>
      </c>
      <c r="F28" s="46">
        <v>16.7</v>
      </c>
      <c r="G28" s="46">
        <v>16.7</v>
      </c>
      <c r="H28" s="46">
        <v>16.7</v>
      </c>
      <c r="I28" s="46">
        <v>16.7</v>
      </c>
      <c r="J28" s="46">
        <v>16.7</v>
      </c>
      <c r="K28" s="46">
        <v>16.7</v>
      </c>
      <c r="L28" s="46">
        <v>16.7</v>
      </c>
      <c r="M28" s="46">
        <v>16.7</v>
      </c>
      <c r="N28" s="46">
        <v>16.7</v>
      </c>
      <c r="O28" s="46">
        <v>16.7</v>
      </c>
      <c r="P28" s="46">
        <v>16.7</v>
      </c>
      <c r="Q28" s="46">
        <v>16.7</v>
      </c>
      <c r="R28" s="46">
        <v>16.7</v>
      </c>
      <c r="S28" s="46">
        <v>16.7</v>
      </c>
      <c r="T28" s="46">
        <v>16.7</v>
      </c>
      <c r="U28" s="46">
        <v>16.7</v>
      </c>
      <c r="V28" s="46">
        <v>16.7</v>
      </c>
      <c r="W28" s="46">
        <v>16.7</v>
      </c>
      <c r="X28" s="46">
        <v>16.7</v>
      </c>
      <c r="Y28" s="46">
        <v>16.7</v>
      </c>
      <c r="Z28" s="46">
        <v>16.7</v>
      </c>
      <c r="AA28" s="46">
        <v>16.7</v>
      </c>
      <c r="AB28" s="46">
        <v>16.7</v>
      </c>
      <c r="AC28" s="46">
        <v>16.7</v>
      </c>
      <c r="AD28" s="46">
        <v>16.7</v>
      </c>
      <c r="AE28" s="46">
        <v>16.7</v>
      </c>
      <c r="AF28" s="46">
        <v>16.7</v>
      </c>
      <c r="AG28" s="61">
        <v>30</v>
      </c>
      <c r="AH28" s="48">
        <f t="shared" si="2"/>
        <v>16.7</v>
      </c>
      <c r="AI28" s="49">
        <f t="shared" si="3"/>
        <v>16.7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22.5</v>
      </c>
      <c r="C29" s="46">
        <v>22.5</v>
      </c>
      <c r="D29" s="46">
        <v>22.5</v>
      </c>
      <c r="E29" s="46">
        <v>22.5</v>
      </c>
      <c r="F29" s="46">
        <v>22.5</v>
      </c>
      <c r="G29" s="46">
        <v>22.5</v>
      </c>
      <c r="H29" s="46">
        <v>22.5</v>
      </c>
      <c r="I29" s="46">
        <v>22.5</v>
      </c>
      <c r="J29" s="46">
        <v>22.5</v>
      </c>
      <c r="K29" s="46">
        <v>22.5</v>
      </c>
      <c r="L29" s="46">
        <v>22.5</v>
      </c>
      <c r="M29" s="46">
        <v>22.5</v>
      </c>
      <c r="N29" s="46">
        <v>22.5</v>
      </c>
      <c r="O29" s="46">
        <v>22.5</v>
      </c>
      <c r="P29" s="46">
        <v>22.5</v>
      </c>
      <c r="Q29" s="46">
        <v>22.5</v>
      </c>
      <c r="R29" s="46">
        <v>22.5</v>
      </c>
      <c r="S29" s="46">
        <v>22.5</v>
      </c>
      <c r="T29" s="46">
        <v>22.5</v>
      </c>
      <c r="U29" s="46">
        <v>22.5</v>
      </c>
      <c r="V29" s="46">
        <v>22.5</v>
      </c>
      <c r="W29" s="46">
        <v>22.5</v>
      </c>
      <c r="X29" s="46">
        <v>22.5</v>
      </c>
      <c r="Y29" s="46">
        <v>22.5</v>
      </c>
      <c r="Z29" s="46">
        <v>22.5</v>
      </c>
      <c r="AA29" s="46">
        <v>22.5</v>
      </c>
      <c r="AB29" s="46">
        <v>22.5</v>
      </c>
      <c r="AC29" s="46">
        <v>22.5</v>
      </c>
      <c r="AD29" s="46">
        <v>22.5</v>
      </c>
      <c r="AE29" s="46">
        <v>22.5</v>
      </c>
      <c r="AF29" s="46">
        <v>22.5</v>
      </c>
      <c r="AG29" s="50">
        <v>25</v>
      </c>
      <c r="AH29" s="48">
        <f t="shared" si="2"/>
        <v>22.5</v>
      </c>
      <c r="AI29" s="49">
        <f t="shared" si="3"/>
        <v>22.5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20</v>
      </c>
      <c r="C30" s="46">
        <v>20</v>
      </c>
      <c r="D30" s="46">
        <v>20</v>
      </c>
      <c r="E30" s="46">
        <v>20</v>
      </c>
      <c r="F30" s="46">
        <v>20</v>
      </c>
      <c r="G30" s="46">
        <v>20</v>
      </c>
      <c r="H30" s="46">
        <v>20</v>
      </c>
      <c r="I30" s="46">
        <v>20</v>
      </c>
      <c r="J30" s="46">
        <v>20</v>
      </c>
      <c r="K30" s="46">
        <v>20</v>
      </c>
      <c r="L30" s="46">
        <v>20</v>
      </c>
      <c r="M30" s="46">
        <v>20</v>
      </c>
      <c r="N30" s="46">
        <v>20</v>
      </c>
      <c r="O30" s="46">
        <v>20</v>
      </c>
      <c r="P30" s="46">
        <v>20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50">
        <v>25</v>
      </c>
      <c r="AH30" s="48">
        <f t="shared" si="2"/>
        <v>20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22</v>
      </c>
      <c r="C32" s="46">
        <v>22</v>
      </c>
      <c r="D32" s="46">
        <v>22</v>
      </c>
      <c r="E32" s="46">
        <v>22</v>
      </c>
      <c r="F32" s="46">
        <v>22</v>
      </c>
      <c r="G32" s="46">
        <v>22</v>
      </c>
      <c r="H32" s="46">
        <v>22</v>
      </c>
      <c r="I32" s="46">
        <v>22</v>
      </c>
      <c r="J32" s="46">
        <v>22</v>
      </c>
      <c r="K32" s="46">
        <v>22</v>
      </c>
      <c r="L32" s="46">
        <v>22</v>
      </c>
      <c r="M32" s="46">
        <v>22</v>
      </c>
      <c r="N32" s="46">
        <v>22</v>
      </c>
      <c r="O32" s="46">
        <v>22</v>
      </c>
      <c r="P32" s="46">
        <v>22</v>
      </c>
      <c r="Q32" s="46">
        <v>22</v>
      </c>
      <c r="R32" s="46">
        <v>22</v>
      </c>
      <c r="S32" s="46">
        <v>22</v>
      </c>
      <c r="T32" s="46">
        <v>22</v>
      </c>
      <c r="U32" s="46">
        <v>22</v>
      </c>
      <c r="V32" s="46">
        <v>22</v>
      </c>
      <c r="W32" s="46">
        <v>22</v>
      </c>
      <c r="X32" s="46">
        <v>22</v>
      </c>
      <c r="Y32" s="46">
        <v>22</v>
      </c>
      <c r="Z32" s="46">
        <v>22</v>
      </c>
      <c r="AA32" s="46">
        <v>22</v>
      </c>
      <c r="AB32" s="46">
        <v>22</v>
      </c>
      <c r="AC32" s="46">
        <v>22</v>
      </c>
      <c r="AD32" s="46">
        <v>22</v>
      </c>
      <c r="AE32" s="46">
        <v>22</v>
      </c>
      <c r="AF32" s="46">
        <v>22</v>
      </c>
      <c r="AG32" s="50">
        <v>25</v>
      </c>
      <c r="AH32" s="48">
        <f t="shared" si="2"/>
        <v>22</v>
      </c>
      <c r="AI32" s="49">
        <f t="shared" si="3"/>
        <v>22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11.5</v>
      </c>
      <c r="C33" s="46">
        <v>11.5</v>
      </c>
      <c r="D33" s="46">
        <v>11.5</v>
      </c>
      <c r="E33" s="46">
        <v>11.5</v>
      </c>
      <c r="F33" s="46">
        <v>11.5</v>
      </c>
      <c r="G33" s="46">
        <v>11.5</v>
      </c>
      <c r="H33" s="46">
        <v>11.5</v>
      </c>
      <c r="I33" s="46">
        <v>11.5</v>
      </c>
      <c r="J33" s="46">
        <v>11.5</v>
      </c>
      <c r="K33" s="46">
        <v>11.5</v>
      </c>
      <c r="L33" s="46">
        <v>11.5</v>
      </c>
      <c r="M33" s="46">
        <v>11.5</v>
      </c>
      <c r="N33" s="46">
        <v>11.5</v>
      </c>
      <c r="O33" s="46">
        <v>11.5</v>
      </c>
      <c r="P33" s="46">
        <v>11.5</v>
      </c>
      <c r="Q33" s="46">
        <v>11.5</v>
      </c>
      <c r="R33" s="46">
        <v>11.5</v>
      </c>
      <c r="S33" s="46">
        <v>11.5</v>
      </c>
      <c r="T33" s="46">
        <v>11.5</v>
      </c>
      <c r="U33" s="46">
        <v>11.5</v>
      </c>
      <c r="V33" s="46">
        <v>11.5</v>
      </c>
      <c r="W33" s="46">
        <v>11.5</v>
      </c>
      <c r="X33" s="46">
        <v>11.5</v>
      </c>
      <c r="Y33" s="46">
        <v>11.5</v>
      </c>
      <c r="Z33" s="46">
        <v>11.5</v>
      </c>
      <c r="AA33" s="46">
        <v>11.5</v>
      </c>
      <c r="AB33" s="46">
        <v>11.5</v>
      </c>
      <c r="AC33" s="46">
        <v>11.5</v>
      </c>
      <c r="AD33" s="46">
        <v>11.5</v>
      </c>
      <c r="AE33" s="46">
        <v>11.5</v>
      </c>
      <c r="AF33" s="46">
        <v>11.5</v>
      </c>
      <c r="AG33" s="50">
        <v>23.5</v>
      </c>
      <c r="AH33" s="48">
        <f t="shared" si="2"/>
        <v>11.5</v>
      </c>
      <c r="AI33" s="49">
        <f t="shared" si="3"/>
        <v>11.5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11</v>
      </c>
      <c r="C36" s="46">
        <v>11</v>
      </c>
      <c r="D36" s="46">
        <v>11</v>
      </c>
      <c r="E36" s="46">
        <v>11</v>
      </c>
      <c r="F36" s="46">
        <v>11</v>
      </c>
      <c r="G36" s="46">
        <v>11</v>
      </c>
      <c r="H36" s="46">
        <v>11</v>
      </c>
      <c r="I36" s="46">
        <v>11</v>
      </c>
      <c r="J36" s="46">
        <v>11</v>
      </c>
      <c r="K36" s="46">
        <v>11</v>
      </c>
      <c r="L36" s="46">
        <v>11</v>
      </c>
      <c r="M36" s="46">
        <v>11</v>
      </c>
      <c r="N36" s="46">
        <v>11</v>
      </c>
      <c r="O36" s="46">
        <v>11</v>
      </c>
      <c r="P36" s="46">
        <v>11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50">
        <v>22</v>
      </c>
      <c r="AH36" s="48">
        <f t="shared" si="2"/>
        <v>11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10.1</v>
      </c>
      <c r="C37" s="46">
        <v>10.1</v>
      </c>
      <c r="D37" s="46">
        <v>10.1</v>
      </c>
      <c r="E37" s="46">
        <v>10.1</v>
      </c>
      <c r="F37" s="46">
        <v>10.1</v>
      </c>
      <c r="G37" s="46">
        <v>10.1</v>
      </c>
      <c r="H37" s="46">
        <v>10.1</v>
      </c>
      <c r="I37" s="46">
        <v>10.1</v>
      </c>
      <c r="J37" s="46">
        <v>10.1</v>
      </c>
      <c r="K37" s="46">
        <v>10.1</v>
      </c>
      <c r="L37" s="46">
        <v>10.1</v>
      </c>
      <c r="M37" s="46">
        <v>10.1</v>
      </c>
      <c r="N37" s="46">
        <v>10.1</v>
      </c>
      <c r="O37" s="46">
        <v>10.1</v>
      </c>
      <c r="P37" s="46">
        <v>10.1</v>
      </c>
      <c r="Q37" s="46">
        <v>10.1</v>
      </c>
      <c r="R37" s="46">
        <v>10.1</v>
      </c>
      <c r="S37" s="46">
        <v>10.1</v>
      </c>
      <c r="T37" s="46">
        <v>10.1</v>
      </c>
      <c r="U37" s="46">
        <v>10.1</v>
      </c>
      <c r="V37" s="46">
        <v>10.1</v>
      </c>
      <c r="W37" s="46">
        <v>10.1</v>
      </c>
      <c r="X37" s="46">
        <v>10.1</v>
      </c>
      <c r="Y37" s="46">
        <v>10.1</v>
      </c>
      <c r="Z37" s="46">
        <v>10.1</v>
      </c>
      <c r="AA37" s="46">
        <v>10.1</v>
      </c>
      <c r="AB37" s="46">
        <v>10.1</v>
      </c>
      <c r="AC37" s="46">
        <v>10.1</v>
      </c>
      <c r="AD37" s="46">
        <v>10.1</v>
      </c>
      <c r="AE37" s="46">
        <v>10.1</v>
      </c>
      <c r="AF37" s="46">
        <v>10.1</v>
      </c>
      <c r="AG37" s="50">
        <v>22</v>
      </c>
      <c r="AH37" s="48">
        <f t="shared" si="2"/>
        <v>10.1</v>
      </c>
      <c r="AI37" s="49">
        <f t="shared" si="3"/>
        <v>10.1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19.5</v>
      </c>
      <c r="C38" s="46">
        <v>19.5</v>
      </c>
      <c r="D38" s="46">
        <v>19.5</v>
      </c>
      <c r="E38" s="46">
        <v>19.5</v>
      </c>
      <c r="F38" s="46">
        <v>19.5</v>
      </c>
      <c r="G38" s="46">
        <v>19.5</v>
      </c>
      <c r="H38" s="46">
        <v>19.5</v>
      </c>
      <c r="I38" s="46">
        <v>19.5</v>
      </c>
      <c r="J38" s="46">
        <v>19.5</v>
      </c>
      <c r="K38" s="46">
        <v>19.5</v>
      </c>
      <c r="L38" s="46">
        <v>19.5</v>
      </c>
      <c r="M38" s="46">
        <v>19.5</v>
      </c>
      <c r="N38" s="46">
        <v>19.5</v>
      </c>
      <c r="O38" s="46">
        <v>19.5</v>
      </c>
      <c r="P38" s="46">
        <v>19.5</v>
      </c>
      <c r="Q38" s="46">
        <v>19.5</v>
      </c>
      <c r="R38" s="46">
        <v>19.5</v>
      </c>
      <c r="S38" s="46">
        <v>19.5</v>
      </c>
      <c r="T38" s="46">
        <v>19.5</v>
      </c>
      <c r="U38" s="46">
        <v>19.5</v>
      </c>
      <c r="V38" s="46">
        <v>19.5</v>
      </c>
      <c r="W38" s="46">
        <v>19.5</v>
      </c>
      <c r="X38" s="46">
        <v>19.5</v>
      </c>
      <c r="Y38" s="46">
        <v>19.5</v>
      </c>
      <c r="Z38" s="46">
        <v>19.5</v>
      </c>
      <c r="AA38" s="46">
        <v>19.5</v>
      </c>
      <c r="AB38" s="46">
        <v>19.5</v>
      </c>
      <c r="AC38" s="46">
        <v>19.5</v>
      </c>
      <c r="AD38" s="46">
        <v>19.5</v>
      </c>
      <c r="AE38" s="46">
        <v>19.5</v>
      </c>
      <c r="AF38" s="46">
        <v>19.5</v>
      </c>
      <c r="AG38" s="50">
        <v>20</v>
      </c>
      <c r="AH38" s="48">
        <f t="shared" si="2"/>
        <v>19.5</v>
      </c>
      <c r="AI38" s="49">
        <f t="shared" si="3"/>
        <v>19.5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12.1</v>
      </c>
      <c r="C40" s="46">
        <v>12.1</v>
      </c>
      <c r="D40" s="46">
        <v>12.1</v>
      </c>
      <c r="E40" s="46">
        <v>12.1</v>
      </c>
      <c r="F40" s="46">
        <v>12.1</v>
      </c>
      <c r="G40" s="46">
        <v>12.1</v>
      </c>
      <c r="H40" s="46">
        <v>12.1</v>
      </c>
      <c r="I40" s="46">
        <v>12.1</v>
      </c>
      <c r="J40" s="46">
        <v>12.1</v>
      </c>
      <c r="K40" s="46">
        <v>12.1</v>
      </c>
      <c r="L40" s="46">
        <v>12.1</v>
      </c>
      <c r="M40" s="46">
        <v>12.1</v>
      </c>
      <c r="N40" s="46">
        <v>12.1</v>
      </c>
      <c r="O40" s="46">
        <v>12.1</v>
      </c>
      <c r="P40" s="46">
        <v>12.1</v>
      </c>
      <c r="Q40" s="46">
        <v>12.1</v>
      </c>
      <c r="R40" s="46">
        <v>12.1</v>
      </c>
      <c r="S40" s="46">
        <v>12.1</v>
      </c>
      <c r="T40" s="46">
        <v>12.1</v>
      </c>
      <c r="U40" s="46">
        <v>12.1</v>
      </c>
      <c r="V40" s="46">
        <v>12.1</v>
      </c>
      <c r="W40" s="46">
        <v>12.1</v>
      </c>
      <c r="X40" s="46">
        <v>12.1</v>
      </c>
      <c r="Y40" s="46">
        <v>12.1</v>
      </c>
      <c r="Z40" s="46">
        <v>12.1</v>
      </c>
      <c r="AA40" s="46">
        <v>12.1</v>
      </c>
      <c r="AB40" s="46">
        <v>12.1</v>
      </c>
      <c r="AC40" s="46">
        <v>12.1</v>
      </c>
      <c r="AD40" s="46">
        <v>12.1</v>
      </c>
      <c r="AE40" s="46">
        <v>12.1</v>
      </c>
      <c r="AF40" s="46">
        <v>12.1</v>
      </c>
      <c r="AG40" s="50">
        <v>18</v>
      </c>
      <c r="AH40" s="48">
        <f t="shared" si="2"/>
        <v>12.1</v>
      </c>
      <c r="AI40" s="49">
        <f t="shared" si="3"/>
        <v>12.1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2.7</v>
      </c>
      <c r="C46" s="46">
        <v>2.7</v>
      </c>
      <c r="D46" s="46">
        <v>2.7</v>
      </c>
      <c r="E46" s="46">
        <v>2.7</v>
      </c>
      <c r="F46" s="46">
        <v>2.7</v>
      </c>
      <c r="G46" s="46">
        <v>2.7</v>
      </c>
      <c r="H46" s="46">
        <v>2.7</v>
      </c>
      <c r="I46" s="46">
        <v>2.7</v>
      </c>
      <c r="J46" s="46">
        <v>2.7</v>
      </c>
      <c r="K46" s="46">
        <v>2.7</v>
      </c>
      <c r="L46" s="46">
        <v>2.7</v>
      </c>
      <c r="M46" s="46">
        <v>2.7</v>
      </c>
      <c r="N46" s="46">
        <v>2.7</v>
      </c>
      <c r="O46" s="46">
        <v>2.7</v>
      </c>
      <c r="P46" s="46">
        <v>2.7</v>
      </c>
      <c r="Q46" s="46">
        <v>2.7</v>
      </c>
      <c r="R46" s="46">
        <v>2.7</v>
      </c>
      <c r="S46" s="46">
        <v>2.7</v>
      </c>
      <c r="T46" s="46">
        <v>2.7</v>
      </c>
      <c r="U46" s="46">
        <v>2.7</v>
      </c>
      <c r="V46" s="46">
        <v>2.7</v>
      </c>
      <c r="W46" s="46">
        <v>2.7</v>
      </c>
      <c r="X46" s="46">
        <v>2.7</v>
      </c>
      <c r="Y46" s="46">
        <v>2.7</v>
      </c>
      <c r="Z46" s="46">
        <v>2.7</v>
      </c>
      <c r="AA46" s="46">
        <v>2.7</v>
      </c>
      <c r="AB46" s="46">
        <v>2.7</v>
      </c>
      <c r="AC46" s="46">
        <v>2.7</v>
      </c>
      <c r="AD46" s="46">
        <v>2.7</v>
      </c>
      <c r="AE46" s="46">
        <v>2.7</v>
      </c>
      <c r="AF46" s="46">
        <v>2.7</v>
      </c>
      <c r="AG46" s="50">
        <v>14</v>
      </c>
      <c r="AH46" s="48">
        <f t="shared" si="2"/>
        <v>2.7</v>
      </c>
      <c r="AI46" s="49">
        <f t="shared" si="3"/>
        <v>2.7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12</v>
      </c>
      <c r="R50" s="46">
        <v>12</v>
      </c>
      <c r="S50" s="46">
        <v>12</v>
      </c>
      <c r="T50" s="46">
        <v>12</v>
      </c>
      <c r="U50" s="46">
        <v>12</v>
      </c>
      <c r="V50" s="46">
        <v>12</v>
      </c>
      <c r="W50" s="46">
        <v>12</v>
      </c>
      <c r="X50" s="46">
        <v>12</v>
      </c>
      <c r="Y50" s="46">
        <v>12</v>
      </c>
      <c r="Z50" s="46">
        <v>12</v>
      </c>
      <c r="AA50" s="46">
        <v>12</v>
      </c>
      <c r="AB50" s="46">
        <v>12</v>
      </c>
      <c r="AC50" s="46">
        <v>12</v>
      </c>
      <c r="AD50" s="46">
        <v>12</v>
      </c>
      <c r="AE50" s="46">
        <v>12</v>
      </c>
      <c r="AF50" s="46">
        <v>12</v>
      </c>
      <c r="AG50" s="50">
        <v>12</v>
      </c>
      <c r="AH50" s="48">
        <f t="shared" si="2"/>
        <v>12</v>
      </c>
      <c r="AI50" s="49">
        <f t="shared" si="3"/>
        <v>12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60.2</v>
      </c>
      <c r="C60" s="68">
        <v>60.2</v>
      </c>
      <c r="D60" s="68">
        <v>60.2</v>
      </c>
      <c r="E60" s="68">
        <v>60.2</v>
      </c>
      <c r="F60" s="68">
        <v>66</v>
      </c>
      <c r="G60" s="68">
        <v>67</v>
      </c>
      <c r="H60" s="68">
        <v>78</v>
      </c>
      <c r="I60" s="68">
        <v>78.7</v>
      </c>
      <c r="J60" s="68">
        <v>78.7</v>
      </c>
      <c r="K60" s="68">
        <v>76.7</v>
      </c>
      <c r="L60" s="68">
        <v>69</v>
      </c>
      <c r="M60" s="68">
        <v>69</v>
      </c>
      <c r="N60" s="68">
        <v>69</v>
      </c>
      <c r="O60" s="68">
        <v>69</v>
      </c>
      <c r="P60" s="53">
        <f>35.2+46.4</f>
        <v>81.599999999999994</v>
      </c>
      <c r="Q60" s="53">
        <f>35.2+46.4</f>
        <v>81.599999999999994</v>
      </c>
      <c r="R60" s="53">
        <f t="shared" ref="R60:V60" si="20">35.2+46.4</f>
        <v>81.599999999999994</v>
      </c>
      <c r="S60" s="53">
        <f t="shared" si="20"/>
        <v>81.599999999999994</v>
      </c>
      <c r="T60" s="53">
        <f t="shared" si="20"/>
        <v>81.599999999999994</v>
      </c>
      <c r="U60" s="53">
        <f t="shared" si="20"/>
        <v>81.599999999999994</v>
      </c>
      <c r="V60" s="53">
        <f t="shared" si="20"/>
        <v>81.599999999999994</v>
      </c>
      <c r="W60" s="53">
        <v>72.2</v>
      </c>
      <c r="X60" s="53">
        <v>92.1</v>
      </c>
      <c r="Y60" s="53">
        <v>93.3</v>
      </c>
      <c r="Z60" s="53">
        <v>88.5</v>
      </c>
      <c r="AA60" s="68">
        <v>89.6</v>
      </c>
      <c r="AB60" s="68">
        <v>93</v>
      </c>
      <c r="AC60" s="68">
        <v>93</v>
      </c>
      <c r="AD60" s="68">
        <v>95</v>
      </c>
      <c r="AE60" s="68">
        <v>93</v>
      </c>
      <c r="AF60" s="68">
        <v>93</v>
      </c>
      <c r="AG60" s="66">
        <v>240</v>
      </c>
      <c r="AH60" s="48">
        <f t="shared" si="2"/>
        <v>95</v>
      </c>
      <c r="AI60" s="49">
        <f t="shared" si="3"/>
        <v>60.2</v>
      </c>
      <c r="AK60" s="51"/>
    </row>
    <row r="61" spans="1:88" ht="15.75" thickBot="1" x14ac:dyDescent="0.3">
      <c r="A61" s="70" t="s">
        <v>75</v>
      </c>
      <c r="B61" s="71">
        <f t="shared" ref="B61:C61" si="21">SUM(B11:B59)</f>
        <v>806.50000000000011</v>
      </c>
      <c r="C61" s="71">
        <f t="shared" si="21"/>
        <v>806.50000000000011</v>
      </c>
      <c r="D61" s="71">
        <f t="shared" ref="D61" si="22">SUM(D11:D59)</f>
        <v>806.50000000000011</v>
      </c>
      <c r="E61" s="71">
        <f t="shared" ref="E61:AG61" si="23">SUM(E11:E59)</f>
        <v>806.50000000000011</v>
      </c>
      <c r="F61" s="71">
        <f t="shared" si="23"/>
        <v>806.50000000000011</v>
      </c>
      <c r="G61" s="71">
        <f t="shared" ref="G61" si="24">SUM(G11:G59)</f>
        <v>821.00000000000011</v>
      </c>
      <c r="H61" s="71">
        <f t="shared" si="23"/>
        <v>821.00000000000011</v>
      </c>
      <c r="I61" s="71">
        <f t="shared" si="23"/>
        <v>821.00000000000011</v>
      </c>
      <c r="J61" s="71">
        <f t="shared" si="23"/>
        <v>821.00000000000011</v>
      </c>
      <c r="K61" s="71">
        <f t="shared" si="23"/>
        <v>819.00000000000011</v>
      </c>
      <c r="L61" s="71">
        <f t="shared" si="23"/>
        <v>817.00000000000011</v>
      </c>
      <c r="M61" s="71">
        <f t="shared" si="23"/>
        <v>817.00000000000011</v>
      </c>
      <c r="N61" s="71">
        <f t="shared" si="23"/>
        <v>817.00000000000011</v>
      </c>
      <c r="O61" s="71">
        <f t="shared" si="23"/>
        <v>817.00000000000011</v>
      </c>
      <c r="P61" s="71">
        <f t="shared" si="23"/>
        <v>817.00000000000011</v>
      </c>
      <c r="Q61" s="71">
        <f t="shared" si="23"/>
        <v>786.00000000000011</v>
      </c>
      <c r="R61" s="71">
        <f t="shared" ref="R61:S61" si="25">SUM(R11:R59)</f>
        <v>786.00000000000011</v>
      </c>
      <c r="S61" s="71">
        <f t="shared" si="25"/>
        <v>786.00000000000011</v>
      </c>
      <c r="T61" s="71">
        <f t="shared" ref="T61:U61" si="26">SUM(T11:T59)</f>
        <v>786.00000000000011</v>
      </c>
      <c r="U61" s="71">
        <f t="shared" si="26"/>
        <v>786.00000000000011</v>
      </c>
      <c r="V61" s="71">
        <f t="shared" ref="V61:W61" si="27">SUM(V11:V59)</f>
        <v>786.00000000000011</v>
      </c>
      <c r="W61" s="71">
        <f t="shared" si="27"/>
        <v>786.00000000000011</v>
      </c>
      <c r="X61" s="71">
        <f t="shared" ref="X61:Y61" si="28">SUM(X11:X59)</f>
        <v>786.00000000000011</v>
      </c>
      <c r="Y61" s="71">
        <f t="shared" si="28"/>
        <v>786.00000000000011</v>
      </c>
      <c r="Z61" s="71">
        <f t="shared" ref="Z61:AA61" si="29">SUM(Z11:Z59)</f>
        <v>786.00000000000011</v>
      </c>
      <c r="AA61" s="71">
        <f t="shared" si="29"/>
        <v>786.00000000000011</v>
      </c>
      <c r="AB61" s="71">
        <f t="shared" si="23"/>
        <v>788.50000000000011</v>
      </c>
      <c r="AC61" s="71">
        <f t="shared" si="23"/>
        <v>788.50000000000011</v>
      </c>
      <c r="AD61" s="71">
        <f t="shared" si="23"/>
        <v>788.50000000000011</v>
      </c>
      <c r="AE61" s="71">
        <f t="shared" ref="AE61:AF61" si="30">SUM(AE11:AE59)</f>
        <v>788.50000000000011</v>
      </c>
      <c r="AF61" s="71">
        <f t="shared" si="30"/>
        <v>788.50000000000011</v>
      </c>
      <c r="AG61" s="71">
        <f t="shared" si="23"/>
        <v>1466.0300000000002</v>
      </c>
      <c r="AH61" s="48">
        <f t="shared" si="2"/>
        <v>821.00000000000011</v>
      </c>
      <c r="AI61" s="49">
        <f t="shared" si="3"/>
        <v>786.00000000000011</v>
      </c>
      <c r="AK61" s="51"/>
    </row>
    <row r="62" spans="1:88" x14ac:dyDescent="0.25">
      <c r="A62" s="73" t="s">
        <v>76</v>
      </c>
      <c r="B62" s="46">
        <v>420</v>
      </c>
      <c r="C62" s="46">
        <v>420</v>
      </c>
      <c r="D62" s="46">
        <v>420</v>
      </c>
      <c r="E62" s="46">
        <v>410</v>
      </c>
      <c r="F62" s="46">
        <v>390</v>
      </c>
      <c r="G62" s="46">
        <v>456</v>
      </c>
      <c r="H62" s="46">
        <v>390</v>
      </c>
      <c r="I62" s="46">
        <v>400</v>
      </c>
      <c r="J62" s="46">
        <v>330</v>
      </c>
      <c r="K62" s="46">
        <v>410</v>
      </c>
      <c r="L62" s="46">
        <v>456</v>
      </c>
      <c r="M62" s="46">
        <v>456</v>
      </c>
      <c r="N62" s="46">
        <v>456</v>
      </c>
      <c r="O62" s="46">
        <v>406</v>
      </c>
      <c r="P62" s="74">
        <v>458.2</v>
      </c>
      <c r="Q62" s="74">
        <v>325</v>
      </c>
      <c r="R62" s="74">
        <v>325</v>
      </c>
      <c r="S62" s="74">
        <v>325</v>
      </c>
      <c r="T62" s="74">
        <v>344</v>
      </c>
      <c r="U62" s="74">
        <v>289.10000000000002</v>
      </c>
      <c r="V62" s="74">
        <v>323.8</v>
      </c>
      <c r="W62" s="74">
        <v>217.1</v>
      </c>
      <c r="X62" s="74">
        <v>114.6</v>
      </c>
      <c r="Y62" s="74">
        <v>338</v>
      </c>
      <c r="Z62" s="74">
        <v>445</v>
      </c>
      <c r="AA62" s="46">
        <v>460.1</v>
      </c>
      <c r="AB62" s="46">
        <v>458</v>
      </c>
      <c r="AC62" s="46">
        <v>458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2"/>
        <v>460.1</v>
      </c>
      <c r="AI62" s="49">
        <f t="shared" si="3"/>
        <v>114.6</v>
      </c>
      <c r="AK62" s="51"/>
    </row>
    <row r="63" spans="1:88" x14ac:dyDescent="0.25">
      <c r="A63" s="75" t="s">
        <v>77</v>
      </c>
      <c r="B63" s="76">
        <v>31.2</v>
      </c>
      <c r="C63" s="76">
        <v>31.2</v>
      </c>
      <c r="D63" s="76">
        <v>31.2</v>
      </c>
      <c r="E63" s="76">
        <v>31.2</v>
      </c>
      <c r="F63" s="76">
        <v>31.2</v>
      </c>
      <c r="G63" s="76">
        <v>31.2</v>
      </c>
      <c r="H63" s="76">
        <v>31.2</v>
      </c>
      <c r="I63" s="76">
        <v>31.2</v>
      </c>
      <c r="J63" s="76">
        <v>31.2</v>
      </c>
      <c r="K63" s="76">
        <v>31.2</v>
      </c>
      <c r="L63" s="76">
        <v>31.2</v>
      </c>
      <c r="M63" s="76">
        <v>31.2</v>
      </c>
      <c r="N63" s="76">
        <v>31.2</v>
      </c>
      <c r="O63" s="76">
        <v>31.2</v>
      </c>
      <c r="P63" s="76">
        <v>31.2</v>
      </c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31.2</v>
      </c>
      <c r="AC63" s="76">
        <v>31.2</v>
      </c>
      <c r="AD63" s="76">
        <v>31.2</v>
      </c>
      <c r="AE63" s="76">
        <v>31.2</v>
      </c>
      <c r="AF63" s="76">
        <v>31.2</v>
      </c>
      <c r="AG63" s="66">
        <v>60</v>
      </c>
      <c r="AH63" s="48">
        <f t="shared" si="2"/>
        <v>31.2</v>
      </c>
      <c r="AI63" s="49">
        <f t="shared" si="3"/>
        <v>31.2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22.5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C65" si="31">SUM(B62:B64)</f>
        <v>473.7</v>
      </c>
      <c r="C65" s="71">
        <f t="shared" si="31"/>
        <v>473.7</v>
      </c>
      <c r="D65" s="71">
        <f t="shared" ref="D65" si="32">SUM(D62:D64)</f>
        <v>473.7</v>
      </c>
      <c r="E65" s="71">
        <f t="shared" ref="E65:AG65" si="33">SUM(E62:E64)</f>
        <v>463.7</v>
      </c>
      <c r="F65" s="71">
        <f t="shared" si="33"/>
        <v>443.7</v>
      </c>
      <c r="G65" s="71">
        <f t="shared" ref="G65" si="34">SUM(G62:G64)</f>
        <v>509.7</v>
      </c>
      <c r="H65" s="71">
        <f t="shared" si="33"/>
        <v>443.7</v>
      </c>
      <c r="I65" s="71">
        <f t="shared" si="33"/>
        <v>453.7</v>
      </c>
      <c r="J65" s="71">
        <f t="shared" si="33"/>
        <v>383.7</v>
      </c>
      <c r="K65" s="71">
        <f t="shared" si="33"/>
        <v>463.7</v>
      </c>
      <c r="L65" s="71">
        <f t="shared" si="33"/>
        <v>509.7</v>
      </c>
      <c r="M65" s="71">
        <f t="shared" si="33"/>
        <v>509.7</v>
      </c>
      <c r="N65" s="71">
        <f t="shared" si="33"/>
        <v>509.7</v>
      </c>
      <c r="O65" s="71">
        <f t="shared" si="33"/>
        <v>459.7</v>
      </c>
      <c r="P65" s="71">
        <f t="shared" si="33"/>
        <v>511.9</v>
      </c>
      <c r="Q65" s="71">
        <f t="shared" si="33"/>
        <v>378.7</v>
      </c>
      <c r="R65" s="71">
        <f t="shared" ref="R65:S65" si="35">SUM(R62:R64)</f>
        <v>378.7</v>
      </c>
      <c r="S65" s="71">
        <f t="shared" si="35"/>
        <v>378.7</v>
      </c>
      <c r="T65" s="71">
        <f t="shared" ref="T65:U65" si="36">SUM(T62:T64)</f>
        <v>397.7</v>
      </c>
      <c r="U65" s="71">
        <f t="shared" si="36"/>
        <v>342.8</v>
      </c>
      <c r="V65" s="71">
        <f t="shared" ref="V65:W65" si="37">SUM(V62:V64)</f>
        <v>377.5</v>
      </c>
      <c r="W65" s="71">
        <f t="shared" si="37"/>
        <v>270.79999999999995</v>
      </c>
      <c r="X65" s="71">
        <f t="shared" ref="X65:Y65" si="38">SUM(X62:X64)</f>
        <v>168.29999999999998</v>
      </c>
      <c r="Y65" s="71">
        <f t="shared" si="38"/>
        <v>391.7</v>
      </c>
      <c r="Z65" s="71">
        <f t="shared" ref="Z65:AA65" si="39">SUM(Z62:Z64)</f>
        <v>498.7</v>
      </c>
      <c r="AA65" s="71">
        <f t="shared" si="39"/>
        <v>513.79999999999995</v>
      </c>
      <c r="AB65" s="71">
        <f t="shared" si="33"/>
        <v>511.7</v>
      </c>
      <c r="AC65" s="71">
        <f t="shared" si="33"/>
        <v>511.7</v>
      </c>
      <c r="AD65" s="71">
        <f t="shared" si="33"/>
        <v>511.7</v>
      </c>
      <c r="AE65" s="71">
        <f t="shared" ref="AE65:AF65" si="40">SUM(AE62:AE64)</f>
        <v>511.7</v>
      </c>
      <c r="AF65" s="71">
        <f t="shared" si="40"/>
        <v>511.7</v>
      </c>
      <c r="AG65" s="72">
        <f t="shared" si="33"/>
        <v>538.1</v>
      </c>
      <c r="AH65" s="48">
        <f t="shared" si="2"/>
        <v>513.79999999999995</v>
      </c>
      <c r="AI65" s="49">
        <f t="shared" si="3"/>
        <v>168.29999999999998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146</v>
      </c>
      <c r="C66" s="46">
        <v>146</v>
      </c>
      <c r="D66" s="46">
        <v>146</v>
      </c>
      <c r="E66" s="46">
        <v>146</v>
      </c>
      <c r="F66" s="46">
        <v>146</v>
      </c>
      <c r="G66" s="46">
        <v>146</v>
      </c>
      <c r="H66" s="46">
        <v>146</v>
      </c>
      <c r="I66" s="46">
        <v>146</v>
      </c>
      <c r="J66" s="46">
        <v>146</v>
      </c>
      <c r="K66" s="46">
        <v>146</v>
      </c>
      <c r="L66" s="46">
        <v>146</v>
      </c>
      <c r="M66" s="46">
        <v>147</v>
      </c>
      <c r="N66" s="46">
        <v>147</v>
      </c>
      <c r="O66" s="46">
        <v>148</v>
      </c>
      <c r="P66" s="46">
        <v>148.30000000000001</v>
      </c>
      <c r="Q66" s="46">
        <v>148.30000000000001</v>
      </c>
      <c r="R66" s="46">
        <v>148.30000000000001</v>
      </c>
      <c r="S66" s="46">
        <v>148.30000000000001</v>
      </c>
      <c r="T66" s="46">
        <v>148.30000000000001</v>
      </c>
      <c r="U66" s="46">
        <v>148.30000000000001</v>
      </c>
      <c r="V66" s="46">
        <v>148.30000000000001</v>
      </c>
      <c r="W66" s="46">
        <v>148.30000000000001</v>
      </c>
      <c r="X66" s="46">
        <v>148.30000000000001</v>
      </c>
      <c r="Y66" s="46">
        <v>148.30000000000001</v>
      </c>
      <c r="Z66" s="46">
        <v>148.30000000000001</v>
      </c>
      <c r="AA66" s="46">
        <v>148.30000000000001</v>
      </c>
      <c r="AB66" s="46">
        <v>146.9</v>
      </c>
      <c r="AC66" s="46">
        <v>146.9</v>
      </c>
      <c r="AD66" s="46">
        <v>146.9</v>
      </c>
      <c r="AE66" s="46">
        <v>146.9</v>
      </c>
      <c r="AF66" s="46">
        <v>145.9</v>
      </c>
      <c r="AG66" s="61">
        <v>144</v>
      </c>
      <c r="AH66" s="48">
        <f t="shared" si="2"/>
        <v>148.30000000000001</v>
      </c>
      <c r="AI66" s="49">
        <f t="shared" si="3"/>
        <v>145.9</v>
      </c>
      <c r="AK66" s="51"/>
      <c r="AY66" s="1" t="s">
        <v>86</v>
      </c>
      <c r="AZ66" s="82">
        <f>ROUND(C84,0)</f>
        <v>30</v>
      </c>
      <c r="BA66" s="81">
        <f t="shared" ref="BA66:BD70" si="41">D84</f>
        <v>28</v>
      </c>
      <c r="BB66" s="81">
        <f t="shared" si="41"/>
        <v>28</v>
      </c>
      <c r="BC66" s="81">
        <f t="shared" si="41"/>
        <v>12.3</v>
      </c>
      <c r="BD66" s="81">
        <f t="shared" si="41"/>
        <v>12.3</v>
      </c>
      <c r="BE66" s="82">
        <f>I84</f>
        <v>14.1</v>
      </c>
      <c r="BF66" s="82">
        <f>K84</f>
        <v>55</v>
      </c>
      <c r="BG66" s="82">
        <f t="shared" ref="BG66:BP70" si="42">M84</f>
        <v>62.2</v>
      </c>
      <c r="BH66" s="82">
        <f t="shared" si="42"/>
        <v>68</v>
      </c>
      <c r="BI66" s="82">
        <f t="shared" si="42"/>
        <v>65.599999999999994</v>
      </c>
      <c r="BJ66" s="82">
        <f t="shared" si="42"/>
        <v>53.8</v>
      </c>
      <c r="BK66" s="82">
        <f t="shared" si="42"/>
        <v>53</v>
      </c>
      <c r="BL66" s="82">
        <f t="shared" si="42"/>
        <v>53</v>
      </c>
      <c r="BM66" s="82">
        <f t="shared" si="42"/>
        <v>65.900000000000006</v>
      </c>
      <c r="BN66" s="82">
        <f t="shared" si="42"/>
        <v>60.1</v>
      </c>
      <c r="BO66" s="82">
        <f t="shared" si="42"/>
        <v>53.3</v>
      </c>
      <c r="BP66" s="82">
        <f t="shared" si="42"/>
        <v>59.5</v>
      </c>
      <c r="BQ66" s="82">
        <f>X84</f>
        <v>69.2</v>
      </c>
      <c r="BR66" s="82">
        <f>Z84</f>
        <v>26.4</v>
      </c>
      <c r="BS66" s="81">
        <f>AB84</f>
        <v>39.200000000000003</v>
      </c>
      <c r="BT66" s="81">
        <f t="shared" ref="BT66:BV70" si="43">AD84</f>
        <v>39.9</v>
      </c>
      <c r="BU66" s="81">
        <f t="shared" si="43"/>
        <v>39.9</v>
      </c>
      <c r="BV66" s="81">
        <f t="shared" si="43"/>
        <v>30</v>
      </c>
      <c r="BW66" s="81">
        <f>B84</f>
        <v>30</v>
      </c>
    </row>
    <row r="67" spans="1:75" x14ac:dyDescent="0.25">
      <c r="A67" s="65" t="s">
        <v>81</v>
      </c>
      <c r="B67" s="76">
        <v>69.8</v>
      </c>
      <c r="C67" s="76">
        <v>69.8</v>
      </c>
      <c r="D67" s="76">
        <v>69.8</v>
      </c>
      <c r="E67" s="76">
        <v>69.8</v>
      </c>
      <c r="F67" s="76">
        <v>69.8</v>
      </c>
      <c r="G67" s="76">
        <v>69.8</v>
      </c>
      <c r="H67" s="76">
        <v>69.8</v>
      </c>
      <c r="I67" s="76">
        <v>69.8</v>
      </c>
      <c r="J67" s="76">
        <v>69.8</v>
      </c>
      <c r="K67" s="76">
        <v>69.8</v>
      </c>
      <c r="L67" s="76">
        <v>69.8</v>
      </c>
      <c r="M67" s="76">
        <v>71</v>
      </c>
      <c r="N67" s="76">
        <v>71</v>
      </c>
      <c r="O67" s="76">
        <v>71.5</v>
      </c>
      <c r="P67" s="76">
        <v>72</v>
      </c>
      <c r="Q67" s="76">
        <v>72</v>
      </c>
      <c r="R67" s="76">
        <v>72</v>
      </c>
      <c r="S67" s="76">
        <v>72</v>
      </c>
      <c r="T67" s="76">
        <v>72</v>
      </c>
      <c r="U67" s="76">
        <v>72</v>
      </c>
      <c r="V67" s="76">
        <v>72</v>
      </c>
      <c r="W67" s="76">
        <v>72</v>
      </c>
      <c r="X67" s="76">
        <v>72</v>
      </c>
      <c r="Y67" s="76">
        <v>72</v>
      </c>
      <c r="Z67" s="76">
        <v>72</v>
      </c>
      <c r="AA67" s="46">
        <v>72</v>
      </c>
      <c r="AB67" s="46">
        <v>68.599999999999994</v>
      </c>
      <c r="AC67" s="46">
        <v>69.400000000000006</v>
      </c>
      <c r="AD67" s="46">
        <v>69.400000000000006</v>
      </c>
      <c r="AE67" s="46">
        <v>69.400000000000006</v>
      </c>
      <c r="AF67" s="46">
        <v>69.400000000000006</v>
      </c>
      <c r="AG67" s="66">
        <v>70</v>
      </c>
      <c r="AH67" s="48">
        <f t="shared" si="2"/>
        <v>72</v>
      </c>
      <c r="AI67" s="49">
        <f t="shared" si="3"/>
        <v>68.599999999999994</v>
      </c>
      <c r="AK67" s="51"/>
      <c r="AY67" s="1" t="s">
        <v>88</v>
      </c>
      <c r="AZ67" s="82">
        <f>ROUND(C85,0)</f>
        <v>0</v>
      </c>
      <c r="BA67" s="81">
        <f t="shared" si="41"/>
        <v>0</v>
      </c>
      <c r="BB67" s="81">
        <f t="shared" si="41"/>
        <v>0</v>
      </c>
      <c r="BC67" s="81">
        <f t="shared" si="41"/>
        <v>0</v>
      </c>
      <c r="BD67" s="81">
        <f t="shared" si="41"/>
        <v>0</v>
      </c>
      <c r="BE67" s="82">
        <f>I85</f>
        <v>0</v>
      </c>
      <c r="BF67" s="82">
        <f>K85</f>
        <v>0</v>
      </c>
      <c r="BG67" s="82">
        <f t="shared" si="42"/>
        <v>0</v>
      </c>
      <c r="BH67" s="82">
        <f t="shared" si="42"/>
        <v>0</v>
      </c>
      <c r="BI67" s="82">
        <f t="shared" si="42"/>
        <v>0</v>
      </c>
      <c r="BJ67" s="82">
        <f t="shared" si="42"/>
        <v>0</v>
      </c>
      <c r="BK67" s="82">
        <f t="shared" si="42"/>
        <v>0</v>
      </c>
      <c r="BL67" s="82">
        <f t="shared" si="42"/>
        <v>0</v>
      </c>
      <c r="BM67" s="82">
        <f t="shared" si="42"/>
        <v>0</v>
      </c>
      <c r="BN67" s="82">
        <f t="shared" si="42"/>
        <v>0</v>
      </c>
      <c r="BO67" s="82">
        <f t="shared" si="42"/>
        <v>0</v>
      </c>
      <c r="BP67" s="82">
        <f t="shared" si="42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43"/>
        <v>0</v>
      </c>
      <c r="BU67" s="81">
        <f t="shared" si="43"/>
        <v>0</v>
      </c>
      <c r="BV67" s="81">
        <f t="shared" si="43"/>
        <v>0</v>
      </c>
      <c r="BW67" s="81">
        <f>B85</f>
        <v>0</v>
      </c>
    </row>
    <row r="68" spans="1:75" x14ac:dyDescent="0.25">
      <c r="A68" s="65" t="s">
        <v>82</v>
      </c>
      <c r="B68" s="76">
        <v>68.8</v>
      </c>
      <c r="C68" s="76">
        <v>68.8</v>
      </c>
      <c r="D68" s="76">
        <v>68.8</v>
      </c>
      <c r="E68" s="76">
        <v>68.8</v>
      </c>
      <c r="F68" s="76">
        <v>68.8</v>
      </c>
      <c r="G68" s="76">
        <v>68.8</v>
      </c>
      <c r="H68" s="76">
        <v>68.8</v>
      </c>
      <c r="I68" s="76">
        <v>68.8</v>
      </c>
      <c r="J68" s="76">
        <v>68.8</v>
      </c>
      <c r="K68" s="76">
        <v>68.8</v>
      </c>
      <c r="L68" s="76">
        <v>68.8</v>
      </c>
      <c r="M68" s="76">
        <v>68.5</v>
      </c>
      <c r="N68" s="76">
        <v>68.5</v>
      </c>
      <c r="O68" s="76">
        <v>68.5</v>
      </c>
      <c r="P68" s="76">
        <v>68.099999999999994</v>
      </c>
      <c r="Q68" s="76">
        <v>68.099999999999994</v>
      </c>
      <c r="R68" s="76">
        <v>68.099999999999994</v>
      </c>
      <c r="S68" s="76">
        <v>68.099999999999994</v>
      </c>
      <c r="T68" s="76">
        <v>68.099999999999994</v>
      </c>
      <c r="U68" s="76">
        <v>68.099999999999994</v>
      </c>
      <c r="V68" s="76">
        <v>68.099999999999994</v>
      </c>
      <c r="W68" s="76">
        <v>68.099999999999994</v>
      </c>
      <c r="X68" s="76">
        <v>68.099999999999994</v>
      </c>
      <c r="Y68" s="76">
        <v>68.099999999999994</v>
      </c>
      <c r="Z68" s="76">
        <v>68.099999999999994</v>
      </c>
      <c r="AA68" s="46">
        <v>68.099999999999994</v>
      </c>
      <c r="AB68" s="46">
        <v>69</v>
      </c>
      <c r="AC68" s="46">
        <v>69</v>
      </c>
      <c r="AD68" s="46">
        <v>69</v>
      </c>
      <c r="AE68" s="46">
        <v>69</v>
      </c>
      <c r="AF68" s="46">
        <v>68.400000000000006</v>
      </c>
      <c r="AG68" s="66">
        <v>69</v>
      </c>
      <c r="AH68" s="48">
        <f t="shared" si="2"/>
        <v>69</v>
      </c>
      <c r="AI68" s="49">
        <f t="shared" si="3"/>
        <v>68.099999999999994</v>
      </c>
      <c r="AK68" s="51"/>
      <c r="AL68" s="83"/>
      <c r="AO68" s="83"/>
      <c r="AY68" s="1" t="s">
        <v>90</v>
      </c>
      <c r="AZ68" s="82">
        <f>ROUND(C86,0)</f>
        <v>-120</v>
      </c>
      <c r="BA68" s="81">
        <f t="shared" si="41"/>
        <v>-135</v>
      </c>
      <c r="BB68" s="81">
        <f t="shared" si="41"/>
        <v>-140</v>
      </c>
      <c r="BC68" s="81">
        <f t="shared" si="41"/>
        <v>-127</v>
      </c>
      <c r="BD68" s="81">
        <f t="shared" si="41"/>
        <v>-178</v>
      </c>
      <c r="BE68" s="82">
        <f>I86</f>
        <v>-147</v>
      </c>
      <c r="BF68" s="82">
        <f>K86</f>
        <v>-125</v>
      </c>
      <c r="BG68" s="82">
        <f t="shared" si="42"/>
        <v>-132</v>
      </c>
      <c r="BH68" s="82">
        <f t="shared" si="42"/>
        <v>-110</v>
      </c>
      <c r="BI68" s="82">
        <f t="shared" si="42"/>
        <v>-31</v>
      </c>
      <c r="BJ68" s="82">
        <f t="shared" si="42"/>
        <v>-41</v>
      </c>
      <c r="BK68" s="82">
        <f t="shared" si="42"/>
        <v>2</v>
      </c>
      <c r="BL68" s="82">
        <f t="shared" si="42"/>
        <v>2</v>
      </c>
      <c r="BM68" s="82">
        <f t="shared" si="42"/>
        <v>-15</v>
      </c>
      <c r="BN68" s="82">
        <f t="shared" si="42"/>
        <v>-41</v>
      </c>
      <c r="BO68" s="82">
        <f t="shared" si="42"/>
        <v>-56.7</v>
      </c>
      <c r="BP68" s="82">
        <f t="shared" si="42"/>
        <v>-21.7</v>
      </c>
      <c r="BQ68" s="82">
        <f>X86</f>
        <v>-43.3</v>
      </c>
      <c r="BR68" s="82">
        <f>Z86</f>
        <v>-122.5</v>
      </c>
      <c r="BS68" s="81">
        <f>AB86</f>
        <v>-120</v>
      </c>
      <c r="BT68" s="81">
        <f t="shared" si="43"/>
        <v>-121</v>
      </c>
      <c r="BU68" s="81">
        <f t="shared" si="43"/>
        <v>-135</v>
      </c>
      <c r="BV68" s="81">
        <f t="shared" si="43"/>
        <v>-120</v>
      </c>
      <c r="BW68" s="81">
        <f>B86</f>
        <v>-110</v>
      </c>
    </row>
    <row r="69" spans="1:75" s="83" customFormat="1" x14ac:dyDescent="0.25">
      <c r="A69" s="65" t="s">
        <v>83</v>
      </c>
      <c r="B69" s="76">
        <v>60.7</v>
      </c>
      <c r="C69" s="76">
        <v>60.7</v>
      </c>
      <c r="D69" s="76">
        <v>60.7</v>
      </c>
      <c r="E69" s="76">
        <v>60.7</v>
      </c>
      <c r="F69" s="76">
        <v>60.7</v>
      </c>
      <c r="G69" s="76">
        <v>60.7</v>
      </c>
      <c r="H69" s="76">
        <v>60.7</v>
      </c>
      <c r="I69" s="76">
        <v>60.7</v>
      </c>
      <c r="J69" s="76">
        <v>60.7</v>
      </c>
      <c r="K69" s="76">
        <v>60.7</v>
      </c>
      <c r="L69" s="76">
        <v>60.7</v>
      </c>
      <c r="M69" s="76">
        <v>60.7</v>
      </c>
      <c r="N69" s="76">
        <v>60.7</v>
      </c>
      <c r="O69" s="76">
        <v>60.7</v>
      </c>
      <c r="P69" s="76">
        <v>56.2</v>
      </c>
      <c r="Q69" s="76">
        <v>56.2</v>
      </c>
      <c r="R69" s="76">
        <v>56.2</v>
      </c>
      <c r="S69" s="76">
        <v>56.2</v>
      </c>
      <c r="T69" s="76">
        <v>56.2</v>
      </c>
      <c r="U69" s="76">
        <v>56.2</v>
      </c>
      <c r="V69" s="76">
        <v>60.7</v>
      </c>
      <c r="W69" s="76">
        <v>60.7</v>
      </c>
      <c r="X69" s="76">
        <v>60.7</v>
      </c>
      <c r="Y69" s="76">
        <v>60.7</v>
      </c>
      <c r="Z69" s="76">
        <v>60.7</v>
      </c>
      <c r="AA69" s="46">
        <v>60.7</v>
      </c>
      <c r="AB69" s="46">
        <v>60.9</v>
      </c>
      <c r="AC69" s="46">
        <v>60.9</v>
      </c>
      <c r="AD69" s="46">
        <v>60.9</v>
      </c>
      <c r="AE69" s="46">
        <v>60.9</v>
      </c>
      <c r="AF69" s="46">
        <v>60.9</v>
      </c>
      <c r="AG69" s="66">
        <v>60</v>
      </c>
      <c r="AH69" s="48">
        <f t="shared" si="2"/>
        <v>60.9</v>
      </c>
      <c r="AI69" s="49">
        <f t="shared" si="3"/>
        <v>56.2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41"/>
        <v>0</v>
      </c>
      <c r="BB69" s="81">
        <f t="shared" si="41"/>
        <v>0</v>
      </c>
      <c r="BC69" s="81">
        <f t="shared" si="41"/>
        <v>0</v>
      </c>
      <c r="BD69" s="81">
        <f t="shared" si="41"/>
        <v>0</v>
      </c>
      <c r="BE69" s="82">
        <f>I87</f>
        <v>0</v>
      </c>
      <c r="BF69" s="82">
        <f>K87</f>
        <v>0</v>
      </c>
      <c r="BG69" s="82">
        <f t="shared" si="42"/>
        <v>0</v>
      </c>
      <c r="BH69" s="82">
        <f t="shared" si="42"/>
        <v>31.2</v>
      </c>
      <c r="BI69" s="82">
        <f t="shared" si="42"/>
        <v>48.2</v>
      </c>
      <c r="BJ69" s="82">
        <f t="shared" si="42"/>
        <v>43.2</v>
      </c>
      <c r="BK69" s="82">
        <f t="shared" si="42"/>
        <v>44.1</v>
      </c>
      <c r="BL69" s="82">
        <f t="shared" si="42"/>
        <v>46.8</v>
      </c>
      <c r="BM69" s="82">
        <f t="shared" si="42"/>
        <v>45</v>
      </c>
      <c r="BN69" s="82">
        <f t="shared" si="42"/>
        <v>51.8</v>
      </c>
      <c r="BO69" s="82">
        <f t="shared" si="42"/>
        <v>45.6</v>
      </c>
      <c r="BP69" s="82">
        <f t="shared" si="42"/>
        <v>45.2</v>
      </c>
      <c r="BQ69" s="82">
        <f>X87</f>
        <v>47.7</v>
      </c>
      <c r="BR69" s="82">
        <f>Z87</f>
        <v>0</v>
      </c>
      <c r="BS69" s="81">
        <f>AB87</f>
        <v>0</v>
      </c>
      <c r="BT69" s="81">
        <f t="shared" si="43"/>
        <v>0</v>
      </c>
      <c r="BU69" s="81">
        <f t="shared" si="43"/>
        <v>0</v>
      </c>
      <c r="BV69" s="81">
        <f t="shared" si="43"/>
        <v>0</v>
      </c>
      <c r="BW69" s="81">
        <f>B87</f>
        <v>0</v>
      </c>
    </row>
    <row r="70" spans="1:75" x14ac:dyDescent="0.25">
      <c r="A70" s="65" t="s">
        <v>84</v>
      </c>
      <c r="B70" s="46">
        <v>10</v>
      </c>
      <c r="C70" s="46">
        <v>10</v>
      </c>
      <c r="D70" s="46">
        <v>10</v>
      </c>
      <c r="E70" s="46">
        <v>10</v>
      </c>
      <c r="F70" s="46">
        <v>10</v>
      </c>
      <c r="G70" s="46">
        <v>10</v>
      </c>
      <c r="H70" s="46">
        <v>10</v>
      </c>
      <c r="I70" s="46">
        <v>10</v>
      </c>
      <c r="J70" s="46">
        <v>10</v>
      </c>
      <c r="K70" s="46">
        <v>10</v>
      </c>
      <c r="L70" s="46">
        <v>15</v>
      </c>
      <c r="M70" s="46">
        <v>15</v>
      </c>
      <c r="N70" s="46">
        <v>15</v>
      </c>
      <c r="O70" s="46">
        <v>15</v>
      </c>
      <c r="P70" s="46">
        <v>23</v>
      </c>
      <c r="Q70" s="46">
        <v>23</v>
      </c>
      <c r="R70" s="46">
        <v>23</v>
      </c>
      <c r="S70" s="46">
        <v>23</v>
      </c>
      <c r="T70" s="46">
        <v>23</v>
      </c>
      <c r="U70" s="46">
        <v>10</v>
      </c>
      <c r="V70" s="46">
        <v>14.1</v>
      </c>
      <c r="W70" s="46">
        <v>14.1</v>
      </c>
      <c r="X70" s="46">
        <v>14</v>
      </c>
      <c r="Y70" s="46">
        <v>14</v>
      </c>
      <c r="Z70" s="46">
        <v>10.199999999999999</v>
      </c>
      <c r="AA70" s="46">
        <v>10.199999999999999</v>
      </c>
      <c r="AB70" s="46">
        <v>10.6</v>
      </c>
      <c r="AC70" s="46">
        <v>10.6</v>
      </c>
      <c r="AD70" s="46">
        <v>10.6</v>
      </c>
      <c r="AE70" s="46">
        <v>10.6</v>
      </c>
      <c r="AF70" s="46">
        <v>10.6</v>
      </c>
      <c r="AG70" s="66">
        <v>30</v>
      </c>
      <c r="AH70" s="48">
        <f t="shared" si="2"/>
        <v>23</v>
      </c>
      <c r="AI70" s="49">
        <f t="shared" si="3"/>
        <v>10</v>
      </c>
      <c r="AK70" s="51"/>
      <c r="AY70" s="1" t="s">
        <v>94</v>
      </c>
      <c r="AZ70" s="82">
        <f>ROUND(C88,0)</f>
        <v>0</v>
      </c>
      <c r="BA70" s="81">
        <f t="shared" si="41"/>
        <v>0</v>
      </c>
      <c r="BB70" s="81">
        <f t="shared" si="41"/>
        <v>0</v>
      </c>
      <c r="BC70" s="81">
        <f t="shared" si="41"/>
        <v>0</v>
      </c>
      <c r="BD70" s="81">
        <f t="shared" si="41"/>
        <v>0</v>
      </c>
      <c r="BE70" s="82">
        <f>I88</f>
        <v>0</v>
      </c>
      <c r="BF70" s="82">
        <f>K88</f>
        <v>114</v>
      </c>
      <c r="BG70" s="82">
        <f t="shared" si="42"/>
        <v>129</v>
      </c>
      <c r="BH70" s="82">
        <f t="shared" si="42"/>
        <v>126</v>
      </c>
      <c r="BI70" s="82">
        <f t="shared" si="42"/>
        <v>126</v>
      </c>
      <c r="BJ70" s="82">
        <f t="shared" si="42"/>
        <v>134</v>
      </c>
      <c r="BK70" s="82">
        <f t="shared" si="42"/>
        <v>54.5</v>
      </c>
      <c r="BL70" s="82">
        <f t="shared" si="42"/>
        <v>54.5</v>
      </c>
      <c r="BM70" s="82">
        <f t="shared" si="42"/>
        <v>123.9</v>
      </c>
      <c r="BN70" s="82">
        <f t="shared" si="42"/>
        <v>125.2</v>
      </c>
      <c r="BO70" s="82">
        <f t="shared" si="42"/>
        <v>123.5</v>
      </c>
      <c r="BP70" s="82">
        <f t="shared" si="42"/>
        <v>126.2</v>
      </c>
      <c r="BQ70" s="82">
        <f>X88</f>
        <v>97.1</v>
      </c>
      <c r="BR70" s="82">
        <f>Z88</f>
        <v>0</v>
      </c>
      <c r="BS70" s="81">
        <f>AB88</f>
        <v>0</v>
      </c>
      <c r="BT70" s="81">
        <f t="shared" si="43"/>
        <v>0</v>
      </c>
      <c r="BU70" s="81">
        <f t="shared" si="43"/>
        <v>0</v>
      </c>
      <c r="BV70" s="81">
        <f t="shared" si="43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1</v>
      </c>
      <c r="J71" s="46">
        <v>2.2000000000000002</v>
      </c>
      <c r="K71" s="46">
        <v>3.3</v>
      </c>
      <c r="L71" s="46">
        <v>4.7</v>
      </c>
      <c r="M71" s="46">
        <v>4.7</v>
      </c>
      <c r="N71" s="46">
        <v>4.7</v>
      </c>
      <c r="O71" s="46">
        <v>4.7</v>
      </c>
      <c r="P71" s="46">
        <v>4.7</v>
      </c>
      <c r="Q71" s="46">
        <v>4.7</v>
      </c>
      <c r="R71" s="46">
        <v>4.7</v>
      </c>
      <c r="S71" s="46">
        <v>4.7</v>
      </c>
      <c r="T71" s="46">
        <v>11.1</v>
      </c>
      <c r="U71" s="46">
        <v>7</v>
      </c>
      <c r="V71" s="46">
        <v>2.9</v>
      </c>
      <c r="W71" s="46">
        <v>1.4</v>
      </c>
      <c r="X71" s="46">
        <v>0.6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11.1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44">M94</f>
        <v>0</v>
      </c>
      <c r="BH71" s="82">
        <f t="shared" si="44"/>
        <v>0</v>
      </c>
      <c r="BI71" s="82">
        <f t="shared" si="44"/>
        <v>0</v>
      </c>
      <c r="BJ71" s="82">
        <f t="shared" si="44"/>
        <v>0</v>
      </c>
      <c r="BK71" s="82">
        <f t="shared" si="44"/>
        <v>0</v>
      </c>
      <c r="BL71" s="82">
        <f t="shared" si="44"/>
        <v>0</v>
      </c>
      <c r="BM71" s="82">
        <f t="shared" si="44"/>
        <v>0</v>
      </c>
      <c r="BN71" s="82">
        <f t="shared" si="44"/>
        <v>0</v>
      </c>
      <c r="BO71" s="82">
        <f t="shared" si="44"/>
        <v>0</v>
      </c>
      <c r="BP71" s="82">
        <f t="shared" si="44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11.2</v>
      </c>
      <c r="C72" s="76">
        <v>11.2</v>
      </c>
      <c r="D72" s="76">
        <v>11.2</v>
      </c>
      <c r="E72" s="76">
        <v>11.2</v>
      </c>
      <c r="F72" s="76">
        <v>11.2</v>
      </c>
      <c r="G72" s="76">
        <v>11.2</v>
      </c>
      <c r="H72" s="76">
        <v>11.2</v>
      </c>
      <c r="I72" s="76">
        <v>11.2</v>
      </c>
      <c r="J72" s="76">
        <v>11.2</v>
      </c>
      <c r="K72" s="76">
        <v>11.2</v>
      </c>
      <c r="L72" s="76">
        <v>11.2</v>
      </c>
      <c r="M72" s="76">
        <v>11.2</v>
      </c>
      <c r="N72" s="76">
        <v>11.2</v>
      </c>
      <c r="O72" s="76">
        <v>11.2</v>
      </c>
      <c r="P72" s="76">
        <v>11.2</v>
      </c>
      <c r="Q72" s="76">
        <v>11.2</v>
      </c>
      <c r="R72" s="76">
        <v>11.2</v>
      </c>
      <c r="S72" s="76">
        <v>11.2</v>
      </c>
      <c r="T72" s="76">
        <v>11.2</v>
      </c>
      <c r="U72" s="76">
        <v>11.2</v>
      </c>
      <c r="V72" s="76">
        <v>11.2</v>
      </c>
      <c r="W72" s="76">
        <v>11.2</v>
      </c>
      <c r="X72" s="76">
        <v>11.2</v>
      </c>
      <c r="Y72" s="76">
        <v>11.2</v>
      </c>
      <c r="Z72" s="76">
        <v>11.2</v>
      </c>
      <c r="AA72" s="76">
        <v>11.2</v>
      </c>
      <c r="AB72" s="76">
        <v>11.2</v>
      </c>
      <c r="AC72" s="76">
        <v>11.2</v>
      </c>
      <c r="AD72" s="76">
        <v>11.2</v>
      </c>
      <c r="AE72" s="76">
        <v>11.2</v>
      </c>
      <c r="AF72" s="76">
        <v>11.2</v>
      </c>
      <c r="AG72" s="66">
        <v>24</v>
      </c>
      <c r="AH72" s="48">
        <f t="shared" si="2"/>
        <v>11.2</v>
      </c>
      <c r="AI72" s="49">
        <f t="shared" si="3"/>
        <v>11.2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45">VALUE(AZ66)</f>
        <v>30</v>
      </c>
      <c r="BA73" s="82">
        <f t="shared" si="45"/>
        <v>28</v>
      </c>
      <c r="BB73" s="82">
        <f t="shared" si="45"/>
        <v>28</v>
      </c>
      <c r="BC73" s="82">
        <f t="shared" si="45"/>
        <v>12.3</v>
      </c>
      <c r="BD73" s="82">
        <f t="shared" si="45"/>
        <v>12.3</v>
      </c>
      <c r="BE73" s="82">
        <f t="shared" si="45"/>
        <v>14.1</v>
      </c>
      <c r="BF73" s="82">
        <f t="shared" si="45"/>
        <v>55</v>
      </c>
      <c r="BG73" s="82">
        <f t="shared" si="45"/>
        <v>62.2</v>
      </c>
      <c r="BH73" s="82">
        <f t="shared" si="45"/>
        <v>68</v>
      </c>
      <c r="BI73" s="82">
        <f t="shared" si="45"/>
        <v>65.599999999999994</v>
      </c>
      <c r="BJ73" s="82">
        <f t="shared" si="45"/>
        <v>53.8</v>
      </c>
      <c r="BK73" s="82">
        <f t="shared" si="45"/>
        <v>53</v>
      </c>
      <c r="BL73" s="82">
        <f t="shared" si="45"/>
        <v>53</v>
      </c>
      <c r="BM73" s="82">
        <f t="shared" si="45"/>
        <v>65.900000000000006</v>
      </c>
      <c r="BN73" s="82">
        <f t="shared" si="45"/>
        <v>60.1</v>
      </c>
      <c r="BO73" s="82">
        <f t="shared" si="45"/>
        <v>53.3</v>
      </c>
      <c r="BP73" s="82">
        <f t="shared" si="45"/>
        <v>59.5</v>
      </c>
      <c r="BQ73" s="82">
        <f t="shared" si="45"/>
        <v>69.2</v>
      </c>
      <c r="BR73" s="82">
        <f t="shared" si="45"/>
        <v>26.4</v>
      </c>
      <c r="BS73" s="82">
        <f t="shared" si="45"/>
        <v>39.200000000000003</v>
      </c>
      <c r="BT73" s="82">
        <f t="shared" si="45"/>
        <v>39.9</v>
      </c>
      <c r="BU73" s="82">
        <f t="shared" si="45"/>
        <v>39.9</v>
      </c>
      <c r="BV73" s="82">
        <f t="shared" si="45"/>
        <v>30</v>
      </c>
      <c r="BW73" s="82">
        <f t="shared" si="45"/>
        <v>30</v>
      </c>
    </row>
    <row r="74" spans="1:75" x14ac:dyDescent="0.25">
      <c r="A74" s="65" t="s">
        <v>91</v>
      </c>
      <c r="B74" s="76">
        <v>8.6</v>
      </c>
      <c r="C74" s="76">
        <v>8.6</v>
      </c>
      <c r="D74" s="76">
        <v>8.6</v>
      </c>
      <c r="E74" s="76">
        <v>8.6</v>
      </c>
      <c r="F74" s="76">
        <v>8.6</v>
      </c>
      <c r="G74" s="76">
        <v>8.6</v>
      </c>
      <c r="H74" s="76">
        <v>8.6</v>
      </c>
      <c r="I74" s="76">
        <v>8.6</v>
      </c>
      <c r="J74" s="76">
        <v>8.6</v>
      </c>
      <c r="K74" s="76">
        <v>8.6</v>
      </c>
      <c r="L74" s="76">
        <v>8.6</v>
      </c>
      <c r="M74" s="76">
        <v>8.6</v>
      </c>
      <c r="N74" s="76">
        <v>8.6</v>
      </c>
      <c r="O74" s="76">
        <v>8.6</v>
      </c>
      <c r="P74" s="76">
        <v>8.6</v>
      </c>
      <c r="Q74" s="76">
        <v>8.6</v>
      </c>
      <c r="R74" s="76">
        <v>8.6</v>
      </c>
      <c r="S74" s="76">
        <v>8.6</v>
      </c>
      <c r="T74" s="76">
        <v>8.6</v>
      </c>
      <c r="U74" s="76">
        <v>8.6</v>
      </c>
      <c r="V74" s="76">
        <v>8.6</v>
      </c>
      <c r="W74" s="76">
        <v>8.6</v>
      </c>
      <c r="X74" s="76">
        <v>8.6</v>
      </c>
      <c r="Y74" s="76">
        <v>8.6</v>
      </c>
      <c r="Z74" s="76">
        <v>8.6</v>
      </c>
      <c r="AA74" s="76">
        <v>8.6</v>
      </c>
      <c r="AB74" s="76">
        <v>8.6</v>
      </c>
      <c r="AC74" s="76">
        <v>8.6</v>
      </c>
      <c r="AD74" s="76">
        <v>8.6</v>
      </c>
      <c r="AE74" s="76">
        <v>8.6</v>
      </c>
      <c r="AF74" s="76">
        <v>8.6</v>
      </c>
      <c r="AG74" s="66">
        <v>14.1</v>
      </c>
      <c r="AH74" s="48">
        <f t="shared" si="2"/>
        <v>8.6</v>
      </c>
      <c r="AI74" s="49">
        <f t="shared" si="3"/>
        <v>8.6</v>
      </c>
      <c r="AK74" s="51"/>
      <c r="AZ74" s="82">
        <f t="shared" si="45"/>
        <v>0</v>
      </c>
      <c r="BA74" s="82">
        <f t="shared" si="45"/>
        <v>0</v>
      </c>
      <c r="BB74" s="82">
        <f t="shared" si="45"/>
        <v>0</v>
      </c>
      <c r="BC74" s="82">
        <f t="shared" si="45"/>
        <v>0</v>
      </c>
      <c r="BD74" s="82">
        <f t="shared" si="45"/>
        <v>0</v>
      </c>
      <c r="BE74" s="82">
        <f t="shared" si="45"/>
        <v>0</v>
      </c>
      <c r="BF74" s="82">
        <f t="shared" si="45"/>
        <v>0</v>
      </c>
      <c r="BG74" s="82">
        <f t="shared" si="45"/>
        <v>0</v>
      </c>
      <c r="BH74" s="82">
        <f t="shared" si="45"/>
        <v>0</v>
      </c>
      <c r="BI74" s="82">
        <f t="shared" si="45"/>
        <v>0</v>
      </c>
      <c r="BJ74" s="82">
        <f t="shared" si="45"/>
        <v>0</v>
      </c>
      <c r="BK74" s="82">
        <f t="shared" si="45"/>
        <v>0</v>
      </c>
      <c r="BL74" s="82">
        <f t="shared" si="45"/>
        <v>0</v>
      </c>
      <c r="BM74" s="82">
        <f t="shared" si="45"/>
        <v>0</v>
      </c>
      <c r="BN74" s="82">
        <f t="shared" si="45"/>
        <v>0</v>
      </c>
      <c r="BO74" s="82">
        <f t="shared" si="45"/>
        <v>0</v>
      </c>
      <c r="BP74" s="82">
        <f t="shared" si="45"/>
        <v>0</v>
      </c>
      <c r="BQ74" s="82">
        <f t="shared" si="45"/>
        <v>0</v>
      </c>
      <c r="BR74" s="82">
        <f t="shared" si="45"/>
        <v>0</v>
      </c>
      <c r="BS74" s="82">
        <f t="shared" si="45"/>
        <v>0</v>
      </c>
      <c r="BT74" s="82">
        <f t="shared" si="45"/>
        <v>0</v>
      </c>
      <c r="BU74" s="82">
        <f t="shared" si="45"/>
        <v>0</v>
      </c>
      <c r="BV74" s="82">
        <f t="shared" si="45"/>
        <v>0</v>
      </c>
      <c r="BW74" s="82">
        <f t="shared" si="45"/>
        <v>0</v>
      </c>
    </row>
    <row r="75" spans="1:75" x14ac:dyDescent="0.25">
      <c r="A75" s="84" t="s">
        <v>93</v>
      </c>
      <c r="B75" s="76">
        <v>14.1</v>
      </c>
      <c r="C75" s="76">
        <v>14.1</v>
      </c>
      <c r="D75" s="76">
        <v>14.1</v>
      </c>
      <c r="E75" s="76">
        <v>14.1</v>
      </c>
      <c r="F75" s="76">
        <v>14.1</v>
      </c>
      <c r="G75" s="76">
        <v>14.1</v>
      </c>
      <c r="H75" s="76">
        <v>14.1</v>
      </c>
      <c r="I75" s="76">
        <v>14.1</v>
      </c>
      <c r="J75" s="76">
        <v>14.1</v>
      </c>
      <c r="K75" s="76">
        <v>14.1</v>
      </c>
      <c r="L75" s="76">
        <v>14.1</v>
      </c>
      <c r="M75" s="76">
        <v>14.1</v>
      </c>
      <c r="N75" s="76">
        <v>14.1</v>
      </c>
      <c r="O75" s="76">
        <v>14.1</v>
      </c>
      <c r="P75" s="76">
        <v>14.1</v>
      </c>
      <c r="Q75" s="76">
        <v>14.1</v>
      </c>
      <c r="R75" s="76">
        <v>14.1</v>
      </c>
      <c r="S75" s="76">
        <v>14.1</v>
      </c>
      <c r="T75" s="76">
        <v>14.1</v>
      </c>
      <c r="U75" s="76">
        <v>14.1</v>
      </c>
      <c r="V75" s="76">
        <v>14.1</v>
      </c>
      <c r="W75" s="76">
        <v>14.1</v>
      </c>
      <c r="X75" s="76">
        <v>14.1</v>
      </c>
      <c r="Y75" s="76">
        <v>14.1</v>
      </c>
      <c r="Z75" s="76">
        <v>14.1</v>
      </c>
      <c r="AA75" s="76">
        <v>14.1</v>
      </c>
      <c r="AB75" s="76">
        <v>14.1</v>
      </c>
      <c r="AC75" s="76">
        <v>14.1</v>
      </c>
      <c r="AD75" s="76">
        <v>14.1</v>
      </c>
      <c r="AE75" s="76">
        <v>14.1</v>
      </c>
      <c r="AF75" s="76">
        <v>14.1</v>
      </c>
      <c r="AG75" s="66">
        <v>14</v>
      </c>
      <c r="AH75" s="48">
        <f t="shared" ref="AH75:AH126" si="46">MAX(B75:AF75)</f>
        <v>14.1</v>
      </c>
      <c r="AI75" s="49">
        <f t="shared" ref="AI75:AI126" si="47">MIN(B75:AF75)</f>
        <v>14.1</v>
      </c>
      <c r="AK75" s="51"/>
      <c r="AZ75" s="82">
        <f t="shared" si="45"/>
        <v>-120</v>
      </c>
      <c r="BA75" s="82">
        <f t="shared" si="45"/>
        <v>-135</v>
      </c>
      <c r="BB75" s="82">
        <f t="shared" si="45"/>
        <v>-140</v>
      </c>
      <c r="BC75" s="82">
        <f t="shared" si="45"/>
        <v>-127</v>
      </c>
      <c r="BD75" s="82">
        <f t="shared" si="45"/>
        <v>-178</v>
      </c>
      <c r="BE75" s="82">
        <f t="shared" si="45"/>
        <v>-147</v>
      </c>
      <c r="BF75" s="82">
        <f t="shared" si="45"/>
        <v>-125</v>
      </c>
      <c r="BG75" s="82">
        <f t="shared" si="45"/>
        <v>-132</v>
      </c>
      <c r="BH75" s="82">
        <f t="shared" si="45"/>
        <v>-110</v>
      </c>
      <c r="BI75" s="82">
        <f t="shared" si="45"/>
        <v>-31</v>
      </c>
      <c r="BJ75" s="82">
        <f t="shared" si="45"/>
        <v>-41</v>
      </c>
      <c r="BK75" s="82">
        <f t="shared" si="45"/>
        <v>2</v>
      </c>
      <c r="BL75" s="82">
        <f t="shared" si="45"/>
        <v>2</v>
      </c>
      <c r="BM75" s="82">
        <f t="shared" si="45"/>
        <v>-15</v>
      </c>
      <c r="BN75" s="82">
        <f t="shared" si="45"/>
        <v>-41</v>
      </c>
      <c r="BO75" s="82">
        <f t="shared" si="45"/>
        <v>-56.7</v>
      </c>
      <c r="BP75" s="82">
        <f t="shared" si="45"/>
        <v>-21.7</v>
      </c>
      <c r="BQ75" s="82">
        <f t="shared" si="45"/>
        <v>-43.3</v>
      </c>
      <c r="BR75" s="82">
        <f t="shared" si="45"/>
        <v>-122.5</v>
      </c>
      <c r="BS75" s="82">
        <f t="shared" si="45"/>
        <v>-120</v>
      </c>
      <c r="BT75" s="82">
        <f t="shared" si="45"/>
        <v>-121</v>
      </c>
      <c r="BU75" s="82">
        <f t="shared" si="45"/>
        <v>-135</v>
      </c>
      <c r="BV75" s="82">
        <f t="shared" si="45"/>
        <v>-120</v>
      </c>
      <c r="BW75" s="82">
        <f t="shared" si="45"/>
        <v>-110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8</v>
      </c>
      <c r="R76" s="76">
        <v>8</v>
      </c>
      <c r="S76" s="76">
        <v>8</v>
      </c>
      <c r="T76" s="76">
        <v>8</v>
      </c>
      <c r="U76" s="76">
        <v>8</v>
      </c>
      <c r="V76" s="76">
        <v>8</v>
      </c>
      <c r="W76" s="76">
        <v>8</v>
      </c>
      <c r="X76" s="76">
        <v>8</v>
      </c>
      <c r="Y76" s="76">
        <v>8</v>
      </c>
      <c r="Z76" s="76">
        <v>8</v>
      </c>
      <c r="AA76" s="76">
        <v>8</v>
      </c>
      <c r="AB76" s="76">
        <v>8</v>
      </c>
      <c r="AC76" s="76">
        <v>8</v>
      </c>
      <c r="AD76" s="76">
        <v>8</v>
      </c>
      <c r="AE76" s="76">
        <v>8</v>
      </c>
      <c r="AF76" s="76">
        <v>8</v>
      </c>
      <c r="AG76" s="66">
        <v>10.050000000000001</v>
      </c>
      <c r="AH76" s="48">
        <f t="shared" si="46"/>
        <v>8</v>
      </c>
      <c r="AI76" s="49">
        <f t="shared" si="47"/>
        <v>8</v>
      </c>
      <c r="AK76" s="51"/>
      <c r="AZ76" s="82">
        <f t="shared" si="45"/>
        <v>0</v>
      </c>
      <c r="BA76" s="82">
        <f t="shared" si="45"/>
        <v>0</v>
      </c>
      <c r="BB76" s="82">
        <f t="shared" si="45"/>
        <v>0</v>
      </c>
      <c r="BC76" s="82">
        <f t="shared" si="45"/>
        <v>0</v>
      </c>
      <c r="BD76" s="82">
        <f t="shared" si="45"/>
        <v>0</v>
      </c>
      <c r="BE76" s="82">
        <f t="shared" si="45"/>
        <v>0</v>
      </c>
      <c r="BF76" s="82">
        <f t="shared" si="45"/>
        <v>0</v>
      </c>
      <c r="BG76" s="82">
        <f t="shared" si="45"/>
        <v>0</v>
      </c>
      <c r="BH76" s="82">
        <f t="shared" si="45"/>
        <v>31.2</v>
      </c>
      <c r="BI76" s="82">
        <f t="shared" si="45"/>
        <v>48.2</v>
      </c>
      <c r="BJ76" s="82">
        <f t="shared" si="45"/>
        <v>43.2</v>
      </c>
      <c r="BK76" s="82">
        <f t="shared" si="45"/>
        <v>44.1</v>
      </c>
      <c r="BL76" s="82">
        <f t="shared" si="45"/>
        <v>46.8</v>
      </c>
      <c r="BM76" s="82">
        <f t="shared" si="45"/>
        <v>45</v>
      </c>
      <c r="BN76" s="82">
        <f t="shared" si="45"/>
        <v>51.8</v>
      </c>
      <c r="BO76" s="82">
        <f t="shared" si="45"/>
        <v>45.6</v>
      </c>
      <c r="BP76" s="82">
        <f t="shared" si="45"/>
        <v>45.2</v>
      </c>
      <c r="BQ76" s="82">
        <f t="shared" si="45"/>
        <v>47.7</v>
      </c>
      <c r="BR76" s="82">
        <f t="shared" si="45"/>
        <v>0</v>
      </c>
      <c r="BS76" s="82">
        <f t="shared" si="45"/>
        <v>0</v>
      </c>
      <c r="BT76" s="82">
        <f t="shared" si="45"/>
        <v>0</v>
      </c>
      <c r="BU76" s="82">
        <f t="shared" si="45"/>
        <v>0</v>
      </c>
      <c r="BV76" s="82">
        <f t="shared" si="45"/>
        <v>0</v>
      </c>
      <c r="BW76" s="82">
        <f t="shared" si="45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46"/>
        <v>3</v>
      </c>
      <c r="AI77" s="49">
        <f t="shared" si="47"/>
        <v>3</v>
      </c>
      <c r="AK77" s="51"/>
      <c r="AZ77" s="82">
        <f t="shared" si="45"/>
        <v>0</v>
      </c>
      <c r="BA77" s="82">
        <f t="shared" si="45"/>
        <v>0</v>
      </c>
      <c r="BB77" s="82">
        <f t="shared" si="45"/>
        <v>0</v>
      </c>
      <c r="BC77" s="82">
        <f t="shared" si="45"/>
        <v>0</v>
      </c>
      <c r="BD77" s="82">
        <f t="shared" si="45"/>
        <v>0</v>
      </c>
      <c r="BE77" s="82">
        <f t="shared" si="45"/>
        <v>0</v>
      </c>
      <c r="BF77" s="82">
        <f t="shared" si="45"/>
        <v>114</v>
      </c>
      <c r="BG77" s="82">
        <f t="shared" si="45"/>
        <v>129</v>
      </c>
      <c r="BH77" s="82">
        <f t="shared" si="45"/>
        <v>126</v>
      </c>
      <c r="BI77" s="82">
        <f t="shared" si="45"/>
        <v>126</v>
      </c>
      <c r="BJ77" s="82">
        <f t="shared" si="45"/>
        <v>134</v>
      </c>
      <c r="BK77" s="82">
        <f t="shared" si="45"/>
        <v>54.5</v>
      </c>
      <c r="BL77" s="82">
        <f t="shared" si="45"/>
        <v>54.5</v>
      </c>
      <c r="BM77" s="82">
        <f t="shared" si="45"/>
        <v>123.9</v>
      </c>
      <c r="BN77" s="82">
        <f t="shared" si="45"/>
        <v>125.2</v>
      </c>
      <c r="BO77" s="82">
        <f t="shared" si="45"/>
        <v>123.5</v>
      </c>
      <c r="BP77" s="82">
        <f t="shared" si="45"/>
        <v>126.2</v>
      </c>
      <c r="BQ77" s="82">
        <f t="shared" si="45"/>
        <v>97.1</v>
      </c>
      <c r="BR77" s="82">
        <f t="shared" si="45"/>
        <v>0</v>
      </c>
      <c r="BS77" s="82">
        <f t="shared" si="45"/>
        <v>0</v>
      </c>
      <c r="BT77" s="82">
        <f t="shared" si="45"/>
        <v>0</v>
      </c>
      <c r="BU77" s="82">
        <f t="shared" si="45"/>
        <v>0</v>
      </c>
      <c r="BV77" s="82">
        <f t="shared" si="45"/>
        <v>0</v>
      </c>
      <c r="BW77" s="82">
        <f t="shared" si="45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6"/>
        <v>3.54</v>
      </c>
      <c r="AI78" s="49">
        <f t="shared" si="47"/>
        <v>3.54</v>
      </c>
      <c r="AK78" s="51"/>
      <c r="AZ78" s="82">
        <f t="shared" si="45"/>
        <v>0</v>
      </c>
      <c r="BA78" s="82">
        <f t="shared" si="45"/>
        <v>0</v>
      </c>
      <c r="BB78" s="82">
        <f t="shared" si="45"/>
        <v>0</v>
      </c>
      <c r="BC78" s="82">
        <f t="shared" si="45"/>
        <v>0</v>
      </c>
      <c r="BD78" s="82">
        <f t="shared" si="45"/>
        <v>0</v>
      </c>
      <c r="BE78" s="82">
        <f t="shared" si="45"/>
        <v>0</v>
      </c>
      <c r="BF78" s="82">
        <f t="shared" si="45"/>
        <v>0</v>
      </c>
      <c r="BG78" s="82">
        <f t="shared" si="45"/>
        <v>0</v>
      </c>
      <c r="BH78" s="82">
        <f t="shared" si="45"/>
        <v>0</v>
      </c>
      <c r="BI78" s="82">
        <f t="shared" si="45"/>
        <v>0</v>
      </c>
      <c r="BJ78" s="82">
        <f t="shared" si="45"/>
        <v>0</v>
      </c>
      <c r="BK78" s="82">
        <f t="shared" si="45"/>
        <v>0</v>
      </c>
      <c r="BL78" s="82">
        <f t="shared" si="45"/>
        <v>0</v>
      </c>
      <c r="BM78" s="82">
        <f t="shared" si="45"/>
        <v>0</v>
      </c>
      <c r="BN78" s="82">
        <f t="shared" si="45"/>
        <v>0</v>
      </c>
      <c r="BO78" s="82">
        <f t="shared" si="45"/>
        <v>0</v>
      </c>
      <c r="BP78" s="82">
        <f t="shared" si="45"/>
        <v>0</v>
      </c>
      <c r="BQ78" s="82">
        <f t="shared" si="45"/>
        <v>0</v>
      </c>
      <c r="BR78" s="82">
        <f t="shared" si="45"/>
        <v>0</v>
      </c>
      <c r="BS78" s="82">
        <f t="shared" si="45"/>
        <v>0</v>
      </c>
      <c r="BT78" s="82">
        <f t="shared" si="45"/>
        <v>0</v>
      </c>
      <c r="BU78" s="82">
        <f t="shared" si="45"/>
        <v>0</v>
      </c>
      <c r="BV78" s="82">
        <f t="shared" si="45"/>
        <v>0</v>
      </c>
      <c r="BW78" s="82">
        <f t="shared" si="45"/>
        <v>0</v>
      </c>
    </row>
    <row r="79" spans="1:75" ht="15.75" thickBot="1" x14ac:dyDescent="0.3">
      <c r="A79" s="87" t="s">
        <v>99</v>
      </c>
      <c r="B79" s="71">
        <f t="shared" ref="B79:C79" si="48">SUM(B66:B78)</f>
        <v>407.54000000000008</v>
      </c>
      <c r="C79" s="71">
        <f t="shared" si="48"/>
        <v>407.54000000000008</v>
      </c>
      <c r="D79" s="71">
        <f t="shared" ref="D79" si="49">SUM(D66:D78)</f>
        <v>407.54000000000008</v>
      </c>
      <c r="E79" s="71">
        <f t="shared" ref="E79:AG79" si="50">SUM(E66:E78)</f>
        <v>407.54000000000008</v>
      </c>
      <c r="F79" s="71">
        <f t="shared" si="50"/>
        <v>407.54000000000008</v>
      </c>
      <c r="G79" s="71">
        <f t="shared" ref="G79" si="51">SUM(G66:G78)</f>
        <v>407.54000000000008</v>
      </c>
      <c r="H79" s="71">
        <f t="shared" si="50"/>
        <v>407.54000000000008</v>
      </c>
      <c r="I79" s="71">
        <f t="shared" si="50"/>
        <v>408.54000000000008</v>
      </c>
      <c r="J79" s="71">
        <f t="shared" si="50"/>
        <v>409.74000000000007</v>
      </c>
      <c r="K79" s="71">
        <f t="shared" si="50"/>
        <v>410.84000000000009</v>
      </c>
      <c r="L79" s="71">
        <f t="shared" si="50"/>
        <v>417.24000000000007</v>
      </c>
      <c r="M79" s="71">
        <f t="shared" si="50"/>
        <v>419.14000000000004</v>
      </c>
      <c r="N79" s="71">
        <f t="shared" si="50"/>
        <v>419.14000000000004</v>
      </c>
      <c r="O79" s="71">
        <f t="shared" si="50"/>
        <v>420.64000000000004</v>
      </c>
      <c r="P79" s="71">
        <f t="shared" si="50"/>
        <v>424.54</v>
      </c>
      <c r="Q79" s="71">
        <f t="shared" si="50"/>
        <v>424.54</v>
      </c>
      <c r="R79" s="71">
        <f t="shared" si="50"/>
        <v>424.54</v>
      </c>
      <c r="S79" s="71">
        <f t="shared" si="50"/>
        <v>424.54</v>
      </c>
      <c r="T79" s="71">
        <f t="shared" ref="T79:U79" si="52">SUM(T66:T78)</f>
        <v>430.94000000000005</v>
      </c>
      <c r="U79" s="71">
        <f t="shared" si="52"/>
        <v>413.84000000000003</v>
      </c>
      <c r="V79" s="71">
        <f t="shared" ref="V79:W79" si="53">SUM(V66:V78)</f>
        <v>418.34000000000003</v>
      </c>
      <c r="W79" s="71">
        <f t="shared" si="53"/>
        <v>416.84000000000003</v>
      </c>
      <c r="X79" s="71">
        <f t="shared" ref="X79:Y79" si="54">SUM(X66:X78)</f>
        <v>415.94000000000005</v>
      </c>
      <c r="Y79" s="71">
        <f t="shared" si="54"/>
        <v>415.34000000000003</v>
      </c>
      <c r="Z79" s="71">
        <f t="shared" ref="Z79:AA79" si="55">SUM(Z66:Z78)</f>
        <v>411.54</v>
      </c>
      <c r="AA79" s="71">
        <f t="shared" si="55"/>
        <v>411.54</v>
      </c>
      <c r="AB79" s="71">
        <f t="shared" si="50"/>
        <v>408.24000000000007</v>
      </c>
      <c r="AC79" s="71">
        <f t="shared" si="50"/>
        <v>409.04000000000008</v>
      </c>
      <c r="AD79" s="71">
        <f t="shared" si="50"/>
        <v>409.04000000000008</v>
      </c>
      <c r="AE79" s="71">
        <f t="shared" ref="AE79:AF79" si="56">SUM(AE66:AE78)</f>
        <v>409.04000000000008</v>
      </c>
      <c r="AF79" s="71">
        <f t="shared" si="56"/>
        <v>407.44000000000011</v>
      </c>
      <c r="AG79" s="72">
        <f t="shared" si="50"/>
        <v>489.91</v>
      </c>
      <c r="AH79" s="48">
        <f t="shared" si="46"/>
        <v>430.94000000000005</v>
      </c>
      <c r="AI79" s="49">
        <f t="shared" si="47"/>
        <v>407.44000000000011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>
        <v>58</v>
      </c>
      <c r="AB80" s="46">
        <v>14</v>
      </c>
      <c r="AC80" s="46">
        <v>0</v>
      </c>
      <c r="AD80" s="46">
        <v>0</v>
      </c>
      <c r="AE80" s="46">
        <v>0</v>
      </c>
      <c r="AF80" s="46">
        <v>0</v>
      </c>
      <c r="AG80" s="61">
        <v>60</v>
      </c>
      <c r="AH80" s="48">
        <f t="shared" si="46"/>
        <v>58</v>
      </c>
      <c r="AI80" s="49">
        <f t="shared" si="47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>
        <v>25.2</v>
      </c>
      <c r="AB81" s="76">
        <v>8.1999999999999993</v>
      </c>
      <c r="AC81" s="76">
        <v>7.6</v>
      </c>
      <c r="AD81" s="76">
        <v>0</v>
      </c>
      <c r="AE81" s="76">
        <v>0</v>
      </c>
      <c r="AF81" s="76">
        <v>0</v>
      </c>
      <c r="AG81" s="66">
        <v>32</v>
      </c>
      <c r="AH81" s="48">
        <f t="shared" si="46"/>
        <v>25.2</v>
      </c>
      <c r="AI81" s="49">
        <f t="shared" si="47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>
        <v>9.1999999999999993</v>
      </c>
      <c r="AB82" s="78">
        <v>3</v>
      </c>
      <c r="AC82" s="78">
        <v>2.8</v>
      </c>
      <c r="AD82" s="78">
        <v>0</v>
      </c>
      <c r="AE82" s="78">
        <v>0</v>
      </c>
      <c r="AF82" s="78">
        <v>0</v>
      </c>
      <c r="AG82" s="79">
        <v>14</v>
      </c>
      <c r="AH82" s="48">
        <f t="shared" si="46"/>
        <v>9.1999999999999993</v>
      </c>
      <c r="AI82" s="49">
        <f t="shared" si="47"/>
        <v>0</v>
      </c>
      <c r="AK82" s="51"/>
      <c r="AY82" s="82"/>
      <c r="BF82" s="81"/>
      <c r="BG82" s="82">
        <f t="array" ref="BG82:BL105">TRANSPOSE(AZ66:BW71)</f>
        <v>30</v>
      </c>
      <c r="BH82" s="82">
        <v>0</v>
      </c>
      <c r="BI82" s="82">
        <v>-120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7">B80+B81+B82</f>
        <v>0</v>
      </c>
      <c r="C83" s="71">
        <f t="shared" si="57"/>
        <v>0</v>
      </c>
      <c r="D83" s="71">
        <f t="shared" ref="D83" si="58">D80+D81+D82</f>
        <v>0</v>
      </c>
      <c r="E83" s="71">
        <f t="shared" ref="E83:AD83" si="59">E80+E81+E82</f>
        <v>0</v>
      </c>
      <c r="F83" s="71">
        <f t="shared" si="59"/>
        <v>0</v>
      </c>
      <c r="G83" s="71">
        <f t="shared" ref="G83" si="60">G80+G81+G82</f>
        <v>0</v>
      </c>
      <c r="H83" s="71">
        <f t="shared" si="59"/>
        <v>0</v>
      </c>
      <c r="I83" s="71">
        <f t="shared" si="59"/>
        <v>0</v>
      </c>
      <c r="J83" s="71">
        <f t="shared" si="59"/>
        <v>0</v>
      </c>
      <c r="K83" s="71">
        <f t="shared" si="59"/>
        <v>0</v>
      </c>
      <c r="L83" s="71">
        <f t="shared" si="59"/>
        <v>0</v>
      </c>
      <c r="M83" s="71">
        <f t="shared" si="59"/>
        <v>0</v>
      </c>
      <c r="N83" s="71">
        <f t="shared" si="59"/>
        <v>0</v>
      </c>
      <c r="O83" s="71">
        <f t="shared" si="59"/>
        <v>0</v>
      </c>
      <c r="P83" s="71">
        <f t="shared" si="59"/>
        <v>0</v>
      </c>
      <c r="Q83" s="71">
        <f t="shared" si="59"/>
        <v>0</v>
      </c>
      <c r="R83" s="71">
        <f t="shared" si="59"/>
        <v>0</v>
      </c>
      <c r="S83" s="71">
        <f t="shared" si="59"/>
        <v>0</v>
      </c>
      <c r="T83" s="71">
        <f t="shared" ref="T83:U83" si="61">T80+T81+T82</f>
        <v>0</v>
      </c>
      <c r="U83" s="71">
        <f t="shared" si="61"/>
        <v>0</v>
      </c>
      <c r="V83" s="71">
        <f t="shared" ref="V83:W83" si="62">V80+V81+V82</f>
        <v>0</v>
      </c>
      <c r="W83" s="71">
        <f t="shared" si="62"/>
        <v>0</v>
      </c>
      <c r="X83" s="71">
        <f t="shared" ref="X83:Y83" si="63">X80+X81+X82</f>
        <v>0</v>
      </c>
      <c r="Y83" s="71">
        <f t="shared" si="63"/>
        <v>0</v>
      </c>
      <c r="Z83" s="71">
        <f t="shared" ref="Z83:AA83" si="64">Z80+Z81+Z82</f>
        <v>0</v>
      </c>
      <c r="AA83" s="71">
        <f t="shared" si="64"/>
        <v>92.4</v>
      </c>
      <c r="AB83" s="71">
        <f t="shared" si="59"/>
        <v>25.2</v>
      </c>
      <c r="AC83" s="71">
        <f t="shared" si="59"/>
        <v>10.399999999999999</v>
      </c>
      <c r="AD83" s="71">
        <f t="shared" si="59"/>
        <v>0</v>
      </c>
      <c r="AE83" s="71">
        <f t="shared" ref="AE83:AF83" si="65">AE80+AE81+AE82</f>
        <v>0</v>
      </c>
      <c r="AF83" s="71">
        <f t="shared" si="65"/>
        <v>0</v>
      </c>
      <c r="AG83" s="72">
        <f>SUM(AG80:AG82)</f>
        <v>106</v>
      </c>
      <c r="AH83" s="48">
        <f t="shared" si="46"/>
        <v>92.4</v>
      </c>
      <c r="AI83" s="49">
        <f t="shared" si="47"/>
        <v>0</v>
      </c>
      <c r="AK83" s="51"/>
      <c r="AY83" s="82"/>
      <c r="BF83" s="81"/>
      <c r="BG83" s="82">
        <v>28</v>
      </c>
      <c r="BH83" s="82">
        <v>0</v>
      </c>
      <c r="BI83" s="82">
        <v>-135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30</v>
      </c>
      <c r="C84" s="46">
        <v>30</v>
      </c>
      <c r="D84" s="46">
        <v>28</v>
      </c>
      <c r="E84" s="46">
        <v>28</v>
      </c>
      <c r="F84" s="46">
        <v>12.3</v>
      </c>
      <c r="G84" s="46">
        <v>12.3</v>
      </c>
      <c r="H84" s="46">
        <v>17</v>
      </c>
      <c r="I84" s="46">
        <v>14.1</v>
      </c>
      <c r="J84" s="46">
        <v>35</v>
      </c>
      <c r="K84" s="46">
        <v>55</v>
      </c>
      <c r="L84" s="46">
        <v>60</v>
      </c>
      <c r="M84" s="46">
        <v>62.2</v>
      </c>
      <c r="N84" s="46">
        <v>68</v>
      </c>
      <c r="O84" s="46">
        <v>65.599999999999994</v>
      </c>
      <c r="P84" s="46">
        <v>53.8</v>
      </c>
      <c r="Q84" s="46">
        <v>53</v>
      </c>
      <c r="R84" s="46">
        <v>53</v>
      </c>
      <c r="S84" s="46">
        <v>65.900000000000006</v>
      </c>
      <c r="T84" s="46">
        <v>60.1</v>
      </c>
      <c r="U84" s="46">
        <v>53.3</v>
      </c>
      <c r="V84" s="46">
        <v>59.5</v>
      </c>
      <c r="W84" s="46">
        <v>62</v>
      </c>
      <c r="X84" s="46">
        <v>69.2</v>
      </c>
      <c r="Y84" s="46">
        <v>29.5</v>
      </c>
      <c r="Z84" s="46">
        <v>26.4</v>
      </c>
      <c r="AA84" s="46">
        <v>27</v>
      </c>
      <c r="AB84" s="46">
        <v>39.200000000000003</v>
      </c>
      <c r="AC84" s="46">
        <v>42</v>
      </c>
      <c r="AD84" s="46">
        <v>39.9</v>
      </c>
      <c r="AE84" s="46">
        <v>39.9</v>
      </c>
      <c r="AF84" s="46">
        <v>30</v>
      </c>
      <c r="AG84" s="61"/>
      <c r="AH84" s="48">
        <f t="shared" si="46"/>
        <v>69.2</v>
      </c>
      <c r="AI84" s="49">
        <f t="shared" si="47"/>
        <v>12.3</v>
      </c>
      <c r="AK84" s="51"/>
      <c r="AY84" s="82"/>
      <c r="BF84" s="81"/>
      <c r="BG84" s="82">
        <v>28</v>
      </c>
      <c r="BH84" s="82">
        <v>0</v>
      </c>
      <c r="BI84" s="82">
        <v>-140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6"/>
        <v>0</v>
      </c>
      <c r="AI85" s="49">
        <f t="shared" si="47"/>
        <v>0</v>
      </c>
      <c r="AK85" s="51"/>
      <c r="AL85" s="91" t="s">
        <v>111</v>
      </c>
      <c r="AM85" s="91"/>
      <c r="AY85" s="82"/>
      <c r="BF85" s="82"/>
      <c r="BG85" s="82">
        <v>12.3</v>
      </c>
      <c r="BH85" s="82">
        <v>0</v>
      </c>
      <c r="BI85" s="82">
        <v>-127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-110</v>
      </c>
      <c r="C86" s="76">
        <v>-120</v>
      </c>
      <c r="D86" s="76">
        <v>-135</v>
      </c>
      <c r="E86" s="76">
        <v>-140</v>
      </c>
      <c r="F86" s="76">
        <v>-127</v>
      </c>
      <c r="G86" s="76">
        <v>-178</v>
      </c>
      <c r="H86" s="76">
        <v>-125</v>
      </c>
      <c r="I86" s="76">
        <v>-147</v>
      </c>
      <c r="J86" s="76">
        <v>-129</v>
      </c>
      <c r="K86" s="76">
        <v>-125</v>
      </c>
      <c r="L86" s="76">
        <v>-108</v>
      </c>
      <c r="M86" s="76">
        <v>-132</v>
      </c>
      <c r="N86" s="76">
        <v>-110</v>
      </c>
      <c r="O86" s="76">
        <v>-31</v>
      </c>
      <c r="P86" s="76">
        <v>-41</v>
      </c>
      <c r="Q86" s="76">
        <v>2</v>
      </c>
      <c r="R86" s="76">
        <v>2</v>
      </c>
      <c r="S86" s="76">
        <v>-15</v>
      </c>
      <c r="T86" s="76">
        <v>-41</v>
      </c>
      <c r="U86" s="76">
        <v>-56.7</v>
      </c>
      <c r="V86" s="76">
        <v>-21.7</v>
      </c>
      <c r="W86" s="76">
        <v>-41.5</v>
      </c>
      <c r="X86" s="76">
        <v>-43.3</v>
      </c>
      <c r="Y86" s="76">
        <v>-122.5</v>
      </c>
      <c r="Z86" s="76">
        <v>-122.5</v>
      </c>
      <c r="AA86" s="76">
        <v>-107.4</v>
      </c>
      <c r="AB86" s="76">
        <v>-120</v>
      </c>
      <c r="AC86" s="76">
        <v>-115</v>
      </c>
      <c r="AD86" s="76">
        <v>-121</v>
      </c>
      <c r="AE86" s="76">
        <v>-135</v>
      </c>
      <c r="AF86" s="76">
        <v>-120</v>
      </c>
      <c r="AG86" s="88"/>
      <c r="AH86" s="48">
        <f t="shared" si="46"/>
        <v>2</v>
      </c>
      <c r="AI86" s="49">
        <f t="shared" si="47"/>
        <v>-178</v>
      </c>
      <c r="AK86" s="92"/>
      <c r="AL86" s="93"/>
      <c r="AM86" s="93"/>
      <c r="AN86" s="94"/>
      <c r="AY86" s="82"/>
      <c r="BF86" s="82"/>
      <c r="BG86" s="82">
        <v>12.3</v>
      </c>
      <c r="BH86" s="82">
        <v>0</v>
      </c>
      <c r="BI86" s="82">
        <v>-178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>
        <v>0</v>
      </c>
      <c r="N87" s="89">
        <v>31.2</v>
      </c>
      <c r="O87" s="89">
        <v>48.2</v>
      </c>
      <c r="P87" s="89">
        <v>43.2</v>
      </c>
      <c r="Q87" s="89">
        <v>44.1</v>
      </c>
      <c r="R87" s="89">
        <v>46.8</v>
      </c>
      <c r="S87" s="89">
        <v>45</v>
      </c>
      <c r="T87" s="89">
        <v>51.8</v>
      </c>
      <c r="U87" s="89">
        <v>45.6</v>
      </c>
      <c r="V87" s="89">
        <v>45.2</v>
      </c>
      <c r="W87" s="89">
        <v>45.73</v>
      </c>
      <c r="X87" s="89">
        <v>47.7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46"/>
        <v>51.8</v>
      </c>
      <c r="AI87" s="49">
        <f t="shared" si="47"/>
        <v>0</v>
      </c>
      <c r="AK87" s="95" t="s">
        <v>114</v>
      </c>
      <c r="AL87" s="76"/>
      <c r="AM87" s="89"/>
      <c r="AN87" s="96"/>
      <c r="AY87" s="82"/>
      <c r="BF87" s="82"/>
      <c r="BG87" s="82">
        <v>14.1</v>
      </c>
      <c r="BH87" s="82">
        <v>0</v>
      </c>
      <c r="BI87" s="82">
        <v>-147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110</v>
      </c>
      <c r="K88" s="46">
        <v>114</v>
      </c>
      <c r="L88" s="46">
        <v>137</v>
      </c>
      <c r="M88" s="46">
        <v>129</v>
      </c>
      <c r="N88" s="46">
        <v>126</v>
      </c>
      <c r="O88" s="46">
        <v>126</v>
      </c>
      <c r="P88" s="46">
        <v>134</v>
      </c>
      <c r="Q88" s="46">
        <v>54.5</v>
      </c>
      <c r="R88" s="46">
        <v>54.5</v>
      </c>
      <c r="S88" s="46">
        <v>123.9</v>
      </c>
      <c r="T88" s="46">
        <v>125.2</v>
      </c>
      <c r="U88" s="46">
        <v>123.5</v>
      </c>
      <c r="V88" s="46">
        <v>126.2</v>
      </c>
      <c r="W88" s="46">
        <v>119.1</v>
      </c>
      <c r="X88" s="46">
        <v>97.1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46"/>
        <v>137</v>
      </c>
      <c r="AI88" s="49">
        <f t="shared" si="47"/>
        <v>0</v>
      </c>
      <c r="AK88" s="95" t="s">
        <v>116</v>
      </c>
      <c r="AL88" s="89"/>
      <c r="AM88" s="89"/>
      <c r="AN88" s="96"/>
      <c r="AY88" s="82"/>
      <c r="BF88" s="82"/>
      <c r="BG88" s="82">
        <v>55</v>
      </c>
      <c r="BH88" s="82">
        <v>0</v>
      </c>
      <c r="BI88" s="82">
        <v>-125</v>
      </c>
      <c r="BJ88" s="82">
        <v>0</v>
      </c>
      <c r="BK88" s="82">
        <v>114</v>
      </c>
      <c r="BL88" s="82">
        <v>0</v>
      </c>
    </row>
    <row r="89" spans="1:64" ht="15.75" thickBot="1" x14ac:dyDescent="0.3">
      <c r="A89" s="97" t="s">
        <v>117</v>
      </c>
      <c r="B89" s="90">
        <v>50</v>
      </c>
      <c r="C89" s="90">
        <v>50</v>
      </c>
      <c r="D89" s="90">
        <v>50</v>
      </c>
      <c r="E89" s="90">
        <v>52</v>
      </c>
      <c r="F89" s="90">
        <v>48.5</v>
      </c>
      <c r="G89" s="90">
        <v>48.5</v>
      </c>
      <c r="H89" s="90">
        <v>46</v>
      </c>
      <c r="I89" s="90">
        <v>42.3</v>
      </c>
      <c r="J89" s="90">
        <v>49.4</v>
      </c>
      <c r="K89" s="90">
        <v>0</v>
      </c>
      <c r="L89" s="90">
        <v>0</v>
      </c>
      <c r="M89" s="90">
        <v>0</v>
      </c>
      <c r="N89" s="90"/>
      <c r="O89" s="90"/>
      <c r="P89" s="90">
        <v>41</v>
      </c>
      <c r="Q89" s="90">
        <v>56.7</v>
      </c>
      <c r="R89" s="90">
        <v>56.7</v>
      </c>
      <c r="S89" s="90">
        <v>54.9</v>
      </c>
      <c r="T89" s="90">
        <v>53.8</v>
      </c>
      <c r="U89" s="90">
        <v>46.8</v>
      </c>
      <c r="V89" s="90">
        <v>47.3</v>
      </c>
      <c r="W89" s="90">
        <v>47.4</v>
      </c>
      <c r="X89" s="90">
        <v>51.5</v>
      </c>
      <c r="Y89" s="90">
        <v>46.3</v>
      </c>
      <c r="Z89" s="90">
        <v>46.3</v>
      </c>
      <c r="AA89" s="90">
        <v>45.5</v>
      </c>
      <c r="AB89" s="90">
        <v>45.1</v>
      </c>
      <c r="AC89" s="90">
        <v>47</v>
      </c>
      <c r="AD89" s="90">
        <v>45.1</v>
      </c>
      <c r="AE89" s="90">
        <v>45.1</v>
      </c>
      <c r="AF89" s="90">
        <v>0</v>
      </c>
      <c r="AG89" s="88"/>
      <c r="AH89" s="48">
        <f>MAX(B89:AF89)</f>
        <v>56.7</v>
      </c>
      <c r="AI89" s="49">
        <f t="shared" si="47"/>
        <v>0</v>
      </c>
      <c r="AK89" s="99"/>
      <c r="AL89" s="46"/>
      <c r="AM89" s="46"/>
      <c r="AN89" s="100"/>
      <c r="AY89" s="82"/>
      <c r="BF89" s="82"/>
      <c r="BG89" s="82">
        <v>62.2</v>
      </c>
      <c r="BH89" s="82">
        <v>0</v>
      </c>
      <c r="BI89" s="82">
        <v>-132</v>
      </c>
      <c r="BJ89" s="82">
        <v>0</v>
      </c>
      <c r="BK89" s="82">
        <v>129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6"/>
        <v>0</v>
      </c>
      <c r="AI90" s="49">
        <f t="shared" si="47"/>
        <v>0</v>
      </c>
      <c r="AK90" s="99"/>
      <c r="AL90" s="90"/>
      <c r="AM90" s="102"/>
      <c r="AN90" s="202"/>
      <c r="AY90" s="82"/>
      <c r="BF90" s="82"/>
      <c r="BG90" s="82">
        <v>68</v>
      </c>
      <c r="BH90" s="82">
        <v>0</v>
      </c>
      <c r="BI90" s="82">
        <v>-110</v>
      </c>
      <c r="BJ90" s="82">
        <v>31.2</v>
      </c>
      <c r="BK90" s="82">
        <v>126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6"/>
        <v>0</v>
      </c>
      <c r="AI91" s="49">
        <f t="shared" si="47"/>
        <v>0</v>
      </c>
      <c r="AK91" s="99"/>
      <c r="AL91" s="90"/>
      <c r="AM91" s="90"/>
      <c r="AN91" s="203"/>
      <c r="BF91" s="82"/>
      <c r="BG91" s="82">
        <v>65.599999999999994</v>
      </c>
      <c r="BH91" s="82">
        <v>0</v>
      </c>
      <c r="BI91" s="82">
        <v>-31</v>
      </c>
      <c r="BJ91" s="82">
        <v>48.2</v>
      </c>
      <c r="BK91" s="82">
        <v>126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6"/>
        <v>0</v>
      </c>
      <c r="AI92" s="49">
        <f t="shared" si="47"/>
        <v>0</v>
      </c>
      <c r="AK92" s="104"/>
      <c r="AL92" s="105"/>
      <c r="AM92" s="105"/>
      <c r="AN92" s="106"/>
      <c r="BF92" s="82"/>
      <c r="BG92" s="82">
        <v>53.8</v>
      </c>
      <c r="BH92" s="82">
        <v>0</v>
      </c>
      <c r="BI92" s="82">
        <v>-41</v>
      </c>
      <c r="BJ92" s="82">
        <v>43.2</v>
      </c>
      <c r="BK92" s="82">
        <v>134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6"/>
        <v>0</v>
      </c>
      <c r="AI93" s="49">
        <f t="shared" si="47"/>
        <v>0</v>
      </c>
      <c r="BF93" s="82"/>
      <c r="BG93" s="82">
        <v>53</v>
      </c>
      <c r="BH93" s="82">
        <v>0</v>
      </c>
      <c r="BI93" s="82">
        <v>2</v>
      </c>
      <c r="BJ93" s="82">
        <v>44.1</v>
      </c>
      <c r="BK93" s="82">
        <v>54.5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6"/>
        <v>0</v>
      </c>
      <c r="AI94" s="49">
        <f t="shared" si="47"/>
        <v>0</v>
      </c>
      <c r="BF94" s="82"/>
      <c r="BG94" s="82">
        <v>53</v>
      </c>
      <c r="BH94" s="82">
        <v>0</v>
      </c>
      <c r="BI94" s="82">
        <v>2</v>
      </c>
      <c r="BJ94" s="82">
        <v>46.8</v>
      </c>
      <c r="BK94" s="82">
        <v>54.5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66">SUMIF(B84:B94,"&gt;0")</f>
        <v>80</v>
      </c>
      <c r="C95" s="71">
        <f t="shared" si="66"/>
        <v>80</v>
      </c>
      <c r="D95" s="71">
        <f t="shared" ref="D95" si="67">SUMIF(D84:D94,"&gt;0")</f>
        <v>78</v>
      </c>
      <c r="E95" s="71">
        <f t="shared" ref="E95:AD95" si="68">SUMIF(E84:E94,"&gt;0")</f>
        <v>80</v>
      </c>
      <c r="F95" s="71">
        <f t="shared" si="68"/>
        <v>60.8</v>
      </c>
      <c r="G95" s="71">
        <f t="shared" si="68"/>
        <v>60.8</v>
      </c>
      <c r="H95" s="71">
        <f t="shared" si="68"/>
        <v>63</v>
      </c>
      <c r="I95" s="71">
        <f t="shared" si="68"/>
        <v>56.4</v>
      </c>
      <c r="J95" s="71">
        <f t="shared" si="68"/>
        <v>194.4</v>
      </c>
      <c r="K95" s="71">
        <f t="shared" si="68"/>
        <v>169</v>
      </c>
      <c r="L95" s="71">
        <f t="shared" si="68"/>
        <v>197</v>
      </c>
      <c r="M95" s="71">
        <f t="shared" si="68"/>
        <v>191.2</v>
      </c>
      <c r="N95" s="71">
        <f t="shared" si="68"/>
        <v>225.2</v>
      </c>
      <c r="O95" s="71">
        <f t="shared" si="68"/>
        <v>239.8</v>
      </c>
      <c r="P95" s="71">
        <f t="shared" si="68"/>
        <v>272</v>
      </c>
      <c r="Q95" s="71">
        <f t="shared" si="68"/>
        <v>210.3</v>
      </c>
      <c r="R95" s="71">
        <f t="shared" si="68"/>
        <v>213</v>
      </c>
      <c r="S95" s="71">
        <f t="shared" si="68"/>
        <v>289.7</v>
      </c>
      <c r="T95" s="71">
        <f t="shared" ref="T95:U95" si="69">SUMIF(T84:T94,"&gt;0")</f>
        <v>290.90000000000003</v>
      </c>
      <c r="U95" s="71">
        <f t="shared" si="69"/>
        <v>269.2</v>
      </c>
      <c r="V95" s="71">
        <f t="shared" ref="V95:W95" si="70">SUMIF(V84:V94,"&gt;0")</f>
        <v>278.2</v>
      </c>
      <c r="W95" s="71">
        <f t="shared" si="70"/>
        <v>274.22999999999996</v>
      </c>
      <c r="X95" s="71">
        <f t="shared" ref="X95:Y95" si="71">SUMIF(X84:X94,"&gt;0")</f>
        <v>265.5</v>
      </c>
      <c r="Y95" s="71">
        <f t="shared" si="71"/>
        <v>75.8</v>
      </c>
      <c r="Z95" s="71">
        <f t="shared" ref="Z95:AA95" si="72">SUMIF(Z84:Z94,"&gt;0")</f>
        <v>72.699999999999989</v>
      </c>
      <c r="AA95" s="71">
        <f t="shared" si="72"/>
        <v>72.5</v>
      </c>
      <c r="AB95" s="71">
        <f t="shared" si="68"/>
        <v>84.300000000000011</v>
      </c>
      <c r="AC95" s="71">
        <f t="shared" si="68"/>
        <v>89</v>
      </c>
      <c r="AD95" s="71">
        <f t="shared" si="68"/>
        <v>85</v>
      </c>
      <c r="AE95" s="71">
        <f t="shared" ref="AE95:AF95" si="73">SUMIF(AE84:AE94,"&gt;0")</f>
        <v>85</v>
      </c>
      <c r="AF95" s="71">
        <f t="shared" si="73"/>
        <v>30</v>
      </c>
      <c r="AG95" s="101">
        <f>SUM(AG84:AG94)</f>
        <v>0</v>
      </c>
      <c r="AH95" s="48">
        <f t="shared" si="46"/>
        <v>290.90000000000003</v>
      </c>
      <c r="AI95" s="49">
        <f t="shared" si="47"/>
        <v>30</v>
      </c>
      <c r="BF95" s="82"/>
      <c r="BG95" s="82">
        <v>65.900000000000006</v>
      </c>
      <c r="BH95" s="82">
        <v>0</v>
      </c>
      <c r="BI95" s="82">
        <v>-15</v>
      </c>
      <c r="BJ95" s="82">
        <v>45</v>
      </c>
      <c r="BK95" s="82">
        <v>123.9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6"/>
        <v>0</v>
      </c>
      <c r="AI96" s="49">
        <f t="shared" si="47"/>
        <v>0</v>
      </c>
      <c r="BF96" s="82"/>
      <c r="BG96" s="82">
        <v>60.1</v>
      </c>
      <c r="BH96" s="82">
        <v>0</v>
      </c>
      <c r="BI96" s="82">
        <v>-41</v>
      </c>
      <c r="BJ96" s="82">
        <v>51.8</v>
      </c>
      <c r="BK96" s="82">
        <v>125.2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6"/>
        <v>0</v>
      </c>
      <c r="AI97" s="49">
        <f t="shared" si="47"/>
        <v>0</v>
      </c>
      <c r="BF97" s="82"/>
      <c r="BG97" s="82">
        <v>53.3</v>
      </c>
      <c r="BH97" s="82">
        <v>0</v>
      </c>
      <c r="BI97" s="82">
        <v>-56.7</v>
      </c>
      <c r="BJ97" s="82">
        <v>45.6</v>
      </c>
      <c r="BK97" s="82">
        <v>123.5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6"/>
        <v>0</v>
      </c>
      <c r="AI98" s="49">
        <f t="shared" si="47"/>
        <v>0</v>
      </c>
      <c r="BF98" s="82"/>
      <c r="BG98" s="82">
        <v>59.5</v>
      </c>
      <c r="BH98" s="82">
        <v>0</v>
      </c>
      <c r="BI98" s="82">
        <v>-21.7</v>
      </c>
      <c r="BJ98" s="82">
        <v>45.2</v>
      </c>
      <c r="BK98" s="82">
        <v>126.2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6"/>
        <v>0</v>
      </c>
      <c r="AI99" s="49">
        <f t="shared" si="47"/>
        <v>0</v>
      </c>
      <c r="BF99" s="81"/>
      <c r="BG99" s="82">
        <v>69.2</v>
      </c>
      <c r="BH99" s="82">
        <v>0</v>
      </c>
      <c r="BI99" s="82">
        <v>-43.3</v>
      </c>
      <c r="BJ99" s="82">
        <v>47.7</v>
      </c>
      <c r="BK99" s="82">
        <v>97.1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74">B61+B65+B83+B79+B95+B99</f>
        <v>1767.7400000000002</v>
      </c>
      <c r="C100" s="108">
        <f t="shared" si="74"/>
        <v>1767.7400000000002</v>
      </c>
      <c r="D100" s="108">
        <f t="shared" ref="D100" si="75">D61+D65+D83+D79+D95+D99</f>
        <v>1765.7400000000002</v>
      </c>
      <c r="E100" s="108">
        <f t="shared" ref="E100:AG100" si="76">E61+E65+E83+E79+E95+E99</f>
        <v>1757.7400000000002</v>
      </c>
      <c r="F100" s="108">
        <f t="shared" si="76"/>
        <v>1718.5400000000002</v>
      </c>
      <c r="G100" s="108">
        <f t="shared" si="76"/>
        <v>1799.0400000000002</v>
      </c>
      <c r="H100" s="108">
        <f t="shared" si="76"/>
        <v>1735.2400000000002</v>
      </c>
      <c r="I100" s="108">
        <f t="shared" si="76"/>
        <v>1739.6400000000003</v>
      </c>
      <c r="J100" s="108">
        <f t="shared" si="76"/>
        <v>1808.8400000000001</v>
      </c>
      <c r="K100" s="108">
        <f t="shared" si="76"/>
        <v>1862.5400000000002</v>
      </c>
      <c r="L100" s="108">
        <f t="shared" si="76"/>
        <v>1940.94</v>
      </c>
      <c r="M100" s="108">
        <f t="shared" si="76"/>
        <v>1937.0400000000002</v>
      </c>
      <c r="N100" s="108">
        <f t="shared" si="76"/>
        <v>1971.0400000000002</v>
      </c>
      <c r="O100" s="108">
        <f t="shared" si="76"/>
        <v>1937.14</v>
      </c>
      <c r="P100" s="108">
        <f t="shared" si="76"/>
        <v>2025.44</v>
      </c>
      <c r="Q100" s="108">
        <f t="shared" si="76"/>
        <v>1799.54</v>
      </c>
      <c r="R100" s="108">
        <f t="shared" si="76"/>
        <v>1802.24</v>
      </c>
      <c r="S100" s="108">
        <f t="shared" si="76"/>
        <v>1878.94</v>
      </c>
      <c r="T100" s="108">
        <f t="shared" ref="T100:U100" si="77">T61+T65+T83+T79+T95+T99</f>
        <v>1905.5400000000002</v>
      </c>
      <c r="U100" s="108">
        <f t="shared" si="77"/>
        <v>1811.8400000000004</v>
      </c>
      <c r="V100" s="108">
        <f t="shared" ref="V100:W100" si="78">V61+V65+V83+V79+V95+V99</f>
        <v>1860.0400000000002</v>
      </c>
      <c r="W100" s="108">
        <f t="shared" si="78"/>
        <v>1747.8700000000003</v>
      </c>
      <c r="X100" s="108">
        <f t="shared" ref="X100:Y100" si="79">X61+X65+X83+X79+X95+X99</f>
        <v>1635.7400000000002</v>
      </c>
      <c r="Y100" s="108">
        <f t="shared" si="79"/>
        <v>1668.84</v>
      </c>
      <c r="Z100" s="108">
        <f t="shared" ref="Z100:AA100" si="80">Z61+Z65+Z83+Z79+Z95+Z99</f>
        <v>1768.94</v>
      </c>
      <c r="AA100" s="108">
        <f t="shared" si="80"/>
        <v>1876.2400000000002</v>
      </c>
      <c r="AB100" s="108">
        <f t="shared" si="76"/>
        <v>1817.94</v>
      </c>
      <c r="AC100" s="108">
        <f t="shared" si="76"/>
        <v>1808.6400000000003</v>
      </c>
      <c r="AD100" s="108">
        <f t="shared" si="76"/>
        <v>1794.2400000000002</v>
      </c>
      <c r="AE100" s="108">
        <f t="shared" ref="AE100:AF100" si="81">AE61+AE65+AE83+AE79+AE95+AE99</f>
        <v>1794.2400000000002</v>
      </c>
      <c r="AF100" s="108">
        <f t="shared" si="81"/>
        <v>1737.64</v>
      </c>
      <c r="AG100" s="72">
        <f t="shared" si="76"/>
        <v>2655.44</v>
      </c>
      <c r="AH100" s="48">
        <f t="shared" si="46"/>
        <v>2025.44</v>
      </c>
      <c r="AI100" s="49">
        <f t="shared" si="47"/>
        <v>1635.7400000000002</v>
      </c>
      <c r="BF100" s="81"/>
      <c r="BG100" s="82">
        <v>26.4</v>
      </c>
      <c r="BH100" s="82">
        <v>0</v>
      </c>
      <c r="BI100" s="82">
        <v>-122.5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50</v>
      </c>
      <c r="E101" s="110">
        <v>50</v>
      </c>
      <c r="F101" s="110">
        <v>50</v>
      </c>
      <c r="G101" s="110">
        <v>50</v>
      </c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250</v>
      </c>
      <c r="Z101" s="110">
        <v>250</v>
      </c>
      <c r="AA101" s="110">
        <v>250</v>
      </c>
      <c r="AB101" s="110">
        <v>250</v>
      </c>
      <c r="AC101" s="110">
        <v>250</v>
      </c>
      <c r="AD101" s="110">
        <v>250</v>
      </c>
      <c r="AE101" s="110">
        <v>180</v>
      </c>
      <c r="AF101" s="110">
        <v>100</v>
      </c>
      <c r="AG101" s="101"/>
      <c r="AH101" s="48">
        <f t="shared" si="46"/>
        <v>250</v>
      </c>
      <c r="AI101" s="49">
        <f t="shared" si="47"/>
        <v>50</v>
      </c>
      <c r="BF101" s="81"/>
      <c r="BG101" s="82">
        <v>39.200000000000003</v>
      </c>
      <c r="BH101" s="82">
        <v>0</v>
      </c>
      <c r="BI101" s="82">
        <v>-120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82">B100+B101</f>
        <v>1867.7400000000002</v>
      </c>
      <c r="C102" s="108">
        <f t="shared" si="82"/>
        <v>1867.7400000000002</v>
      </c>
      <c r="D102" s="108">
        <f t="shared" ref="D102" si="83">D100+D101</f>
        <v>1815.7400000000002</v>
      </c>
      <c r="E102" s="108">
        <f t="shared" ref="E102:AD102" si="84">E100+E101</f>
        <v>1807.7400000000002</v>
      </c>
      <c r="F102" s="108">
        <f t="shared" si="84"/>
        <v>1768.5400000000002</v>
      </c>
      <c r="G102" s="108">
        <f t="shared" si="84"/>
        <v>1849.0400000000002</v>
      </c>
      <c r="H102" s="108">
        <f t="shared" si="84"/>
        <v>1735.2400000000002</v>
      </c>
      <c r="I102" s="108">
        <f t="shared" si="84"/>
        <v>1739.6400000000003</v>
      </c>
      <c r="J102" s="108">
        <f t="shared" si="84"/>
        <v>1808.8400000000001</v>
      </c>
      <c r="K102" s="108">
        <f t="shared" si="84"/>
        <v>1862.5400000000002</v>
      </c>
      <c r="L102" s="108">
        <f t="shared" si="84"/>
        <v>1940.94</v>
      </c>
      <c r="M102" s="108">
        <f t="shared" si="84"/>
        <v>1937.0400000000002</v>
      </c>
      <c r="N102" s="108">
        <f t="shared" si="84"/>
        <v>1971.0400000000002</v>
      </c>
      <c r="O102" s="108">
        <f t="shared" si="84"/>
        <v>1937.14</v>
      </c>
      <c r="P102" s="108">
        <f t="shared" si="84"/>
        <v>2025.44</v>
      </c>
      <c r="Q102" s="108">
        <f t="shared" si="84"/>
        <v>1799.54</v>
      </c>
      <c r="R102" s="108">
        <f t="shared" si="84"/>
        <v>1802.24</v>
      </c>
      <c r="S102" s="108">
        <f t="shared" si="84"/>
        <v>1878.94</v>
      </c>
      <c r="T102" s="108">
        <f t="shared" ref="T102:U102" si="85">T100+T101</f>
        <v>1905.5400000000002</v>
      </c>
      <c r="U102" s="108">
        <f t="shared" si="85"/>
        <v>1811.8400000000004</v>
      </c>
      <c r="V102" s="108">
        <f t="shared" ref="V102:W102" si="86">V100+V101</f>
        <v>1860.0400000000002</v>
      </c>
      <c r="W102" s="108">
        <f t="shared" si="86"/>
        <v>1747.8700000000003</v>
      </c>
      <c r="X102" s="108">
        <f t="shared" ref="X102:Y102" si="87">X100+X101</f>
        <v>1635.7400000000002</v>
      </c>
      <c r="Y102" s="108">
        <f t="shared" si="87"/>
        <v>1918.84</v>
      </c>
      <c r="Z102" s="108">
        <f t="shared" ref="Z102:AA102" si="88">Z100+Z101</f>
        <v>2018.94</v>
      </c>
      <c r="AA102" s="108">
        <f t="shared" si="88"/>
        <v>2126.2400000000002</v>
      </c>
      <c r="AB102" s="108">
        <f t="shared" si="84"/>
        <v>2067.94</v>
      </c>
      <c r="AC102" s="108">
        <f t="shared" si="84"/>
        <v>2058.6400000000003</v>
      </c>
      <c r="AD102" s="108">
        <f t="shared" si="84"/>
        <v>2044.2400000000002</v>
      </c>
      <c r="AE102" s="108">
        <f t="shared" ref="AE102:AF102" si="89">AE100+AE101</f>
        <v>1974.2400000000002</v>
      </c>
      <c r="AF102" s="108">
        <f t="shared" si="89"/>
        <v>1837.64</v>
      </c>
      <c r="AG102" s="101">
        <f>AG99+AG95+AG83+AG79+AG61+AG101</f>
        <v>2117.34</v>
      </c>
      <c r="AH102" s="48">
        <f t="shared" si="46"/>
        <v>2126.2400000000002</v>
      </c>
      <c r="AI102" s="49">
        <f t="shared" si="47"/>
        <v>1635.7400000000002</v>
      </c>
      <c r="BF102" s="81"/>
      <c r="BG102" s="82">
        <v>39.9</v>
      </c>
      <c r="BH102" s="82">
        <v>0</v>
      </c>
      <c r="BI102" s="82">
        <v>-121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90">B102-(B110)</f>
        <v>1757.7400000000002</v>
      </c>
      <c r="C103" s="108">
        <f t="shared" si="90"/>
        <v>1747.7400000000002</v>
      </c>
      <c r="D103" s="108">
        <f t="shared" ref="D103" si="91">D102-(D110)</f>
        <v>1680.7400000000002</v>
      </c>
      <c r="E103" s="108">
        <f t="shared" ref="E103:AD103" si="92">E102-(E110)</f>
        <v>1667.7400000000002</v>
      </c>
      <c r="F103" s="108">
        <f t="shared" si="92"/>
        <v>1641.5400000000002</v>
      </c>
      <c r="G103" s="108">
        <f t="shared" si="92"/>
        <v>1671.0400000000002</v>
      </c>
      <c r="H103" s="108">
        <f t="shared" si="92"/>
        <v>1610.2400000000002</v>
      </c>
      <c r="I103" s="108">
        <f t="shared" si="92"/>
        <v>1592.6400000000003</v>
      </c>
      <c r="J103" s="108">
        <f t="shared" si="92"/>
        <v>1679.8400000000001</v>
      </c>
      <c r="K103" s="108">
        <f t="shared" si="92"/>
        <v>1737.5400000000002</v>
      </c>
      <c r="L103" s="108">
        <f t="shared" si="92"/>
        <v>1832.94</v>
      </c>
      <c r="M103" s="108">
        <f t="shared" si="92"/>
        <v>1805.0400000000002</v>
      </c>
      <c r="N103" s="108">
        <f t="shared" si="92"/>
        <v>1861.0400000000002</v>
      </c>
      <c r="O103" s="108">
        <f t="shared" si="92"/>
        <v>1906.14</v>
      </c>
      <c r="P103" s="108">
        <f t="shared" si="92"/>
        <v>1984.44</v>
      </c>
      <c r="Q103" s="108">
        <f t="shared" si="92"/>
        <v>1799.54</v>
      </c>
      <c r="R103" s="108">
        <f t="shared" si="92"/>
        <v>1802.24</v>
      </c>
      <c r="S103" s="108">
        <f t="shared" si="92"/>
        <v>1863.94</v>
      </c>
      <c r="T103" s="108">
        <f t="shared" ref="T103:U103" si="93">T102-(T110)</f>
        <v>1864.5400000000002</v>
      </c>
      <c r="U103" s="108">
        <f t="shared" si="93"/>
        <v>1755.1400000000003</v>
      </c>
      <c r="V103" s="108">
        <f t="shared" ref="V103:W103" si="94">V102-(V110)</f>
        <v>1838.3400000000001</v>
      </c>
      <c r="W103" s="108">
        <f t="shared" si="94"/>
        <v>1706.3700000000003</v>
      </c>
      <c r="X103" s="108">
        <f t="shared" ref="X103:Y103" si="95">X102-(X110)</f>
        <v>1592.4400000000003</v>
      </c>
      <c r="Y103" s="108">
        <f t="shared" si="95"/>
        <v>1796.34</v>
      </c>
      <c r="Z103" s="108">
        <f t="shared" ref="Z103:AA103" si="96">Z102-(Z110)</f>
        <v>1896.44</v>
      </c>
      <c r="AA103" s="108">
        <f t="shared" si="96"/>
        <v>2018.8400000000001</v>
      </c>
      <c r="AB103" s="108">
        <f t="shared" si="92"/>
        <v>1947.94</v>
      </c>
      <c r="AC103" s="108">
        <f t="shared" si="92"/>
        <v>1943.6400000000003</v>
      </c>
      <c r="AD103" s="108">
        <f t="shared" si="92"/>
        <v>1923.2400000000002</v>
      </c>
      <c r="AE103" s="108">
        <f t="shared" ref="AE103:AF103" si="97">AE102-(AE110)</f>
        <v>1839.2400000000002</v>
      </c>
      <c r="AF103" s="108">
        <f t="shared" si="97"/>
        <v>1717.64</v>
      </c>
      <c r="AG103" s="101"/>
      <c r="AH103" s="48">
        <f t="shared" si="46"/>
        <v>2018.8400000000001</v>
      </c>
      <c r="AI103" s="49">
        <f t="shared" si="47"/>
        <v>1592.4400000000003</v>
      </c>
      <c r="BF103" s="81"/>
      <c r="BG103" s="82">
        <v>39.9</v>
      </c>
      <c r="BH103" s="82">
        <v>0</v>
      </c>
      <c r="BI103" s="82">
        <v>-135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98">IF(B84&lt;0,B84*-1,0)</f>
        <v>0</v>
      </c>
      <c r="C104" s="89">
        <f t="shared" si="98"/>
        <v>0</v>
      </c>
      <c r="D104" s="89">
        <f t="shared" ref="D104" si="99">IF(D84&lt;0,D84*-1,0)</f>
        <v>0</v>
      </c>
      <c r="E104" s="89">
        <f t="shared" ref="E104:AD109" si="100">IF(E84&lt;0,E84*-1,0)</f>
        <v>0</v>
      </c>
      <c r="F104" s="89">
        <f t="shared" si="100"/>
        <v>0</v>
      </c>
      <c r="G104" s="89">
        <f t="shared" si="100"/>
        <v>0</v>
      </c>
      <c r="H104" s="89">
        <f t="shared" si="100"/>
        <v>0</v>
      </c>
      <c r="I104" s="89">
        <f t="shared" si="100"/>
        <v>0</v>
      </c>
      <c r="J104" s="89">
        <f t="shared" si="100"/>
        <v>0</v>
      </c>
      <c r="K104" s="89">
        <f t="shared" si="100"/>
        <v>0</v>
      </c>
      <c r="L104" s="89">
        <f t="shared" si="100"/>
        <v>0</v>
      </c>
      <c r="M104" s="89">
        <f t="shared" si="100"/>
        <v>0</v>
      </c>
      <c r="N104" s="89">
        <f t="shared" si="100"/>
        <v>0</v>
      </c>
      <c r="O104" s="89">
        <f t="shared" si="100"/>
        <v>0</v>
      </c>
      <c r="P104" s="89">
        <f t="shared" si="100"/>
        <v>0</v>
      </c>
      <c r="Q104" s="89">
        <f t="shared" si="100"/>
        <v>0</v>
      </c>
      <c r="R104" s="89">
        <f t="shared" si="100"/>
        <v>0</v>
      </c>
      <c r="S104" s="89">
        <f t="shared" si="100"/>
        <v>0</v>
      </c>
      <c r="T104" s="89">
        <f t="shared" ref="T104:U104" si="101">IF(T84&lt;0,T84*-1,0)</f>
        <v>0</v>
      </c>
      <c r="U104" s="89">
        <f t="shared" si="101"/>
        <v>0</v>
      </c>
      <c r="V104" s="89">
        <f t="shared" ref="V104:W104" si="102">IF(V84&lt;0,V84*-1,0)</f>
        <v>0</v>
      </c>
      <c r="W104" s="89">
        <f t="shared" si="102"/>
        <v>0</v>
      </c>
      <c r="X104" s="89">
        <f t="shared" ref="X104:Y104" si="103">IF(X84&lt;0,X84*-1,0)</f>
        <v>0</v>
      </c>
      <c r="Y104" s="89">
        <f t="shared" si="103"/>
        <v>0</v>
      </c>
      <c r="Z104" s="89">
        <f t="shared" ref="Z104:AA109" si="104">IF(Z84&lt;0,Z84*-1,0)</f>
        <v>0</v>
      </c>
      <c r="AA104" s="89">
        <f t="shared" si="104"/>
        <v>0</v>
      </c>
      <c r="AB104" s="89">
        <f t="shared" si="100"/>
        <v>0</v>
      </c>
      <c r="AC104" s="89">
        <f t="shared" si="100"/>
        <v>0</v>
      </c>
      <c r="AD104" s="89">
        <f t="shared" si="100"/>
        <v>0</v>
      </c>
      <c r="AE104" s="89">
        <f t="shared" ref="AE104:AF104" si="105">IF(AE84&lt;0,AE84*-1,0)</f>
        <v>0</v>
      </c>
      <c r="AF104" s="89">
        <f t="shared" si="105"/>
        <v>0</v>
      </c>
      <c r="AG104" s="61"/>
      <c r="AH104" s="48">
        <f t="shared" si="46"/>
        <v>0</v>
      </c>
      <c r="AI104" s="49">
        <f t="shared" si="47"/>
        <v>0</v>
      </c>
      <c r="BG104" s="82">
        <v>30</v>
      </c>
      <c r="BH104" s="82">
        <v>0</v>
      </c>
      <c r="BI104" s="82">
        <v>-120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98"/>
        <v>0</v>
      </c>
      <c r="C105" s="89">
        <f t="shared" si="98"/>
        <v>0</v>
      </c>
      <c r="D105" s="89">
        <f t="shared" ref="D105" si="106">IF(D85&lt;0,D85*-1,0)</f>
        <v>0</v>
      </c>
      <c r="E105" s="89">
        <f t="shared" ref="E105:Q105" si="107">IF(E85&lt;0,E85*-1,0)</f>
        <v>0</v>
      </c>
      <c r="F105" s="89">
        <f t="shared" si="107"/>
        <v>0</v>
      </c>
      <c r="G105" s="89">
        <f t="shared" si="107"/>
        <v>0</v>
      </c>
      <c r="H105" s="89">
        <f t="shared" si="107"/>
        <v>0</v>
      </c>
      <c r="I105" s="89">
        <f t="shared" si="107"/>
        <v>0</v>
      </c>
      <c r="J105" s="89">
        <f t="shared" si="107"/>
        <v>0</v>
      </c>
      <c r="K105" s="89">
        <f t="shared" si="107"/>
        <v>0</v>
      </c>
      <c r="L105" s="89">
        <f t="shared" si="107"/>
        <v>0</v>
      </c>
      <c r="M105" s="89">
        <f t="shared" si="107"/>
        <v>0</v>
      </c>
      <c r="N105" s="89">
        <f t="shared" si="107"/>
        <v>0</v>
      </c>
      <c r="O105" s="89">
        <f t="shared" si="107"/>
        <v>0</v>
      </c>
      <c r="P105" s="89">
        <f t="shared" si="107"/>
        <v>0</v>
      </c>
      <c r="Q105" s="89">
        <f t="shared" si="107"/>
        <v>0</v>
      </c>
      <c r="R105" s="89">
        <f t="shared" si="100"/>
        <v>0</v>
      </c>
      <c r="S105" s="89">
        <f t="shared" si="100"/>
        <v>0</v>
      </c>
      <c r="T105" s="89">
        <f t="shared" ref="T105:U105" si="108">IF(T85&lt;0,T85*-1,0)</f>
        <v>0</v>
      </c>
      <c r="U105" s="89">
        <f t="shared" si="108"/>
        <v>0</v>
      </c>
      <c r="V105" s="89">
        <f t="shared" ref="V105:W105" si="109">IF(V85&lt;0,V85*-1,0)</f>
        <v>0</v>
      </c>
      <c r="W105" s="89">
        <f t="shared" si="109"/>
        <v>0</v>
      </c>
      <c r="X105" s="89">
        <f t="shared" ref="X105:Y105" si="110">IF(X85&lt;0,X85*-1,0)</f>
        <v>0</v>
      </c>
      <c r="Y105" s="89">
        <f t="shared" si="110"/>
        <v>0</v>
      </c>
      <c r="Z105" s="89">
        <f t="shared" ref="Z105" si="111">IF(Z85&lt;0,Z85*-1,0)</f>
        <v>0</v>
      </c>
      <c r="AA105" s="89">
        <f t="shared" si="104"/>
        <v>0</v>
      </c>
      <c r="AB105" s="89">
        <f t="shared" si="100"/>
        <v>0</v>
      </c>
      <c r="AC105" s="89">
        <f t="shared" si="100"/>
        <v>0</v>
      </c>
      <c r="AD105" s="89">
        <f t="shared" si="100"/>
        <v>0</v>
      </c>
      <c r="AE105" s="89">
        <f t="shared" ref="AE105:AF105" si="112">IF(AE85&lt;0,AE85*-1,0)</f>
        <v>0</v>
      </c>
      <c r="AF105" s="89">
        <f t="shared" si="112"/>
        <v>0</v>
      </c>
      <c r="AG105" s="66"/>
      <c r="AH105" s="48">
        <f t="shared" si="46"/>
        <v>0</v>
      </c>
      <c r="AI105" s="49">
        <f t="shared" si="47"/>
        <v>0</v>
      </c>
      <c r="AK105" s="51"/>
      <c r="BG105" s="82">
        <v>30</v>
      </c>
      <c r="BH105" s="82">
        <v>0</v>
      </c>
      <c r="BI105" s="82">
        <v>-110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98"/>
        <v>110</v>
      </c>
      <c r="C106" s="89">
        <f t="shared" si="98"/>
        <v>120</v>
      </c>
      <c r="D106" s="89">
        <f t="shared" ref="D106" si="113">IF(D86&lt;0,D86*-1,0)</f>
        <v>135</v>
      </c>
      <c r="E106" s="89">
        <f t="shared" si="100"/>
        <v>140</v>
      </c>
      <c r="F106" s="89">
        <f t="shared" si="100"/>
        <v>127</v>
      </c>
      <c r="G106" s="89">
        <f t="shared" si="100"/>
        <v>178</v>
      </c>
      <c r="H106" s="89">
        <f t="shared" si="100"/>
        <v>125</v>
      </c>
      <c r="I106" s="89">
        <f t="shared" si="100"/>
        <v>147</v>
      </c>
      <c r="J106" s="89">
        <f t="shared" si="100"/>
        <v>129</v>
      </c>
      <c r="K106" s="89">
        <f t="shared" si="100"/>
        <v>125</v>
      </c>
      <c r="L106" s="89">
        <f t="shared" si="100"/>
        <v>108</v>
      </c>
      <c r="M106" s="89">
        <f t="shared" si="100"/>
        <v>132</v>
      </c>
      <c r="N106" s="89">
        <f t="shared" si="100"/>
        <v>110</v>
      </c>
      <c r="O106" s="89">
        <f t="shared" si="100"/>
        <v>31</v>
      </c>
      <c r="P106" s="89">
        <f t="shared" si="100"/>
        <v>41</v>
      </c>
      <c r="Q106" s="89">
        <f t="shared" si="100"/>
        <v>0</v>
      </c>
      <c r="R106" s="89">
        <f t="shared" si="100"/>
        <v>0</v>
      </c>
      <c r="S106" s="89">
        <f t="shared" si="100"/>
        <v>15</v>
      </c>
      <c r="T106" s="89">
        <f t="shared" ref="T106:U106" si="114">IF(T86&lt;0,T86*-1,0)</f>
        <v>41</v>
      </c>
      <c r="U106" s="89">
        <f t="shared" si="114"/>
        <v>56.7</v>
      </c>
      <c r="V106" s="89">
        <f t="shared" ref="V106:W106" si="115">IF(V86&lt;0,V86*-1,0)</f>
        <v>21.7</v>
      </c>
      <c r="W106" s="89">
        <f t="shared" si="115"/>
        <v>41.5</v>
      </c>
      <c r="X106" s="89">
        <f t="shared" ref="X106:Y106" si="116">IF(X86&lt;0,X86*-1,0)</f>
        <v>43.3</v>
      </c>
      <c r="Y106" s="89">
        <f t="shared" si="116"/>
        <v>122.5</v>
      </c>
      <c r="Z106" s="89">
        <f t="shared" ref="Z106" si="117">IF(Z86&lt;0,Z86*-1,0)</f>
        <v>122.5</v>
      </c>
      <c r="AA106" s="89">
        <f t="shared" si="104"/>
        <v>107.4</v>
      </c>
      <c r="AB106" s="89">
        <f t="shared" si="100"/>
        <v>120</v>
      </c>
      <c r="AC106" s="89">
        <f t="shared" si="100"/>
        <v>115</v>
      </c>
      <c r="AD106" s="89">
        <f t="shared" si="100"/>
        <v>121</v>
      </c>
      <c r="AE106" s="89">
        <f t="shared" ref="AE106:AF106" si="118">IF(AE86&lt;0,AE86*-1,0)</f>
        <v>135</v>
      </c>
      <c r="AF106" s="89">
        <f t="shared" si="118"/>
        <v>120</v>
      </c>
      <c r="AG106" s="111"/>
      <c r="AH106" s="48">
        <f t="shared" si="46"/>
        <v>178</v>
      </c>
      <c r="AI106" s="49">
        <f t="shared" si="47"/>
        <v>0</v>
      </c>
    </row>
    <row r="107" spans="1:64" x14ac:dyDescent="0.25">
      <c r="A107" s="97" t="s">
        <v>107</v>
      </c>
      <c r="B107" s="89">
        <f t="shared" si="98"/>
        <v>0</v>
      </c>
      <c r="C107" s="89">
        <f t="shared" si="98"/>
        <v>0</v>
      </c>
      <c r="D107" s="89">
        <f t="shared" ref="D107" si="119">IF(D87&lt;0,D87*-1,0)</f>
        <v>0</v>
      </c>
      <c r="E107" s="89">
        <f t="shared" si="100"/>
        <v>0</v>
      </c>
      <c r="F107" s="89">
        <f t="shared" si="100"/>
        <v>0</v>
      </c>
      <c r="G107" s="89">
        <f t="shared" si="100"/>
        <v>0</v>
      </c>
      <c r="H107" s="89">
        <f t="shared" si="100"/>
        <v>0</v>
      </c>
      <c r="I107" s="89">
        <f t="shared" si="100"/>
        <v>0</v>
      </c>
      <c r="J107" s="89">
        <f t="shared" si="100"/>
        <v>0</v>
      </c>
      <c r="K107" s="89">
        <f t="shared" si="100"/>
        <v>0</v>
      </c>
      <c r="L107" s="89">
        <f t="shared" si="100"/>
        <v>0</v>
      </c>
      <c r="M107" s="89">
        <f t="shared" si="100"/>
        <v>0</v>
      </c>
      <c r="N107" s="89">
        <f t="shared" si="100"/>
        <v>0</v>
      </c>
      <c r="O107" s="89">
        <f t="shared" si="100"/>
        <v>0</v>
      </c>
      <c r="P107" s="89">
        <f t="shared" si="100"/>
        <v>0</v>
      </c>
      <c r="Q107" s="89">
        <f t="shared" si="100"/>
        <v>0</v>
      </c>
      <c r="R107" s="89">
        <f t="shared" si="100"/>
        <v>0</v>
      </c>
      <c r="S107" s="89">
        <f t="shared" si="100"/>
        <v>0</v>
      </c>
      <c r="T107" s="89">
        <f t="shared" ref="T107:U107" si="120">IF(T87&lt;0,T87*-1,0)</f>
        <v>0</v>
      </c>
      <c r="U107" s="89">
        <f t="shared" si="120"/>
        <v>0</v>
      </c>
      <c r="V107" s="89">
        <f t="shared" ref="V107:W107" si="121">IF(V87&lt;0,V87*-1,0)</f>
        <v>0</v>
      </c>
      <c r="W107" s="89">
        <f t="shared" si="121"/>
        <v>0</v>
      </c>
      <c r="X107" s="89">
        <f t="shared" ref="X107:Y107" si="122">IF(X87&lt;0,X87*-1,0)</f>
        <v>0</v>
      </c>
      <c r="Y107" s="89">
        <f t="shared" si="122"/>
        <v>0</v>
      </c>
      <c r="Z107" s="89">
        <f t="shared" ref="Z107" si="123">IF(Z87&lt;0,Z87*-1,0)</f>
        <v>0</v>
      </c>
      <c r="AA107" s="89">
        <f t="shared" si="104"/>
        <v>0</v>
      </c>
      <c r="AB107" s="89">
        <f t="shared" si="100"/>
        <v>0</v>
      </c>
      <c r="AC107" s="89">
        <f t="shared" si="100"/>
        <v>0</v>
      </c>
      <c r="AD107" s="89">
        <f t="shared" si="100"/>
        <v>0</v>
      </c>
      <c r="AE107" s="89">
        <f t="shared" ref="AE107:AF107" si="124">IF(AE87&lt;0,AE87*-1,0)</f>
        <v>0</v>
      </c>
      <c r="AF107" s="89">
        <f t="shared" si="124"/>
        <v>0</v>
      </c>
      <c r="AG107" s="111"/>
      <c r="AH107" s="48">
        <f t="shared" si="46"/>
        <v>0</v>
      </c>
      <c r="AI107" s="49">
        <f t="shared" si="47"/>
        <v>0</v>
      </c>
    </row>
    <row r="108" spans="1:64" x14ac:dyDescent="0.25">
      <c r="A108" s="97" t="s">
        <v>108</v>
      </c>
      <c r="B108" s="89">
        <f t="shared" si="98"/>
        <v>0</v>
      </c>
      <c r="C108" s="89">
        <f t="shared" si="98"/>
        <v>0</v>
      </c>
      <c r="D108" s="89">
        <f t="shared" ref="D108" si="125">IF(D88&lt;0,D88*-1,0)</f>
        <v>0</v>
      </c>
      <c r="E108" s="89">
        <f t="shared" si="100"/>
        <v>0</v>
      </c>
      <c r="F108" s="89">
        <f t="shared" si="100"/>
        <v>0</v>
      </c>
      <c r="G108" s="89">
        <f t="shared" si="100"/>
        <v>0</v>
      </c>
      <c r="H108" s="89">
        <f t="shared" si="100"/>
        <v>0</v>
      </c>
      <c r="I108" s="89">
        <f t="shared" si="100"/>
        <v>0</v>
      </c>
      <c r="J108" s="89">
        <f t="shared" si="100"/>
        <v>0</v>
      </c>
      <c r="K108" s="89">
        <f t="shared" si="100"/>
        <v>0</v>
      </c>
      <c r="L108" s="89">
        <f t="shared" si="100"/>
        <v>0</v>
      </c>
      <c r="M108" s="89">
        <f t="shared" si="100"/>
        <v>0</v>
      </c>
      <c r="N108" s="89">
        <f t="shared" si="100"/>
        <v>0</v>
      </c>
      <c r="O108" s="89">
        <f t="shared" si="100"/>
        <v>0</v>
      </c>
      <c r="P108" s="89">
        <f t="shared" si="100"/>
        <v>0</v>
      </c>
      <c r="Q108" s="89">
        <f t="shared" si="100"/>
        <v>0</v>
      </c>
      <c r="R108" s="89">
        <f t="shared" si="100"/>
        <v>0</v>
      </c>
      <c r="S108" s="89">
        <f t="shared" si="100"/>
        <v>0</v>
      </c>
      <c r="T108" s="89">
        <f t="shared" ref="T108:U108" si="126">IF(T88&lt;0,T88*-1,0)</f>
        <v>0</v>
      </c>
      <c r="U108" s="89">
        <f t="shared" si="126"/>
        <v>0</v>
      </c>
      <c r="V108" s="89">
        <f t="shared" ref="V108:W108" si="127">IF(V88&lt;0,V88*-1,0)</f>
        <v>0</v>
      </c>
      <c r="W108" s="89">
        <f t="shared" si="127"/>
        <v>0</v>
      </c>
      <c r="X108" s="89">
        <f t="shared" ref="X108:Y108" si="128">IF(X88&lt;0,X88*-1,0)</f>
        <v>0</v>
      </c>
      <c r="Y108" s="89">
        <f t="shared" si="128"/>
        <v>0</v>
      </c>
      <c r="Z108" s="89">
        <f t="shared" ref="Z108" si="129">IF(Z88&lt;0,Z88*-1,0)</f>
        <v>0</v>
      </c>
      <c r="AA108" s="89">
        <f t="shared" si="104"/>
        <v>0</v>
      </c>
      <c r="AB108" s="89">
        <f t="shared" si="100"/>
        <v>0</v>
      </c>
      <c r="AC108" s="89">
        <f t="shared" si="100"/>
        <v>0</v>
      </c>
      <c r="AD108" s="89">
        <f t="shared" si="100"/>
        <v>0</v>
      </c>
      <c r="AE108" s="89">
        <f t="shared" ref="AE108:AF108" si="130">IF(AE88&lt;0,AE88*-1,0)</f>
        <v>0</v>
      </c>
      <c r="AF108" s="89">
        <f t="shared" si="130"/>
        <v>0</v>
      </c>
      <c r="AG108" s="111"/>
      <c r="AH108" s="48">
        <f t="shared" si="46"/>
        <v>0</v>
      </c>
      <c r="AI108" s="49">
        <f t="shared" si="47"/>
        <v>0</v>
      </c>
    </row>
    <row r="109" spans="1:64" ht="15.75" thickBot="1" x14ac:dyDescent="0.3">
      <c r="A109" s="97" t="s">
        <v>117</v>
      </c>
      <c r="B109" s="89">
        <f t="shared" si="98"/>
        <v>0</v>
      </c>
      <c r="C109" s="89">
        <f t="shared" si="98"/>
        <v>0</v>
      </c>
      <c r="D109" s="89">
        <f t="shared" ref="D109" si="131">IF(D89&lt;0,D89*-1,0)</f>
        <v>0</v>
      </c>
      <c r="E109" s="89">
        <f t="shared" si="100"/>
        <v>0</v>
      </c>
      <c r="F109" s="89">
        <f t="shared" si="100"/>
        <v>0</v>
      </c>
      <c r="G109" s="89">
        <f t="shared" si="100"/>
        <v>0</v>
      </c>
      <c r="H109" s="89">
        <f t="shared" si="100"/>
        <v>0</v>
      </c>
      <c r="I109" s="89">
        <f t="shared" si="100"/>
        <v>0</v>
      </c>
      <c r="J109" s="89">
        <f t="shared" si="100"/>
        <v>0</v>
      </c>
      <c r="K109" s="89">
        <f t="shared" si="100"/>
        <v>0</v>
      </c>
      <c r="L109" s="89">
        <f t="shared" si="100"/>
        <v>0</v>
      </c>
      <c r="M109" s="89">
        <f t="shared" si="100"/>
        <v>0</v>
      </c>
      <c r="N109" s="89">
        <f t="shared" si="100"/>
        <v>0</v>
      </c>
      <c r="O109" s="89">
        <f t="shared" si="100"/>
        <v>0</v>
      </c>
      <c r="P109" s="89">
        <f t="shared" si="100"/>
        <v>0</v>
      </c>
      <c r="Q109" s="89">
        <f t="shared" si="100"/>
        <v>0</v>
      </c>
      <c r="R109" s="89">
        <f t="shared" si="100"/>
        <v>0</v>
      </c>
      <c r="S109" s="89">
        <f t="shared" si="100"/>
        <v>0</v>
      </c>
      <c r="T109" s="89">
        <f t="shared" ref="T109:U109" si="132">IF(T89&lt;0,T89*-1,0)</f>
        <v>0</v>
      </c>
      <c r="U109" s="89">
        <f t="shared" si="132"/>
        <v>0</v>
      </c>
      <c r="V109" s="89">
        <f t="shared" ref="V109:W109" si="133">IF(V89&lt;0,V89*-1,0)</f>
        <v>0</v>
      </c>
      <c r="W109" s="89">
        <f t="shared" si="133"/>
        <v>0</v>
      </c>
      <c r="X109" s="89">
        <f t="shared" ref="X109:Y109" si="134">IF(X89&lt;0,X89*-1,0)</f>
        <v>0</v>
      </c>
      <c r="Y109" s="89">
        <f t="shared" si="134"/>
        <v>0</v>
      </c>
      <c r="Z109" s="89">
        <f t="shared" ref="Z109" si="135">IF(Z89&lt;0,Z89*-1,0)</f>
        <v>0</v>
      </c>
      <c r="AA109" s="89">
        <f t="shared" si="104"/>
        <v>0</v>
      </c>
      <c r="AB109" s="89">
        <f t="shared" si="100"/>
        <v>0</v>
      </c>
      <c r="AC109" s="89">
        <f t="shared" si="100"/>
        <v>0</v>
      </c>
      <c r="AD109" s="89">
        <f t="shared" si="100"/>
        <v>0</v>
      </c>
      <c r="AE109" s="89">
        <f t="shared" ref="AE109:AF109" si="136">IF(AE89&lt;0,AE89*-1,0)</f>
        <v>0</v>
      </c>
      <c r="AF109" s="89">
        <f t="shared" si="136"/>
        <v>0</v>
      </c>
      <c r="AG109" s="98"/>
      <c r="AH109" s="48">
        <f t="shared" si="46"/>
        <v>0</v>
      </c>
      <c r="AI109" s="49">
        <f t="shared" si="47"/>
        <v>0</v>
      </c>
    </row>
    <row r="110" spans="1:64" ht="15.75" thickBot="1" x14ac:dyDescent="0.3">
      <c r="A110" s="112" t="s">
        <v>130</v>
      </c>
      <c r="B110" s="71">
        <f t="shared" ref="B110:C110" si="137">SUM(B104:B109)</f>
        <v>110</v>
      </c>
      <c r="C110" s="71">
        <f t="shared" si="137"/>
        <v>120</v>
      </c>
      <c r="D110" s="71">
        <f t="shared" ref="D110" si="138">SUM(D104:D109)</f>
        <v>135</v>
      </c>
      <c r="E110" s="71">
        <f t="shared" ref="E110:AD110" si="139">SUM(E104:E109)</f>
        <v>140</v>
      </c>
      <c r="F110" s="71">
        <f t="shared" si="139"/>
        <v>127</v>
      </c>
      <c r="G110" s="71">
        <f t="shared" si="139"/>
        <v>178</v>
      </c>
      <c r="H110" s="71">
        <f t="shared" si="139"/>
        <v>125</v>
      </c>
      <c r="I110" s="71">
        <f t="shared" si="139"/>
        <v>147</v>
      </c>
      <c r="J110" s="71">
        <f t="shared" si="139"/>
        <v>129</v>
      </c>
      <c r="K110" s="71">
        <f t="shared" si="139"/>
        <v>125</v>
      </c>
      <c r="L110" s="71">
        <f t="shared" si="139"/>
        <v>108</v>
      </c>
      <c r="M110" s="71">
        <f t="shared" si="139"/>
        <v>132</v>
      </c>
      <c r="N110" s="71">
        <f t="shared" si="139"/>
        <v>110</v>
      </c>
      <c r="O110" s="71">
        <f t="shared" si="139"/>
        <v>31</v>
      </c>
      <c r="P110" s="71">
        <f t="shared" si="139"/>
        <v>41</v>
      </c>
      <c r="Q110" s="71">
        <f t="shared" si="139"/>
        <v>0</v>
      </c>
      <c r="R110" s="71">
        <f t="shared" si="139"/>
        <v>0</v>
      </c>
      <c r="S110" s="71">
        <f t="shared" si="139"/>
        <v>15</v>
      </c>
      <c r="T110" s="71">
        <f t="shared" ref="T110:U110" si="140">SUM(T104:T109)</f>
        <v>41</v>
      </c>
      <c r="U110" s="71">
        <f t="shared" si="140"/>
        <v>56.7</v>
      </c>
      <c r="V110" s="71">
        <f t="shared" ref="V110:W110" si="141">SUM(V104:V109)</f>
        <v>21.7</v>
      </c>
      <c r="W110" s="71">
        <f t="shared" si="141"/>
        <v>41.5</v>
      </c>
      <c r="X110" s="71">
        <f t="shared" ref="X110:Y110" si="142">SUM(X104:X109)</f>
        <v>43.3</v>
      </c>
      <c r="Y110" s="71">
        <f t="shared" si="142"/>
        <v>122.5</v>
      </c>
      <c r="Z110" s="71">
        <f t="shared" ref="Z110:AA110" si="143">SUM(Z104:Z109)</f>
        <v>122.5</v>
      </c>
      <c r="AA110" s="71">
        <f t="shared" si="143"/>
        <v>107.4</v>
      </c>
      <c r="AB110" s="71">
        <f t="shared" si="139"/>
        <v>120</v>
      </c>
      <c r="AC110" s="71">
        <f t="shared" si="139"/>
        <v>115</v>
      </c>
      <c r="AD110" s="71">
        <f t="shared" si="139"/>
        <v>121</v>
      </c>
      <c r="AE110" s="71">
        <f t="shared" ref="AE110:AF110" si="144">SUM(AE104:AE109)</f>
        <v>135</v>
      </c>
      <c r="AF110" s="71">
        <f t="shared" si="144"/>
        <v>120</v>
      </c>
      <c r="AG110" s="101"/>
      <c r="AH110" s="48">
        <f t="shared" si="46"/>
        <v>178</v>
      </c>
      <c r="AI110" s="49">
        <f t="shared" si="47"/>
        <v>0</v>
      </c>
    </row>
    <row r="111" spans="1:64" ht="15.75" thickBot="1" x14ac:dyDescent="0.3">
      <c r="A111" s="87" t="s">
        <v>131</v>
      </c>
      <c r="B111" s="71">
        <f t="shared" ref="B111:C111" si="145">B95-B110</f>
        <v>-30</v>
      </c>
      <c r="C111" s="71">
        <f t="shared" si="145"/>
        <v>-40</v>
      </c>
      <c r="D111" s="71">
        <f t="shared" ref="D111" si="146">D95-D110</f>
        <v>-57</v>
      </c>
      <c r="E111" s="71">
        <f t="shared" ref="E111:AD111" si="147">E95-E110</f>
        <v>-60</v>
      </c>
      <c r="F111" s="71">
        <f t="shared" si="147"/>
        <v>-66.2</v>
      </c>
      <c r="G111" s="71">
        <f t="shared" si="147"/>
        <v>-117.2</v>
      </c>
      <c r="H111" s="71">
        <f t="shared" si="147"/>
        <v>-62</v>
      </c>
      <c r="I111" s="71">
        <f t="shared" si="147"/>
        <v>-90.6</v>
      </c>
      <c r="J111" s="71">
        <f t="shared" si="147"/>
        <v>65.400000000000006</v>
      </c>
      <c r="K111" s="71">
        <f t="shared" si="147"/>
        <v>44</v>
      </c>
      <c r="L111" s="71">
        <f t="shared" si="147"/>
        <v>89</v>
      </c>
      <c r="M111" s="71">
        <f t="shared" si="147"/>
        <v>59.199999999999989</v>
      </c>
      <c r="N111" s="71">
        <f t="shared" si="147"/>
        <v>115.19999999999999</v>
      </c>
      <c r="O111" s="71">
        <f t="shared" si="147"/>
        <v>208.8</v>
      </c>
      <c r="P111" s="71">
        <f t="shared" si="147"/>
        <v>231</v>
      </c>
      <c r="Q111" s="71">
        <f t="shared" si="147"/>
        <v>210.3</v>
      </c>
      <c r="R111" s="71">
        <f t="shared" si="147"/>
        <v>213</v>
      </c>
      <c r="S111" s="71">
        <f t="shared" si="147"/>
        <v>274.7</v>
      </c>
      <c r="T111" s="71">
        <f t="shared" ref="T111:U111" si="148">T95-T110</f>
        <v>249.90000000000003</v>
      </c>
      <c r="U111" s="71">
        <f t="shared" si="148"/>
        <v>212.5</v>
      </c>
      <c r="V111" s="71">
        <f t="shared" ref="V111:W111" si="149">V95-V110</f>
        <v>256.5</v>
      </c>
      <c r="W111" s="71">
        <f t="shared" si="149"/>
        <v>232.72999999999996</v>
      </c>
      <c r="X111" s="71">
        <f t="shared" ref="X111:Y111" si="150">X95-X110</f>
        <v>222.2</v>
      </c>
      <c r="Y111" s="71">
        <f t="shared" si="150"/>
        <v>-46.7</v>
      </c>
      <c r="Z111" s="71">
        <f t="shared" ref="Z111:AA111" si="151">Z95-Z110</f>
        <v>-49.800000000000011</v>
      </c>
      <c r="AA111" s="71">
        <f t="shared" si="151"/>
        <v>-34.900000000000006</v>
      </c>
      <c r="AB111" s="71">
        <f t="shared" si="147"/>
        <v>-35.699999999999989</v>
      </c>
      <c r="AC111" s="71">
        <f t="shared" si="147"/>
        <v>-26</v>
      </c>
      <c r="AD111" s="71">
        <f t="shared" si="147"/>
        <v>-36</v>
      </c>
      <c r="AE111" s="71">
        <f t="shared" ref="AE111:AF111" si="152">AE95-AE110</f>
        <v>-50</v>
      </c>
      <c r="AF111" s="71">
        <f t="shared" si="152"/>
        <v>-90</v>
      </c>
      <c r="AG111" s="101"/>
      <c r="AH111" s="48">
        <f t="shared" si="46"/>
        <v>274.7</v>
      </c>
      <c r="AI111" s="49">
        <f t="shared" si="47"/>
        <v>-117.2</v>
      </c>
    </row>
    <row r="112" spans="1:64" x14ac:dyDescent="0.25">
      <c r="A112" s="113" t="s">
        <v>132</v>
      </c>
      <c r="B112" s="114">
        <v>50.05</v>
      </c>
      <c r="C112" s="114">
        <v>50.01</v>
      </c>
      <c r="D112" s="114">
        <v>50.03</v>
      </c>
      <c r="E112" s="114">
        <v>50.033999999999999</v>
      </c>
      <c r="F112" s="114">
        <v>49.926000000000002</v>
      </c>
      <c r="G112" s="114">
        <v>49.929000000000002</v>
      </c>
      <c r="H112" s="114">
        <v>49.901000000000003</v>
      </c>
      <c r="I112" s="114">
        <v>50.024000000000001</v>
      </c>
      <c r="J112" s="114">
        <v>49.963999999999999</v>
      </c>
      <c r="K112" s="114">
        <v>50.005000000000003</v>
      </c>
      <c r="L112" s="114">
        <v>50.036999999999999</v>
      </c>
      <c r="M112" s="114">
        <v>50.103999999999999</v>
      </c>
      <c r="N112" s="114">
        <v>50.103999999999999</v>
      </c>
      <c r="O112" s="114">
        <v>49.978999999999999</v>
      </c>
      <c r="P112" s="114">
        <v>49.993000000000002</v>
      </c>
      <c r="Q112" s="114">
        <v>50.058999999999997</v>
      </c>
      <c r="R112" s="114">
        <v>50.058999999999997</v>
      </c>
      <c r="S112" s="114">
        <v>50.16</v>
      </c>
      <c r="T112" s="114">
        <v>49.99</v>
      </c>
      <c r="U112" s="114">
        <v>49.99</v>
      </c>
      <c r="V112" s="114">
        <v>49.99</v>
      </c>
      <c r="W112" s="114">
        <v>50.03</v>
      </c>
      <c r="X112" s="114">
        <v>49.97</v>
      </c>
      <c r="Y112" s="114">
        <v>50.01</v>
      </c>
      <c r="Z112" s="114">
        <v>50.02</v>
      </c>
      <c r="AA112" s="114">
        <v>50.03</v>
      </c>
      <c r="AB112" s="114">
        <v>50.148000000000003</v>
      </c>
      <c r="AC112" s="114">
        <v>50.042999999999999</v>
      </c>
      <c r="AD112" s="114">
        <v>50.015000000000001</v>
      </c>
      <c r="AE112" s="114">
        <v>50.015000000000001</v>
      </c>
      <c r="AF112" s="114">
        <v>50.04</v>
      </c>
      <c r="AG112" s="115"/>
      <c r="AH112" s="48">
        <f t="shared" si="46"/>
        <v>50.16</v>
      </c>
      <c r="AI112" s="49">
        <f t="shared" si="47"/>
        <v>49.901000000000003</v>
      </c>
    </row>
    <row r="113" spans="1:35" x14ac:dyDescent="0.25">
      <c r="A113" s="116" t="s">
        <v>133</v>
      </c>
      <c r="B113" s="76">
        <v>121.4</v>
      </c>
      <c r="C113" s="76">
        <v>121.4</v>
      </c>
      <c r="D113" s="76">
        <v>121.4</v>
      </c>
      <c r="E113" s="76">
        <v>122.5</v>
      </c>
      <c r="F113" s="76">
        <v>121.4</v>
      </c>
      <c r="G113" s="76">
        <v>119</v>
      </c>
      <c r="H113" s="76">
        <v>120</v>
      </c>
      <c r="I113" s="76">
        <v>120.3</v>
      </c>
      <c r="J113" s="76">
        <v>124.2</v>
      </c>
      <c r="K113" s="76">
        <v>123.1</v>
      </c>
      <c r="L113" s="76">
        <v>121.5</v>
      </c>
      <c r="M113" s="76">
        <v>122.2</v>
      </c>
      <c r="N113" s="76">
        <v>122.2</v>
      </c>
      <c r="O113" s="76">
        <v>119</v>
      </c>
      <c r="P113" s="76">
        <v>121.3</v>
      </c>
      <c r="Q113" s="76">
        <v>120.8</v>
      </c>
      <c r="R113" s="76">
        <v>120.8</v>
      </c>
      <c r="S113" s="76">
        <v>120.7</v>
      </c>
      <c r="T113" s="76">
        <v>120.3</v>
      </c>
      <c r="U113" s="76">
        <v>122</v>
      </c>
      <c r="V113" s="76">
        <v>122.9</v>
      </c>
      <c r="W113" s="76">
        <v>122.4</v>
      </c>
      <c r="X113" s="76">
        <v>125</v>
      </c>
      <c r="Y113" s="76">
        <v>125.5</v>
      </c>
      <c r="Z113" s="76">
        <v>121.4</v>
      </c>
      <c r="AA113" s="76">
        <v>126.4</v>
      </c>
      <c r="AB113" s="76">
        <v>122</v>
      </c>
      <c r="AC113" s="76">
        <v>122</v>
      </c>
      <c r="AD113" s="76">
        <v>122</v>
      </c>
      <c r="AE113" s="76">
        <v>122</v>
      </c>
      <c r="AF113" s="76">
        <v>122</v>
      </c>
      <c r="AG113" s="117"/>
      <c r="AH113" s="48">
        <f t="shared" si="46"/>
        <v>126.4</v>
      </c>
      <c r="AI113" s="49">
        <f t="shared" si="47"/>
        <v>119</v>
      </c>
    </row>
    <row r="114" spans="1:35" x14ac:dyDescent="0.25">
      <c r="A114" s="116" t="s">
        <v>134</v>
      </c>
      <c r="B114" s="76">
        <v>127</v>
      </c>
      <c r="C114" s="76">
        <v>127</v>
      </c>
      <c r="D114" s="76">
        <v>127</v>
      </c>
      <c r="E114" s="76">
        <v>128.6</v>
      </c>
      <c r="F114" s="76">
        <v>128.1</v>
      </c>
      <c r="G114" s="76">
        <v>126.2</v>
      </c>
      <c r="H114" s="76">
        <v>125</v>
      </c>
      <c r="I114" s="76">
        <v>126</v>
      </c>
      <c r="J114" s="76">
        <v>127.8</v>
      </c>
      <c r="K114" s="76">
        <v>126.5</v>
      </c>
      <c r="L114" s="76">
        <v>125</v>
      </c>
      <c r="M114" s="76">
        <v>125.5</v>
      </c>
      <c r="N114" s="76">
        <v>125.5</v>
      </c>
      <c r="O114" s="76">
        <v>123</v>
      </c>
      <c r="P114" s="76">
        <v>124.6</v>
      </c>
      <c r="Q114" s="76">
        <v>124.4</v>
      </c>
      <c r="R114" s="76">
        <v>124.4</v>
      </c>
      <c r="S114" s="76">
        <v>124.9</v>
      </c>
      <c r="T114" s="76">
        <v>124.7</v>
      </c>
      <c r="U114" s="76">
        <v>124.7</v>
      </c>
      <c r="V114" s="76">
        <v>125.4</v>
      </c>
      <c r="W114" s="76">
        <v>125.3</v>
      </c>
      <c r="X114" s="76">
        <v>127.2</v>
      </c>
      <c r="Y114" s="76">
        <v>127.9</v>
      </c>
      <c r="Z114" s="76">
        <v>125.4</v>
      </c>
      <c r="AA114" s="76">
        <v>125.4</v>
      </c>
      <c r="AB114" s="76">
        <v>126</v>
      </c>
      <c r="AC114" s="76">
        <v>126</v>
      </c>
      <c r="AD114" s="76">
        <v>126</v>
      </c>
      <c r="AE114" s="76">
        <v>126</v>
      </c>
      <c r="AF114" s="76">
        <v>126</v>
      </c>
      <c r="AG114" s="117"/>
      <c r="AH114" s="48">
        <f t="shared" si="46"/>
        <v>128.6</v>
      </c>
      <c r="AI114" s="49">
        <f t="shared" si="47"/>
        <v>123</v>
      </c>
    </row>
    <row r="115" spans="1:35" x14ac:dyDescent="0.25">
      <c r="A115" s="116" t="s">
        <v>135</v>
      </c>
      <c r="B115" s="76">
        <v>127</v>
      </c>
      <c r="C115" s="76">
        <v>127</v>
      </c>
      <c r="D115" s="76">
        <v>127</v>
      </c>
      <c r="E115" s="76">
        <v>130</v>
      </c>
      <c r="F115" s="76">
        <v>131.4</v>
      </c>
      <c r="G115" s="76">
        <v>129.6</v>
      </c>
      <c r="H115" s="76">
        <v>130.4</v>
      </c>
      <c r="I115" s="76">
        <v>131.30000000000001</v>
      </c>
      <c r="J115" s="76">
        <v>128.5</v>
      </c>
      <c r="K115" s="76">
        <v>128.6</v>
      </c>
      <c r="L115" s="76">
        <v>125.9</v>
      </c>
      <c r="M115" s="76">
        <v>126</v>
      </c>
      <c r="N115" s="76">
        <v>126</v>
      </c>
      <c r="O115" s="76">
        <v>127</v>
      </c>
      <c r="P115" s="76">
        <v>0</v>
      </c>
      <c r="Q115" s="76">
        <v>130.69999999999999</v>
      </c>
      <c r="R115" s="76">
        <v>130.69999999999999</v>
      </c>
      <c r="S115" s="76">
        <v>127.4</v>
      </c>
      <c r="T115" s="76">
        <v>128.1</v>
      </c>
      <c r="U115" s="76">
        <v>131.4</v>
      </c>
      <c r="V115" s="76">
        <v>131.69999999999999</v>
      </c>
      <c r="W115" s="76">
        <v>130.1</v>
      </c>
      <c r="X115" s="76">
        <v>132.5</v>
      </c>
      <c r="Y115" s="76">
        <v>132.4</v>
      </c>
      <c r="Z115" s="76">
        <v>128.19999999999999</v>
      </c>
      <c r="AA115" s="76">
        <v>128.19999999999999</v>
      </c>
      <c r="AB115" s="76">
        <v>128.6</v>
      </c>
      <c r="AC115" s="76">
        <v>128.6</v>
      </c>
      <c r="AD115" s="76">
        <v>128.6</v>
      </c>
      <c r="AE115" s="76">
        <v>128.6</v>
      </c>
      <c r="AF115" s="76">
        <v>128.6</v>
      </c>
      <c r="AG115" s="117"/>
      <c r="AH115" s="48">
        <f t="shared" si="46"/>
        <v>132.5</v>
      </c>
      <c r="AI115" s="49">
        <f t="shared" si="47"/>
        <v>0</v>
      </c>
    </row>
    <row r="116" spans="1:35" x14ac:dyDescent="0.25">
      <c r="A116" s="118" t="s">
        <v>136</v>
      </c>
      <c r="B116" s="76">
        <v>129</v>
      </c>
      <c r="C116" s="76">
        <v>129</v>
      </c>
      <c r="D116" s="76">
        <v>129</v>
      </c>
      <c r="E116" s="76">
        <v>130.69999999999999</v>
      </c>
      <c r="F116" s="76">
        <v>131.9</v>
      </c>
      <c r="G116" s="76">
        <v>130.69999999999999</v>
      </c>
      <c r="H116" s="76">
        <v>131</v>
      </c>
      <c r="I116" s="76">
        <v>131.9</v>
      </c>
      <c r="J116" s="76">
        <v>128.80000000000001</v>
      </c>
      <c r="K116" s="76">
        <v>128.4</v>
      </c>
      <c r="L116" s="76">
        <v>127.2</v>
      </c>
      <c r="M116" s="76">
        <v>127.7</v>
      </c>
      <c r="N116" s="76">
        <v>127.7</v>
      </c>
      <c r="O116" s="76">
        <v>126</v>
      </c>
      <c r="P116" s="76">
        <v>0</v>
      </c>
      <c r="Q116" s="76">
        <v>128.9</v>
      </c>
      <c r="R116" s="76">
        <v>128.9</v>
      </c>
      <c r="S116" s="76">
        <v>128.5</v>
      </c>
      <c r="T116" s="76">
        <v>129</v>
      </c>
      <c r="U116" s="76">
        <v>130.69999999999999</v>
      </c>
      <c r="V116" s="76">
        <v>131.4</v>
      </c>
      <c r="W116" s="76">
        <v>129.69999999999999</v>
      </c>
      <c r="X116" s="76">
        <v>132.30000000000001</v>
      </c>
      <c r="Y116" s="76">
        <v>132.69999999999999</v>
      </c>
      <c r="Z116" s="76">
        <v>128.30000000000001</v>
      </c>
      <c r="AA116" s="76">
        <v>128.30000000000001</v>
      </c>
      <c r="AB116" s="76">
        <v>128.4</v>
      </c>
      <c r="AC116" s="76">
        <v>128.4</v>
      </c>
      <c r="AD116" s="76">
        <v>128.4</v>
      </c>
      <c r="AE116" s="76">
        <v>128.4</v>
      </c>
      <c r="AF116" s="76">
        <v>128.4</v>
      </c>
      <c r="AG116" s="117"/>
      <c r="AH116" s="48">
        <f t="shared" si="46"/>
        <v>132.69999999999999</v>
      </c>
      <c r="AI116" s="49">
        <f t="shared" si="47"/>
        <v>0</v>
      </c>
    </row>
    <row r="117" spans="1:35" x14ac:dyDescent="0.25">
      <c r="A117" s="118" t="s">
        <v>137</v>
      </c>
      <c r="B117" s="119">
        <v>132</v>
      </c>
      <c r="C117" s="119">
        <v>134</v>
      </c>
      <c r="D117" s="119">
        <v>134</v>
      </c>
      <c r="E117" s="119">
        <v>135.69999999999999</v>
      </c>
      <c r="F117" s="119">
        <v>134.80000000000001</v>
      </c>
      <c r="G117" s="119">
        <v>133.80000000000001</v>
      </c>
      <c r="H117" s="119">
        <v>134.80000000000001</v>
      </c>
      <c r="I117" s="119">
        <v>134.5</v>
      </c>
      <c r="J117" s="119">
        <v>136.6</v>
      </c>
      <c r="K117" s="119">
        <v>133.80000000000001</v>
      </c>
      <c r="L117" s="119">
        <v>133.1</v>
      </c>
      <c r="M117" s="119">
        <v>134</v>
      </c>
      <c r="N117" s="119">
        <v>134</v>
      </c>
      <c r="O117" s="119">
        <v>133</v>
      </c>
      <c r="P117" s="119">
        <v>133.80000000000001</v>
      </c>
      <c r="Q117" s="119">
        <v>135.9</v>
      </c>
      <c r="R117" s="119">
        <v>135.9</v>
      </c>
      <c r="S117" s="119">
        <v>131.6</v>
      </c>
      <c r="T117" s="119">
        <v>137.5</v>
      </c>
      <c r="U117" s="119">
        <v>135.30000000000001</v>
      </c>
      <c r="V117" s="119">
        <v>134.30000000000001</v>
      </c>
      <c r="W117" s="119">
        <v>133.4</v>
      </c>
      <c r="X117" s="119">
        <v>136.19999999999999</v>
      </c>
      <c r="Y117" s="119">
        <v>133.4</v>
      </c>
      <c r="Z117" s="119">
        <v>133.9</v>
      </c>
      <c r="AA117" s="119">
        <v>133.9</v>
      </c>
      <c r="AB117" s="119">
        <v>131.19999999999999</v>
      </c>
      <c r="AC117" s="119">
        <v>131.19999999999999</v>
      </c>
      <c r="AD117" s="119">
        <v>131.19999999999999</v>
      </c>
      <c r="AE117" s="119">
        <v>131.19999999999999</v>
      </c>
      <c r="AF117" s="119">
        <v>131.19999999999999</v>
      </c>
      <c r="AG117" s="120"/>
      <c r="AH117" s="48">
        <f t="shared" si="46"/>
        <v>137.5</v>
      </c>
      <c r="AI117" s="49">
        <f t="shared" si="47"/>
        <v>131.19999999999999</v>
      </c>
    </row>
    <row r="118" spans="1:35" x14ac:dyDescent="0.25">
      <c r="A118" s="116" t="s">
        <v>138</v>
      </c>
      <c r="B118" s="76">
        <v>124</v>
      </c>
      <c r="C118" s="76">
        <v>128</v>
      </c>
      <c r="D118" s="76">
        <v>128</v>
      </c>
      <c r="E118" s="76">
        <v>131.30000000000001</v>
      </c>
      <c r="F118" s="76">
        <v>126.6</v>
      </c>
      <c r="G118" s="76">
        <v>124.3</v>
      </c>
      <c r="H118" s="76">
        <v>129</v>
      </c>
      <c r="I118" s="76">
        <v>129.19999999999999</v>
      </c>
      <c r="J118" s="76">
        <v>130.19999999999999</v>
      </c>
      <c r="K118" s="76">
        <v>128.69999999999999</v>
      </c>
      <c r="L118" s="76">
        <v>132.6</v>
      </c>
      <c r="M118" s="76">
        <v>123.3</v>
      </c>
      <c r="N118" s="76">
        <v>123.3</v>
      </c>
      <c r="O118" s="76">
        <v>126</v>
      </c>
      <c r="P118" s="76">
        <v>123</v>
      </c>
      <c r="Q118" s="76">
        <v>127.9</v>
      </c>
      <c r="R118" s="76">
        <v>127.9</v>
      </c>
      <c r="S118" s="76">
        <v>127.1</v>
      </c>
      <c r="T118" s="76">
        <v>132.4</v>
      </c>
      <c r="U118" s="76">
        <v>128.80000000000001</v>
      </c>
      <c r="V118" s="76">
        <v>125.2</v>
      </c>
      <c r="W118" s="76">
        <v>127.6</v>
      </c>
      <c r="X118" s="76">
        <v>125</v>
      </c>
      <c r="Y118" s="76">
        <v>127</v>
      </c>
      <c r="Z118" s="76">
        <v>125.3</v>
      </c>
      <c r="AA118" s="76">
        <v>125.3</v>
      </c>
      <c r="AB118" s="76">
        <v>125.5</v>
      </c>
      <c r="AC118" s="76">
        <v>125.5</v>
      </c>
      <c r="AD118" s="76">
        <v>125.5</v>
      </c>
      <c r="AE118" s="76">
        <v>125.5</v>
      </c>
      <c r="AF118" s="76">
        <v>125.5</v>
      </c>
      <c r="AG118" s="117"/>
      <c r="AH118" s="48">
        <f t="shared" si="46"/>
        <v>132.6</v>
      </c>
      <c r="AI118" s="49">
        <f t="shared" si="47"/>
        <v>123</v>
      </c>
    </row>
    <row r="119" spans="1:35" ht="15.75" thickBot="1" x14ac:dyDescent="0.3">
      <c r="A119" s="116" t="s">
        <v>139</v>
      </c>
      <c r="B119" s="105">
        <v>64.400000000000006</v>
      </c>
      <c r="C119" s="105">
        <v>64.400000000000006</v>
      </c>
      <c r="D119" s="105">
        <v>64.400000000000006</v>
      </c>
      <c r="E119" s="105">
        <v>65.099999999999994</v>
      </c>
      <c r="F119" s="105">
        <v>64.900000000000006</v>
      </c>
      <c r="G119" s="105">
        <v>64</v>
      </c>
      <c r="H119" s="105">
        <v>63.1</v>
      </c>
      <c r="I119" s="105">
        <v>63.5</v>
      </c>
      <c r="J119" s="105">
        <v>64.3</v>
      </c>
      <c r="K119" s="105">
        <v>63.5</v>
      </c>
      <c r="L119" s="105">
        <v>62.7</v>
      </c>
      <c r="M119" s="105">
        <v>63</v>
      </c>
      <c r="N119" s="105">
        <v>63</v>
      </c>
      <c r="O119" s="105">
        <v>61.2</v>
      </c>
      <c r="P119" s="105">
        <v>62.6</v>
      </c>
      <c r="Q119" s="105">
        <v>62.4</v>
      </c>
      <c r="R119" s="105">
        <v>62.4</v>
      </c>
      <c r="S119" s="105">
        <v>62.7</v>
      </c>
      <c r="T119" s="105">
        <v>62.8</v>
      </c>
      <c r="U119" s="105">
        <v>62.8</v>
      </c>
      <c r="V119" s="105">
        <v>63</v>
      </c>
      <c r="W119" s="105">
        <v>62.8</v>
      </c>
      <c r="X119" s="105">
        <v>64.099999999999994</v>
      </c>
      <c r="Y119" s="105">
        <v>64.2</v>
      </c>
      <c r="Z119" s="105">
        <v>62.9</v>
      </c>
      <c r="AA119" s="105">
        <v>62.9</v>
      </c>
      <c r="AB119" s="105">
        <v>63.6</v>
      </c>
      <c r="AC119" s="105">
        <v>63.6</v>
      </c>
      <c r="AD119" s="105">
        <v>63.6</v>
      </c>
      <c r="AE119" s="105">
        <v>63.6</v>
      </c>
      <c r="AF119" s="105">
        <v>63.6</v>
      </c>
      <c r="AG119" s="121"/>
      <c r="AH119" s="48">
        <f t="shared" si="46"/>
        <v>65.099999999999994</v>
      </c>
      <c r="AI119" s="49">
        <f t="shared" si="47"/>
        <v>61.2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6"/>
        <v>0</v>
      </c>
      <c r="AI120" s="49">
        <f t="shared" si="47"/>
        <v>0</v>
      </c>
    </row>
    <row r="121" spans="1:35" ht="15.75" thickBot="1" x14ac:dyDescent="0.3">
      <c r="A121" s="123" t="s">
        <v>141</v>
      </c>
      <c r="B121" s="124">
        <f t="shared" ref="B121:D121" si="153">SUM(B25,B31,B34:B35,B69,B71:B72,B74,B76,B122:B126,B158,B164,B170,B179,B181,B193,B200,B203:B204,B211,B213,B215,B219:B221,B223:B225,B230,B236:B237,B239:B241,B249,B254)</f>
        <v>100.44</v>
      </c>
      <c r="C121" s="124">
        <f t="shared" si="153"/>
        <v>94.44</v>
      </c>
      <c r="D121" s="124">
        <f t="shared" si="153"/>
        <v>94.44</v>
      </c>
      <c r="E121" s="124">
        <f t="shared" ref="E121:O121" si="154">SUM(E25,E31,E34:E35,E69,E71:E72,E74,E76,E122:E126,E158,E164,E170,E179,E181,E193,E200,E203:E204,E211,E213,E215,E219:E221,E223:E225,E230,E236:E237,E239:E241,E249,E254)</f>
        <v>79.44</v>
      </c>
      <c r="F121" s="124">
        <f t="shared" si="154"/>
        <v>73.740000000000009</v>
      </c>
      <c r="G121" s="124">
        <f t="shared" si="154"/>
        <v>68.44</v>
      </c>
      <c r="H121" s="124">
        <f t="shared" si="154"/>
        <v>92.740000000000009</v>
      </c>
      <c r="I121" s="124">
        <f t="shared" si="154"/>
        <v>106.44</v>
      </c>
      <c r="J121" s="124">
        <f t="shared" si="154"/>
        <v>172.64000000000001</v>
      </c>
      <c r="K121" s="124">
        <f t="shared" si="154"/>
        <v>163.13999999999999</v>
      </c>
      <c r="L121" s="124">
        <f t="shared" si="154"/>
        <v>153.83999999999997</v>
      </c>
      <c r="M121" s="124">
        <f t="shared" si="154"/>
        <v>173.54</v>
      </c>
      <c r="N121" s="124">
        <f t="shared" si="154"/>
        <v>173.54</v>
      </c>
      <c r="O121" s="124">
        <f t="shared" si="154"/>
        <v>194.14</v>
      </c>
      <c r="P121" s="124">
        <v>42</v>
      </c>
      <c r="Q121" s="124">
        <f t="shared" ref="Q121:AA121" si="155">SUM(Q25,Q31,Q34:Q35,Q69,Q71:Q72,Q74,Q76,Q122:Q126,Q158,Q164,Q170,Q179,Q181,Q193,Q200,Q203:Q204,Q211,Q213,Q215,Q219:Q221,Q223:Q225,Q230,Q236:Q237,Q239:Q241,Q249,Q254)</f>
        <v>189.94000000000003</v>
      </c>
      <c r="R121" s="124">
        <f t="shared" si="155"/>
        <v>189.94000000000003</v>
      </c>
      <c r="S121" s="124">
        <f t="shared" si="155"/>
        <v>176.13999999999996</v>
      </c>
      <c r="T121" s="124">
        <f t="shared" si="155"/>
        <v>202.24</v>
      </c>
      <c r="U121" s="124">
        <f t="shared" si="155"/>
        <v>194.64000000000001</v>
      </c>
      <c r="V121" s="124">
        <f t="shared" si="155"/>
        <v>220.53999999999996</v>
      </c>
      <c r="W121" s="124">
        <f t="shared" si="155"/>
        <v>216.44</v>
      </c>
      <c r="X121" s="124">
        <f t="shared" si="155"/>
        <v>233.23999999999998</v>
      </c>
      <c r="Y121" s="124">
        <f t="shared" si="155"/>
        <v>204.44</v>
      </c>
      <c r="Z121" s="124">
        <f t="shared" si="155"/>
        <v>215.64</v>
      </c>
      <c r="AA121" s="124">
        <f t="shared" si="155"/>
        <v>245.83999999999997</v>
      </c>
      <c r="AB121" s="124">
        <f t="shared" ref="AB121:AF121" si="156">SUM(AB25,AB31,AB34:AB35,AB69,AB71:AB72,AB74,AB76,AB122:AB126,AB158,AB164,AB170,AB179,AB181,AB193,AB200,AB203:AB204,AB211,AB213,AB215,AB219:AB221,AB223:AB225,AB230,AB236:AB237,AB239:AB241,AB249,AB254)</f>
        <v>192.84</v>
      </c>
      <c r="AC121" s="124">
        <f t="shared" si="156"/>
        <v>168.14</v>
      </c>
      <c r="AD121" s="124">
        <f t="shared" si="156"/>
        <v>168.64</v>
      </c>
      <c r="AE121" s="124">
        <f t="shared" si="156"/>
        <v>168.64</v>
      </c>
      <c r="AF121" s="124">
        <f t="shared" si="156"/>
        <v>70.639999999999986</v>
      </c>
      <c r="AG121" s="125"/>
      <c r="AH121" s="48">
        <f t="shared" si="46"/>
        <v>245.83999999999997</v>
      </c>
      <c r="AI121" s="49">
        <f t="shared" si="47"/>
        <v>42</v>
      </c>
    </row>
    <row r="122" spans="1:35" x14ac:dyDescent="0.25">
      <c r="A122" s="126" t="s">
        <v>142</v>
      </c>
      <c r="B122" s="127">
        <v>81</v>
      </c>
      <c r="C122" s="127">
        <v>84</v>
      </c>
      <c r="D122" s="127">
        <v>84</v>
      </c>
      <c r="E122" s="127">
        <v>59</v>
      </c>
      <c r="F122" s="127">
        <v>57.3</v>
      </c>
      <c r="G122" s="127">
        <v>56</v>
      </c>
      <c r="H122" s="127">
        <v>60.3</v>
      </c>
      <c r="I122" s="127">
        <v>57</v>
      </c>
      <c r="J122" s="127">
        <v>76.3</v>
      </c>
      <c r="K122" s="127">
        <v>48.4</v>
      </c>
      <c r="L122" s="127">
        <v>40</v>
      </c>
      <c r="M122" s="127">
        <v>39.9</v>
      </c>
      <c r="N122" s="127">
        <v>39.9</v>
      </c>
      <c r="O122" s="127">
        <v>55</v>
      </c>
      <c r="P122" s="127">
        <v>50.3</v>
      </c>
      <c r="Q122" s="127">
        <v>46.2</v>
      </c>
      <c r="R122" s="127">
        <v>46.2</v>
      </c>
      <c r="S122" s="127">
        <v>50</v>
      </c>
      <c r="T122" s="127">
        <v>50</v>
      </c>
      <c r="U122" s="127">
        <v>45.3</v>
      </c>
      <c r="V122" s="127">
        <v>66.8</v>
      </c>
      <c r="W122" s="127">
        <v>70.599999999999994</v>
      </c>
      <c r="X122" s="127">
        <v>82.1</v>
      </c>
      <c r="Y122" s="127">
        <v>63.7</v>
      </c>
      <c r="Z122" s="127">
        <v>65.7</v>
      </c>
      <c r="AA122" s="127">
        <v>46.4</v>
      </c>
      <c r="AB122" s="127">
        <v>63.8</v>
      </c>
      <c r="AC122" s="127">
        <v>55.7</v>
      </c>
      <c r="AD122" s="127">
        <v>58.3</v>
      </c>
      <c r="AE122" s="127">
        <v>58.3</v>
      </c>
      <c r="AF122" s="127">
        <v>63</v>
      </c>
      <c r="AG122" s="128">
        <v>75</v>
      </c>
      <c r="AH122" s="48">
        <f t="shared" si="46"/>
        <v>84</v>
      </c>
      <c r="AI122" s="49">
        <f t="shared" si="47"/>
        <v>39.9</v>
      </c>
    </row>
    <row r="123" spans="1:35" x14ac:dyDescent="0.25">
      <c r="A123" s="129" t="s">
        <v>143</v>
      </c>
      <c r="B123" s="130">
        <v>57</v>
      </c>
      <c r="C123" s="130">
        <v>59</v>
      </c>
      <c r="D123" s="130">
        <v>59</v>
      </c>
      <c r="E123" s="130">
        <v>84</v>
      </c>
      <c r="F123" s="130">
        <v>82</v>
      </c>
      <c r="G123" s="130">
        <v>79</v>
      </c>
      <c r="H123" s="130">
        <v>81</v>
      </c>
      <c r="I123" s="130">
        <v>80</v>
      </c>
      <c r="J123" s="130">
        <v>103.1</v>
      </c>
      <c r="K123" s="130">
        <v>66</v>
      </c>
      <c r="L123" s="130">
        <v>56</v>
      </c>
      <c r="M123" s="130">
        <v>54.5</v>
      </c>
      <c r="N123" s="130">
        <v>54.5</v>
      </c>
      <c r="O123" s="130">
        <v>74</v>
      </c>
      <c r="P123" s="130">
        <v>66.3</v>
      </c>
      <c r="Q123" s="130">
        <v>63.2</v>
      </c>
      <c r="R123" s="130">
        <v>63.2</v>
      </c>
      <c r="S123" s="130">
        <v>67.7</v>
      </c>
      <c r="T123" s="130">
        <v>67.7</v>
      </c>
      <c r="U123" s="130">
        <v>60.4</v>
      </c>
      <c r="V123" s="130">
        <v>94.1</v>
      </c>
      <c r="W123" s="130">
        <v>98.4</v>
      </c>
      <c r="X123" s="130">
        <v>112.7</v>
      </c>
      <c r="Y123" s="130">
        <v>92.5</v>
      </c>
      <c r="Z123" s="130">
        <v>92.7</v>
      </c>
      <c r="AA123" s="130">
        <v>68.599999999999994</v>
      </c>
      <c r="AB123" s="130">
        <v>91</v>
      </c>
      <c r="AC123" s="130">
        <v>80.8</v>
      </c>
      <c r="AD123" s="130">
        <v>85</v>
      </c>
      <c r="AE123" s="130">
        <v>85</v>
      </c>
      <c r="AF123" s="130">
        <v>43</v>
      </c>
      <c r="AG123" s="128">
        <v>240</v>
      </c>
      <c r="AH123" s="48">
        <f t="shared" si="46"/>
        <v>112.7</v>
      </c>
      <c r="AI123" s="49">
        <f t="shared" si="47"/>
        <v>43</v>
      </c>
    </row>
    <row r="124" spans="1:35" x14ac:dyDescent="0.25">
      <c r="A124" s="129" t="s">
        <v>144</v>
      </c>
      <c r="B124" s="130">
        <v>-140</v>
      </c>
      <c r="C124" s="130">
        <v>-150</v>
      </c>
      <c r="D124" s="130">
        <v>-150</v>
      </c>
      <c r="E124" s="130">
        <v>-160</v>
      </c>
      <c r="F124" s="130">
        <v>-160</v>
      </c>
      <c r="G124" s="130">
        <v>-158</v>
      </c>
      <c r="H124" s="130">
        <v>-145</v>
      </c>
      <c r="I124" s="130">
        <v>-133</v>
      </c>
      <c r="J124" s="130">
        <v>-111</v>
      </c>
      <c r="K124" s="130">
        <v>-65</v>
      </c>
      <c r="L124" s="130">
        <v>-55</v>
      </c>
      <c r="M124" s="130">
        <v>-40</v>
      </c>
      <c r="N124" s="130">
        <v>-40</v>
      </c>
      <c r="O124" s="130">
        <v>-55</v>
      </c>
      <c r="P124" s="130">
        <v>-40</v>
      </c>
      <c r="Q124" s="130">
        <v>-44</v>
      </c>
      <c r="R124" s="130">
        <v>-44</v>
      </c>
      <c r="S124" s="130">
        <v>-66.900000000000006</v>
      </c>
      <c r="T124" s="130">
        <v>-43.9</v>
      </c>
      <c r="U124" s="130">
        <v>-31</v>
      </c>
      <c r="V124" s="130">
        <v>-60.1</v>
      </c>
      <c r="W124" s="130">
        <v>-64.7</v>
      </c>
      <c r="X124" s="130">
        <v>-78.900000000000006</v>
      </c>
      <c r="Y124" s="130">
        <v>-77.599999999999994</v>
      </c>
      <c r="Z124" s="130">
        <v>-65.099999999999994</v>
      </c>
      <c r="AA124" s="130">
        <v>-24.9</v>
      </c>
      <c r="AB124" s="130">
        <v>-82.5</v>
      </c>
      <c r="AC124" s="130">
        <v>-86</v>
      </c>
      <c r="AD124" s="130">
        <v>-90.9</v>
      </c>
      <c r="AE124" s="130">
        <v>-90.9</v>
      </c>
      <c r="AF124" s="130">
        <v>-135</v>
      </c>
      <c r="AG124" s="128">
        <v>240</v>
      </c>
      <c r="AH124" s="48">
        <f t="shared" si="46"/>
        <v>-24.9</v>
      </c>
      <c r="AI124" s="49">
        <f t="shared" si="47"/>
        <v>-160</v>
      </c>
    </row>
    <row r="125" spans="1:35" ht="15.75" thickBot="1" x14ac:dyDescent="0.3">
      <c r="A125" s="129" t="s">
        <v>145</v>
      </c>
      <c r="B125" s="130">
        <v>-19</v>
      </c>
      <c r="C125" s="130">
        <v>-20</v>
      </c>
      <c r="D125" s="130">
        <v>-20</v>
      </c>
      <c r="E125" s="130">
        <v>-25</v>
      </c>
      <c r="F125" s="130">
        <v>-27</v>
      </c>
      <c r="G125" s="130">
        <v>-30</v>
      </c>
      <c r="H125" s="130">
        <v>-25</v>
      </c>
      <c r="I125" s="130">
        <v>-20</v>
      </c>
      <c r="J125" s="130">
        <v>-19.399999999999999</v>
      </c>
      <c r="K125" s="130">
        <v>-9</v>
      </c>
      <c r="L125" s="130">
        <v>-9.3000000000000007</v>
      </c>
      <c r="M125" s="130">
        <v>-3</v>
      </c>
      <c r="N125" s="130">
        <v>-3</v>
      </c>
      <c r="O125" s="130">
        <v>-2</v>
      </c>
      <c r="P125" s="130">
        <v>5</v>
      </c>
      <c r="Q125" s="130">
        <v>6.9</v>
      </c>
      <c r="R125" s="130">
        <v>6.9</v>
      </c>
      <c r="S125" s="130">
        <v>7.7</v>
      </c>
      <c r="T125" s="130">
        <v>4.4000000000000004</v>
      </c>
      <c r="U125" s="130">
        <v>0</v>
      </c>
      <c r="V125" s="130">
        <v>-0.6</v>
      </c>
      <c r="W125" s="130">
        <v>-6.7</v>
      </c>
      <c r="X125" s="130">
        <v>-0.7</v>
      </c>
      <c r="Y125" s="130">
        <v>8.4</v>
      </c>
      <c r="Z125" s="130">
        <v>4.9000000000000004</v>
      </c>
      <c r="AA125" s="130">
        <v>38.299999999999997</v>
      </c>
      <c r="AB125" s="130">
        <v>2.9</v>
      </c>
      <c r="AC125" s="130">
        <v>0</v>
      </c>
      <c r="AD125" s="130">
        <v>-1.4</v>
      </c>
      <c r="AE125" s="130">
        <v>-1.4</v>
      </c>
      <c r="AF125" s="130">
        <v>-18</v>
      </c>
      <c r="AG125" s="128">
        <v>60</v>
      </c>
      <c r="AH125" s="48">
        <f t="shared" si="46"/>
        <v>38.299999999999997</v>
      </c>
      <c r="AI125" s="49">
        <f t="shared" si="47"/>
        <v>-30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46"/>
        <v>0</v>
      </c>
      <c r="AI126" s="49">
        <f t="shared" si="47"/>
        <v>0</v>
      </c>
    </row>
    <row r="127" spans="1:35" x14ac:dyDescent="0.25">
      <c r="A127" s="129" t="s">
        <v>147</v>
      </c>
      <c r="B127" s="131">
        <v>73</v>
      </c>
      <c r="C127" s="131">
        <v>72</v>
      </c>
      <c r="D127" s="131">
        <v>72</v>
      </c>
      <c r="E127" s="131">
        <v>64</v>
      </c>
      <c r="F127" s="131">
        <v>66</v>
      </c>
      <c r="G127" s="131">
        <v>75</v>
      </c>
      <c r="H127" s="131">
        <v>80</v>
      </c>
      <c r="I127" s="131">
        <v>82.2</v>
      </c>
      <c r="J127" s="131">
        <v>70</v>
      </c>
      <c r="K127" s="131">
        <v>91</v>
      </c>
      <c r="L127" s="131">
        <v>102</v>
      </c>
      <c r="M127" s="131">
        <v>99</v>
      </c>
      <c r="N127" s="131">
        <v>99</v>
      </c>
      <c r="O127" s="131">
        <v>96</v>
      </c>
      <c r="P127" s="131">
        <v>94</v>
      </c>
      <c r="Q127" s="131">
        <v>98</v>
      </c>
      <c r="R127" s="131">
        <v>98</v>
      </c>
      <c r="S127" s="131">
        <v>94.1</v>
      </c>
      <c r="T127" s="131">
        <v>91.4</v>
      </c>
      <c r="U127" s="131">
        <v>95.5</v>
      </c>
      <c r="V127" s="131">
        <v>82.5</v>
      </c>
      <c r="W127" s="131">
        <v>77.599999999999994</v>
      </c>
      <c r="X127" s="131">
        <v>64</v>
      </c>
      <c r="Y127" s="131">
        <v>77.8</v>
      </c>
      <c r="Z127" s="131">
        <v>94.2</v>
      </c>
      <c r="AA127" s="131">
        <v>95.9</v>
      </c>
      <c r="AB127" s="131">
        <v>98.3</v>
      </c>
      <c r="AC127" s="131">
        <v>98.2</v>
      </c>
      <c r="AD127" s="131">
        <v>94.1</v>
      </c>
      <c r="AE127" s="131">
        <v>94.1</v>
      </c>
      <c r="AF127" s="131">
        <v>90.5</v>
      </c>
      <c r="AG127" s="132"/>
      <c r="AH127" s="48"/>
      <c r="AI127" s="49"/>
    </row>
    <row r="128" spans="1:35" x14ac:dyDescent="0.25">
      <c r="A128" s="129" t="s">
        <v>148</v>
      </c>
      <c r="B128" s="131">
        <v>26</v>
      </c>
      <c r="C128" s="131">
        <v>32</v>
      </c>
      <c r="D128" s="131">
        <v>32</v>
      </c>
      <c r="E128" s="131">
        <v>26</v>
      </c>
      <c r="F128" s="131">
        <v>31.5</v>
      </c>
      <c r="G128" s="131">
        <v>36</v>
      </c>
      <c r="H128" s="131">
        <v>26.2</v>
      </c>
      <c r="I128" s="131">
        <v>21.3</v>
      </c>
      <c r="J128" s="131">
        <v>-27.4</v>
      </c>
      <c r="K128" s="131">
        <v>-5</v>
      </c>
      <c r="L128" s="131">
        <v>6</v>
      </c>
      <c r="M128" s="131">
        <v>3.5</v>
      </c>
      <c r="N128" s="131">
        <v>3.5</v>
      </c>
      <c r="O128" s="131">
        <v>-5.8</v>
      </c>
      <c r="P128" s="131">
        <v>-9.6</v>
      </c>
      <c r="Q128" s="131">
        <v>1.9</v>
      </c>
      <c r="R128" s="131">
        <v>1.9</v>
      </c>
      <c r="S128" s="131">
        <v>-10.3</v>
      </c>
      <c r="T128" s="131">
        <v>-11</v>
      </c>
      <c r="U128" s="131">
        <v>0</v>
      </c>
      <c r="V128" s="131">
        <v>-35.1</v>
      </c>
      <c r="W128" s="131">
        <v>-41.6</v>
      </c>
      <c r="X128" s="131">
        <v>-61.8</v>
      </c>
      <c r="Y128" s="131">
        <v>-40.6</v>
      </c>
      <c r="Z128" s="131">
        <v>-34</v>
      </c>
      <c r="AA128" s="131">
        <v>-41.2</v>
      </c>
      <c r="AB128" s="131">
        <v>-37.200000000000003</v>
      </c>
      <c r="AC128" s="131">
        <v>-16.7</v>
      </c>
      <c r="AD128" s="131">
        <v>-18.7</v>
      </c>
      <c r="AE128" s="131">
        <v>-18.7</v>
      </c>
      <c r="AF128" s="131">
        <v>45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64</v>
      </c>
      <c r="C129" s="131">
        <v>68</v>
      </c>
      <c r="D129" s="131">
        <v>68</v>
      </c>
      <c r="E129" s="131">
        <v>57</v>
      </c>
      <c r="F129" s="131">
        <v>64</v>
      </c>
      <c r="G129" s="131">
        <v>68</v>
      </c>
      <c r="H129" s="131">
        <v>82</v>
      </c>
      <c r="I129" s="131">
        <v>70</v>
      </c>
      <c r="J129" s="131">
        <v>42.2</v>
      </c>
      <c r="K129" s="131">
        <v>66</v>
      </c>
      <c r="L129" s="131">
        <v>71.599999999999994</v>
      </c>
      <c r="M129" s="131">
        <v>67.5</v>
      </c>
      <c r="N129" s="131">
        <v>67.5</v>
      </c>
      <c r="O129" s="131">
        <v>71</v>
      </c>
      <c r="P129" s="131">
        <v>27</v>
      </c>
      <c r="Q129" s="131">
        <v>-180</v>
      </c>
      <c r="R129" s="131">
        <v>-180</v>
      </c>
      <c r="S129" s="131">
        <v>72.400000000000006</v>
      </c>
      <c r="T129" s="131">
        <v>78.599999999999994</v>
      </c>
      <c r="U129" s="131">
        <v>86.1</v>
      </c>
      <c r="V129" s="131">
        <v>64.2</v>
      </c>
      <c r="W129" s="131">
        <v>58.8</v>
      </c>
      <c r="X129" s="131">
        <v>44.1</v>
      </c>
      <c r="Y129" s="131">
        <v>47</v>
      </c>
      <c r="Z129" s="131">
        <v>72</v>
      </c>
      <c r="AA129" s="131">
        <v>70.3</v>
      </c>
      <c r="AB129" s="131">
        <v>69.2</v>
      </c>
      <c r="AC129" s="131">
        <v>72.400000000000006</v>
      </c>
      <c r="AD129" s="131">
        <v>66</v>
      </c>
      <c r="AE129" s="131">
        <v>66</v>
      </c>
      <c r="AF129" s="131">
        <v>76</v>
      </c>
      <c r="AG129" s="128"/>
      <c r="AH129" s="48">
        <f>MAX(B129:AF129)</f>
        <v>86.1</v>
      </c>
      <c r="AI129" s="49">
        <f>MIN(B129:AF129)</f>
        <v>-180</v>
      </c>
    </row>
    <row r="130" spans="1:37" x14ac:dyDescent="0.25">
      <c r="A130" s="126" t="s">
        <v>150</v>
      </c>
      <c r="B130" s="131">
        <v>-238</v>
      </c>
      <c r="C130" s="131">
        <v>-241</v>
      </c>
      <c r="D130" s="131">
        <v>-241</v>
      </c>
      <c r="E130" s="131">
        <v>-240</v>
      </c>
      <c r="F130" s="131">
        <v>-226</v>
      </c>
      <c r="G130" s="131">
        <v>-256</v>
      </c>
      <c r="H130" s="131">
        <v>-218</v>
      </c>
      <c r="I130" s="131">
        <v>-221</v>
      </c>
      <c r="J130" s="131">
        <v>-197</v>
      </c>
      <c r="K130" s="131">
        <v>-198</v>
      </c>
      <c r="L130" s="131">
        <v>-225</v>
      </c>
      <c r="M130" s="131">
        <v>-225</v>
      </c>
      <c r="N130" s="131">
        <v>-225</v>
      </c>
      <c r="O130" s="131">
        <v>-198</v>
      </c>
      <c r="P130" s="131">
        <v>-157</v>
      </c>
      <c r="Q130" s="131">
        <v>-180</v>
      </c>
      <c r="R130" s="131">
        <v>-180</v>
      </c>
      <c r="S130" s="131">
        <v>-197</v>
      </c>
      <c r="T130" s="131">
        <v>-164.8</v>
      </c>
      <c r="U130" s="131">
        <v>-154.19999999999999</v>
      </c>
      <c r="V130" s="131">
        <v>-174.3</v>
      </c>
      <c r="W130" s="131">
        <v>-131.19999999999999</v>
      </c>
      <c r="X130" s="131">
        <v>-95</v>
      </c>
      <c r="Y130" s="131">
        <v>-195.3</v>
      </c>
      <c r="Z130" s="131">
        <v>-226.8</v>
      </c>
      <c r="AA130" s="131">
        <v>-235.5</v>
      </c>
      <c r="AB130" s="131">
        <v>-240.5</v>
      </c>
      <c r="AC130" s="131">
        <v>-243</v>
      </c>
      <c r="AD130" s="131">
        <v>-248.6</v>
      </c>
      <c r="AE130" s="131">
        <v>-248.6</v>
      </c>
      <c r="AF130" s="131">
        <v>-255</v>
      </c>
      <c r="AG130" s="128"/>
      <c r="AH130" s="48">
        <f>MAX(B130:AF130)</f>
        <v>-95</v>
      </c>
      <c r="AI130" s="49">
        <f>MIN(B130:AF130)</f>
        <v>-256</v>
      </c>
    </row>
    <row r="131" spans="1:37" x14ac:dyDescent="0.25">
      <c r="A131" s="129" t="s">
        <v>151</v>
      </c>
      <c r="B131" s="119">
        <v>-12</v>
      </c>
      <c r="C131" s="119">
        <v>-13</v>
      </c>
      <c r="D131" s="119">
        <v>-13</v>
      </c>
      <c r="E131" s="119">
        <v>-7</v>
      </c>
      <c r="F131" s="119">
        <v>-2.5</v>
      </c>
      <c r="G131" s="119">
        <v>10</v>
      </c>
      <c r="H131" s="119">
        <v>14.2</v>
      </c>
      <c r="I131" s="119">
        <v>15</v>
      </c>
      <c r="J131" s="119">
        <v>13</v>
      </c>
      <c r="K131" s="119">
        <v>10</v>
      </c>
      <c r="L131" s="119">
        <v>-2.4</v>
      </c>
      <c r="M131" s="119">
        <v>-2.1</v>
      </c>
      <c r="N131" s="119">
        <v>-2.1</v>
      </c>
      <c r="O131" s="119">
        <v>8</v>
      </c>
      <c r="P131" s="119">
        <v>0</v>
      </c>
      <c r="Q131" s="119">
        <v>-0.3</v>
      </c>
      <c r="R131" s="119">
        <v>-0.3</v>
      </c>
      <c r="S131" s="119">
        <v>12</v>
      </c>
      <c r="T131" s="119">
        <v>11.5</v>
      </c>
      <c r="U131" s="119">
        <v>9.6999999999999993</v>
      </c>
      <c r="V131" s="119">
        <v>6.4</v>
      </c>
      <c r="W131" s="119">
        <v>2.2999999999999998</v>
      </c>
      <c r="X131" s="119">
        <v>16.2</v>
      </c>
      <c r="Y131" s="119">
        <v>16.5</v>
      </c>
      <c r="Z131" s="119">
        <v>2.4</v>
      </c>
      <c r="AA131" s="119">
        <v>-2.2000000000000002</v>
      </c>
      <c r="AB131" s="119">
        <v>0</v>
      </c>
      <c r="AC131" s="119">
        <v>3.4</v>
      </c>
      <c r="AD131" s="119">
        <v>2.8</v>
      </c>
      <c r="AE131" s="119">
        <v>2.8</v>
      </c>
      <c r="AF131" s="119">
        <v>7.5</v>
      </c>
      <c r="AG131" s="128"/>
      <c r="AH131" s="48">
        <f>MAX(B131:AF131)</f>
        <v>16.5</v>
      </c>
      <c r="AI131" s="49">
        <f>MIN(B131:AF131)</f>
        <v>-13</v>
      </c>
    </row>
    <row r="132" spans="1:37" x14ac:dyDescent="0.25">
      <c r="A132" s="129" t="s">
        <v>152</v>
      </c>
      <c r="B132" s="119">
        <v>72</v>
      </c>
      <c r="C132" s="119">
        <v>70</v>
      </c>
      <c r="D132" s="119">
        <v>70</v>
      </c>
      <c r="E132" s="119">
        <v>64</v>
      </c>
      <c r="F132" s="119">
        <v>55</v>
      </c>
      <c r="G132" s="119">
        <v>50</v>
      </c>
      <c r="H132" s="119">
        <v>40</v>
      </c>
      <c r="I132" s="119">
        <v>36</v>
      </c>
      <c r="J132" s="119">
        <v>56</v>
      </c>
      <c r="K132" s="119">
        <v>48</v>
      </c>
      <c r="L132" s="119">
        <v>66</v>
      </c>
      <c r="M132" s="119">
        <v>62.3</v>
      </c>
      <c r="N132" s="119">
        <v>62.3</v>
      </c>
      <c r="O132" s="119">
        <v>71</v>
      </c>
      <c r="P132" s="119">
        <v>28</v>
      </c>
      <c r="Q132" s="119">
        <v>50</v>
      </c>
      <c r="R132" s="119">
        <v>50</v>
      </c>
      <c r="S132" s="119">
        <v>71.7</v>
      </c>
      <c r="T132" s="119">
        <v>54.1</v>
      </c>
      <c r="U132" s="119">
        <v>52.4</v>
      </c>
      <c r="V132" s="119">
        <v>60.6</v>
      </c>
      <c r="W132" s="119">
        <v>55.3</v>
      </c>
      <c r="X132" s="119">
        <v>40.4</v>
      </c>
      <c r="Y132" s="119">
        <v>43.8</v>
      </c>
      <c r="Z132" s="119">
        <v>61.9</v>
      </c>
      <c r="AA132" s="119">
        <v>61.6</v>
      </c>
      <c r="AB132" s="119">
        <v>69.7</v>
      </c>
      <c r="AC132" s="119">
        <v>72.400000000000006</v>
      </c>
      <c r="AD132" s="119">
        <v>72.3</v>
      </c>
      <c r="AE132" s="119">
        <v>72.3</v>
      </c>
      <c r="AF132" s="119">
        <v>66</v>
      </c>
      <c r="AG132" s="128"/>
      <c r="AH132" s="48">
        <f>MAX(B132:AF132)</f>
        <v>72.400000000000006</v>
      </c>
      <c r="AI132" s="49">
        <f>MIN(B132:AF132)</f>
        <v>28</v>
      </c>
    </row>
    <row r="133" spans="1:37" ht="15.75" thickBot="1" x14ac:dyDescent="0.3">
      <c r="A133" s="129" t="s">
        <v>153</v>
      </c>
      <c r="B133" s="119">
        <v>83</v>
      </c>
      <c r="C133" s="119">
        <v>82</v>
      </c>
      <c r="D133" s="119">
        <v>82</v>
      </c>
      <c r="E133" s="119">
        <v>78</v>
      </c>
      <c r="F133" s="119">
        <v>69</v>
      </c>
      <c r="G133" s="119">
        <v>66.099999999999994</v>
      </c>
      <c r="H133" s="119">
        <v>60</v>
      </c>
      <c r="I133" s="119">
        <v>56</v>
      </c>
      <c r="J133" s="119">
        <v>70</v>
      </c>
      <c r="K133" s="119">
        <v>63</v>
      </c>
      <c r="L133" s="119">
        <v>84</v>
      </c>
      <c r="M133" s="119">
        <v>80</v>
      </c>
      <c r="N133" s="119">
        <v>80</v>
      </c>
      <c r="O133" s="119">
        <v>80</v>
      </c>
      <c r="P133" s="119">
        <v>2.5</v>
      </c>
      <c r="Q133" s="119">
        <v>66.5</v>
      </c>
      <c r="R133" s="119">
        <v>66.5</v>
      </c>
      <c r="S133" s="119">
        <v>77.900000000000006</v>
      </c>
      <c r="T133" s="119">
        <v>70.599999999999994</v>
      </c>
      <c r="U133" s="119">
        <v>62.6</v>
      </c>
      <c r="V133" s="119">
        <v>76.8</v>
      </c>
      <c r="W133" s="119">
        <v>69.400000000000006</v>
      </c>
      <c r="X133" s="119">
        <v>46.1</v>
      </c>
      <c r="Y133" s="119">
        <v>47.9</v>
      </c>
      <c r="Z133" s="119">
        <v>62.3</v>
      </c>
      <c r="AA133" s="119">
        <v>77.7</v>
      </c>
      <c r="AB133" s="119">
        <v>84.2</v>
      </c>
      <c r="AC133" s="119">
        <v>83.9</v>
      </c>
      <c r="AD133" s="119">
        <v>83.7</v>
      </c>
      <c r="AE133" s="119">
        <v>83.7</v>
      </c>
      <c r="AF133" s="119">
        <v>76</v>
      </c>
      <c r="AG133" s="128"/>
      <c r="AH133" s="48">
        <f>MAX(B133:AF133)</f>
        <v>84.2</v>
      </c>
      <c r="AI133" s="49">
        <f>MIN(B133:AF133)</f>
        <v>2.5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 t="s">
        <v>323</v>
      </c>
      <c r="C135" s="137">
        <v>1986.37</v>
      </c>
      <c r="D135" s="137">
        <v>1986.39</v>
      </c>
      <c r="E135" s="137">
        <v>1986.4</v>
      </c>
      <c r="F135" s="137">
        <v>1986.4</v>
      </c>
      <c r="G135" s="137">
        <v>1986.35</v>
      </c>
      <c r="H135" s="137"/>
      <c r="I135" s="137">
        <v>1986.35</v>
      </c>
      <c r="J135" s="137"/>
      <c r="K135" s="137">
        <v>1986.45</v>
      </c>
      <c r="L135" s="137"/>
      <c r="M135" s="137">
        <v>1986.32</v>
      </c>
      <c r="N135" s="137"/>
      <c r="O135" s="137"/>
      <c r="P135" s="137"/>
      <c r="Q135" s="137">
        <v>1985.8</v>
      </c>
      <c r="R135" s="137"/>
      <c r="S135" s="137">
        <v>1985.7</v>
      </c>
      <c r="T135" s="137">
        <v>1985.72</v>
      </c>
      <c r="U135" s="137">
        <v>1985.9</v>
      </c>
      <c r="V135" s="137">
        <v>1985.98</v>
      </c>
      <c r="W135" s="137"/>
      <c r="X135" s="137">
        <v>1986.4</v>
      </c>
      <c r="Y135" s="137"/>
      <c r="Z135" s="137">
        <v>1986.7</v>
      </c>
      <c r="AA135" s="137"/>
      <c r="AB135" s="137">
        <v>1986.62</v>
      </c>
      <c r="AC135" s="137"/>
      <c r="AD135" s="137">
        <v>1986.6</v>
      </c>
      <c r="AE135" s="137"/>
      <c r="AF135" s="138">
        <v>1986.56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>
        <v>625</v>
      </c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886</v>
      </c>
      <c r="F139" s="140"/>
      <c r="G139" s="140"/>
      <c r="H139" s="140"/>
      <c r="I139" s="140">
        <v>887</v>
      </c>
      <c r="J139" s="140"/>
      <c r="K139" s="140">
        <v>887.2</v>
      </c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>
        <v>882.8</v>
      </c>
      <c r="AC139" s="140"/>
      <c r="AD139" s="140">
        <v>883.2</v>
      </c>
      <c r="AE139" s="140"/>
      <c r="AF139" s="141">
        <v>883.6</v>
      </c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1486.32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>
        <v>1486.35</v>
      </c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57">SUM(B142:B246)</f>
        <v>0</v>
      </c>
      <c r="C247" s="161">
        <f t="shared" si="157"/>
        <v>0</v>
      </c>
      <c r="D247" s="161">
        <f t="shared" si="157"/>
        <v>0</v>
      </c>
      <c r="E247" s="161">
        <f t="shared" si="157"/>
        <v>0</v>
      </c>
      <c r="F247" s="161">
        <f t="shared" si="157"/>
        <v>0</v>
      </c>
      <c r="G247" s="161">
        <f t="shared" si="157"/>
        <v>0</v>
      </c>
      <c r="H247" s="161">
        <f t="shared" si="157"/>
        <v>0</v>
      </c>
      <c r="I247" s="161">
        <f t="shared" si="157"/>
        <v>0</v>
      </c>
      <c r="J247" s="161">
        <f t="shared" si="157"/>
        <v>0</v>
      </c>
      <c r="K247" s="161">
        <f t="shared" si="157"/>
        <v>0</v>
      </c>
      <c r="L247" s="161">
        <f t="shared" si="157"/>
        <v>0</v>
      </c>
      <c r="M247" s="161">
        <f t="shared" si="157"/>
        <v>0</v>
      </c>
      <c r="N247" s="161">
        <f t="shared" si="157"/>
        <v>0</v>
      </c>
      <c r="O247" s="161">
        <f t="shared" si="157"/>
        <v>0</v>
      </c>
      <c r="P247" s="161">
        <f t="shared" si="157"/>
        <v>0</v>
      </c>
      <c r="Q247" s="161">
        <f t="shared" si="157"/>
        <v>0</v>
      </c>
      <c r="R247" s="161">
        <f t="shared" si="157"/>
        <v>0</v>
      </c>
      <c r="S247" s="161">
        <f t="shared" si="157"/>
        <v>0</v>
      </c>
      <c r="T247" s="161">
        <f t="shared" si="157"/>
        <v>0</v>
      </c>
      <c r="U247" s="161">
        <f t="shared" si="157"/>
        <v>0</v>
      </c>
      <c r="V247" s="161">
        <f t="shared" si="157"/>
        <v>0</v>
      </c>
      <c r="W247" s="161">
        <f t="shared" si="157"/>
        <v>0</v>
      </c>
      <c r="X247" s="161">
        <f t="shared" si="157"/>
        <v>0</v>
      </c>
      <c r="Y247" s="161">
        <f t="shared" si="157"/>
        <v>0</v>
      </c>
      <c r="Z247" s="161">
        <f t="shared" si="157"/>
        <v>0</v>
      </c>
      <c r="AA247" s="161">
        <f t="shared" si="157"/>
        <v>0</v>
      </c>
      <c r="AB247" s="161">
        <f t="shared" si="157"/>
        <v>0</v>
      </c>
      <c r="AC247" s="161">
        <f t="shared" si="157"/>
        <v>0</v>
      </c>
      <c r="AD247" s="161">
        <f t="shared" si="157"/>
        <v>0</v>
      </c>
      <c r="AE247" s="161">
        <f t="shared" si="157"/>
        <v>0</v>
      </c>
      <c r="AF247" s="162">
        <f t="shared" si="157"/>
        <v>0</v>
      </c>
      <c r="AG247" s="163">
        <f t="shared" si="157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58">AF249</f>
        <v>0.3</v>
      </c>
      <c r="C249" s="166">
        <v>0.3</v>
      </c>
      <c r="D249" s="166">
        <f t="shared" ref="D249:S254" si="159">C249</f>
        <v>0.3</v>
      </c>
      <c r="E249" s="166">
        <f t="shared" si="159"/>
        <v>0.3</v>
      </c>
      <c r="F249" s="166">
        <f t="shared" si="159"/>
        <v>0.3</v>
      </c>
      <c r="G249" s="166">
        <f t="shared" si="159"/>
        <v>0.3</v>
      </c>
      <c r="H249" s="166">
        <f t="shared" si="159"/>
        <v>0.3</v>
      </c>
      <c r="I249" s="166">
        <f t="shared" si="159"/>
        <v>0.3</v>
      </c>
      <c r="J249" s="166">
        <f t="shared" si="159"/>
        <v>0.3</v>
      </c>
      <c r="K249" s="166">
        <f t="shared" si="159"/>
        <v>0.3</v>
      </c>
      <c r="L249" s="166">
        <f t="shared" si="159"/>
        <v>0.3</v>
      </c>
      <c r="M249" s="166">
        <f t="shared" si="159"/>
        <v>0.3</v>
      </c>
      <c r="N249" s="166">
        <f t="shared" si="159"/>
        <v>0.3</v>
      </c>
      <c r="O249" s="166">
        <f t="shared" si="159"/>
        <v>0.3</v>
      </c>
      <c r="P249" s="166">
        <f t="shared" si="159"/>
        <v>0.3</v>
      </c>
      <c r="Q249" s="166">
        <f t="shared" si="159"/>
        <v>0.3</v>
      </c>
      <c r="R249" s="166">
        <f t="shared" si="159"/>
        <v>0.3</v>
      </c>
      <c r="S249" s="166">
        <f t="shared" si="159"/>
        <v>0.3</v>
      </c>
      <c r="T249" s="166">
        <f t="shared" ref="T249:AF254" si="160">S249</f>
        <v>0.3</v>
      </c>
      <c r="U249" s="166">
        <f t="shared" si="160"/>
        <v>0.3</v>
      </c>
      <c r="V249" s="166">
        <f t="shared" si="160"/>
        <v>0.3</v>
      </c>
      <c r="W249" s="166">
        <f t="shared" si="160"/>
        <v>0.3</v>
      </c>
      <c r="X249" s="166">
        <f t="shared" si="160"/>
        <v>0.3</v>
      </c>
      <c r="Y249" s="166">
        <f t="shared" si="160"/>
        <v>0.3</v>
      </c>
      <c r="Z249" s="166">
        <f t="shared" si="160"/>
        <v>0.3</v>
      </c>
      <c r="AA249" s="166">
        <f t="shared" si="160"/>
        <v>0.3</v>
      </c>
      <c r="AB249" s="166">
        <f t="shared" si="160"/>
        <v>0.3</v>
      </c>
      <c r="AC249" s="166">
        <f t="shared" si="160"/>
        <v>0.3</v>
      </c>
      <c r="AD249" s="166">
        <f t="shared" si="160"/>
        <v>0.3</v>
      </c>
      <c r="AE249" s="166">
        <f t="shared" si="160"/>
        <v>0.3</v>
      </c>
      <c r="AF249" s="166">
        <f t="shared" si="160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58"/>
        <v>0.4</v>
      </c>
      <c r="C250" s="152">
        <v>0.4</v>
      </c>
      <c r="D250" s="152">
        <f t="shared" si="159"/>
        <v>0.4</v>
      </c>
      <c r="E250" s="152">
        <f t="shared" si="159"/>
        <v>0.4</v>
      </c>
      <c r="F250" s="152">
        <f t="shared" si="159"/>
        <v>0.4</v>
      </c>
      <c r="G250" s="152">
        <f t="shared" si="159"/>
        <v>0.4</v>
      </c>
      <c r="H250" s="152">
        <f t="shared" si="159"/>
        <v>0.4</v>
      </c>
      <c r="I250" s="152">
        <f t="shared" si="159"/>
        <v>0.4</v>
      </c>
      <c r="J250" s="152">
        <f t="shared" si="159"/>
        <v>0.4</v>
      </c>
      <c r="K250" s="152">
        <f t="shared" si="159"/>
        <v>0.4</v>
      </c>
      <c r="L250" s="152">
        <f t="shared" si="159"/>
        <v>0.4</v>
      </c>
      <c r="M250" s="152">
        <f t="shared" si="159"/>
        <v>0.4</v>
      </c>
      <c r="N250" s="152">
        <f t="shared" si="159"/>
        <v>0.4</v>
      </c>
      <c r="O250" s="152">
        <f t="shared" si="159"/>
        <v>0.4</v>
      </c>
      <c r="P250" s="152">
        <f t="shared" si="159"/>
        <v>0.4</v>
      </c>
      <c r="Q250" s="152">
        <f t="shared" si="159"/>
        <v>0.4</v>
      </c>
      <c r="R250" s="152">
        <f t="shared" si="159"/>
        <v>0.4</v>
      </c>
      <c r="S250" s="152">
        <f t="shared" si="159"/>
        <v>0.4</v>
      </c>
      <c r="T250" s="152">
        <f t="shared" si="160"/>
        <v>0.4</v>
      </c>
      <c r="U250" s="152">
        <f t="shared" si="160"/>
        <v>0.4</v>
      </c>
      <c r="V250" s="152">
        <f t="shared" si="160"/>
        <v>0.4</v>
      </c>
      <c r="W250" s="152">
        <f t="shared" si="160"/>
        <v>0.4</v>
      </c>
      <c r="X250" s="152">
        <f t="shared" si="160"/>
        <v>0.4</v>
      </c>
      <c r="Y250" s="152">
        <f t="shared" si="160"/>
        <v>0.4</v>
      </c>
      <c r="Z250" s="152">
        <f t="shared" si="160"/>
        <v>0.4</v>
      </c>
      <c r="AA250" s="152">
        <f t="shared" si="160"/>
        <v>0.4</v>
      </c>
      <c r="AB250" s="152">
        <f t="shared" si="160"/>
        <v>0.4</v>
      </c>
      <c r="AC250" s="152">
        <f t="shared" si="160"/>
        <v>0.4</v>
      </c>
      <c r="AD250" s="152">
        <f t="shared" si="160"/>
        <v>0.4</v>
      </c>
      <c r="AE250" s="152">
        <f t="shared" si="160"/>
        <v>0.4</v>
      </c>
      <c r="AF250" s="152">
        <f t="shared" si="160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58"/>
        <v>1.5</v>
      </c>
      <c r="C251" s="152">
        <v>1.5</v>
      </c>
      <c r="D251" s="152">
        <f t="shared" si="159"/>
        <v>1.5</v>
      </c>
      <c r="E251" s="152">
        <f t="shared" si="159"/>
        <v>1.5</v>
      </c>
      <c r="F251" s="152">
        <f t="shared" si="159"/>
        <v>1.5</v>
      </c>
      <c r="G251" s="152">
        <f t="shared" si="159"/>
        <v>1.5</v>
      </c>
      <c r="H251" s="152">
        <f t="shared" si="159"/>
        <v>1.5</v>
      </c>
      <c r="I251" s="152">
        <f t="shared" si="159"/>
        <v>1.5</v>
      </c>
      <c r="J251" s="152">
        <f t="shared" si="159"/>
        <v>1.5</v>
      </c>
      <c r="K251" s="152">
        <f t="shared" si="159"/>
        <v>1.5</v>
      </c>
      <c r="L251" s="152">
        <f t="shared" si="159"/>
        <v>1.5</v>
      </c>
      <c r="M251" s="152">
        <f t="shared" si="159"/>
        <v>1.5</v>
      </c>
      <c r="N251" s="152">
        <f t="shared" si="159"/>
        <v>1.5</v>
      </c>
      <c r="O251" s="152">
        <f t="shared" si="159"/>
        <v>1.5</v>
      </c>
      <c r="P251" s="152">
        <f t="shared" si="159"/>
        <v>1.5</v>
      </c>
      <c r="Q251" s="152">
        <f t="shared" si="159"/>
        <v>1.5</v>
      </c>
      <c r="R251" s="152">
        <f t="shared" si="159"/>
        <v>1.5</v>
      </c>
      <c r="S251" s="152">
        <f t="shared" si="159"/>
        <v>1.5</v>
      </c>
      <c r="T251" s="152">
        <f t="shared" si="160"/>
        <v>1.5</v>
      </c>
      <c r="U251" s="152">
        <f t="shared" si="160"/>
        <v>1.5</v>
      </c>
      <c r="V251" s="152">
        <f t="shared" si="160"/>
        <v>1.5</v>
      </c>
      <c r="W251" s="152">
        <f t="shared" si="160"/>
        <v>1.5</v>
      </c>
      <c r="X251" s="152">
        <f t="shared" si="160"/>
        <v>1.5</v>
      </c>
      <c r="Y251" s="152">
        <f t="shared" si="160"/>
        <v>1.5</v>
      </c>
      <c r="Z251" s="152">
        <f t="shared" si="160"/>
        <v>1.5</v>
      </c>
      <c r="AA251" s="152">
        <f t="shared" si="160"/>
        <v>1.5</v>
      </c>
      <c r="AB251" s="152">
        <f t="shared" si="160"/>
        <v>1.5</v>
      </c>
      <c r="AC251" s="152">
        <f t="shared" si="160"/>
        <v>1.5</v>
      </c>
      <c r="AD251" s="152">
        <f t="shared" si="160"/>
        <v>1.5</v>
      </c>
      <c r="AE251" s="152">
        <f t="shared" si="160"/>
        <v>1.5</v>
      </c>
      <c r="AF251" s="152">
        <f t="shared" si="160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58"/>
        <v>0.3</v>
      </c>
      <c r="C252" s="152">
        <v>0.3</v>
      </c>
      <c r="D252" s="152">
        <f t="shared" si="159"/>
        <v>0.3</v>
      </c>
      <c r="E252" s="152">
        <f t="shared" si="159"/>
        <v>0.3</v>
      </c>
      <c r="F252" s="152">
        <f t="shared" si="159"/>
        <v>0.3</v>
      </c>
      <c r="G252" s="152">
        <f t="shared" si="159"/>
        <v>0.3</v>
      </c>
      <c r="H252" s="152">
        <f t="shared" si="159"/>
        <v>0.3</v>
      </c>
      <c r="I252" s="152">
        <f t="shared" si="159"/>
        <v>0.3</v>
      </c>
      <c r="J252" s="152">
        <f t="shared" si="159"/>
        <v>0.3</v>
      </c>
      <c r="K252" s="152">
        <f t="shared" si="159"/>
        <v>0.3</v>
      </c>
      <c r="L252" s="152">
        <f t="shared" si="159"/>
        <v>0.3</v>
      </c>
      <c r="M252" s="152">
        <f t="shared" si="159"/>
        <v>0.3</v>
      </c>
      <c r="N252" s="152">
        <f t="shared" si="159"/>
        <v>0.3</v>
      </c>
      <c r="O252" s="152">
        <f t="shared" si="159"/>
        <v>0.3</v>
      </c>
      <c r="P252" s="152">
        <f t="shared" si="159"/>
        <v>0.3</v>
      </c>
      <c r="Q252" s="152">
        <f t="shared" si="159"/>
        <v>0.3</v>
      </c>
      <c r="R252" s="152">
        <f t="shared" si="159"/>
        <v>0.3</v>
      </c>
      <c r="S252" s="152">
        <f t="shared" si="159"/>
        <v>0.3</v>
      </c>
      <c r="T252" s="152">
        <f t="shared" si="160"/>
        <v>0.3</v>
      </c>
      <c r="U252" s="152">
        <f t="shared" si="160"/>
        <v>0.3</v>
      </c>
      <c r="V252" s="152">
        <f t="shared" si="160"/>
        <v>0.3</v>
      </c>
      <c r="W252" s="152">
        <f t="shared" si="160"/>
        <v>0.3</v>
      </c>
      <c r="X252" s="152">
        <f t="shared" si="160"/>
        <v>0.3</v>
      </c>
      <c r="Y252" s="152">
        <f t="shared" si="160"/>
        <v>0.3</v>
      </c>
      <c r="Z252" s="152">
        <f t="shared" si="160"/>
        <v>0.3</v>
      </c>
      <c r="AA252" s="152">
        <f t="shared" si="160"/>
        <v>0.3</v>
      </c>
      <c r="AB252" s="152">
        <f t="shared" si="160"/>
        <v>0.3</v>
      </c>
      <c r="AC252" s="152">
        <f t="shared" si="160"/>
        <v>0.3</v>
      </c>
      <c r="AD252" s="152">
        <f t="shared" si="160"/>
        <v>0.3</v>
      </c>
      <c r="AE252" s="152">
        <f t="shared" si="160"/>
        <v>0.3</v>
      </c>
      <c r="AF252" s="152">
        <f t="shared" si="160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58"/>
        <v>0.4</v>
      </c>
      <c r="C253" s="152">
        <v>0.4</v>
      </c>
      <c r="D253" s="152">
        <f t="shared" si="159"/>
        <v>0.4</v>
      </c>
      <c r="E253" s="152">
        <f t="shared" si="159"/>
        <v>0.4</v>
      </c>
      <c r="F253" s="152">
        <f t="shared" si="159"/>
        <v>0.4</v>
      </c>
      <c r="G253" s="152">
        <f t="shared" si="159"/>
        <v>0.4</v>
      </c>
      <c r="H253" s="152">
        <f t="shared" si="159"/>
        <v>0.4</v>
      </c>
      <c r="I253" s="152">
        <f t="shared" si="159"/>
        <v>0.4</v>
      </c>
      <c r="J253" s="152">
        <f t="shared" si="159"/>
        <v>0.4</v>
      </c>
      <c r="K253" s="152">
        <f t="shared" si="159"/>
        <v>0.4</v>
      </c>
      <c r="L253" s="152">
        <f t="shared" si="159"/>
        <v>0.4</v>
      </c>
      <c r="M253" s="152">
        <f t="shared" si="159"/>
        <v>0.4</v>
      </c>
      <c r="N253" s="152">
        <f t="shared" si="159"/>
        <v>0.4</v>
      </c>
      <c r="O253" s="152">
        <f t="shared" si="159"/>
        <v>0.4</v>
      </c>
      <c r="P253" s="152">
        <f t="shared" si="159"/>
        <v>0.4</v>
      </c>
      <c r="Q253" s="152">
        <f t="shared" si="159"/>
        <v>0.4</v>
      </c>
      <c r="R253" s="152">
        <f t="shared" si="159"/>
        <v>0.4</v>
      </c>
      <c r="S253" s="152">
        <f t="shared" si="159"/>
        <v>0.4</v>
      </c>
      <c r="T253" s="152">
        <f t="shared" si="160"/>
        <v>0.4</v>
      </c>
      <c r="U253" s="152">
        <f t="shared" si="160"/>
        <v>0.4</v>
      </c>
      <c r="V253" s="152">
        <f t="shared" si="160"/>
        <v>0.4</v>
      </c>
      <c r="W253" s="152">
        <f t="shared" si="160"/>
        <v>0.4</v>
      </c>
      <c r="X253" s="152">
        <f t="shared" si="160"/>
        <v>0.4</v>
      </c>
      <c r="Y253" s="152">
        <f t="shared" si="160"/>
        <v>0.4</v>
      </c>
      <c r="Z253" s="152">
        <f t="shared" si="160"/>
        <v>0.4</v>
      </c>
      <c r="AA253" s="152">
        <f t="shared" si="160"/>
        <v>0.4</v>
      </c>
      <c r="AB253" s="152">
        <f t="shared" si="160"/>
        <v>0.4</v>
      </c>
      <c r="AC253" s="152">
        <f t="shared" si="160"/>
        <v>0.4</v>
      </c>
      <c r="AD253" s="152">
        <f t="shared" si="160"/>
        <v>0.4</v>
      </c>
      <c r="AE253" s="152">
        <f t="shared" si="160"/>
        <v>0.4</v>
      </c>
      <c r="AF253" s="152">
        <f t="shared" si="160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58"/>
        <v>0.64</v>
      </c>
      <c r="C254" s="157">
        <v>0.64</v>
      </c>
      <c r="D254" s="157">
        <f t="shared" si="159"/>
        <v>0.64</v>
      </c>
      <c r="E254" s="157">
        <f t="shared" si="159"/>
        <v>0.64</v>
      </c>
      <c r="F254" s="157">
        <f t="shared" si="159"/>
        <v>0.64</v>
      </c>
      <c r="G254" s="157">
        <f t="shared" si="159"/>
        <v>0.64</v>
      </c>
      <c r="H254" s="157">
        <f t="shared" si="159"/>
        <v>0.64</v>
      </c>
      <c r="I254" s="157">
        <f t="shared" si="159"/>
        <v>0.64</v>
      </c>
      <c r="J254" s="157">
        <f t="shared" si="159"/>
        <v>0.64</v>
      </c>
      <c r="K254" s="157">
        <f t="shared" si="159"/>
        <v>0.64</v>
      </c>
      <c r="L254" s="157">
        <f t="shared" si="159"/>
        <v>0.64</v>
      </c>
      <c r="M254" s="157">
        <f t="shared" si="159"/>
        <v>0.64</v>
      </c>
      <c r="N254" s="157">
        <f t="shared" si="159"/>
        <v>0.64</v>
      </c>
      <c r="O254" s="157">
        <f t="shared" si="159"/>
        <v>0.64</v>
      </c>
      <c r="P254" s="157">
        <f t="shared" si="159"/>
        <v>0.64</v>
      </c>
      <c r="Q254" s="157">
        <f t="shared" si="159"/>
        <v>0.64</v>
      </c>
      <c r="R254" s="157">
        <f t="shared" si="159"/>
        <v>0.64</v>
      </c>
      <c r="S254" s="157">
        <f t="shared" si="159"/>
        <v>0.64</v>
      </c>
      <c r="T254" s="157">
        <f t="shared" si="160"/>
        <v>0.64</v>
      </c>
      <c r="U254" s="157">
        <f t="shared" si="160"/>
        <v>0.64</v>
      </c>
      <c r="V254" s="157">
        <f t="shared" si="160"/>
        <v>0.64</v>
      </c>
      <c r="W254" s="157">
        <f t="shared" si="160"/>
        <v>0.64</v>
      </c>
      <c r="X254" s="157">
        <f t="shared" si="160"/>
        <v>0.64</v>
      </c>
      <c r="Y254" s="157">
        <f t="shared" si="160"/>
        <v>0.64</v>
      </c>
      <c r="Z254" s="157">
        <f t="shared" si="160"/>
        <v>0.64</v>
      </c>
      <c r="AA254" s="157">
        <f t="shared" si="160"/>
        <v>0.64</v>
      </c>
      <c r="AB254" s="157">
        <f t="shared" si="160"/>
        <v>0.64</v>
      </c>
      <c r="AC254" s="157">
        <f t="shared" si="160"/>
        <v>0.64</v>
      </c>
      <c r="AD254" s="157">
        <f t="shared" si="160"/>
        <v>0.64</v>
      </c>
      <c r="AE254" s="157">
        <f t="shared" si="160"/>
        <v>0.64</v>
      </c>
      <c r="AF254" s="157">
        <f t="shared" si="160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61">SUM(B249:B254)</f>
        <v>3.54</v>
      </c>
      <c r="C255" s="161">
        <f t="shared" si="161"/>
        <v>3.54</v>
      </c>
      <c r="D255" s="161">
        <f t="shared" si="161"/>
        <v>3.54</v>
      </c>
      <c r="E255" s="161">
        <f t="shared" si="161"/>
        <v>3.54</v>
      </c>
      <c r="F255" s="161">
        <f t="shared" si="161"/>
        <v>3.54</v>
      </c>
      <c r="G255" s="161">
        <f t="shared" si="161"/>
        <v>3.54</v>
      </c>
      <c r="H255" s="161">
        <f t="shared" si="161"/>
        <v>3.54</v>
      </c>
      <c r="I255" s="161">
        <f t="shared" si="161"/>
        <v>3.54</v>
      </c>
      <c r="J255" s="161">
        <f t="shared" si="161"/>
        <v>3.54</v>
      </c>
      <c r="K255" s="161">
        <f t="shared" si="161"/>
        <v>3.54</v>
      </c>
      <c r="L255" s="161">
        <f t="shared" si="161"/>
        <v>3.54</v>
      </c>
      <c r="M255" s="161">
        <f t="shared" si="161"/>
        <v>3.54</v>
      </c>
      <c r="N255" s="161">
        <f t="shared" si="161"/>
        <v>3.54</v>
      </c>
      <c r="O255" s="161">
        <f t="shared" si="161"/>
        <v>3.54</v>
      </c>
      <c r="P255" s="161">
        <f t="shared" si="161"/>
        <v>3.54</v>
      </c>
      <c r="Q255" s="161">
        <f t="shared" si="161"/>
        <v>3.54</v>
      </c>
      <c r="R255" s="161">
        <f t="shared" si="161"/>
        <v>3.54</v>
      </c>
      <c r="S255" s="161">
        <f t="shared" si="161"/>
        <v>3.54</v>
      </c>
      <c r="T255" s="161">
        <f t="shared" si="161"/>
        <v>3.54</v>
      </c>
      <c r="U255" s="161">
        <f t="shared" si="161"/>
        <v>3.54</v>
      </c>
      <c r="V255" s="161">
        <f t="shared" si="161"/>
        <v>3.54</v>
      </c>
      <c r="W255" s="161">
        <f t="shared" si="161"/>
        <v>3.54</v>
      </c>
      <c r="X255" s="161">
        <f t="shared" si="161"/>
        <v>3.54</v>
      </c>
      <c r="Y255" s="161">
        <f t="shared" si="161"/>
        <v>3.54</v>
      </c>
      <c r="Z255" s="161">
        <f t="shared" si="161"/>
        <v>3.54</v>
      </c>
      <c r="AA255" s="161">
        <f t="shared" si="161"/>
        <v>3.54</v>
      </c>
      <c r="AB255" s="161">
        <f t="shared" si="161"/>
        <v>3.54</v>
      </c>
      <c r="AC255" s="161">
        <f t="shared" si="161"/>
        <v>3.54</v>
      </c>
      <c r="AD255" s="161">
        <f t="shared" si="161"/>
        <v>3.54</v>
      </c>
      <c r="AE255" s="161">
        <f t="shared" si="161"/>
        <v>3.54</v>
      </c>
      <c r="AF255" s="161">
        <f t="shared" si="161"/>
        <v>3.54</v>
      </c>
      <c r="AG255" s="171">
        <f t="shared" si="161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1971.0400000000002</v>
      </c>
      <c r="C259" s="174">
        <f>INDEX(G9:N9,1,MATCH(MAX(G102:N102),G102:N102,0))</f>
        <v>0.375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2080/10/28)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1011" priority="80">
      <formula>$AH11=0</formula>
    </cfRule>
  </conditionalFormatting>
  <conditionalFormatting sqref="A89">
    <cfRule type="expression" dxfId="1010" priority="138">
      <formula>$AH94=0</formula>
    </cfRule>
  </conditionalFormatting>
  <conditionalFormatting sqref="A90:A94">
    <cfRule type="expression" dxfId="1009" priority="81">
      <formula>$AH89=0</formula>
    </cfRule>
  </conditionalFormatting>
  <conditionalFormatting sqref="B8">
    <cfRule type="expression" dxfId="1008" priority="134">
      <formula>AND(C$9&gt;=14/24,C$9&lt;20/24)</formula>
    </cfRule>
    <cfRule type="expression" dxfId="1007" priority="135">
      <formula>AND(C$9&gt;=8/24,C$9&lt;14/24)</formula>
    </cfRule>
    <cfRule type="expression" dxfId="1006" priority="136">
      <formula>C$9&lt;8/24</formula>
    </cfRule>
    <cfRule type="expression" dxfId="1005" priority="137">
      <formula>C$9&gt;=20/24</formula>
    </cfRule>
  </conditionalFormatting>
  <conditionalFormatting sqref="B9:AF57 E62:J64 B62:D77 K63:O64 E66:O77 AA66:AF77 P70:Z77 H72:Q77 B80:AF102 B104:AF120 B122:AF140 B247:AF247 B249:B255">
    <cfRule type="expression" dxfId="1004" priority="41">
      <formula>B$9&gt;=20/24</formula>
    </cfRule>
    <cfRule type="expression" dxfId="1003" priority="42">
      <formula>AND(B$9&gt;=14/24,B$9&lt;20/24)</formula>
    </cfRule>
    <cfRule type="expression" dxfId="1002" priority="43">
      <formula>AND(B$9&gt;=8/24,B$9&lt;14/24)</formula>
    </cfRule>
  </conditionalFormatting>
  <conditionalFormatting sqref="B9:AF60 E62:J64 B62:D77 K63:O64 E66:O77 AA66:AF77 P70:Z77 H72:Q77 B80:AF102 B104:AF120 B122:AF140 B247:AF247 B249:B255">
    <cfRule type="expression" dxfId="1001" priority="44">
      <formula>B$9&lt;8/24</formula>
    </cfRule>
  </conditionalFormatting>
  <conditionalFormatting sqref="B11:AF83 AG61 AG65 AG83">
    <cfRule type="expression" dxfId="1000" priority="40">
      <formula>B11&gt;$AG11</formula>
    </cfRule>
  </conditionalFormatting>
  <conditionalFormatting sqref="B58:AF60">
    <cfRule type="expression" dxfId="999" priority="37">
      <formula>B$9&gt;=20/24</formula>
    </cfRule>
    <cfRule type="expression" dxfId="998" priority="38">
      <formula>AND(B$9&gt;=14/24,B$9&lt;20/24)</formula>
    </cfRule>
    <cfRule type="expression" dxfId="997" priority="39">
      <formula>AND(B$9&gt;=8/24,B$9&lt;14/24)</formula>
    </cfRule>
  </conditionalFormatting>
  <conditionalFormatting sqref="D249:AF255">
    <cfRule type="expression" dxfId="996" priority="119">
      <formula>D$9&gt;=20/24</formula>
    </cfRule>
    <cfRule type="expression" dxfId="995" priority="120">
      <formula>AND(D$9&gt;=14/24,D$9&lt;20/24)</formula>
    </cfRule>
    <cfRule type="expression" dxfId="994" priority="121">
      <formula>AND(D$9&gt;=8/24,D$9&lt;14/24)</formula>
    </cfRule>
    <cfRule type="expression" dxfId="993" priority="122">
      <formula>D$9&lt;8/24</formula>
    </cfRule>
  </conditionalFormatting>
  <conditionalFormatting sqref="E66:O70 P70:Z70">
    <cfRule type="expression" dxfId="992" priority="50">
      <formula>E$9&gt;=20/24</formula>
    </cfRule>
    <cfRule type="expression" dxfId="991" priority="51">
      <formula>AND(E$9&gt;=14/24,E$9&lt;20/24)</formula>
    </cfRule>
    <cfRule type="expression" dxfId="990" priority="52">
      <formula>AND(E$9&gt;=8/24,E$9&lt;14/24)</formula>
    </cfRule>
    <cfRule type="expression" dxfId="989" priority="53">
      <formula>E$9&lt;8/24</formula>
    </cfRule>
  </conditionalFormatting>
  <conditionalFormatting sqref="E71:Z71">
    <cfRule type="expression" dxfId="988" priority="45">
      <formula>E$9&gt;=20/24</formula>
    </cfRule>
    <cfRule type="expression" dxfId="987" priority="46">
      <formula>AND(E$9&gt;=14/24,E$9&lt;20/24)</formula>
    </cfRule>
    <cfRule type="expression" dxfId="986" priority="47">
      <formula>AND(E$9&gt;=8/24,E$9&lt;14/24)</formula>
    </cfRule>
    <cfRule type="expression" dxfId="985" priority="48">
      <formula>E$9&lt;8/24</formula>
    </cfRule>
  </conditionalFormatting>
  <conditionalFormatting sqref="E62:AF65">
    <cfRule type="expression" dxfId="984" priority="60">
      <formula>E$9&gt;=20/24</formula>
    </cfRule>
    <cfRule type="expression" dxfId="983" priority="61">
      <formula>AND(E$9&gt;=14/24,E$9&lt;20/24)</formula>
    </cfRule>
    <cfRule type="expression" dxfId="982" priority="62">
      <formula>AND(E$9&gt;=8/24,E$9&lt;14/24)</formula>
    </cfRule>
    <cfRule type="expression" dxfId="981" priority="63">
      <formula>E$9&lt;8/24</formula>
    </cfRule>
  </conditionalFormatting>
  <conditionalFormatting sqref="F66:O68">
    <cfRule type="expression" dxfId="980" priority="72">
      <formula>F$9&gt;=20/24</formula>
    </cfRule>
    <cfRule type="expression" dxfId="979" priority="73">
      <formula>AND(F$9&gt;=14/24,F$9&lt;20/24)</formula>
    </cfRule>
    <cfRule type="expression" dxfId="978" priority="74">
      <formula>AND(F$9&gt;=8/24,F$9&lt;14/24)</formula>
    </cfRule>
    <cfRule type="expression" dxfId="977" priority="75">
      <formula>F$9&lt;8/24</formula>
    </cfRule>
  </conditionalFormatting>
  <conditionalFormatting sqref="L71:Z71">
    <cfRule type="expression" dxfId="976" priority="68">
      <formula>L$9&gt;=20/24</formula>
    </cfRule>
    <cfRule type="expression" dxfId="975" priority="69">
      <formula>AND(L$9&gt;=14/24,L$9&lt;20/24)</formula>
    </cfRule>
    <cfRule type="expression" dxfId="974" priority="70">
      <formula>AND(L$9&gt;=8/24,L$9&lt;14/24)</formula>
    </cfRule>
    <cfRule type="expression" dxfId="973" priority="71">
      <formula>L$9&lt;8/24</formula>
    </cfRule>
  </conditionalFormatting>
  <conditionalFormatting sqref="M8 S8 AB8">
    <cfRule type="expression" dxfId="972" priority="126">
      <formula>AND(N$9&gt;=14/24,N$9&lt;20/24)</formula>
    </cfRule>
    <cfRule type="expression" dxfId="971" priority="127">
      <formula>AND(N$9&gt;=8/24,N$9&lt;14/24)</formula>
    </cfRule>
    <cfRule type="expression" dxfId="970" priority="128">
      <formula>N$9&lt;8/24</formula>
    </cfRule>
  </conditionalFormatting>
  <conditionalFormatting sqref="M66:Z70">
    <cfRule type="expression" dxfId="969" priority="76">
      <formula>M$9&gt;=20/24</formula>
    </cfRule>
    <cfRule type="expression" dxfId="968" priority="77">
      <formula>AND(M$9&gt;=14/24,M$9&lt;20/24)</formula>
    </cfRule>
    <cfRule type="expression" dxfId="967" priority="78">
      <formula>AND(M$9&gt;=8/24,M$9&lt;14/24)</formula>
    </cfRule>
    <cfRule type="expression" dxfId="966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965" priority="125">
      <formula>N$9&gt;=20/24</formula>
    </cfRule>
  </conditionalFormatting>
  <conditionalFormatting sqref="S8">
    <cfRule type="expression" dxfId="964" priority="112">
      <formula>U$9&gt;=20/24</formula>
    </cfRule>
    <cfRule type="expression" dxfId="963" priority="113">
      <formula>AND(U$9&gt;=14/24,U$9&lt;20/24)</formula>
    </cfRule>
    <cfRule type="expression" dxfId="962" priority="114">
      <formula>AND(U$9&gt;=8/24,U$9&lt;14/24)</formula>
    </cfRule>
    <cfRule type="expression" dxfId="961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960" priority="108">
      <formula>AD$9&gt;=20/24</formula>
    </cfRule>
    <cfRule type="expression" dxfId="959" priority="109">
      <formula>AND(AD$9&gt;=14/24,AD$9&lt;20/24)</formula>
    </cfRule>
    <cfRule type="expression" dxfId="958" priority="110">
      <formula>AND(AD$9&gt;=8/24,AD$9&lt;14/24)</formula>
    </cfRule>
    <cfRule type="expression" dxfId="957" priority="111">
      <formula>AD$9&lt;8/24</formula>
    </cfRule>
  </conditionalFormatting>
  <conditionalFormatting sqref="AG65">
    <cfRule type="expression" dxfId="956" priority="87">
      <formula>AG$9&gt;=20/24</formula>
    </cfRule>
    <cfRule type="expression" dxfId="955" priority="88">
      <formula>AND(AG$9&gt;=14/24,AG$9&lt;20/24)</formula>
    </cfRule>
    <cfRule type="expression" dxfId="954" priority="89">
      <formula>AND(AG$9&gt;=8/24,AG$9&lt;14/24)</formula>
    </cfRule>
    <cfRule type="expression" dxfId="953" priority="90">
      <formula>AG$9&lt;8/24</formula>
    </cfRule>
  </conditionalFormatting>
  <conditionalFormatting sqref="AG78:AG79">
    <cfRule type="expression" dxfId="952" priority="82">
      <formula>AG78&gt;$AG78</formula>
    </cfRule>
  </conditionalFormatting>
  <conditionalFormatting sqref="AG83">
    <cfRule type="expression" dxfId="951" priority="83">
      <formula>AG$9&gt;=20/24</formula>
    </cfRule>
    <cfRule type="expression" dxfId="950" priority="84">
      <formula>AND(AG$9&gt;=14/24,AG$9&lt;20/24)</formula>
    </cfRule>
    <cfRule type="expression" dxfId="949" priority="85">
      <formula>AND(AG$9&gt;=8/24,AG$9&lt;14/24)</formula>
    </cfRule>
    <cfRule type="expression" dxfId="948" priority="86">
      <formula>AG$9&lt;8/24</formula>
    </cfRule>
  </conditionalFormatting>
  <conditionalFormatting sqref="AG100">
    <cfRule type="expression" dxfId="947" priority="104">
      <formula>AG$9&gt;=20/24</formula>
    </cfRule>
    <cfRule type="expression" dxfId="946" priority="105">
      <formula>AND(AG$9&gt;=14/24,AG$9&lt;20/24)</formula>
    </cfRule>
    <cfRule type="expression" dxfId="945" priority="106">
      <formula>AND(AG$9&gt;=8/24,AG$9&lt;14/24)</formula>
    </cfRule>
    <cfRule type="expression" dxfId="94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943" priority="129">
      <formula>AJ$9&gt;=20/24</formula>
    </cfRule>
    <cfRule type="expression" dxfId="942" priority="130">
      <formula>AND(AJ$9&gt;=14/24,AJ$9&lt;20/24)</formula>
    </cfRule>
    <cfRule type="expression" dxfId="941" priority="131">
      <formula>AND(AJ$9&gt;=8/24,AJ$9&lt;14/24)</formula>
    </cfRule>
    <cfRule type="expression" dxfId="940" priority="132">
      <formula>AJ$9&lt;8/24</formula>
    </cfRule>
  </conditionalFormatting>
  <conditionalFormatting sqref="AL86:AN86 AL92:AN92">
    <cfRule type="expression" dxfId="939" priority="97">
      <formula>AL$9&gt;=20/24</formula>
    </cfRule>
    <cfRule type="expression" dxfId="938" priority="98">
      <formula>AND(AL$9&gt;=14/24,AL$9&lt;20/24)</formula>
    </cfRule>
    <cfRule type="expression" dxfId="937" priority="99">
      <formula>AND(AL$9&gt;=8/24,AL$9&lt;14/24)</formula>
    </cfRule>
    <cfRule type="expression" dxfId="936" priority="100">
      <formula>AL$9&lt;8/24</formula>
    </cfRule>
  </conditionalFormatting>
  <conditionalFormatting sqref="AM15:AM21 AN16:AR21">
    <cfRule type="expression" dxfId="935" priority="13">
      <formula>AX$9&gt;=20/24</formula>
    </cfRule>
    <cfRule type="expression" dxfId="934" priority="14">
      <formula>AND(AX$9&gt;=14/24,AX$9&lt;20/24)</formula>
    </cfRule>
    <cfRule type="expression" dxfId="933" priority="15">
      <formula>AND(AX$9&gt;=8/24,AX$9&lt;14/24)</formula>
    </cfRule>
    <cfRule type="expression" dxfId="932" priority="16">
      <formula>AX$9&lt;8/24</formula>
    </cfRule>
  </conditionalFormatting>
  <conditionalFormatting sqref="AN87:AN90">
    <cfRule type="expression" dxfId="931" priority="93">
      <formula>AN$9&gt;=20/24</formula>
    </cfRule>
    <cfRule type="expression" dxfId="930" priority="94">
      <formula>AND(AN$9&gt;=14/24,AN$9&lt;20/24)</formula>
    </cfRule>
    <cfRule type="expression" dxfId="929" priority="95">
      <formula>AND(AN$9&gt;=8/24,AN$9&lt;14/24)</formula>
    </cfRule>
    <cfRule type="expression" dxfId="928" priority="96">
      <formula>AN$9&lt;8/24</formula>
    </cfRule>
  </conditionalFormatting>
  <conditionalFormatting sqref="AN15:AR15">
    <cfRule type="expression" dxfId="927" priority="1">
      <formula>U$9&gt;=20/24</formula>
    </cfRule>
    <cfRule type="expression" dxfId="926" priority="2">
      <formula>AND(U$9&gt;=14/24,U$9&lt;20/24)</formula>
    </cfRule>
    <cfRule type="expression" dxfId="925" priority="3">
      <formula>AND(U$9&gt;=8/24,U$9&lt;14/24)</formula>
    </cfRule>
    <cfRule type="expression" dxfId="924" priority="4">
      <formula>U$9&lt;8/24</formula>
    </cfRule>
  </conditionalFormatting>
  <conditionalFormatting sqref="AS15">
    <cfRule type="expression" dxfId="923" priority="9">
      <formula>AA$9&gt;=20/24</formula>
    </cfRule>
    <cfRule type="expression" dxfId="922" priority="10">
      <formula>AND(AA$9&gt;=14/24,AA$9&lt;20/24)</formula>
    </cfRule>
    <cfRule type="expression" dxfId="921" priority="11">
      <formula>AND(AA$9&gt;=8/24,AA$9&lt;14/24)</formula>
    </cfRule>
    <cfRule type="expression" dxfId="920" priority="12">
      <formula>AA$9&lt;8/24</formula>
    </cfRule>
  </conditionalFormatting>
  <conditionalFormatting sqref="AS16:AS21">
    <cfRule type="expression" dxfId="919" priority="17">
      <formula>BE$9&gt;=20/24</formula>
    </cfRule>
    <cfRule type="expression" dxfId="918" priority="18">
      <formula>AND(BE$9&gt;=14/24,BE$9&lt;20/24)</formula>
    </cfRule>
    <cfRule type="expression" dxfId="917" priority="19">
      <formula>AND(BE$9&gt;=8/24,BE$9&lt;14/24)</formula>
    </cfRule>
    <cfRule type="expression" dxfId="916" priority="20">
      <formula>BE$9&lt;8/24</formula>
    </cfRule>
  </conditionalFormatting>
  <conditionalFormatting sqref="AT15 AX15:BJ15">
    <cfRule type="expression" dxfId="915" priority="21">
      <formula>AC$9&gt;=20/24</formula>
    </cfRule>
    <cfRule type="expression" dxfId="914" priority="22">
      <formula>AND(AC$9&gt;=14/24,AC$9&lt;20/24)</formula>
    </cfRule>
    <cfRule type="expression" dxfId="913" priority="23">
      <formula>AND(AC$9&gt;=8/24,AC$9&lt;14/24)</formula>
    </cfRule>
    <cfRule type="expression" dxfId="912" priority="24">
      <formula>AC$9&lt;8/24</formula>
    </cfRule>
  </conditionalFormatting>
  <conditionalFormatting sqref="AT16:AT21">
    <cfRule type="expression" dxfId="911" priority="25">
      <formula>BG$9&gt;=20/24</formula>
    </cfRule>
    <cfRule type="expression" dxfId="910" priority="26">
      <formula>AND(BG$9&gt;=14/24,BG$9&lt;20/24)</formula>
    </cfRule>
    <cfRule type="expression" dxfId="909" priority="27">
      <formula>AND(BG$9&gt;=8/24,BG$9&lt;14/24)</formula>
    </cfRule>
    <cfRule type="expression" dxfId="908" priority="28">
      <formula>BG$9&lt;8/24</formula>
    </cfRule>
  </conditionalFormatting>
  <conditionalFormatting sqref="AU15:AV15">
    <cfRule type="expression" dxfId="907" priority="29">
      <formula>AE$9&gt;=20/24</formula>
    </cfRule>
    <cfRule type="expression" dxfId="906" priority="30">
      <formula>AND(AE$9&gt;=14/24,AE$9&lt;20/24)</formula>
    </cfRule>
    <cfRule type="expression" dxfId="905" priority="31">
      <formula>AND(AE$9&gt;=8/24,AE$9&lt;14/24)</formula>
    </cfRule>
    <cfRule type="expression" dxfId="904" priority="32">
      <formula>AE$9&lt;8/24</formula>
    </cfRule>
  </conditionalFormatting>
  <conditionalFormatting sqref="AU16:BJ21">
    <cfRule type="expression" dxfId="903" priority="33">
      <formula>BI$9&gt;=20/24</formula>
    </cfRule>
    <cfRule type="expression" dxfId="902" priority="34">
      <formula>AND(BI$9&gt;=14/24,BI$9&lt;20/24)</formula>
    </cfRule>
    <cfRule type="expression" dxfId="901" priority="35">
      <formula>AND(BI$9&gt;=8/24,BI$9&lt;14/24)</formula>
    </cfRule>
    <cfRule type="expression" dxfId="900" priority="36">
      <formula>BI$9&lt;8/24</formula>
    </cfRule>
  </conditionalFormatting>
  <conditionalFormatting sqref="AW15">
    <cfRule type="expression" dxfId="899" priority="5">
      <formula>B$9&gt;=20/24</formula>
    </cfRule>
    <cfRule type="expression" dxfId="898" priority="6">
      <formula>AND(B$9&gt;=14/24,B$9&lt;20/24)</formula>
    </cfRule>
    <cfRule type="expression" dxfId="897" priority="7">
      <formula>AND(B$9&gt;=8/24,B$9&lt;14/24)</formula>
    </cfRule>
    <cfRule type="expression" dxfId="89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9C65-1381-4DB3-A5B0-DF8AE1E27834}">
  <sheetPr codeName="Sheet30"/>
  <dimension ref="A1:CJ297"/>
  <sheetViews>
    <sheetView zoomScale="106" workbookViewId="0">
      <pane xSplit="1" ySplit="10" topLeftCell="B12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U140" sqref="U14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2080/10/29</v>
      </c>
      <c r="C4" s="187"/>
      <c r="D4" s="187"/>
      <c r="E4" s="188" t="str">
        <f ca="1">"2080/"&amp;"10/"&amp;INT(MID(CELL("filename",G6),FIND("]",CELL("filename",G6))+1,200))</f>
        <v>2080/10/29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24</v>
      </c>
      <c r="C5" s="30">
        <f t="shared" si="0"/>
        <v>25</v>
      </c>
      <c r="D5" s="30">
        <f t="shared" si="0"/>
        <v>26.8</v>
      </c>
      <c r="E5" s="30">
        <f t="shared" si="0"/>
        <v>24.8</v>
      </c>
      <c r="F5" s="30">
        <f t="shared" si="0"/>
        <v>23</v>
      </c>
      <c r="G5" s="30">
        <f t="shared" si="0"/>
        <v>19</v>
      </c>
      <c r="H5" s="30">
        <f t="shared" si="0"/>
        <v>15</v>
      </c>
      <c r="I5" s="30">
        <f t="shared" si="0"/>
        <v>153.6</v>
      </c>
      <c r="J5" s="30">
        <f t="shared" si="0"/>
        <v>177.7</v>
      </c>
      <c r="K5" s="30">
        <f t="shared" si="0"/>
        <v>177.89999999999998</v>
      </c>
      <c r="L5" s="30">
        <f t="shared" si="0"/>
        <v>202</v>
      </c>
      <c r="M5" s="30">
        <f t="shared" si="0"/>
        <v>183.89999999999998</v>
      </c>
      <c r="N5" s="30">
        <f t="shared" si="0"/>
        <v>106</v>
      </c>
      <c r="O5" s="30">
        <f t="shared" si="0"/>
        <v>197.5</v>
      </c>
      <c r="P5" s="30">
        <f t="shared" si="0"/>
        <v>280.7</v>
      </c>
      <c r="Q5" s="30">
        <f t="shared" si="0"/>
        <v>244.4</v>
      </c>
      <c r="R5" s="30">
        <f t="shared" si="0"/>
        <v>262.40000000000003</v>
      </c>
      <c r="S5" s="30">
        <f t="shared" si="0"/>
        <v>296.60000000000002</v>
      </c>
      <c r="T5" s="30">
        <f t="shared" si="0"/>
        <v>289.3</v>
      </c>
      <c r="U5" s="30">
        <f t="shared" si="0"/>
        <v>298.3</v>
      </c>
      <c r="V5" s="30">
        <f t="shared" si="0"/>
        <v>291.2</v>
      </c>
      <c r="W5" s="30">
        <f t="shared" si="0"/>
        <v>257.10000000000002</v>
      </c>
      <c r="X5" s="30">
        <f t="shared" si="0"/>
        <v>75.2</v>
      </c>
      <c r="Y5" s="30">
        <f t="shared" si="0"/>
        <v>75.900000000000006</v>
      </c>
      <c r="Z5" s="30">
        <f t="shared" si="0"/>
        <v>81.2</v>
      </c>
      <c r="AA5" s="30">
        <f t="shared" si="0"/>
        <v>84.8</v>
      </c>
      <c r="AB5" s="30">
        <f t="shared" si="0"/>
        <v>82.4</v>
      </c>
      <c r="AC5" s="30">
        <f t="shared" si="0"/>
        <v>107.5</v>
      </c>
      <c r="AD5" s="30">
        <f t="shared" si="0"/>
        <v>32</v>
      </c>
      <c r="AE5" s="30">
        <f t="shared" si="0"/>
        <v>31.5</v>
      </c>
      <c r="AF5" s="30">
        <f>B95</f>
        <v>28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1928MW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Load=1597</v>
      </c>
      <c r="B7" s="35">
        <f t="shared" ref="B7:AF7" si="1">B103</f>
        <v>1704.0400000000002</v>
      </c>
      <c r="C7" s="35">
        <f t="shared" si="1"/>
        <v>1702.0400000000002</v>
      </c>
      <c r="D7" s="35">
        <f t="shared" si="1"/>
        <v>1691.0400000000002</v>
      </c>
      <c r="E7" s="35">
        <f t="shared" si="1"/>
        <v>1687.3400000000001</v>
      </c>
      <c r="F7" s="35">
        <f t="shared" si="1"/>
        <v>1665.8400000000001</v>
      </c>
      <c r="G7" s="35">
        <f t="shared" si="1"/>
        <v>1641.0400000000002</v>
      </c>
      <c r="H7" s="35">
        <f t="shared" si="1"/>
        <v>1628.8400000000001</v>
      </c>
      <c r="I7" s="35">
        <f t="shared" si="1"/>
        <v>1648.0400000000002</v>
      </c>
      <c r="J7" s="35">
        <f t="shared" si="1"/>
        <v>1618.84</v>
      </c>
      <c r="K7" s="35">
        <f t="shared" si="1"/>
        <v>1676.34</v>
      </c>
      <c r="L7" s="35">
        <f t="shared" si="1"/>
        <v>1746.1399999999999</v>
      </c>
      <c r="M7" s="35">
        <f t="shared" si="1"/>
        <v>1779.44</v>
      </c>
      <c r="N7" s="35">
        <f t="shared" si="1"/>
        <v>1764.3400000000001</v>
      </c>
      <c r="O7" s="35">
        <f t="shared" si="1"/>
        <v>1780.7399999999998</v>
      </c>
      <c r="P7" s="35">
        <f t="shared" si="1"/>
        <v>1892.24</v>
      </c>
      <c r="Q7" s="35">
        <f t="shared" si="1"/>
        <v>1890.9400000000003</v>
      </c>
      <c r="R7" s="35">
        <f t="shared" si="1"/>
        <v>1876.14</v>
      </c>
      <c r="S7" s="35">
        <f t="shared" si="1"/>
        <v>1934.4400000000005</v>
      </c>
      <c r="T7" s="35">
        <f t="shared" si="1"/>
        <v>1951.1400000000003</v>
      </c>
      <c r="U7" s="35">
        <f t="shared" si="1"/>
        <v>1944.7400000000002</v>
      </c>
      <c r="V7" s="35">
        <f t="shared" si="1"/>
        <v>1755.7400000000002</v>
      </c>
      <c r="W7" s="35">
        <f t="shared" si="1"/>
        <v>1597.24</v>
      </c>
      <c r="X7" s="35">
        <f t="shared" si="1"/>
        <v>1598.6399999999999</v>
      </c>
      <c r="Y7" s="35">
        <f t="shared" si="1"/>
        <v>1805.74</v>
      </c>
      <c r="Z7" s="35">
        <f t="shared" si="1"/>
        <v>1824.3400000000001</v>
      </c>
      <c r="AA7" s="35">
        <f t="shared" si="1"/>
        <v>1933.24</v>
      </c>
      <c r="AB7" s="35">
        <f t="shared" si="1"/>
        <v>1920.5399999999997</v>
      </c>
      <c r="AC7" s="35">
        <f t="shared" si="1"/>
        <v>1901.6399999999999</v>
      </c>
      <c r="AD7" s="35">
        <f t="shared" si="1"/>
        <v>1712.3400000000001</v>
      </c>
      <c r="AE7" s="35">
        <f t="shared" si="1"/>
        <v>1730.1399999999999</v>
      </c>
      <c r="AF7" s="35">
        <f t="shared" si="1"/>
        <v>1736.6399999999999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2030.54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1951.14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30.5</v>
      </c>
      <c r="C11" s="46">
        <v>30.5</v>
      </c>
      <c r="D11" s="46">
        <v>30.5</v>
      </c>
      <c r="E11" s="46">
        <v>30.5</v>
      </c>
      <c r="F11" s="46">
        <v>30.5</v>
      </c>
      <c r="G11" s="46">
        <v>30.5</v>
      </c>
      <c r="H11" s="46">
        <v>30.5</v>
      </c>
      <c r="I11" s="46">
        <v>30.5</v>
      </c>
      <c r="J11" s="46">
        <v>28.4</v>
      </c>
      <c r="K11" s="46">
        <v>28.4</v>
      </c>
      <c r="L11" s="46">
        <v>28.4</v>
      </c>
      <c r="M11" s="46">
        <v>28.4</v>
      </c>
      <c r="N11" s="46">
        <v>28.4</v>
      </c>
      <c r="O11" s="46">
        <v>28.4</v>
      </c>
      <c r="P11" s="46">
        <v>28.4</v>
      </c>
      <c r="Q11" s="46">
        <v>28.4</v>
      </c>
      <c r="R11" s="46">
        <v>28.4</v>
      </c>
      <c r="S11" s="46">
        <v>28.4</v>
      </c>
      <c r="T11" s="46">
        <v>28.4</v>
      </c>
      <c r="U11" s="46">
        <v>28.4</v>
      </c>
      <c r="V11" s="46">
        <v>28.4</v>
      </c>
      <c r="W11" s="46">
        <v>28.4</v>
      </c>
      <c r="X11" s="46">
        <v>28.4</v>
      </c>
      <c r="Y11" s="46">
        <v>28.4</v>
      </c>
      <c r="Z11" s="46">
        <v>28.4</v>
      </c>
      <c r="AA11" s="46">
        <v>28.4</v>
      </c>
      <c r="AB11" s="46">
        <v>28.4</v>
      </c>
      <c r="AC11" s="46">
        <v>28.4</v>
      </c>
      <c r="AD11" s="46">
        <v>28.4</v>
      </c>
      <c r="AE11" s="46">
        <v>28.4</v>
      </c>
      <c r="AF11" s="46">
        <v>28.4</v>
      </c>
      <c r="AG11" s="47">
        <v>86</v>
      </c>
      <c r="AH11" s="48">
        <f t="shared" ref="AH11:AH74" si="2">MAX(B11:AF11)</f>
        <v>30.5</v>
      </c>
      <c r="AI11" s="49">
        <f t="shared" ref="AI11:AI74" si="3">MIN(B11:AF11)</f>
        <v>28.4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22</v>
      </c>
      <c r="C12" s="46">
        <v>22</v>
      </c>
      <c r="D12" s="46">
        <v>22</v>
      </c>
      <c r="E12" s="46">
        <v>22</v>
      </c>
      <c r="F12" s="46">
        <v>22</v>
      </c>
      <c r="G12" s="46">
        <v>22</v>
      </c>
      <c r="H12" s="46">
        <v>22</v>
      </c>
      <c r="I12" s="46">
        <v>22</v>
      </c>
      <c r="J12" s="46">
        <v>22</v>
      </c>
      <c r="K12" s="46">
        <v>22</v>
      </c>
      <c r="L12" s="46">
        <v>22</v>
      </c>
      <c r="M12" s="46">
        <v>22</v>
      </c>
      <c r="N12" s="46">
        <v>22</v>
      </c>
      <c r="O12" s="46">
        <v>22</v>
      </c>
      <c r="P12" s="46">
        <v>22</v>
      </c>
      <c r="Q12" s="46">
        <v>22</v>
      </c>
      <c r="R12" s="46">
        <v>22</v>
      </c>
      <c r="S12" s="46">
        <v>22</v>
      </c>
      <c r="T12" s="46">
        <v>22</v>
      </c>
      <c r="U12" s="46">
        <v>22</v>
      </c>
      <c r="V12" s="46">
        <v>22</v>
      </c>
      <c r="W12" s="46">
        <v>22</v>
      </c>
      <c r="X12" s="46">
        <v>22</v>
      </c>
      <c r="Y12" s="46">
        <v>22</v>
      </c>
      <c r="Z12" s="46">
        <v>22</v>
      </c>
      <c r="AA12" s="46">
        <v>22</v>
      </c>
      <c r="AB12" s="46">
        <v>22</v>
      </c>
      <c r="AC12" s="46">
        <v>22</v>
      </c>
      <c r="AD12" s="46">
        <v>22</v>
      </c>
      <c r="AE12" s="46">
        <v>22</v>
      </c>
      <c r="AF12" s="46">
        <v>22</v>
      </c>
      <c r="AG12" s="50">
        <v>77</v>
      </c>
      <c r="AH12" s="48">
        <f t="shared" si="2"/>
        <v>22</v>
      </c>
      <c r="AI12" s="49">
        <f t="shared" si="3"/>
        <v>22</v>
      </c>
      <c r="AK12" s="51"/>
      <c r="AL12" s="52" t="str">
        <f ca="1">MID(CELL("filename",C7),FIND("]",CELL("filename",C7))+1,600)</f>
        <v>29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69.900000000000006</v>
      </c>
      <c r="C13" s="46">
        <v>69.900000000000006</v>
      </c>
      <c r="D13" s="46">
        <v>69.900000000000006</v>
      </c>
      <c r="E13" s="46">
        <v>69.900000000000006</v>
      </c>
      <c r="F13" s="46">
        <v>69.900000000000006</v>
      </c>
      <c r="G13" s="46">
        <v>69.900000000000006</v>
      </c>
      <c r="H13" s="46">
        <v>69.900000000000006</v>
      </c>
      <c r="I13" s="46">
        <v>69.900000000000006</v>
      </c>
      <c r="J13" s="46">
        <v>69.900000000000006</v>
      </c>
      <c r="K13" s="46">
        <v>69.900000000000006</v>
      </c>
      <c r="L13" s="46">
        <v>69.900000000000006</v>
      </c>
      <c r="M13" s="46">
        <v>69.900000000000006</v>
      </c>
      <c r="N13" s="46">
        <v>69.900000000000006</v>
      </c>
      <c r="O13" s="46">
        <v>69.900000000000006</v>
      </c>
      <c r="P13" s="46">
        <v>69.900000000000006</v>
      </c>
      <c r="Q13" s="46">
        <v>69.900000000000006</v>
      </c>
      <c r="R13" s="46">
        <v>69.900000000000006</v>
      </c>
      <c r="S13" s="46">
        <v>69.900000000000006</v>
      </c>
      <c r="T13" s="46">
        <v>69.900000000000006</v>
      </c>
      <c r="U13" s="46">
        <v>69.900000000000006</v>
      </c>
      <c r="V13" s="46">
        <v>69.900000000000006</v>
      </c>
      <c r="W13" s="46">
        <v>69.900000000000006</v>
      </c>
      <c r="X13" s="46">
        <v>69.900000000000006</v>
      </c>
      <c r="Y13" s="46">
        <v>69.900000000000006</v>
      </c>
      <c r="Z13" s="46">
        <v>69.900000000000006</v>
      </c>
      <c r="AA13" s="46">
        <v>69.900000000000006</v>
      </c>
      <c r="AB13" s="46">
        <v>69.900000000000006</v>
      </c>
      <c r="AC13" s="46">
        <v>69.900000000000006</v>
      </c>
      <c r="AD13" s="46">
        <v>69.900000000000006</v>
      </c>
      <c r="AE13" s="46">
        <v>69.900000000000006</v>
      </c>
      <c r="AF13" s="46">
        <v>69.900000000000006</v>
      </c>
      <c r="AG13" s="50">
        <v>73</v>
      </c>
      <c r="AH13" s="48">
        <f t="shared" si="2"/>
        <v>69.900000000000006</v>
      </c>
      <c r="AI13" s="49">
        <f t="shared" si="3"/>
        <v>69.900000000000006</v>
      </c>
      <c r="AK13" s="51"/>
      <c r="AL13" s="52" t="str">
        <f ca="1">"Daily Load Curve(Excluding of Export) of Nepal ("&amp;A4&amp;" "&amp;B4&amp;")"</f>
        <v>Daily Load Curve(Excluding of Export) of Nepal (Nepali Date: 2080/10/29)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40.700000000000003</v>
      </c>
      <c r="C14" s="46">
        <v>40.700000000000003</v>
      </c>
      <c r="D14" s="46">
        <v>40.700000000000003</v>
      </c>
      <c r="E14" s="46">
        <v>40.700000000000003</v>
      </c>
      <c r="F14" s="46">
        <v>40.700000000000003</v>
      </c>
      <c r="G14" s="46">
        <v>40.700000000000003</v>
      </c>
      <c r="H14" s="46">
        <v>40.700000000000003</v>
      </c>
      <c r="I14" s="46">
        <v>40.700000000000003</v>
      </c>
      <c r="J14" s="46">
        <v>40.700000000000003</v>
      </c>
      <c r="K14" s="46">
        <v>40.700000000000003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40.700000000000003</v>
      </c>
      <c r="Y14" s="46">
        <v>40.700000000000003</v>
      </c>
      <c r="Z14" s="46">
        <v>40.700000000000003</v>
      </c>
      <c r="AA14" s="46">
        <v>40.700000000000003</v>
      </c>
      <c r="AB14" s="46">
        <v>40.700000000000003</v>
      </c>
      <c r="AC14" s="46">
        <v>40.700000000000003</v>
      </c>
      <c r="AD14" s="46">
        <v>0</v>
      </c>
      <c r="AE14" s="46">
        <v>40.700000000000003</v>
      </c>
      <c r="AF14" s="46">
        <v>40.700000000000003</v>
      </c>
      <c r="AG14" s="50">
        <v>71</v>
      </c>
      <c r="AH14" s="48">
        <f t="shared" si="2"/>
        <v>40.700000000000003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14</v>
      </c>
      <c r="C15" s="46">
        <v>14</v>
      </c>
      <c r="D15" s="46">
        <v>14</v>
      </c>
      <c r="E15" s="46">
        <v>14</v>
      </c>
      <c r="F15" s="46">
        <v>14</v>
      </c>
      <c r="G15" s="46">
        <v>14</v>
      </c>
      <c r="H15" s="46">
        <v>14</v>
      </c>
      <c r="I15" s="46">
        <v>14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14</v>
      </c>
      <c r="AA15" s="46">
        <v>14</v>
      </c>
      <c r="AB15" s="46">
        <v>14</v>
      </c>
      <c r="AC15" s="46">
        <v>14</v>
      </c>
      <c r="AD15" s="46">
        <v>14</v>
      </c>
      <c r="AE15" s="46">
        <v>14</v>
      </c>
      <c r="AF15" s="46">
        <v>14</v>
      </c>
      <c r="AG15" s="50">
        <v>54</v>
      </c>
      <c r="AH15" s="48">
        <f t="shared" si="2"/>
        <v>14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29.8</v>
      </c>
      <c r="C16" s="46">
        <v>29.8</v>
      </c>
      <c r="D16" s="46">
        <v>29.8</v>
      </c>
      <c r="E16" s="46">
        <v>29.8</v>
      </c>
      <c r="F16" s="46">
        <v>29.8</v>
      </c>
      <c r="G16" s="46">
        <v>29.8</v>
      </c>
      <c r="H16" s="46">
        <v>29.8</v>
      </c>
      <c r="I16" s="46">
        <v>29.8</v>
      </c>
      <c r="J16" s="46">
        <v>29.8</v>
      </c>
      <c r="K16" s="46">
        <v>29.8</v>
      </c>
      <c r="L16" s="46">
        <v>29.8</v>
      </c>
      <c r="M16" s="46">
        <v>29.8</v>
      </c>
      <c r="N16" s="46">
        <v>29.8</v>
      </c>
      <c r="O16" s="46">
        <v>29.8</v>
      </c>
      <c r="P16" s="46">
        <v>29.8</v>
      </c>
      <c r="Q16" s="46">
        <v>29.8</v>
      </c>
      <c r="R16" s="46">
        <v>29.8</v>
      </c>
      <c r="S16" s="46">
        <v>29.8</v>
      </c>
      <c r="T16" s="46">
        <v>29.8</v>
      </c>
      <c r="U16" s="46">
        <v>29.8</v>
      </c>
      <c r="V16" s="46">
        <v>29.8</v>
      </c>
      <c r="W16" s="46">
        <v>29.8</v>
      </c>
      <c r="X16" s="46">
        <v>29.8</v>
      </c>
      <c r="Y16" s="46">
        <v>29.8</v>
      </c>
      <c r="Z16" s="46">
        <v>29.8</v>
      </c>
      <c r="AA16" s="46">
        <v>29.8</v>
      </c>
      <c r="AB16" s="46">
        <v>29.8</v>
      </c>
      <c r="AC16" s="46">
        <v>29.8</v>
      </c>
      <c r="AD16" s="46">
        <v>0</v>
      </c>
      <c r="AE16" s="46">
        <v>29.8</v>
      </c>
      <c r="AF16" s="46">
        <v>29.8</v>
      </c>
      <c r="AG16" s="50">
        <v>54</v>
      </c>
      <c r="AH16" s="48">
        <f t="shared" si="2"/>
        <v>29.8</v>
      </c>
      <c r="AI16" s="49">
        <f t="shared" si="3"/>
        <v>0</v>
      </c>
      <c r="AK16" s="51"/>
      <c r="AL16" s="54" t="s">
        <v>7</v>
      </c>
      <c r="AM16" s="59">
        <f t="shared" ref="AM16:AR16" si="4">B61</f>
        <v>788.50000000000011</v>
      </c>
      <c r="AN16" s="59">
        <f t="shared" si="4"/>
        <v>788.50000000000011</v>
      </c>
      <c r="AO16" s="59">
        <f t="shared" si="4"/>
        <v>788.50000000000011</v>
      </c>
      <c r="AP16" s="59">
        <f t="shared" si="4"/>
        <v>788.50000000000011</v>
      </c>
      <c r="AQ16" s="59">
        <f t="shared" si="4"/>
        <v>788.50000000000011</v>
      </c>
      <c r="AR16" s="59">
        <f t="shared" si="4"/>
        <v>788.50000000000011</v>
      </c>
      <c r="AS16" s="59">
        <f>I61</f>
        <v>788.50000000000011</v>
      </c>
      <c r="AT16" s="59">
        <f>K61</f>
        <v>786.4</v>
      </c>
      <c r="AU16" s="59">
        <f t="shared" ref="AU16:BD16" si="5">M61</f>
        <v>794.4</v>
      </c>
      <c r="AV16" s="59">
        <f t="shared" si="5"/>
        <v>794.4</v>
      </c>
      <c r="AW16" s="59">
        <f t="shared" si="5"/>
        <v>794.4</v>
      </c>
      <c r="AX16" s="59">
        <f t="shared" si="5"/>
        <v>794.4</v>
      </c>
      <c r="AY16" s="59">
        <f t="shared" si="5"/>
        <v>760.2</v>
      </c>
      <c r="AZ16" s="59">
        <f t="shared" si="5"/>
        <v>760.2</v>
      </c>
      <c r="BA16" s="59">
        <f t="shared" si="5"/>
        <v>760.2</v>
      </c>
      <c r="BB16" s="59">
        <f t="shared" si="5"/>
        <v>760.2</v>
      </c>
      <c r="BC16" s="59">
        <f t="shared" si="5"/>
        <v>760.2</v>
      </c>
      <c r="BD16" s="59">
        <f t="shared" si="5"/>
        <v>760.2</v>
      </c>
      <c r="BE16" s="60">
        <f>X61</f>
        <v>760.2</v>
      </c>
      <c r="BF16" s="60">
        <f>Z61</f>
        <v>760.2</v>
      </c>
      <c r="BG16" s="60">
        <f>AB61</f>
        <v>785.19999999999993</v>
      </c>
      <c r="BH16" s="60">
        <f>AD61</f>
        <v>632.20000000000005</v>
      </c>
      <c r="BI16" s="60">
        <f>AE61</f>
        <v>785.19999999999993</v>
      </c>
      <c r="BJ16" s="60">
        <f>AF61</f>
        <v>785.19999999999993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25.1</v>
      </c>
      <c r="C17" s="46">
        <v>25.1</v>
      </c>
      <c r="D17" s="46">
        <v>25.1</v>
      </c>
      <c r="E17" s="46">
        <v>25.1</v>
      </c>
      <c r="F17" s="46">
        <v>25.1</v>
      </c>
      <c r="G17" s="46">
        <v>25.1</v>
      </c>
      <c r="H17" s="46">
        <v>25.1</v>
      </c>
      <c r="I17" s="46">
        <v>25.1</v>
      </c>
      <c r="J17" s="46">
        <v>25.1</v>
      </c>
      <c r="K17" s="46">
        <v>25.1</v>
      </c>
      <c r="L17" s="46">
        <v>25.1</v>
      </c>
      <c r="M17" s="46">
        <v>25.1</v>
      </c>
      <c r="N17" s="46">
        <v>25.1</v>
      </c>
      <c r="O17" s="46">
        <v>25.1</v>
      </c>
      <c r="P17" s="46">
        <v>25.1</v>
      </c>
      <c r="Q17" s="46">
        <v>25.1</v>
      </c>
      <c r="R17" s="46">
        <v>25.1</v>
      </c>
      <c r="S17" s="46">
        <v>25.1</v>
      </c>
      <c r="T17" s="46">
        <v>25.1</v>
      </c>
      <c r="U17" s="46">
        <v>25.1</v>
      </c>
      <c r="V17" s="46">
        <v>25.1</v>
      </c>
      <c r="W17" s="46">
        <v>25.1</v>
      </c>
      <c r="X17" s="46">
        <v>25.1</v>
      </c>
      <c r="Y17" s="46">
        <v>25.1</v>
      </c>
      <c r="Z17" s="46">
        <v>25.1</v>
      </c>
      <c r="AA17" s="46">
        <v>25.1</v>
      </c>
      <c r="AB17" s="46">
        <v>25.1</v>
      </c>
      <c r="AC17" s="46">
        <v>25.1</v>
      </c>
      <c r="AD17" s="46">
        <v>25.1</v>
      </c>
      <c r="AE17" s="46">
        <v>25.1</v>
      </c>
      <c r="AF17" s="46">
        <v>25.1</v>
      </c>
      <c r="AG17" s="47">
        <v>52.4</v>
      </c>
      <c r="AH17" s="48">
        <f t="shared" si="2"/>
        <v>25.1</v>
      </c>
      <c r="AI17" s="49">
        <f t="shared" si="3"/>
        <v>25.1</v>
      </c>
      <c r="AK17" s="51"/>
      <c r="AL17" s="54" t="s">
        <v>27</v>
      </c>
      <c r="AM17" s="59">
        <f t="shared" ref="AM17:AR17" si="6">B65</f>
        <v>511.7</v>
      </c>
      <c r="AN17" s="59">
        <f t="shared" si="6"/>
        <v>511.7</v>
      </c>
      <c r="AO17" s="59">
        <f t="shared" si="6"/>
        <v>511.7</v>
      </c>
      <c r="AP17" s="59">
        <f t="shared" si="6"/>
        <v>511.7</v>
      </c>
      <c r="AQ17" s="59">
        <f t="shared" si="6"/>
        <v>511.7</v>
      </c>
      <c r="AR17" s="59">
        <f t="shared" si="6"/>
        <v>511.7</v>
      </c>
      <c r="AS17" s="59">
        <f>I65</f>
        <v>511.7</v>
      </c>
      <c r="AT17" s="59">
        <f>K65</f>
        <v>511.7</v>
      </c>
      <c r="AU17" s="59">
        <f t="shared" ref="AU17:BD17" si="7">M65</f>
        <v>513.70000000000005</v>
      </c>
      <c r="AV17" s="59">
        <f t="shared" si="7"/>
        <v>513.70000000000005</v>
      </c>
      <c r="AW17" s="59">
        <f t="shared" si="7"/>
        <v>513.70000000000005</v>
      </c>
      <c r="AX17" s="59">
        <f t="shared" si="7"/>
        <v>512.1</v>
      </c>
      <c r="AY17" s="59">
        <f t="shared" si="7"/>
        <v>487.90000000000003</v>
      </c>
      <c r="AZ17" s="59">
        <f t="shared" si="7"/>
        <v>469.8</v>
      </c>
      <c r="BA17" s="59">
        <f t="shared" si="7"/>
        <v>512.1</v>
      </c>
      <c r="BB17" s="59">
        <f t="shared" si="7"/>
        <v>512.1</v>
      </c>
      <c r="BC17" s="59">
        <f t="shared" si="7"/>
        <v>512.1</v>
      </c>
      <c r="BD17" s="59">
        <f t="shared" si="7"/>
        <v>283.10000000000002</v>
      </c>
      <c r="BE17" s="60">
        <f>X65</f>
        <v>168</v>
      </c>
      <c r="BF17" s="60">
        <f>Z65</f>
        <v>433.2</v>
      </c>
      <c r="BG17" s="60">
        <f>AB65</f>
        <v>506.90000000000003</v>
      </c>
      <c r="BH17" s="60">
        <f>AD65</f>
        <v>509.1</v>
      </c>
      <c r="BI17" s="60">
        <f>AE65</f>
        <v>509.1</v>
      </c>
      <c r="BJ17" s="60">
        <f>AF65</f>
        <v>509.1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50.5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410.84000000000009</v>
      </c>
      <c r="AN18" s="59">
        <f t="shared" si="8"/>
        <v>410.84000000000009</v>
      </c>
      <c r="AO18" s="59">
        <f t="shared" si="8"/>
        <v>410.84000000000009</v>
      </c>
      <c r="AP18" s="59">
        <f t="shared" si="8"/>
        <v>410.84000000000009</v>
      </c>
      <c r="AQ18" s="59">
        <f t="shared" si="8"/>
        <v>410.84000000000009</v>
      </c>
      <c r="AR18" s="59">
        <f t="shared" si="8"/>
        <v>410.84000000000009</v>
      </c>
      <c r="AS18" s="59">
        <f>I79</f>
        <v>410.84000000000009</v>
      </c>
      <c r="AT18" s="59">
        <f>K79</f>
        <v>418.54</v>
      </c>
      <c r="AU18" s="59">
        <f t="shared" ref="AU18:BD18" si="9">M79</f>
        <v>418.34000000000003</v>
      </c>
      <c r="AV18" s="59">
        <f t="shared" si="9"/>
        <v>425.34000000000003</v>
      </c>
      <c r="AW18" s="59">
        <f t="shared" si="9"/>
        <v>431.34000000000003</v>
      </c>
      <c r="AX18" s="59">
        <f t="shared" si="9"/>
        <v>415.54</v>
      </c>
      <c r="AY18" s="59">
        <f t="shared" si="9"/>
        <v>408.54</v>
      </c>
      <c r="AZ18" s="59">
        <f t="shared" si="9"/>
        <v>408.54</v>
      </c>
      <c r="BA18" s="59">
        <f t="shared" si="9"/>
        <v>393.14</v>
      </c>
      <c r="BB18" s="59">
        <f t="shared" si="9"/>
        <v>389.64</v>
      </c>
      <c r="BC18" s="59">
        <f t="shared" si="9"/>
        <v>385.03999999999996</v>
      </c>
      <c r="BD18" s="59">
        <f t="shared" si="9"/>
        <v>382.94</v>
      </c>
      <c r="BE18" s="60">
        <f>X79</f>
        <v>380.24</v>
      </c>
      <c r="BF18" s="60">
        <f>Z79</f>
        <v>378.94</v>
      </c>
      <c r="BG18" s="60">
        <f>AB79</f>
        <v>380.84</v>
      </c>
      <c r="BH18" s="60">
        <f>AD79</f>
        <v>217.44</v>
      </c>
      <c r="BI18" s="60">
        <f>AE79</f>
        <v>376.84</v>
      </c>
      <c r="BJ18" s="60">
        <f>AF79</f>
        <v>376.84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27</v>
      </c>
      <c r="N19" s="46">
        <v>27</v>
      </c>
      <c r="O19" s="46">
        <v>27</v>
      </c>
      <c r="P19" s="46">
        <v>27</v>
      </c>
      <c r="Q19" s="46">
        <v>27</v>
      </c>
      <c r="R19" s="46">
        <v>27</v>
      </c>
      <c r="S19" s="46">
        <v>27</v>
      </c>
      <c r="T19" s="46">
        <v>27</v>
      </c>
      <c r="U19" s="46">
        <v>27</v>
      </c>
      <c r="V19" s="46">
        <v>27</v>
      </c>
      <c r="W19" s="46">
        <v>27</v>
      </c>
      <c r="X19" s="46">
        <v>27</v>
      </c>
      <c r="Y19" s="46">
        <v>27</v>
      </c>
      <c r="Z19" s="46">
        <v>27</v>
      </c>
      <c r="AA19" s="46">
        <v>27</v>
      </c>
      <c r="AB19" s="46">
        <v>27</v>
      </c>
      <c r="AC19" s="46">
        <v>27</v>
      </c>
      <c r="AD19" s="46">
        <v>27</v>
      </c>
      <c r="AE19" s="46">
        <v>27</v>
      </c>
      <c r="AF19" s="46">
        <v>27</v>
      </c>
      <c r="AG19" s="50">
        <v>45</v>
      </c>
      <c r="AH19" s="48">
        <f t="shared" si="2"/>
        <v>27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28</v>
      </c>
      <c r="AN19" s="59">
        <f t="shared" si="10"/>
        <v>24</v>
      </c>
      <c r="AO19" s="59">
        <f t="shared" si="10"/>
        <v>25</v>
      </c>
      <c r="AP19" s="59">
        <f t="shared" si="10"/>
        <v>26.8</v>
      </c>
      <c r="AQ19" s="59">
        <f t="shared" si="10"/>
        <v>24.8</v>
      </c>
      <c r="AR19" s="59">
        <f t="shared" si="10"/>
        <v>23</v>
      </c>
      <c r="AS19" s="59">
        <f>I95</f>
        <v>15</v>
      </c>
      <c r="AT19" s="59">
        <f>K95</f>
        <v>177.7</v>
      </c>
      <c r="AU19" s="59">
        <f t="shared" ref="AU19:BD19" si="11">M95</f>
        <v>202</v>
      </c>
      <c r="AV19" s="59">
        <f t="shared" si="11"/>
        <v>183.89999999999998</v>
      </c>
      <c r="AW19" s="59">
        <f t="shared" si="11"/>
        <v>106</v>
      </c>
      <c r="AX19" s="59">
        <f t="shared" si="11"/>
        <v>197.5</v>
      </c>
      <c r="AY19" s="59">
        <f t="shared" si="11"/>
        <v>280.7</v>
      </c>
      <c r="AZ19" s="59">
        <f t="shared" si="11"/>
        <v>244.4</v>
      </c>
      <c r="BA19" s="59">
        <f t="shared" si="11"/>
        <v>262.40000000000003</v>
      </c>
      <c r="BB19" s="59">
        <f t="shared" si="11"/>
        <v>296.60000000000002</v>
      </c>
      <c r="BC19" s="59">
        <f t="shared" si="11"/>
        <v>289.3</v>
      </c>
      <c r="BD19" s="59">
        <f t="shared" si="11"/>
        <v>298.3</v>
      </c>
      <c r="BE19" s="60">
        <f>X95</f>
        <v>257.10000000000002</v>
      </c>
      <c r="BF19" s="60">
        <f>Z95</f>
        <v>75.900000000000006</v>
      </c>
      <c r="BG19" s="60">
        <f>AB95</f>
        <v>84.8</v>
      </c>
      <c r="BH19" s="60">
        <f>AD95</f>
        <v>107.5</v>
      </c>
      <c r="BI19" s="60">
        <f>AE95</f>
        <v>32</v>
      </c>
      <c r="BJ19" s="60">
        <f>AF95</f>
        <v>31.5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33.1</v>
      </c>
      <c r="C20" s="46">
        <v>33.1</v>
      </c>
      <c r="D20" s="46">
        <v>33.1</v>
      </c>
      <c r="E20" s="46">
        <v>33.1</v>
      </c>
      <c r="F20" s="46">
        <v>33.1</v>
      </c>
      <c r="G20" s="46">
        <v>33.1</v>
      </c>
      <c r="H20" s="46">
        <v>33.1</v>
      </c>
      <c r="I20" s="46">
        <v>33.1</v>
      </c>
      <c r="J20" s="46">
        <v>33.1</v>
      </c>
      <c r="K20" s="46">
        <v>33.1</v>
      </c>
      <c r="L20" s="46">
        <v>33.1</v>
      </c>
      <c r="M20" s="46">
        <v>33.1</v>
      </c>
      <c r="N20" s="46">
        <v>33.1</v>
      </c>
      <c r="O20" s="46">
        <v>33.1</v>
      </c>
      <c r="P20" s="46">
        <v>33.1</v>
      </c>
      <c r="Q20" s="46">
        <v>33.1</v>
      </c>
      <c r="R20" s="46">
        <v>33.1</v>
      </c>
      <c r="S20" s="46">
        <v>33.1</v>
      </c>
      <c r="T20" s="46">
        <v>33.1</v>
      </c>
      <c r="U20" s="46">
        <v>33.1</v>
      </c>
      <c r="V20" s="46">
        <v>33.1</v>
      </c>
      <c r="W20" s="46">
        <v>33.1</v>
      </c>
      <c r="X20" s="46">
        <v>33.1</v>
      </c>
      <c r="Y20" s="46">
        <v>33.1</v>
      </c>
      <c r="Z20" s="46">
        <v>33.1</v>
      </c>
      <c r="AA20" s="46">
        <v>33.1</v>
      </c>
      <c r="AB20" s="46">
        <v>33.1</v>
      </c>
      <c r="AC20" s="46">
        <v>33.1</v>
      </c>
      <c r="AD20" s="46">
        <v>33.1</v>
      </c>
      <c r="AE20" s="46">
        <v>33.1</v>
      </c>
      <c r="AF20" s="46">
        <v>33.1</v>
      </c>
      <c r="AG20" s="50">
        <v>44</v>
      </c>
      <c r="AH20" s="48">
        <f t="shared" si="2"/>
        <v>33.1</v>
      </c>
      <c r="AI20" s="49">
        <f t="shared" si="3"/>
        <v>33.1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10</v>
      </c>
      <c r="AW20" s="59">
        <f t="shared" si="13"/>
        <v>41.3</v>
      </c>
      <c r="AX20" s="59">
        <f t="shared" si="13"/>
        <v>20.2</v>
      </c>
      <c r="AY20" s="59">
        <f t="shared" si="13"/>
        <v>20.2</v>
      </c>
      <c r="AZ20" s="59">
        <f t="shared" si="13"/>
        <v>20.2</v>
      </c>
      <c r="BA20" s="59">
        <f t="shared" si="13"/>
        <v>31.2</v>
      </c>
      <c r="BB20" s="59">
        <f t="shared" si="13"/>
        <v>31.2</v>
      </c>
      <c r="BC20" s="59">
        <f t="shared" si="13"/>
        <v>31.2</v>
      </c>
      <c r="BD20" s="59">
        <f t="shared" si="13"/>
        <v>31.2</v>
      </c>
      <c r="BE20" s="60">
        <f>X83</f>
        <v>33.1</v>
      </c>
      <c r="BF20" s="60">
        <f>Z83</f>
        <v>43.8</v>
      </c>
      <c r="BG20" s="60">
        <f>AB83</f>
        <v>52.8</v>
      </c>
      <c r="BH20" s="60">
        <f>AD83</f>
        <v>76.099999999999994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100</v>
      </c>
      <c r="AP21" s="59">
        <f t="shared" si="14"/>
        <v>100</v>
      </c>
      <c r="AQ21" s="59">
        <f t="shared" si="14"/>
        <v>100</v>
      </c>
      <c r="AR21" s="59">
        <f t="shared" si="14"/>
        <v>130</v>
      </c>
      <c r="AS21" s="59">
        <f>I101</f>
        <v>130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250</v>
      </c>
      <c r="BG21" s="60">
        <f>AB101</f>
        <v>220</v>
      </c>
      <c r="BH21" s="60">
        <f>AD101</f>
        <v>220</v>
      </c>
      <c r="BI21" s="60">
        <f>AE101</f>
        <v>150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29.3</v>
      </c>
      <c r="C22" s="46">
        <v>29.3</v>
      </c>
      <c r="D22" s="46">
        <v>29.3</v>
      </c>
      <c r="E22" s="46">
        <v>29.3</v>
      </c>
      <c r="F22" s="46">
        <v>29.3</v>
      </c>
      <c r="G22" s="46">
        <v>29.3</v>
      </c>
      <c r="H22" s="46">
        <v>29.3</v>
      </c>
      <c r="I22" s="46">
        <v>29.3</v>
      </c>
      <c r="J22" s="46">
        <v>29.3</v>
      </c>
      <c r="K22" s="46">
        <v>29.3</v>
      </c>
      <c r="L22" s="46">
        <v>29.3</v>
      </c>
      <c r="M22" s="46">
        <v>29.3</v>
      </c>
      <c r="N22" s="46">
        <v>29.3</v>
      </c>
      <c r="O22" s="46">
        <v>29.3</v>
      </c>
      <c r="P22" s="46">
        <v>29.3</v>
      </c>
      <c r="Q22" s="46">
        <v>29.3</v>
      </c>
      <c r="R22" s="46">
        <v>29.3</v>
      </c>
      <c r="S22" s="46">
        <v>29.3</v>
      </c>
      <c r="T22" s="46">
        <v>29.3</v>
      </c>
      <c r="U22" s="46">
        <v>29.3</v>
      </c>
      <c r="V22" s="46">
        <v>29.3</v>
      </c>
      <c r="W22" s="46">
        <v>29.3</v>
      </c>
      <c r="X22" s="46">
        <v>29.3</v>
      </c>
      <c r="Y22" s="46">
        <v>29.3</v>
      </c>
      <c r="Z22" s="46">
        <v>29.3</v>
      </c>
      <c r="AA22" s="46">
        <v>29.3</v>
      </c>
      <c r="AB22" s="46">
        <v>29.3</v>
      </c>
      <c r="AC22" s="46">
        <v>29.3</v>
      </c>
      <c r="AD22" s="46">
        <v>29.3</v>
      </c>
      <c r="AE22" s="46">
        <v>29.3</v>
      </c>
      <c r="AF22" s="46">
        <v>29.3</v>
      </c>
      <c r="AG22" s="50">
        <v>38.46</v>
      </c>
      <c r="AH22" s="48">
        <f t="shared" si="2"/>
        <v>29.3</v>
      </c>
      <c r="AI22" s="49">
        <f t="shared" si="3"/>
        <v>29.3</v>
      </c>
      <c r="AK22" s="51"/>
      <c r="AL22" s="62" t="s">
        <v>37</v>
      </c>
      <c r="AM22" s="63">
        <f t="shared" ref="AM22:BJ22" si="16">SUM(AM16:AM21)</f>
        <v>1839.0400000000002</v>
      </c>
      <c r="AN22" s="63">
        <f t="shared" si="16"/>
        <v>1835.0400000000002</v>
      </c>
      <c r="AO22" s="63">
        <f t="shared" si="16"/>
        <v>1836.0400000000002</v>
      </c>
      <c r="AP22" s="63">
        <f t="shared" si="16"/>
        <v>1837.8400000000001</v>
      </c>
      <c r="AQ22" s="63">
        <f t="shared" si="16"/>
        <v>1835.8400000000001</v>
      </c>
      <c r="AR22" s="63">
        <f t="shared" si="16"/>
        <v>1864.0400000000002</v>
      </c>
      <c r="AS22" s="63">
        <f t="shared" si="16"/>
        <v>1856.0400000000002</v>
      </c>
      <c r="AT22" s="63">
        <f t="shared" si="16"/>
        <v>1894.34</v>
      </c>
      <c r="AU22" s="63">
        <f t="shared" si="16"/>
        <v>1928.44</v>
      </c>
      <c r="AV22" s="63">
        <f t="shared" si="16"/>
        <v>1927.3400000000001</v>
      </c>
      <c r="AW22" s="63">
        <f t="shared" si="16"/>
        <v>1886.74</v>
      </c>
      <c r="AX22" s="63">
        <f t="shared" si="16"/>
        <v>1939.74</v>
      </c>
      <c r="AY22" s="63">
        <f t="shared" si="16"/>
        <v>1957.5400000000002</v>
      </c>
      <c r="AZ22" s="63">
        <f t="shared" si="16"/>
        <v>1903.14</v>
      </c>
      <c r="BA22" s="63">
        <f t="shared" si="16"/>
        <v>1959.0400000000002</v>
      </c>
      <c r="BB22" s="63">
        <f t="shared" si="16"/>
        <v>1989.74</v>
      </c>
      <c r="BC22" s="63">
        <f t="shared" si="16"/>
        <v>1977.8400000000001</v>
      </c>
      <c r="BD22" s="63">
        <f t="shared" si="16"/>
        <v>1755.7400000000002</v>
      </c>
      <c r="BE22" s="63">
        <f t="shared" si="16"/>
        <v>1598.6399999999999</v>
      </c>
      <c r="BF22" s="63">
        <f t="shared" si="16"/>
        <v>1942.0400000000002</v>
      </c>
      <c r="BG22" s="63">
        <f t="shared" si="16"/>
        <v>2030.5399999999997</v>
      </c>
      <c r="BH22" s="63">
        <f t="shared" si="16"/>
        <v>1762.3400000000001</v>
      </c>
      <c r="BI22" s="63">
        <f t="shared" si="16"/>
        <v>1853.1399999999999</v>
      </c>
      <c r="BJ22" s="63">
        <f t="shared" si="16"/>
        <v>1852.6399999999999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14.8</v>
      </c>
      <c r="C23" s="46">
        <v>14.8</v>
      </c>
      <c r="D23" s="46">
        <v>14.8</v>
      </c>
      <c r="E23" s="46">
        <v>14.8</v>
      </c>
      <c r="F23" s="46">
        <v>14.8</v>
      </c>
      <c r="G23" s="46">
        <v>14.8</v>
      </c>
      <c r="H23" s="46">
        <v>14.8</v>
      </c>
      <c r="I23" s="46">
        <v>14.8</v>
      </c>
      <c r="J23" s="46">
        <v>14.8</v>
      </c>
      <c r="K23" s="46">
        <v>14.8</v>
      </c>
      <c r="L23" s="46">
        <v>14.8</v>
      </c>
      <c r="M23" s="46">
        <v>14.8</v>
      </c>
      <c r="N23" s="46">
        <v>14.8</v>
      </c>
      <c r="O23" s="46">
        <v>14.8</v>
      </c>
      <c r="P23" s="46">
        <v>14.8</v>
      </c>
      <c r="Q23" s="46">
        <v>14.8</v>
      </c>
      <c r="R23" s="46">
        <v>14.8</v>
      </c>
      <c r="S23" s="46">
        <v>14.8</v>
      </c>
      <c r="T23" s="46">
        <v>14.8</v>
      </c>
      <c r="U23" s="46">
        <v>14.8</v>
      </c>
      <c r="V23" s="46">
        <v>14.8</v>
      </c>
      <c r="W23" s="46">
        <v>14.8</v>
      </c>
      <c r="X23" s="46">
        <v>14.8</v>
      </c>
      <c r="Y23" s="46">
        <v>14.8</v>
      </c>
      <c r="Z23" s="46">
        <v>14.8</v>
      </c>
      <c r="AA23" s="46">
        <v>14.8</v>
      </c>
      <c r="AB23" s="46">
        <v>14.8</v>
      </c>
      <c r="AC23" s="46">
        <v>14.8</v>
      </c>
      <c r="AD23" s="46">
        <v>14.8</v>
      </c>
      <c r="AE23" s="46">
        <v>14.8</v>
      </c>
      <c r="AF23" s="46">
        <v>14.8</v>
      </c>
      <c r="AG23" s="50">
        <v>38.46</v>
      </c>
      <c r="AH23" s="48">
        <f t="shared" si="2"/>
        <v>14.8</v>
      </c>
      <c r="AI23" s="49">
        <f t="shared" si="3"/>
        <v>14.8</v>
      </c>
      <c r="AK23" s="51"/>
      <c r="AL23" s="62" t="s">
        <v>39</v>
      </c>
      <c r="AM23" s="63">
        <f t="shared" ref="AM23:AR23" si="17">B110*-1</f>
        <v>-135</v>
      </c>
      <c r="AN23" s="63">
        <f t="shared" si="17"/>
        <v>-133</v>
      </c>
      <c r="AO23" s="63">
        <f t="shared" si="17"/>
        <v>-145</v>
      </c>
      <c r="AP23" s="63">
        <f t="shared" si="17"/>
        <v>-150.5</v>
      </c>
      <c r="AQ23" s="63">
        <f t="shared" si="17"/>
        <v>-170</v>
      </c>
      <c r="AR23" s="63">
        <f t="shared" si="17"/>
        <v>-223</v>
      </c>
      <c r="AS23" s="63">
        <f>I110*-1</f>
        <v>-208</v>
      </c>
      <c r="AT23" s="63">
        <f>K110*-1</f>
        <v>-218</v>
      </c>
      <c r="AU23" s="63">
        <f t="shared" ref="AU23:BD23" si="18">M110*-1</f>
        <v>-149</v>
      </c>
      <c r="AV23" s="63">
        <f t="shared" si="18"/>
        <v>-163</v>
      </c>
      <c r="AW23" s="63">
        <f t="shared" si="18"/>
        <v>-106</v>
      </c>
      <c r="AX23" s="63">
        <f t="shared" si="18"/>
        <v>-47.5</v>
      </c>
      <c r="AY23" s="63">
        <f t="shared" si="18"/>
        <v>-66.599999999999994</v>
      </c>
      <c r="AZ23" s="63">
        <f t="shared" si="18"/>
        <v>-27</v>
      </c>
      <c r="BA23" s="63">
        <f t="shared" si="18"/>
        <v>-24.6</v>
      </c>
      <c r="BB23" s="63">
        <f t="shared" si="18"/>
        <v>-38.6</v>
      </c>
      <c r="BC23" s="63">
        <f t="shared" si="18"/>
        <v>-33.1</v>
      </c>
      <c r="BD23" s="63">
        <f t="shared" si="18"/>
        <v>0</v>
      </c>
      <c r="BE23" s="63">
        <f>X110*-1</f>
        <v>0</v>
      </c>
      <c r="BF23" s="63">
        <f>Z110*-1</f>
        <v>-117.7</v>
      </c>
      <c r="BG23" s="63">
        <f>AB110*-1</f>
        <v>-110</v>
      </c>
      <c r="BH23" s="63">
        <f>AD110*-1</f>
        <v>-50</v>
      </c>
      <c r="BI23" s="63">
        <f>AE110*-1</f>
        <v>-123</v>
      </c>
      <c r="BJ23" s="63">
        <f>AF110*-1</f>
        <v>-116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1704.0400000000002</v>
      </c>
      <c r="AN24" s="63">
        <f t="shared" si="19"/>
        <v>1702.0400000000002</v>
      </c>
      <c r="AO24" s="63">
        <f t="shared" si="19"/>
        <v>1691.0400000000002</v>
      </c>
      <c r="AP24" s="63">
        <f t="shared" si="19"/>
        <v>1687.3400000000001</v>
      </c>
      <c r="AQ24" s="63">
        <f t="shared" si="19"/>
        <v>1665.8400000000001</v>
      </c>
      <c r="AR24" s="63">
        <f t="shared" si="19"/>
        <v>1641.0400000000002</v>
      </c>
      <c r="AS24" s="63">
        <f t="shared" si="19"/>
        <v>1648.0400000000002</v>
      </c>
      <c r="AT24" s="63">
        <f t="shared" si="19"/>
        <v>1676.34</v>
      </c>
      <c r="AU24" s="63">
        <f t="shared" si="19"/>
        <v>1779.44</v>
      </c>
      <c r="AV24" s="63">
        <f t="shared" si="19"/>
        <v>1764.3400000000001</v>
      </c>
      <c r="AW24" s="63">
        <f t="shared" si="19"/>
        <v>1780.74</v>
      </c>
      <c r="AX24" s="63">
        <f t="shared" si="19"/>
        <v>1892.24</v>
      </c>
      <c r="AY24" s="63">
        <f t="shared" si="19"/>
        <v>1890.9400000000003</v>
      </c>
      <c r="AZ24" s="63">
        <f t="shared" si="19"/>
        <v>1876.14</v>
      </c>
      <c r="BA24" s="63">
        <f t="shared" si="19"/>
        <v>1934.4400000000003</v>
      </c>
      <c r="BB24" s="63">
        <f t="shared" si="19"/>
        <v>1951.14</v>
      </c>
      <c r="BC24" s="63">
        <f t="shared" si="19"/>
        <v>1944.7400000000002</v>
      </c>
      <c r="BD24" s="63">
        <f t="shared" si="19"/>
        <v>1755.7400000000002</v>
      </c>
      <c r="BE24" s="63">
        <f t="shared" si="19"/>
        <v>1598.6399999999999</v>
      </c>
      <c r="BF24" s="63">
        <f t="shared" si="19"/>
        <v>1824.3400000000001</v>
      </c>
      <c r="BG24" s="63">
        <f t="shared" si="19"/>
        <v>1920.5399999999997</v>
      </c>
      <c r="BH24" s="63">
        <f t="shared" si="19"/>
        <v>1712.3400000000001</v>
      </c>
      <c r="BI24" s="63">
        <f t="shared" si="19"/>
        <v>1730.1399999999999</v>
      </c>
      <c r="BJ24" s="63">
        <f t="shared" si="19"/>
        <v>1736.6399999999999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12</v>
      </c>
      <c r="C25" s="46">
        <v>12</v>
      </c>
      <c r="D25" s="46">
        <v>12</v>
      </c>
      <c r="E25" s="46">
        <v>12</v>
      </c>
      <c r="F25" s="46">
        <v>12</v>
      </c>
      <c r="G25" s="46">
        <v>12</v>
      </c>
      <c r="H25" s="46">
        <v>12</v>
      </c>
      <c r="I25" s="46">
        <v>12</v>
      </c>
      <c r="J25" s="46">
        <v>12</v>
      </c>
      <c r="K25" s="46">
        <v>12</v>
      </c>
      <c r="L25" s="46">
        <v>12</v>
      </c>
      <c r="M25" s="46">
        <v>12</v>
      </c>
      <c r="N25" s="46">
        <v>12</v>
      </c>
      <c r="O25" s="46">
        <v>12</v>
      </c>
      <c r="P25" s="46">
        <v>12</v>
      </c>
      <c r="Q25" s="46">
        <v>12</v>
      </c>
      <c r="R25" s="46">
        <v>12</v>
      </c>
      <c r="S25" s="46">
        <v>12</v>
      </c>
      <c r="T25" s="46">
        <v>12</v>
      </c>
      <c r="U25" s="46">
        <v>12</v>
      </c>
      <c r="V25" s="46">
        <v>12</v>
      </c>
      <c r="W25" s="46">
        <v>12</v>
      </c>
      <c r="X25" s="46">
        <v>12</v>
      </c>
      <c r="Y25" s="46">
        <v>12</v>
      </c>
      <c r="Z25" s="46">
        <v>12</v>
      </c>
      <c r="AA25" s="46">
        <v>12</v>
      </c>
      <c r="AB25" s="46">
        <v>12</v>
      </c>
      <c r="AC25" s="46">
        <v>12</v>
      </c>
      <c r="AD25" s="46">
        <v>0</v>
      </c>
      <c r="AE25" s="46">
        <v>12</v>
      </c>
      <c r="AF25" s="46">
        <v>12</v>
      </c>
      <c r="AG25" s="61">
        <v>30</v>
      </c>
      <c r="AH25" s="48">
        <f t="shared" si="2"/>
        <v>12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10</v>
      </c>
      <c r="AF26" s="46">
        <v>10</v>
      </c>
      <c r="AG26" s="50">
        <v>24.2</v>
      </c>
      <c r="AH26" s="48">
        <f t="shared" si="2"/>
        <v>10</v>
      </c>
      <c r="AI26" s="49">
        <f t="shared" si="3"/>
        <v>10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14.5</v>
      </c>
      <c r="C27" s="46">
        <v>14.5</v>
      </c>
      <c r="D27" s="46">
        <v>14.5</v>
      </c>
      <c r="E27" s="46">
        <v>14.5</v>
      </c>
      <c r="F27" s="46">
        <v>14.5</v>
      </c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10.9</v>
      </c>
      <c r="R27" s="46">
        <v>10.9</v>
      </c>
      <c r="S27" s="46">
        <v>10.9</v>
      </c>
      <c r="T27" s="46">
        <v>10.9</v>
      </c>
      <c r="U27" s="46">
        <v>10.9</v>
      </c>
      <c r="V27" s="46">
        <v>10.9</v>
      </c>
      <c r="W27" s="46">
        <v>10.9</v>
      </c>
      <c r="X27" s="46">
        <v>10.9</v>
      </c>
      <c r="Y27" s="46">
        <v>10.9</v>
      </c>
      <c r="Z27" s="46">
        <v>10.9</v>
      </c>
      <c r="AA27" s="46">
        <v>10.9</v>
      </c>
      <c r="AB27" s="46">
        <v>10.9</v>
      </c>
      <c r="AC27" s="46">
        <v>10.9</v>
      </c>
      <c r="AD27" s="46">
        <v>0</v>
      </c>
      <c r="AE27" s="46">
        <v>10.9</v>
      </c>
      <c r="AF27" s="46">
        <v>10.9</v>
      </c>
      <c r="AG27" s="50">
        <v>28</v>
      </c>
      <c r="AH27" s="48">
        <f t="shared" si="2"/>
        <v>14.5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16.7</v>
      </c>
      <c r="C28" s="46">
        <v>16.7</v>
      </c>
      <c r="D28" s="46">
        <v>16.7</v>
      </c>
      <c r="E28" s="46">
        <v>16.7</v>
      </c>
      <c r="F28" s="46">
        <v>16.7</v>
      </c>
      <c r="G28" s="46">
        <v>16.7</v>
      </c>
      <c r="H28" s="46">
        <v>16.7</v>
      </c>
      <c r="I28" s="46">
        <v>16.7</v>
      </c>
      <c r="J28" s="46">
        <v>16.7</v>
      </c>
      <c r="K28" s="46">
        <v>16.7</v>
      </c>
      <c r="L28" s="46">
        <v>16.7</v>
      </c>
      <c r="M28" s="46">
        <v>16.7</v>
      </c>
      <c r="N28" s="46">
        <v>16.7</v>
      </c>
      <c r="O28" s="46">
        <v>16.7</v>
      </c>
      <c r="P28" s="46">
        <v>16.7</v>
      </c>
      <c r="Q28" s="46">
        <v>12.5</v>
      </c>
      <c r="R28" s="46">
        <v>12.5</v>
      </c>
      <c r="S28" s="46">
        <v>12.5</v>
      </c>
      <c r="T28" s="46">
        <v>12.5</v>
      </c>
      <c r="U28" s="46">
        <v>12.5</v>
      </c>
      <c r="V28" s="46">
        <v>12.5</v>
      </c>
      <c r="W28" s="46">
        <v>12.5</v>
      </c>
      <c r="X28" s="46">
        <v>12.5</v>
      </c>
      <c r="Y28" s="46">
        <v>12.5</v>
      </c>
      <c r="Z28" s="46">
        <v>12.5</v>
      </c>
      <c r="AA28" s="46">
        <v>12.5</v>
      </c>
      <c r="AB28" s="46">
        <v>12.5</v>
      </c>
      <c r="AC28" s="46">
        <v>12.5</v>
      </c>
      <c r="AD28" s="46">
        <v>0</v>
      </c>
      <c r="AE28" s="46">
        <v>12.5</v>
      </c>
      <c r="AF28" s="46">
        <v>12.5</v>
      </c>
      <c r="AG28" s="61">
        <v>30</v>
      </c>
      <c r="AH28" s="48">
        <f t="shared" si="2"/>
        <v>16.7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22.5</v>
      </c>
      <c r="C29" s="46">
        <v>22.5</v>
      </c>
      <c r="D29" s="46">
        <v>22.5</v>
      </c>
      <c r="E29" s="46">
        <v>22.5</v>
      </c>
      <c r="F29" s="46">
        <v>22.5</v>
      </c>
      <c r="G29" s="46">
        <v>22.5</v>
      </c>
      <c r="H29" s="46">
        <v>22.5</v>
      </c>
      <c r="I29" s="46">
        <v>22.5</v>
      </c>
      <c r="J29" s="46">
        <v>22.5</v>
      </c>
      <c r="K29" s="46">
        <v>22.5</v>
      </c>
      <c r="L29" s="46">
        <v>22.5</v>
      </c>
      <c r="M29" s="46">
        <v>22.5</v>
      </c>
      <c r="N29" s="46">
        <v>22.5</v>
      </c>
      <c r="O29" s="46">
        <v>22.5</v>
      </c>
      <c r="P29" s="46">
        <v>22.5</v>
      </c>
      <c r="Q29" s="46">
        <v>17.5</v>
      </c>
      <c r="R29" s="46">
        <v>17.5</v>
      </c>
      <c r="S29" s="46">
        <v>17.5</v>
      </c>
      <c r="T29" s="46">
        <v>17.5</v>
      </c>
      <c r="U29" s="46">
        <v>17.5</v>
      </c>
      <c r="V29" s="46">
        <v>17.5</v>
      </c>
      <c r="W29" s="46">
        <v>17.5</v>
      </c>
      <c r="X29" s="46">
        <v>17.5</v>
      </c>
      <c r="Y29" s="46">
        <v>17.5</v>
      </c>
      <c r="Z29" s="46">
        <v>17.5</v>
      </c>
      <c r="AA29" s="46">
        <v>17.5</v>
      </c>
      <c r="AB29" s="46">
        <v>17.5</v>
      </c>
      <c r="AC29" s="46">
        <v>17.5</v>
      </c>
      <c r="AD29" s="46">
        <v>17.5</v>
      </c>
      <c r="AE29" s="46">
        <v>17.5</v>
      </c>
      <c r="AF29" s="46">
        <v>17.5</v>
      </c>
      <c r="AG29" s="50">
        <v>25</v>
      </c>
      <c r="AH29" s="48">
        <f t="shared" si="2"/>
        <v>22.5</v>
      </c>
      <c r="AI29" s="49">
        <f t="shared" si="3"/>
        <v>17.5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25</v>
      </c>
      <c r="AC30" s="46">
        <v>25</v>
      </c>
      <c r="AD30" s="46">
        <v>25</v>
      </c>
      <c r="AE30" s="46">
        <v>25</v>
      </c>
      <c r="AF30" s="46">
        <v>25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0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22</v>
      </c>
      <c r="C32" s="46">
        <v>22</v>
      </c>
      <c r="D32" s="46">
        <v>22</v>
      </c>
      <c r="E32" s="46">
        <v>22</v>
      </c>
      <c r="F32" s="46">
        <v>22</v>
      </c>
      <c r="G32" s="46">
        <v>22</v>
      </c>
      <c r="H32" s="46">
        <v>22</v>
      </c>
      <c r="I32" s="46">
        <v>22</v>
      </c>
      <c r="J32" s="46">
        <v>22</v>
      </c>
      <c r="K32" s="46">
        <v>22</v>
      </c>
      <c r="L32" s="46">
        <v>22</v>
      </c>
      <c r="M32" s="46">
        <v>22</v>
      </c>
      <c r="N32" s="46">
        <v>22</v>
      </c>
      <c r="O32" s="46">
        <v>22</v>
      </c>
      <c r="P32" s="46">
        <v>22</v>
      </c>
      <c r="Q32" s="46">
        <v>16.7</v>
      </c>
      <c r="R32" s="46">
        <v>16.7</v>
      </c>
      <c r="S32" s="46">
        <v>16.7</v>
      </c>
      <c r="T32" s="46">
        <v>16.7</v>
      </c>
      <c r="U32" s="46">
        <v>16.7</v>
      </c>
      <c r="V32" s="46">
        <v>16.7</v>
      </c>
      <c r="W32" s="46">
        <v>16.7</v>
      </c>
      <c r="X32" s="46">
        <v>16.7</v>
      </c>
      <c r="Y32" s="46">
        <v>16.7</v>
      </c>
      <c r="Z32" s="46">
        <v>16.7</v>
      </c>
      <c r="AA32" s="46">
        <v>16.7</v>
      </c>
      <c r="AB32" s="46">
        <v>16.7</v>
      </c>
      <c r="AC32" s="46">
        <v>16.7</v>
      </c>
      <c r="AD32" s="46">
        <v>16.7</v>
      </c>
      <c r="AE32" s="46">
        <v>16.7</v>
      </c>
      <c r="AF32" s="46">
        <v>16.7</v>
      </c>
      <c r="AG32" s="50">
        <v>25</v>
      </c>
      <c r="AH32" s="48">
        <f t="shared" si="2"/>
        <v>22</v>
      </c>
      <c r="AI32" s="49">
        <f t="shared" si="3"/>
        <v>16.7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11.5</v>
      </c>
      <c r="C33" s="46">
        <v>11.5</v>
      </c>
      <c r="D33" s="46">
        <v>11.5</v>
      </c>
      <c r="E33" s="46">
        <v>11.5</v>
      </c>
      <c r="F33" s="46">
        <v>11.5</v>
      </c>
      <c r="G33" s="46">
        <v>11.5</v>
      </c>
      <c r="H33" s="46">
        <v>11.5</v>
      </c>
      <c r="I33" s="46">
        <v>11.5</v>
      </c>
      <c r="J33" s="46">
        <v>11.5</v>
      </c>
      <c r="K33" s="46">
        <v>11.5</v>
      </c>
      <c r="L33" s="46">
        <v>11.5</v>
      </c>
      <c r="M33" s="46">
        <v>11.5</v>
      </c>
      <c r="N33" s="46">
        <v>11.5</v>
      </c>
      <c r="O33" s="46">
        <v>11.5</v>
      </c>
      <c r="P33" s="46">
        <v>11.5</v>
      </c>
      <c r="Q33" s="46">
        <v>6.1</v>
      </c>
      <c r="R33" s="46">
        <v>6.1</v>
      </c>
      <c r="S33" s="46">
        <v>6.1</v>
      </c>
      <c r="T33" s="46">
        <v>6.1</v>
      </c>
      <c r="U33" s="46">
        <v>6.1</v>
      </c>
      <c r="V33" s="46">
        <v>6.1</v>
      </c>
      <c r="W33" s="46">
        <v>6.1</v>
      </c>
      <c r="X33" s="46">
        <v>6.1</v>
      </c>
      <c r="Y33" s="46">
        <v>6.1</v>
      </c>
      <c r="Z33" s="46">
        <v>6.1</v>
      </c>
      <c r="AA33" s="46">
        <v>6.1</v>
      </c>
      <c r="AB33" s="46">
        <v>6.1</v>
      </c>
      <c r="AC33" s="46">
        <v>6.1</v>
      </c>
      <c r="AD33" s="46">
        <v>6.1</v>
      </c>
      <c r="AE33" s="46">
        <v>6.1</v>
      </c>
      <c r="AF33" s="46">
        <v>6.1</v>
      </c>
      <c r="AG33" s="50">
        <v>23.5</v>
      </c>
      <c r="AH33" s="48">
        <f t="shared" si="2"/>
        <v>11.5</v>
      </c>
      <c r="AI33" s="49">
        <f t="shared" si="3"/>
        <v>6.1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10.1</v>
      </c>
      <c r="C37" s="46">
        <v>10.1</v>
      </c>
      <c r="D37" s="46">
        <v>10.1</v>
      </c>
      <c r="E37" s="46">
        <v>10.1</v>
      </c>
      <c r="F37" s="46">
        <v>10.1</v>
      </c>
      <c r="G37" s="46">
        <v>10.1</v>
      </c>
      <c r="H37" s="46">
        <v>10.1</v>
      </c>
      <c r="I37" s="46">
        <v>10.1</v>
      </c>
      <c r="J37" s="46">
        <v>10.1</v>
      </c>
      <c r="K37" s="46">
        <v>10.1</v>
      </c>
      <c r="L37" s="46">
        <v>10.1</v>
      </c>
      <c r="M37" s="46">
        <v>10.1</v>
      </c>
      <c r="N37" s="46">
        <v>10.1</v>
      </c>
      <c r="O37" s="46">
        <v>10.1</v>
      </c>
      <c r="P37" s="46">
        <v>10.1</v>
      </c>
      <c r="Q37" s="46">
        <v>5.0999999999999996</v>
      </c>
      <c r="R37" s="46">
        <v>5.0999999999999996</v>
      </c>
      <c r="S37" s="46">
        <v>5.0999999999999996</v>
      </c>
      <c r="T37" s="46">
        <v>5.0999999999999996</v>
      </c>
      <c r="U37" s="46">
        <v>5.0999999999999996</v>
      </c>
      <c r="V37" s="46">
        <v>5.0999999999999996</v>
      </c>
      <c r="W37" s="46">
        <v>5.0999999999999996</v>
      </c>
      <c r="X37" s="46">
        <v>5.0999999999999996</v>
      </c>
      <c r="Y37" s="46">
        <v>5.0999999999999996</v>
      </c>
      <c r="Z37" s="46">
        <v>5.0999999999999996</v>
      </c>
      <c r="AA37" s="46">
        <v>5.0999999999999996</v>
      </c>
      <c r="AB37" s="46">
        <v>5.0999999999999996</v>
      </c>
      <c r="AC37" s="46">
        <v>5.0999999999999996</v>
      </c>
      <c r="AD37" s="46">
        <v>5.0999999999999996</v>
      </c>
      <c r="AE37" s="46">
        <v>5.0999999999999996</v>
      </c>
      <c r="AF37" s="46">
        <v>5.0999999999999996</v>
      </c>
      <c r="AG37" s="50">
        <v>22</v>
      </c>
      <c r="AH37" s="48">
        <f t="shared" si="2"/>
        <v>10.1</v>
      </c>
      <c r="AI37" s="49">
        <f t="shared" si="3"/>
        <v>5.0999999999999996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19.5</v>
      </c>
      <c r="C38" s="46">
        <v>19.5</v>
      </c>
      <c r="D38" s="46">
        <v>19.5</v>
      </c>
      <c r="E38" s="46">
        <v>19.5</v>
      </c>
      <c r="F38" s="46">
        <v>19.5</v>
      </c>
      <c r="G38" s="46">
        <v>19.5</v>
      </c>
      <c r="H38" s="46">
        <v>19.5</v>
      </c>
      <c r="I38" s="46">
        <v>19.5</v>
      </c>
      <c r="J38" s="46">
        <v>19.5</v>
      </c>
      <c r="K38" s="46">
        <v>19.5</v>
      </c>
      <c r="L38" s="46">
        <v>19.5</v>
      </c>
      <c r="M38" s="46">
        <v>19.5</v>
      </c>
      <c r="N38" s="46">
        <v>19.5</v>
      </c>
      <c r="O38" s="46">
        <v>19.5</v>
      </c>
      <c r="P38" s="46">
        <v>19.5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19.5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0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12.1</v>
      </c>
      <c r="C40" s="46">
        <v>12.1</v>
      </c>
      <c r="D40" s="46">
        <v>12.1</v>
      </c>
      <c r="E40" s="46">
        <v>12.1</v>
      </c>
      <c r="F40" s="46">
        <v>12.1</v>
      </c>
      <c r="G40" s="46">
        <v>12.1</v>
      </c>
      <c r="H40" s="46">
        <v>12.1</v>
      </c>
      <c r="I40" s="46">
        <v>12.1</v>
      </c>
      <c r="J40" s="46">
        <v>12.1</v>
      </c>
      <c r="K40" s="46">
        <v>12.1</v>
      </c>
      <c r="L40" s="46">
        <v>12.1</v>
      </c>
      <c r="M40" s="46">
        <v>12.1</v>
      </c>
      <c r="N40" s="46">
        <v>12.1</v>
      </c>
      <c r="O40" s="46">
        <v>12.1</v>
      </c>
      <c r="P40" s="46">
        <v>12.1</v>
      </c>
      <c r="Q40" s="46">
        <v>13.3</v>
      </c>
      <c r="R40" s="46">
        <v>13.3</v>
      </c>
      <c r="S40" s="46">
        <v>13.3</v>
      </c>
      <c r="T40" s="46">
        <v>13.3</v>
      </c>
      <c r="U40" s="46">
        <v>13.3</v>
      </c>
      <c r="V40" s="46">
        <v>13.3</v>
      </c>
      <c r="W40" s="46">
        <v>13.3</v>
      </c>
      <c r="X40" s="46">
        <v>13.3</v>
      </c>
      <c r="Y40" s="46">
        <v>13.3</v>
      </c>
      <c r="Z40" s="46">
        <v>13.3</v>
      </c>
      <c r="AA40" s="46">
        <v>13.3</v>
      </c>
      <c r="AB40" s="46">
        <v>13.3</v>
      </c>
      <c r="AC40" s="46">
        <v>13.3</v>
      </c>
      <c r="AD40" s="46">
        <v>0</v>
      </c>
      <c r="AE40" s="46">
        <v>13.3</v>
      </c>
      <c r="AF40" s="46">
        <v>13.3</v>
      </c>
      <c r="AG40" s="50">
        <v>18</v>
      </c>
      <c r="AH40" s="48">
        <f t="shared" si="2"/>
        <v>13.3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2.7</v>
      </c>
      <c r="C46" s="46">
        <v>2.7</v>
      </c>
      <c r="D46" s="46">
        <v>2.7</v>
      </c>
      <c r="E46" s="46">
        <v>2.7</v>
      </c>
      <c r="F46" s="46">
        <v>2.7</v>
      </c>
      <c r="G46" s="46">
        <v>2.7</v>
      </c>
      <c r="H46" s="46">
        <v>2.7</v>
      </c>
      <c r="I46" s="46">
        <v>2.7</v>
      </c>
      <c r="J46" s="46">
        <v>2.7</v>
      </c>
      <c r="K46" s="46">
        <v>2.7</v>
      </c>
      <c r="L46" s="46">
        <v>2.7</v>
      </c>
      <c r="M46" s="46">
        <v>2.7</v>
      </c>
      <c r="N46" s="46">
        <v>2.7</v>
      </c>
      <c r="O46" s="46">
        <v>2.7</v>
      </c>
      <c r="P46" s="46">
        <v>2.7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0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2.7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0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12</v>
      </c>
      <c r="C50" s="46">
        <v>12</v>
      </c>
      <c r="D50" s="46">
        <v>12</v>
      </c>
      <c r="E50" s="46">
        <v>12</v>
      </c>
      <c r="F50" s="46">
        <v>12</v>
      </c>
      <c r="G50" s="46">
        <v>12</v>
      </c>
      <c r="H50" s="46">
        <v>12</v>
      </c>
      <c r="I50" s="46">
        <v>12</v>
      </c>
      <c r="J50" s="46">
        <v>12</v>
      </c>
      <c r="K50" s="46">
        <v>12</v>
      </c>
      <c r="L50" s="46">
        <v>12</v>
      </c>
      <c r="M50" s="46">
        <v>12</v>
      </c>
      <c r="N50" s="46">
        <v>12</v>
      </c>
      <c r="O50" s="46">
        <v>12</v>
      </c>
      <c r="P50" s="46">
        <v>12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0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12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0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0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93</v>
      </c>
      <c r="C60" s="68">
        <v>93</v>
      </c>
      <c r="D60" s="68">
        <v>93</v>
      </c>
      <c r="E60" s="68">
        <v>93</v>
      </c>
      <c r="F60" s="68">
        <v>93</v>
      </c>
      <c r="G60" s="68">
        <v>93</v>
      </c>
      <c r="H60" s="68">
        <v>93</v>
      </c>
      <c r="I60" s="68">
        <v>93</v>
      </c>
      <c r="J60" s="68">
        <v>93</v>
      </c>
      <c r="K60" s="68">
        <v>86</v>
      </c>
      <c r="L60" s="68">
        <v>86</v>
      </c>
      <c r="M60" s="68">
        <v>86</v>
      </c>
      <c r="N60" s="68">
        <v>86</v>
      </c>
      <c r="O60" s="68">
        <v>86</v>
      </c>
      <c r="P60" s="53">
        <f>37.4+48.8</f>
        <v>86.199999999999989</v>
      </c>
      <c r="Q60" s="53">
        <f>37.5+49.5</f>
        <v>87</v>
      </c>
      <c r="R60" s="53">
        <f>37.5+49.5</f>
        <v>87</v>
      </c>
      <c r="S60" s="53">
        <f>37.5+49.5</f>
        <v>87</v>
      </c>
      <c r="T60" s="53">
        <v>88.9</v>
      </c>
      <c r="U60" s="53">
        <v>88.9</v>
      </c>
      <c r="V60" s="53">
        <v>92.6</v>
      </c>
      <c r="W60" s="53">
        <v>89.6</v>
      </c>
      <c r="X60" s="53">
        <v>88.9</v>
      </c>
      <c r="Y60" s="53">
        <v>88.9</v>
      </c>
      <c r="Z60" s="53">
        <v>88.9</v>
      </c>
      <c r="AA60" s="68">
        <v>85.1</v>
      </c>
      <c r="AB60" s="68">
        <v>85.1</v>
      </c>
      <c r="AC60" s="68">
        <v>91</v>
      </c>
      <c r="AD60" s="68">
        <v>91</v>
      </c>
      <c r="AE60" s="68">
        <v>91</v>
      </c>
      <c r="AF60" s="68">
        <v>91</v>
      </c>
      <c r="AG60" s="66">
        <v>240</v>
      </c>
      <c r="AH60" s="48">
        <f t="shared" si="2"/>
        <v>93</v>
      </c>
      <c r="AI60" s="49">
        <f t="shared" si="3"/>
        <v>85.1</v>
      </c>
      <c r="AK60" s="51"/>
    </row>
    <row r="61" spans="1:88" ht="15.75" thickBot="1" x14ac:dyDescent="0.3">
      <c r="A61" s="70" t="s">
        <v>75</v>
      </c>
      <c r="B61" s="71">
        <f t="shared" ref="B61:C61" si="20">SUM(B11:B59)</f>
        <v>788.50000000000011</v>
      </c>
      <c r="C61" s="71">
        <f t="shared" si="20"/>
        <v>788.50000000000011</v>
      </c>
      <c r="D61" s="71">
        <f t="shared" ref="D61" si="21">SUM(D11:D59)</f>
        <v>788.50000000000011</v>
      </c>
      <c r="E61" s="71">
        <f t="shared" ref="E61:AG61" si="22">SUM(E11:E59)</f>
        <v>788.50000000000011</v>
      </c>
      <c r="F61" s="71">
        <f t="shared" si="22"/>
        <v>788.50000000000011</v>
      </c>
      <c r="G61" s="71">
        <f t="shared" si="22"/>
        <v>788.50000000000011</v>
      </c>
      <c r="H61" s="71">
        <f t="shared" si="22"/>
        <v>788.50000000000011</v>
      </c>
      <c r="I61" s="71">
        <f t="shared" si="22"/>
        <v>788.50000000000011</v>
      </c>
      <c r="J61" s="71">
        <f t="shared" si="22"/>
        <v>786.4</v>
      </c>
      <c r="K61" s="71">
        <f t="shared" si="22"/>
        <v>786.4</v>
      </c>
      <c r="L61" s="71">
        <f t="shared" si="22"/>
        <v>786.4</v>
      </c>
      <c r="M61" s="71">
        <f t="shared" si="22"/>
        <v>794.4</v>
      </c>
      <c r="N61" s="71">
        <f t="shared" si="22"/>
        <v>794.4</v>
      </c>
      <c r="O61" s="71">
        <f t="shared" si="22"/>
        <v>794.4</v>
      </c>
      <c r="P61" s="71">
        <f t="shared" si="22"/>
        <v>794.4</v>
      </c>
      <c r="Q61" s="71">
        <f t="shared" si="22"/>
        <v>760.2</v>
      </c>
      <c r="R61" s="71">
        <f t="shared" si="22"/>
        <v>760.2</v>
      </c>
      <c r="S61" s="71">
        <f t="shared" ref="S61:T61" si="23">SUM(S11:S59)</f>
        <v>760.2</v>
      </c>
      <c r="T61" s="71">
        <f t="shared" si="23"/>
        <v>760.2</v>
      </c>
      <c r="U61" s="71">
        <f t="shared" ref="U61:V61" si="24">SUM(U11:U59)</f>
        <v>760.2</v>
      </c>
      <c r="V61" s="71">
        <f t="shared" si="24"/>
        <v>760.2</v>
      </c>
      <c r="W61" s="71">
        <f t="shared" ref="W61:X61" si="25">SUM(W11:W59)</f>
        <v>760.2</v>
      </c>
      <c r="X61" s="71">
        <f t="shared" si="25"/>
        <v>760.2</v>
      </c>
      <c r="Y61" s="71">
        <f t="shared" ref="Y61:AA61" si="26">SUM(Y11:Y59)</f>
        <v>760.2</v>
      </c>
      <c r="Z61" s="71">
        <f t="shared" si="26"/>
        <v>760.2</v>
      </c>
      <c r="AA61" s="71">
        <f t="shared" si="26"/>
        <v>760.2</v>
      </c>
      <c r="AB61" s="71">
        <f t="shared" si="22"/>
        <v>785.19999999999993</v>
      </c>
      <c r="AC61" s="71">
        <f t="shared" si="22"/>
        <v>785.19999999999993</v>
      </c>
      <c r="AD61" s="71">
        <f t="shared" si="22"/>
        <v>632.20000000000005</v>
      </c>
      <c r="AE61" s="71">
        <f t="shared" si="22"/>
        <v>785.19999999999993</v>
      </c>
      <c r="AF61" s="71">
        <f t="shared" si="22"/>
        <v>785.19999999999993</v>
      </c>
      <c r="AG61" s="71">
        <f t="shared" si="22"/>
        <v>1466.0300000000002</v>
      </c>
      <c r="AH61" s="48">
        <f t="shared" si="2"/>
        <v>794.4</v>
      </c>
      <c r="AI61" s="49">
        <f t="shared" si="3"/>
        <v>632.20000000000005</v>
      </c>
      <c r="AK61" s="51"/>
    </row>
    <row r="62" spans="1:88" x14ac:dyDescent="0.25">
      <c r="A62" s="73" t="s">
        <v>76</v>
      </c>
      <c r="B62" s="46">
        <v>458</v>
      </c>
      <c r="C62" s="46">
        <v>458</v>
      </c>
      <c r="D62" s="46">
        <v>458</v>
      </c>
      <c r="E62" s="46">
        <v>458</v>
      </c>
      <c r="F62" s="46">
        <v>458</v>
      </c>
      <c r="G62" s="46">
        <v>458</v>
      </c>
      <c r="H62" s="46">
        <v>415.8</v>
      </c>
      <c r="I62" s="46">
        <v>458</v>
      </c>
      <c r="J62" s="46">
        <v>410</v>
      </c>
      <c r="K62" s="46">
        <v>458</v>
      </c>
      <c r="L62" s="46">
        <v>458</v>
      </c>
      <c r="M62" s="46">
        <v>460</v>
      </c>
      <c r="N62" s="46">
        <v>460</v>
      </c>
      <c r="O62" s="46">
        <v>460</v>
      </c>
      <c r="P62" s="74">
        <v>458.3</v>
      </c>
      <c r="Q62" s="74">
        <v>434.1</v>
      </c>
      <c r="R62" s="74">
        <v>416</v>
      </c>
      <c r="S62" s="74">
        <v>458.3</v>
      </c>
      <c r="T62" s="74">
        <v>458.3</v>
      </c>
      <c r="U62" s="74">
        <v>458.3</v>
      </c>
      <c r="V62" s="74">
        <v>229.3</v>
      </c>
      <c r="W62" s="74">
        <v>126.2</v>
      </c>
      <c r="X62" s="74">
        <v>127</v>
      </c>
      <c r="Y62" s="74">
        <v>380</v>
      </c>
      <c r="Z62" s="74">
        <v>392.2</v>
      </c>
      <c r="AA62" s="46">
        <v>457.8</v>
      </c>
      <c r="AB62" s="46">
        <v>457</v>
      </c>
      <c r="AC62" s="46">
        <v>458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2"/>
        <v>460</v>
      </c>
      <c r="AI62" s="49">
        <f t="shared" si="3"/>
        <v>126.2</v>
      </c>
      <c r="AK62" s="51"/>
    </row>
    <row r="63" spans="1:88" x14ac:dyDescent="0.25">
      <c r="A63" s="75" t="s">
        <v>77</v>
      </c>
      <c r="B63" s="76">
        <v>31.2</v>
      </c>
      <c r="C63" s="76">
        <v>31.2</v>
      </c>
      <c r="D63" s="76">
        <v>31.2</v>
      </c>
      <c r="E63" s="76">
        <v>31.2</v>
      </c>
      <c r="F63" s="76">
        <v>31.2</v>
      </c>
      <c r="G63" s="76">
        <v>31.2</v>
      </c>
      <c r="H63" s="76">
        <v>31.2</v>
      </c>
      <c r="I63" s="76">
        <v>31.2</v>
      </c>
      <c r="J63" s="76">
        <v>31.2</v>
      </c>
      <c r="K63" s="76">
        <v>31.2</v>
      </c>
      <c r="L63" s="76">
        <v>31.2</v>
      </c>
      <c r="M63" s="76">
        <v>31.2</v>
      </c>
      <c r="N63" s="76">
        <v>31.2</v>
      </c>
      <c r="O63" s="76">
        <v>31.2</v>
      </c>
      <c r="P63" s="76">
        <v>31.2</v>
      </c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27.3</v>
      </c>
      <c r="AC63" s="76">
        <v>28.5</v>
      </c>
      <c r="AD63" s="76">
        <v>28.5</v>
      </c>
      <c r="AE63" s="76">
        <v>28.5</v>
      </c>
      <c r="AF63" s="76">
        <v>28.5</v>
      </c>
      <c r="AG63" s="66">
        <v>60</v>
      </c>
      <c r="AH63" s="48">
        <f t="shared" si="2"/>
        <v>31.2</v>
      </c>
      <c r="AI63" s="49">
        <f t="shared" si="3"/>
        <v>27.3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0</v>
      </c>
      <c r="X64" s="78">
        <v>9.8000000000000007</v>
      </c>
      <c r="Y64" s="78">
        <v>9.8000000000000007</v>
      </c>
      <c r="Z64" s="78">
        <v>9.8000000000000007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C65" si="27">SUM(B62:B64)</f>
        <v>511.7</v>
      </c>
      <c r="C65" s="71">
        <f t="shared" si="27"/>
        <v>511.7</v>
      </c>
      <c r="D65" s="71">
        <f t="shared" ref="D65" si="28">SUM(D62:D64)</f>
        <v>511.7</v>
      </c>
      <c r="E65" s="71">
        <f t="shared" ref="E65:AG65" si="29">SUM(E62:E64)</f>
        <v>511.7</v>
      </c>
      <c r="F65" s="71">
        <f t="shared" si="29"/>
        <v>511.7</v>
      </c>
      <c r="G65" s="71">
        <f t="shared" si="29"/>
        <v>511.7</v>
      </c>
      <c r="H65" s="71">
        <f t="shared" si="29"/>
        <v>469.5</v>
      </c>
      <c r="I65" s="71">
        <f t="shared" si="29"/>
        <v>511.7</v>
      </c>
      <c r="J65" s="71">
        <f t="shared" si="29"/>
        <v>463.7</v>
      </c>
      <c r="K65" s="71">
        <f t="shared" si="29"/>
        <v>511.7</v>
      </c>
      <c r="L65" s="71">
        <f t="shared" si="29"/>
        <v>511.7</v>
      </c>
      <c r="M65" s="71">
        <f t="shared" si="29"/>
        <v>513.70000000000005</v>
      </c>
      <c r="N65" s="71">
        <f t="shared" si="29"/>
        <v>513.70000000000005</v>
      </c>
      <c r="O65" s="71">
        <f t="shared" si="29"/>
        <v>513.70000000000005</v>
      </c>
      <c r="P65" s="71">
        <f t="shared" si="29"/>
        <v>512.1</v>
      </c>
      <c r="Q65" s="71">
        <f t="shared" si="29"/>
        <v>487.90000000000003</v>
      </c>
      <c r="R65" s="71">
        <f t="shared" si="29"/>
        <v>469.8</v>
      </c>
      <c r="S65" s="71">
        <f t="shared" ref="S65:T65" si="30">SUM(S62:S64)</f>
        <v>512.1</v>
      </c>
      <c r="T65" s="71">
        <f t="shared" si="30"/>
        <v>512.1</v>
      </c>
      <c r="U65" s="71">
        <f t="shared" ref="U65:V65" si="31">SUM(U62:U64)</f>
        <v>512.1</v>
      </c>
      <c r="V65" s="71">
        <f t="shared" si="31"/>
        <v>283.10000000000002</v>
      </c>
      <c r="W65" s="71">
        <f t="shared" ref="W65:X65" si="32">SUM(W62:W64)</f>
        <v>157.4</v>
      </c>
      <c r="X65" s="71">
        <f t="shared" si="32"/>
        <v>168</v>
      </c>
      <c r="Y65" s="71">
        <f t="shared" ref="Y65:AA65" si="33">SUM(Y62:Y64)</f>
        <v>421</v>
      </c>
      <c r="Z65" s="71">
        <f t="shared" si="33"/>
        <v>433.2</v>
      </c>
      <c r="AA65" s="71">
        <f t="shared" si="33"/>
        <v>511.6</v>
      </c>
      <c r="AB65" s="71">
        <f t="shared" si="29"/>
        <v>506.90000000000003</v>
      </c>
      <c r="AC65" s="71">
        <f t="shared" si="29"/>
        <v>509.1</v>
      </c>
      <c r="AD65" s="71">
        <f t="shared" si="29"/>
        <v>509.1</v>
      </c>
      <c r="AE65" s="71">
        <f t="shared" si="29"/>
        <v>509.1</v>
      </c>
      <c r="AF65" s="71">
        <f t="shared" si="29"/>
        <v>509.1</v>
      </c>
      <c r="AG65" s="72">
        <f t="shared" si="29"/>
        <v>538.1</v>
      </c>
      <c r="AH65" s="48">
        <f t="shared" si="2"/>
        <v>513.70000000000005</v>
      </c>
      <c r="AI65" s="49">
        <f t="shared" si="3"/>
        <v>157.4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145.9</v>
      </c>
      <c r="C66" s="46">
        <v>145.9</v>
      </c>
      <c r="D66" s="46">
        <v>145.9</v>
      </c>
      <c r="E66" s="46">
        <v>145.9</v>
      </c>
      <c r="F66" s="46">
        <v>145.9</v>
      </c>
      <c r="G66" s="46">
        <v>145.9</v>
      </c>
      <c r="H66" s="46">
        <v>145.9</v>
      </c>
      <c r="I66" s="46">
        <v>145.9</v>
      </c>
      <c r="J66" s="46">
        <v>146</v>
      </c>
      <c r="K66" s="46">
        <v>146</v>
      </c>
      <c r="L66" s="46">
        <v>146</v>
      </c>
      <c r="M66" s="46">
        <v>148</v>
      </c>
      <c r="N66" s="46">
        <v>148</v>
      </c>
      <c r="O66" s="46">
        <v>148</v>
      </c>
      <c r="P66" s="46">
        <v>148.30000000000001</v>
      </c>
      <c r="Q66" s="46">
        <v>148.5</v>
      </c>
      <c r="R66" s="46">
        <v>148.5</v>
      </c>
      <c r="S66" s="46">
        <v>148.5</v>
      </c>
      <c r="T66" s="46">
        <v>148.5</v>
      </c>
      <c r="U66" s="46">
        <v>148.5</v>
      </c>
      <c r="V66" s="46">
        <v>148.5</v>
      </c>
      <c r="W66" s="46">
        <v>148.5</v>
      </c>
      <c r="X66" s="46">
        <v>148.5</v>
      </c>
      <c r="Y66" s="46">
        <v>148.5</v>
      </c>
      <c r="Z66" s="46">
        <v>148.5</v>
      </c>
      <c r="AA66" s="46">
        <v>148.5</v>
      </c>
      <c r="AB66" s="46">
        <v>148.5</v>
      </c>
      <c r="AC66" s="46">
        <v>145.5</v>
      </c>
      <c r="AD66" s="46">
        <v>0</v>
      </c>
      <c r="AE66" s="46">
        <v>145.5</v>
      </c>
      <c r="AF66" s="46">
        <v>145.5</v>
      </c>
      <c r="AG66" s="61">
        <v>144</v>
      </c>
      <c r="AH66" s="48">
        <f t="shared" si="2"/>
        <v>148.5</v>
      </c>
      <c r="AI66" s="49">
        <f t="shared" si="3"/>
        <v>0</v>
      </c>
      <c r="AK66" s="51"/>
      <c r="AY66" s="1" t="s">
        <v>86</v>
      </c>
      <c r="AZ66" s="82">
        <f>ROUND(C84,0)</f>
        <v>24</v>
      </c>
      <c r="BA66" s="81">
        <f t="shared" ref="BA66:BD70" si="34">D84</f>
        <v>25</v>
      </c>
      <c r="BB66" s="81">
        <f t="shared" si="34"/>
        <v>26.8</v>
      </c>
      <c r="BC66" s="81">
        <f t="shared" si="34"/>
        <v>24.8</v>
      </c>
      <c r="BD66" s="81">
        <f t="shared" si="34"/>
        <v>23</v>
      </c>
      <c r="BE66" s="82">
        <f>I84</f>
        <v>15</v>
      </c>
      <c r="BF66" s="82">
        <f>K84</f>
        <v>49</v>
      </c>
      <c r="BG66" s="82">
        <f t="shared" ref="BG66:BP70" si="35">M84</f>
        <v>69</v>
      </c>
      <c r="BH66" s="82">
        <f t="shared" si="35"/>
        <v>52</v>
      </c>
      <c r="BI66" s="82">
        <f t="shared" si="35"/>
        <v>68</v>
      </c>
      <c r="BJ66" s="82">
        <f t="shared" si="35"/>
        <v>54.5</v>
      </c>
      <c r="BK66" s="82">
        <f t="shared" si="35"/>
        <v>58.4</v>
      </c>
      <c r="BL66" s="82">
        <f t="shared" si="35"/>
        <v>56.4</v>
      </c>
      <c r="BM66" s="82">
        <f t="shared" si="35"/>
        <v>69</v>
      </c>
      <c r="BN66" s="82">
        <f t="shared" si="35"/>
        <v>69.400000000000006</v>
      </c>
      <c r="BO66" s="82">
        <f t="shared" si="35"/>
        <v>74.5</v>
      </c>
      <c r="BP66" s="82">
        <f t="shared" si="35"/>
        <v>70.900000000000006</v>
      </c>
      <c r="BQ66" s="82">
        <f>X84</f>
        <v>67.7</v>
      </c>
      <c r="BR66" s="82">
        <f>Z84</f>
        <v>32.1</v>
      </c>
      <c r="BS66" s="81">
        <f>AB84</f>
        <v>37.9</v>
      </c>
      <c r="BT66" s="81">
        <f t="shared" ref="BT66:BV70" si="36">AD84</f>
        <v>60</v>
      </c>
      <c r="BU66" s="81">
        <f t="shared" si="36"/>
        <v>32</v>
      </c>
      <c r="BV66" s="81">
        <f t="shared" si="36"/>
        <v>31.5</v>
      </c>
      <c r="BW66" s="81">
        <f>B84</f>
        <v>28</v>
      </c>
    </row>
    <row r="67" spans="1:75" x14ac:dyDescent="0.25">
      <c r="A67" s="65" t="s">
        <v>81</v>
      </c>
      <c r="B67" s="76">
        <v>69.400000000000006</v>
      </c>
      <c r="C67" s="76">
        <v>69.400000000000006</v>
      </c>
      <c r="D67" s="76">
        <v>69.400000000000006</v>
      </c>
      <c r="E67" s="76">
        <v>69.400000000000006</v>
      </c>
      <c r="F67" s="76">
        <v>69.400000000000006</v>
      </c>
      <c r="G67" s="76">
        <v>69.400000000000006</v>
      </c>
      <c r="H67" s="76">
        <v>69.400000000000006</v>
      </c>
      <c r="I67" s="76">
        <v>69.400000000000006</v>
      </c>
      <c r="J67" s="76">
        <v>69.400000000000006</v>
      </c>
      <c r="K67" s="76">
        <v>69.400000000000006</v>
      </c>
      <c r="L67" s="76">
        <v>69.400000000000006</v>
      </c>
      <c r="M67" s="76">
        <v>70</v>
      </c>
      <c r="N67" s="76">
        <v>70</v>
      </c>
      <c r="O67" s="76">
        <v>70</v>
      </c>
      <c r="P67" s="76">
        <v>71.099999999999994</v>
      </c>
      <c r="Q67" s="76">
        <v>70.5</v>
      </c>
      <c r="R67" s="76">
        <v>70.5</v>
      </c>
      <c r="S67" s="76">
        <v>70.5</v>
      </c>
      <c r="T67" s="76">
        <v>70.5</v>
      </c>
      <c r="U67" s="76">
        <v>70.5</v>
      </c>
      <c r="V67" s="76">
        <v>70.5</v>
      </c>
      <c r="W67" s="76">
        <v>70.5</v>
      </c>
      <c r="X67" s="76">
        <v>70.5</v>
      </c>
      <c r="Y67" s="76">
        <v>70.5</v>
      </c>
      <c r="Z67" s="76">
        <v>70.5</v>
      </c>
      <c r="AA67" s="46">
        <v>70.5</v>
      </c>
      <c r="AB67" s="46">
        <v>70.5</v>
      </c>
      <c r="AC67" s="46">
        <v>69.5</v>
      </c>
      <c r="AD67" s="46">
        <v>69.5</v>
      </c>
      <c r="AE67" s="46">
        <v>69.5</v>
      </c>
      <c r="AF67" s="46">
        <v>69.5</v>
      </c>
      <c r="AG67" s="66">
        <v>70</v>
      </c>
      <c r="AH67" s="48">
        <f t="shared" si="2"/>
        <v>71.099999999999994</v>
      </c>
      <c r="AI67" s="49">
        <f t="shared" si="3"/>
        <v>69.400000000000006</v>
      </c>
      <c r="AK67" s="51"/>
      <c r="AY67" s="1" t="s">
        <v>88</v>
      </c>
      <c r="AZ67" s="82">
        <f>ROUND(C85,0)</f>
        <v>0</v>
      </c>
      <c r="BA67" s="81">
        <f t="shared" si="34"/>
        <v>0</v>
      </c>
      <c r="BB67" s="81">
        <f t="shared" si="34"/>
        <v>0</v>
      </c>
      <c r="BC67" s="81">
        <f t="shared" si="34"/>
        <v>0</v>
      </c>
      <c r="BD67" s="81">
        <f t="shared" si="34"/>
        <v>0</v>
      </c>
      <c r="BE67" s="82">
        <f>I85</f>
        <v>0</v>
      </c>
      <c r="BF67" s="82">
        <f>K85</f>
        <v>0</v>
      </c>
      <c r="BG67" s="82">
        <f t="shared" si="35"/>
        <v>0</v>
      </c>
      <c r="BH67" s="82">
        <f t="shared" si="35"/>
        <v>0</v>
      </c>
      <c r="BI67" s="82">
        <f t="shared" si="35"/>
        <v>0</v>
      </c>
      <c r="BJ67" s="82">
        <f t="shared" si="35"/>
        <v>0</v>
      </c>
      <c r="BK67" s="82">
        <f t="shared" si="35"/>
        <v>0</v>
      </c>
      <c r="BL67" s="82">
        <f t="shared" si="35"/>
        <v>0</v>
      </c>
      <c r="BM67" s="82">
        <f t="shared" si="35"/>
        <v>0</v>
      </c>
      <c r="BN67" s="82">
        <f t="shared" si="35"/>
        <v>0</v>
      </c>
      <c r="BO67" s="82">
        <f t="shared" si="35"/>
        <v>0</v>
      </c>
      <c r="BP67" s="82">
        <f t="shared" si="3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6"/>
        <v>0</v>
      </c>
      <c r="BU67" s="81">
        <f t="shared" si="36"/>
        <v>0</v>
      </c>
      <c r="BV67" s="81">
        <f t="shared" si="36"/>
        <v>0</v>
      </c>
      <c r="BW67" s="81">
        <f>B85</f>
        <v>0</v>
      </c>
    </row>
    <row r="68" spans="1:75" x14ac:dyDescent="0.25">
      <c r="A68" s="65" t="s">
        <v>82</v>
      </c>
      <c r="B68" s="76">
        <v>68.400000000000006</v>
      </c>
      <c r="C68" s="76">
        <v>68.400000000000006</v>
      </c>
      <c r="D68" s="76">
        <v>68.400000000000006</v>
      </c>
      <c r="E68" s="76">
        <v>68.400000000000006</v>
      </c>
      <c r="F68" s="76">
        <v>68.400000000000006</v>
      </c>
      <c r="G68" s="76">
        <v>68.400000000000006</v>
      </c>
      <c r="H68" s="76">
        <v>68.400000000000006</v>
      </c>
      <c r="I68" s="76">
        <v>68.400000000000006</v>
      </c>
      <c r="J68" s="76">
        <v>68.400000000000006</v>
      </c>
      <c r="K68" s="76">
        <v>68.400000000000006</v>
      </c>
      <c r="L68" s="76">
        <v>68.400000000000006</v>
      </c>
      <c r="M68" s="76">
        <v>67</v>
      </c>
      <c r="N68" s="76">
        <v>67</v>
      </c>
      <c r="O68" s="76">
        <v>67</v>
      </c>
      <c r="P68" s="76">
        <v>67.3</v>
      </c>
      <c r="Q68" s="76">
        <v>68</v>
      </c>
      <c r="R68" s="76">
        <v>68</v>
      </c>
      <c r="S68" s="76">
        <v>68</v>
      </c>
      <c r="T68" s="76">
        <v>68</v>
      </c>
      <c r="U68" s="76">
        <v>68</v>
      </c>
      <c r="V68" s="76">
        <v>68</v>
      </c>
      <c r="W68" s="76">
        <v>68</v>
      </c>
      <c r="X68" s="76">
        <v>68</v>
      </c>
      <c r="Y68" s="76">
        <v>68</v>
      </c>
      <c r="Z68" s="76">
        <v>68</v>
      </c>
      <c r="AA68" s="46">
        <v>68</v>
      </c>
      <c r="AB68" s="46">
        <v>68</v>
      </c>
      <c r="AC68" s="46">
        <v>68</v>
      </c>
      <c r="AD68" s="46">
        <v>68</v>
      </c>
      <c r="AE68" s="46">
        <v>68</v>
      </c>
      <c r="AF68" s="46">
        <v>68</v>
      </c>
      <c r="AG68" s="66">
        <v>69</v>
      </c>
      <c r="AH68" s="48">
        <f t="shared" si="2"/>
        <v>68.400000000000006</v>
      </c>
      <c r="AI68" s="49">
        <f t="shared" si="3"/>
        <v>67</v>
      </c>
      <c r="AK68" s="51"/>
      <c r="AL68" s="83"/>
      <c r="AO68" s="83"/>
      <c r="AY68" s="1" t="s">
        <v>90</v>
      </c>
      <c r="AZ68" s="82">
        <f>ROUND(C86,0)</f>
        <v>-133</v>
      </c>
      <c r="BA68" s="81">
        <f t="shared" si="34"/>
        <v>-145</v>
      </c>
      <c r="BB68" s="81">
        <f t="shared" si="34"/>
        <v>-150.5</v>
      </c>
      <c r="BC68" s="81">
        <f t="shared" si="34"/>
        <v>-170</v>
      </c>
      <c r="BD68" s="81">
        <f t="shared" si="34"/>
        <v>-223</v>
      </c>
      <c r="BE68" s="82">
        <f>I86</f>
        <v>-208</v>
      </c>
      <c r="BF68" s="82">
        <f>K86</f>
        <v>-218</v>
      </c>
      <c r="BG68" s="82">
        <f t="shared" si="35"/>
        <v>-149</v>
      </c>
      <c r="BH68" s="82">
        <f t="shared" si="35"/>
        <v>-163</v>
      </c>
      <c r="BI68" s="82">
        <f t="shared" si="35"/>
        <v>-106</v>
      </c>
      <c r="BJ68" s="82">
        <f t="shared" si="35"/>
        <v>-47.5</v>
      </c>
      <c r="BK68" s="82">
        <f t="shared" si="35"/>
        <v>-66.599999999999994</v>
      </c>
      <c r="BL68" s="82">
        <f t="shared" si="35"/>
        <v>-27</v>
      </c>
      <c r="BM68" s="82">
        <f t="shared" si="35"/>
        <v>-24.6</v>
      </c>
      <c r="BN68" s="82">
        <f t="shared" si="35"/>
        <v>-38.6</v>
      </c>
      <c r="BO68" s="82">
        <f t="shared" si="35"/>
        <v>-33.1</v>
      </c>
      <c r="BP68" s="82">
        <f t="shared" si="35"/>
        <v>22</v>
      </c>
      <c r="BQ68" s="82">
        <f>X86</f>
        <v>39.799999999999997</v>
      </c>
      <c r="BR68" s="82">
        <f>Z86</f>
        <v>-117.7</v>
      </c>
      <c r="BS68" s="81">
        <f>AB86</f>
        <v>-110</v>
      </c>
      <c r="BT68" s="81">
        <f t="shared" si="36"/>
        <v>-50</v>
      </c>
      <c r="BU68" s="81">
        <f t="shared" si="36"/>
        <v>-123</v>
      </c>
      <c r="BV68" s="81">
        <f t="shared" si="36"/>
        <v>-116</v>
      </c>
      <c r="BW68" s="81">
        <f>B86</f>
        <v>-135</v>
      </c>
    </row>
    <row r="69" spans="1:75" s="83" customFormat="1" x14ac:dyDescent="0.25">
      <c r="A69" s="65" t="s">
        <v>83</v>
      </c>
      <c r="B69" s="76">
        <v>60.9</v>
      </c>
      <c r="C69" s="76">
        <v>60.9</v>
      </c>
      <c r="D69" s="76">
        <v>60.9</v>
      </c>
      <c r="E69" s="76">
        <v>60.9</v>
      </c>
      <c r="F69" s="76">
        <v>60.9</v>
      </c>
      <c r="G69" s="76">
        <v>60.9</v>
      </c>
      <c r="H69" s="76">
        <v>60.9</v>
      </c>
      <c r="I69" s="76">
        <v>60.9</v>
      </c>
      <c r="J69" s="76">
        <v>60.9</v>
      </c>
      <c r="K69" s="76">
        <v>60.9</v>
      </c>
      <c r="L69" s="76">
        <v>60.9</v>
      </c>
      <c r="M69" s="76">
        <v>60.9</v>
      </c>
      <c r="N69" s="76">
        <v>60.9</v>
      </c>
      <c r="O69" s="76">
        <v>60.9</v>
      </c>
      <c r="P69" s="76">
        <v>30</v>
      </c>
      <c r="Q69" s="76">
        <v>30</v>
      </c>
      <c r="R69" s="76">
        <v>30</v>
      </c>
      <c r="S69" s="76">
        <v>30</v>
      </c>
      <c r="T69" s="76">
        <v>30</v>
      </c>
      <c r="U69" s="76">
        <v>30</v>
      </c>
      <c r="V69" s="76">
        <v>30</v>
      </c>
      <c r="W69" s="76">
        <v>30</v>
      </c>
      <c r="X69" s="76">
        <v>30</v>
      </c>
      <c r="Y69" s="76">
        <v>30</v>
      </c>
      <c r="Z69" s="76">
        <v>30</v>
      </c>
      <c r="AA69" s="46">
        <v>30</v>
      </c>
      <c r="AB69" s="46">
        <v>30</v>
      </c>
      <c r="AC69" s="46">
        <v>30</v>
      </c>
      <c r="AD69" s="46">
        <v>30</v>
      </c>
      <c r="AE69" s="46">
        <v>30</v>
      </c>
      <c r="AF69" s="46">
        <v>30</v>
      </c>
      <c r="AG69" s="66">
        <v>60</v>
      </c>
      <c r="AH69" s="48">
        <f t="shared" si="2"/>
        <v>60.9</v>
      </c>
      <c r="AI69" s="49">
        <f t="shared" si="3"/>
        <v>30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4"/>
        <v>0</v>
      </c>
      <c r="BB69" s="81">
        <f t="shared" si="34"/>
        <v>0</v>
      </c>
      <c r="BC69" s="81">
        <f t="shared" si="34"/>
        <v>0</v>
      </c>
      <c r="BD69" s="81">
        <f t="shared" si="34"/>
        <v>0</v>
      </c>
      <c r="BE69" s="82">
        <f>I87</f>
        <v>0</v>
      </c>
      <c r="BF69" s="82">
        <f>K87</f>
        <v>35.1</v>
      </c>
      <c r="BG69" s="82">
        <f t="shared" si="35"/>
        <v>38</v>
      </c>
      <c r="BH69" s="82">
        <f t="shared" si="35"/>
        <v>34.799999999999997</v>
      </c>
      <c r="BI69" s="82">
        <f t="shared" si="35"/>
        <v>38</v>
      </c>
      <c r="BJ69" s="82">
        <f t="shared" si="35"/>
        <v>36</v>
      </c>
      <c r="BK69" s="82">
        <f t="shared" si="35"/>
        <v>34.700000000000003</v>
      </c>
      <c r="BL69" s="82">
        <f t="shared" si="35"/>
        <v>31</v>
      </c>
      <c r="BM69" s="82">
        <f t="shared" si="35"/>
        <v>40.4</v>
      </c>
      <c r="BN69" s="82">
        <f t="shared" si="35"/>
        <v>49.7</v>
      </c>
      <c r="BO69" s="82">
        <f t="shared" si="35"/>
        <v>48.3</v>
      </c>
      <c r="BP69" s="82">
        <f t="shared" si="35"/>
        <v>46.1</v>
      </c>
      <c r="BQ69" s="82">
        <f>X87</f>
        <v>22.7</v>
      </c>
      <c r="BR69" s="82">
        <f>Z87</f>
        <v>0</v>
      </c>
      <c r="BS69" s="81">
        <f>AB87</f>
        <v>0</v>
      </c>
      <c r="BT69" s="81">
        <f t="shared" si="36"/>
        <v>0</v>
      </c>
      <c r="BU69" s="81">
        <f t="shared" si="36"/>
        <v>0</v>
      </c>
      <c r="BV69" s="81">
        <f t="shared" si="36"/>
        <v>0</v>
      </c>
      <c r="BW69" s="81">
        <f>B87</f>
        <v>0</v>
      </c>
    </row>
    <row r="70" spans="1:75" x14ac:dyDescent="0.25">
      <c r="A70" s="65" t="s">
        <v>84</v>
      </c>
      <c r="B70" s="46">
        <v>10.6</v>
      </c>
      <c r="C70" s="46">
        <v>10.6</v>
      </c>
      <c r="D70" s="46">
        <v>10.6</v>
      </c>
      <c r="E70" s="46">
        <v>10.6</v>
      </c>
      <c r="F70" s="46">
        <v>10.6</v>
      </c>
      <c r="G70" s="46">
        <v>10.6</v>
      </c>
      <c r="H70" s="46">
        <v>10.6</v>
      </c>
      <c r="I70" s="46">
        <v>10.6</v>
      </c>
      <c r="J70" s="76">
        <v>15</v>
      </c>
      <c r="K70" s="76">
        <v>15</v>
      </c>
      <c r="L70" s="76">
        <v>15</v>
      </c>
      <c r="M70" s="76">
        <v>15</v>
      </c>
      <c r="N70" s="76">
        <v>22</v>
      </c>
      <c r="O70" s="76">
        <v>28</v>
      </c>
      <c r="P70" s="76">
        <v>28.4</v>
      </c>
      <c r="Q70" s="76">
        <v>28</v>
      </c>
      <c r="R70" s="76">
        <v>28</v>
      </c>
      <c r="S70" s="76">
        <v>14.4</v>
      </c>
      <c r="T70" s="76">
        <v>14.4</v>
      </c>
      <c r="U70" s="76">
        <v>14.4</v>
      </c>
      <c r="V70" s="76">
        <v>14.4</v>
      </c>
      <c r="W70" s="76">
        <v>14.4</v>
      </c>
      <c r="X70" s="76">
        <v>14.4</v>
      </c>
      <c r="Y70" s="76">
        <v>14.4</v>
      </c>
      <c r="Z70" s="76">
        <v>14.4</v>
      </c>
      <c r="AA70" s="46">
        <v>14.4</v>
      </c>
      <c r="AB70" s="46">
        <v>14.4</v>
      </c>
      <c r="AC70" s="46">
        <v>14.4</v>
      </c>
      <c r="AD70" s="46">
        <v>14.4</v>
      </c>
      <c r="AE70" s="46">
        <v>14.4</v>
      </c>
      <c r="AF70" s="46">
        <v>14.4</v>
      </c>
      <c r="AG70" s="66">
        <v>30</v>
      </c>
      <c r="AH70" s="48">
        <f t="shared" si="2"/>
        <v>28.4</v>
      </c>
      <c r="AI70" s="49">
        <f t="shared" si="3"/>
        <v>10.6</v>
      </c>
      <c r="AK70" s="51"/>
      <c r="AY70" s="1" t="s">
        <v>94</v>
      </c>
      <c r="AZ70" s="82">
        <f>ROUND(C88,0)</f>
        <v>0</v>
      </c>
      <c r="BA70" s="81">
        <f t="shared" si="34"/>
        <v>0</v>
      </c>
      <c r="BB70" s="81">
        <f t="shared" si="34"/>
        <v>0</v>
      </c>
      <c r="BC70" s="81">
        <f t="shared" si="34"/>
        <v>0</v>
      </c>
      <c r="BD70" s="81">
        <f t="shared" si="34"/>
        <v>0</v>
      </c>
      <c r="BE70" s="82">
        <f>I88</f>
        <v>0</v>
      </c>
      <c r="BF70" s="82">
        <f>K88</f>
        <v>93.6</v>
      </c>
      <c r="BG70" s="82">
        <f t="shared" si="35"/>
        <v>95</v>
      </c>
      <c r="BH70" s="82">
        <f t="shared" si="35"/>
        <v>97.1</v>
      </c>
      <c r="BI70" s="82">
        <f t="shared" si="35"/>
        <v>0</v>
      </c>
      <c r="BJ70" s="82">
        <f t="shared" si="35"/>
        <v>107</v>
      </c>
      <c r="BK70" s="82">
        <f t="shared" si="35"/>
        <v>133.6</v>
      </c>
      <c r="BL70" s="82">
        <f t="shared" si="35"/>
        <v>103</v>
      </c>
      <c r="BM70" s="82">
        <f t="shared" si="35"/>
        <v>102.9</v>
      </c>
      <c r="BN70" s="82">
        <f t="shared" si="35"/>
        <v>129.5</v>
      </c>
      <c r="BO70" s="82">
        <f t="shared" si="35"/>
        <v>116.7</v>
      </c>
      <c r="BP70" s="82">
        <f t="shared" si="35"/>
        <v>110.1</v>
      </c>
      <c r="BQ70" s="82">
        <f>X88</f>
        <v>81.400000000000006</v>
      </c>
      <c r="BR70" s="82">
        <f>Z88</f>
        <v>0</v>
      </c>
      <c r="BS70" s="81">
        <f>AB88</f>
        <v>0</v>
      </c>
      <c r="BT70" s="81">
        <f t="shared" si="36"/>
        <v>0</v>
      </c>
      <c r="BU70" s="81">
        <f t="shared" si="36"/>
        <v>0</v>
      </c>
      <c r="BV70" s="81">
        <f t="shared" si="3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1.8</v>
      </c>
      <c r="K71" s="46">
        <v>3.2</v>
      </c>
      <c r="L71" s="46">
        <v>1.8</v>
      </c>
      <c r="M71" s="46">
        <v>1.8</v>
      </c>
      <c r="N71" s="46">
        <v>1.8</v>
      </c>
      <c r="O71" s="46">
        <v>1.8</v>
      </c>
      <c r="P71" s="76">
        <v>15.5</v>
      </c>
      <c r="Q71" s="76">
        <v>15.1</v>
      </c>
      <c r="R71" s="76">
        <v>15.1</v>
      </c>
      <c r="S71" s="76">
        <v>13.3</v>
      </c>
      <c r="T71" s="76">
        <v>9.8000000000000007</v>
      </c>
      <c r="U71" s="76">
        <v>5.2</v>
      </c>
      <c r="V71" s="76">
        <v>3.1</v>
      </c>
      <c r="W71" s="76">
        <v>1.9</v>
      </c>
      <c r="X71" s="76">
        <v>1.3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15.5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7">M94</f>
        <v>0</v>
      </c>
      <c r="BH71" s="82">
        <f t="shared" si="37"/>
        <v>0</v>
      </c>
      <c r="BI71" s="82">
        <f t="shared" si="37"/>
        <v>0</v>
      </c>
      <c r="BJ71" s="82">
        <f t="shared" si="37"/>
        <v>0</v>
      </c>
      <c r="BK71" s="82">
        <f t="shared" si="37"/>
        <v>0</v>
      </c>
      <c r="BL71" s="82">
        <f t="shared" si="37"/>
        <v>0</v>
      </c>
      <c r="BM71" s="82">
        <f t="shared" si="37"/>
        <v>0</v>
      </c>
      <c r="BN71" s="82">
        <f t="shared" si="37"/>
        <v>0</v>
      </c>
      <c r="BO71" s="82">
        <f t="shared" si="37"/>
        <v>0</v>
      </c>
      <c r="BP71" s="82">
        <f t="shared" si="3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12.8</v>
      </c>
      <c r="C72" s="76">
        <v>12.8</v>
      </c>
      <c r="D72" s="76">
        <v>12.8</v>
      </c>
      <c r="E72" s="76">
        <v>12.8</v>
      </c>
      <c r="F72" s="76">
        <v>12.8</v>
      </c>
      <c r="G72" s="76">
        <v>12.8</v>
      </c>
      <c r="H72" s="76">
        <v>12.8</v>
      </c>
      <c r="I72" s="76">
        <v>12.8</v>
      </c>
      <c r="J72" s="76">
        <v>12.8</v>
      </c>
      <c r="K72" s="76">
        <v>12.8</v>
      </c>
      <c r="L72" s="76">
        <v>12.8</v>
      </c>
      <c r="M72" s="76">
        <v>12.8</v>
      </c>
      <c r="N72" s="76">
        <v>12.8</v>
      </c>
      <c r="O72" s="76">
        <v>12.8</v>
      </c>
      <c r="P72" s="76">
        <v>12.1</v>
      </c>
      <c r="Q72" s="76">
        <v>13.4</v>
      </c>
      <c r="R72" s="76">
        <v>13.4</v>
      </c>
      <c r="S72" s="76">
        <v>13.4</v>
      </c>
      <c r="T72" s="76">
        <v>13.4</v>
      </c>
      <c r="U72" s="76">
        <v>13.4</v>
      </c>
      <c r="V72" s="76">
        <v>13.4</v>
      </c>
      <c r="W72" s="76">
        <v>0</v>
      </c>
      <c r="X72" s="76">
        <v>12.5</v>
      </c>
      <c r="Y72" s="76">
        <v>12.5</v>
      </c>
      <c r="Z72" s="76">
        <v>12.5</v>
      </c>
      <c r="AA72" s="76">
        <v>14.4</v>
      </c>
      <c r="AB72" s="76">
        <v>14.4</v>
      </c>
      <c r="AC72" s="76">
        <v>14.4</v>
      </c>
      <c r="AD72" s="76">
        <v>14.4</v>
      </c>
      <c r="AE72" s="76">
        <v>14.4</v>
      </c>
      <c r="AF72" s="76">
        <v>14.4</v>
      </c>
      <c r="AG72" s="66">
        <v>24</v>
      </c>
      <c r="AH72" s="48">
        <f t="shared" si="2"/>
        <v>14.4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38">VALUE(AZ66)</f>
        <v>24</v>
      </c>
      <c r="BA73" s="82">
        <f t="shared" si="38"/>
        <v>25</v>
      </c>
      <c r="BB73" s="82">
        <f t="shared" si="38"/>
        <v>26.8</v>
      </c>
      <c r="BC73" s="82">
        <f t="shared" si="38"/>
        <v>24.8</v>
      </c>
      <c r="BD73" s="82">
        <f t="shared" si="38"/>
        <v>23</v>
      </c>
      <c r="BE73" s="82">
        <f t="shared" si="38"/>
        <v>15</v>
      </c>
      <c r="BF73" s="82">
        <f t="shared" si="38"/>
        <v>49</v>
      </c>
      <c r="BG73" s="82">
        <f t="shared" si="38"/>
        <v>69</v>
      </c>
      <c r="BH73" s="82">
        <f t="shared" si="38"/>
        <v>52</v>
      </c>
      <c r="BI73" s="82">
        <f t="shared" si="38"/>
        <v>68</v>
      </c>
      <c r="BJ73" s="82">
        <f t="shared" si="38"/>
        <v>54.5</v>
      </c>
      <c r="BK73" s="82">
        <f t="shared" si="38"/>
        <v>58.4</v>
      </c>
      <c r="BL73" s="82">
        <f t="shared" si="38"/>
        <v>56.4</v>
      </c>
      <c r="BM73" s="82">
        <f t="shared" si="38"/>
        <v>69</v>
      </c>
      <c r="BN73" s="82">
        <f t="shared" si="38"/>
        <v>69.400000000000006</v>
      </c>
      <c r="BO73" s="82">
        <f t="shared" si="38"/>
        <v>74.5</v>
      </c>
      <c r="BP73" s="82">
        <f t="shared" si="38"/>
        <v>70.900000000000006</v>
      </c>
      <c r="BQ73" s="82">
        <f t="shared" si="38"/>
        <v>67.7</v>
      </c>
      <c r="BR73" s="82">
        <f t="shared" si="38"/>
        <v>32.1</v>
      </c>
      <c r="BS73" s="82">
        <f t="shared" si="38"/>
        <v>37.9</v>
      </c>
      <c r="BT73" s="82">
        <f t="shared" si="38"/>
        <v>60</v>
      </c>
      <c r="BU73" s="82">
        <f t="shared" si="38"/>
        <v>32</v>
      </c>
      <c r="BV73" s="82">
        <f t="shared" si="38"/>
        <v>31.5</v>
      </c>
      <c r="BW73" s="82">
        <f t="shared" si="38"/>
        <v>28</v>
      </c>
    </row>
    <row r="74" spans="1:75" x14ac:dyDescent="0.25">
      <c r="A74" s="65" t="s">
        <v>91</v>
      </c>
      <c r="B74" s="76">
        <v>10.4</v>
      </c>
      <c r="C74" s="76">
        <v>10.4</v>
      </c>
      <c r="D74" s="76">
        <v>10.4</v>
      </c>
      <c r="E74" s="76">
        <v>10.4</v>
      </c>
      <c r="F74" s="76">
        <v>10.4</v>
      </c>
      <c r="G74" s="76">
        <v>10.4</v>
      </c>
      <c r="H74" s="76">
        <v>10.4</v>
      </c>
      <c r="I74" s="76">
        <v>10.4</v>
      </c>
      <c r="J74" s="76">
        <v>10.4</v>
      </c>
      <c r="K74" s="76">
        <v>10.4</v>
      </c>
      <c r="L74" s="76">
        <v>10.4</v>
      </c>
      <c r="M74" s="76">
        <v>10.4</v>
      </c>
      <c r="N74" s="76">
        <v>10.4</v>
      </c>
      <c r="O74" s="76">
        <v>10.4</v>
      </c>
      <c r="P74" s="76">
        <v>10.4</v>
      </c>
      <c r="Q74" s="76">
        <v>4.5999999999999996</v>
      </c>
      <c r="R74" s="76">
        <v>4.5999999999999996</v>
      </c>
      <c r="S74" s="76">
        <v>4.5999999999999996</v>
      </c>
      <c r="T74" s="76">
        <v>4.5999999999999996</v>
      </c>
      <c r="U74" s="76">
        <v>4.5999999999999996</v>
      </c>
      <c r="V74" s="76">
        <v>4.5999999999999996</v>
      </c>
      <c r="W74" s="76">
        <v>4.5999999999999996</v>
      </c>
      <c r="X74" s="76">
        <v>4.5999999999999996</v>
      </c>
      <c r="Y74" s="76">
        <v>4.5999999999999996</v>
      </c>
      <c r="Z74" s="76">
        <v>4.5999999999999996</v>
      </c>
      <c r="AA74" s="76">
        <v>4.5999999999999996</v>
      </c>
      <c r="AB74" s="76">
        <v>4.5999999999999996</v>
      </c>
      <c r="AC74" s="76">
        <v>4.5999999999999996</v>
      </c>
      <c r="AD74" s="76">
        <v>4.5999999999999996</v>
      </c>
      <c r="AE74" s="76">
        <v>4.5999999999999996</v>
      </c>
      <c r="AF74" s="76">
        <v>4.5999999999999996</v>
      </c>
      <c r="AG74" s="66">
        <v>14.1</v>
      </c>
      <c r="AH74" s="48">
        <f t="shared" si="2"/>
        <v>10.4</v>
      </c>
      <c r="AI74" s="49">
        <f t="shared" si="3"/>
        <v>4.5999999999999996</v>
      </c>
      <c r="AK74" s="51"/>
      <c r="AZ74" s="82">
        <f t="shared" si="38"/>
        <v>0</v>
      </c>
      <c r="BA74" s="82">
        <f t="shared" si="38"/>
        <v>0</v>
      </c>
      <c r="BB74" s="82">
        <f t="shared" si="38"/>
        <v>0</v>
      </c>
      <c r="BC74" s="82">
        <f t="shared" si="38"/>
        <v>0</v>
      </c>
      <c r="BD74" s="82">
        <f t="shared" si="38"/>
        <v>0</v>
      </c>
      <c r="BE74" s="82">
        <f t="shared" si="38"/>
        <v>0</v>
      </c>
      <c r="BF74" s="82">
        <f t="shared" si="38"/>
        <v>0</v>
      </c>
      <c r="BG74" s="82">
        <f t="shared" si="38"/>
        <v>0</v>
      </c>
      <c r="BH74" s="82">
        <f t="shared" si="38"/>
        <v>0</v>
      </c>
      <c r="BI74" s="82">
        <f t="shared" si="38"/>
        <v>0</v>
      </c>
      <c r="BJ74" s="82">
        <f t="shared" si="38"/>
        <v>0</v>
      </c>
      <c r="BK74" s="82">
        <f t="shared" si="38"/>
        <v>0</v>
      </c>
      <c r="BL74" s="82">
        <f t="shared" si="38"/>
        <v>0</v>
      </c>
      <c r="BM74" s="82">
        <f t="shared" si="38"/>
        <v>0</v>
      </c>
      <c r="BN74" s="82">
        <f t="shared" si="38"/>
        <v>0</v>
      </c>
      <c r="BO74" s="82">
        <f t="shared" si="38"/>
        <v>0</v>
      </c>
      <c r="BP74" s="82">
        <f t="shared" si="38"/>
        <v>0</v>
      </c>
      <c r="BQ74" s="82">
        <f t="shared" si="38"/>
        <v>0</v>
      </c>
      <c r="BR74" s="82">
        <f t="shared" si="38"/>
        <v>0</v>
      </c>
      <c r="BS74" s="82">
        <f t="shared" si="38"/>
        <v>0</v>
      </c>
      <c r="BT74" s="82">
        <f t="shared" si="38"/>
        <v>0</v>
      </c>
      <c r="BU74" s="82">
        <f t="shared" si="38"/>
        <v>0</v>
      </c>
      <c r="BV74" s="82">
        <f t="shared" si="38"/>
        <v>0</v>
      </c>
      <c r="BW74" s="82">
        <f t="shared" si="38"/>
        <v>0</v>
      </c>
    </row>
    <row r="75" spans="1:75" x14ac:dyDescent="0.25">
      <c r="A75" s="84" t="s">
        <v>93</v>
      </c>
      <c r="B75" s="76">
        <v>14.1</v>
      </c>
      <c r="C75" s="76">
        <v>14.1</v>
      </c>
      <c r="D75" s="76">
        <v>14.1</v>
      </c>
      <c r="E75" s="76">
        <v>14.1</v>
      </c>
      <c r="F75" s="76">
        <v>14.1</v>
      </c>
      <c r="G75" s="76">
        <v>14.1</v>
      </c>
      <c r="H75" s="76">
        <v>14.1</v>
      </c>
      <c r="I75" s="76">
        <v>14.1</v>
      </c>
      <c r="J75" s="76">
        <v>14.1</v>
      </c>
      <c r="K75" s="76">
        <v>14.1</v>
      </c>
      <c r="L75" s="76">
        <v>14.1</v>
      </c>
      <c r="M75" s="76">
        <v>14.1</v>
      </c>
      <c r="N75" s="76">
        <v>14.1</v>
      </c>
      <c r="O75" s="76">
        <v>14.1</v>
      </c>
      <c r="P75" s="76">
        <v>14.1</v>
      </c>
      <c r="Q75" s="76">
        <v>13.9</v>
      </c>
      <c r="R75" s="76">
        <v>13.9</v>
      </c>
      <c r="S75" s="76">
        <v>13.9</v>
      </c>
      <c r="T75" s="76">
        <v>13.9</v>
      </c>
      <c r="U75" s="76">
        <v>13.9</v>
      </c>
      <c r="V75" s="76">
        <v>13.9</v>
      </c>
      <c r="W75" s="76">
        <v>13.9</v>
      </c>
      <c r="X75" s="76">
        <v>13.9</v>
      </c>
      <c r="Y75" s="76">
        <v>13.9</v>
      </c>
      <c r="Z75" s="76">
        <v>13.9</v>
      </c>
      <c r="AA75" s="76">
        <v>13.9</v>
      </c>
      <c r="AB75" s="76">
        <v>13.9</v>
      </c>
      <c r="AC75" s="76">
        <v>13.9</v>
      </c>
      <c r="AD75" s="76">
        <v>0</v>
      </c>
      <c r="AE75" s="76">
        <v>13.9</v>
      </c>
      <c r="AF75" s="76">
        <v>13.9</v>
      </c>
      <c r="AG75" s="66">
        <v>14</v>
      </c>
      <c r="AH75" s="48">
        <f t="shared" ref="AH75:AH126" si="39">MAX(B75:AF75)</f>
        <v>14.1</v>
      </c>
      <c r="AI75" s="49">
        <f t="shared" ref="AI75:AI126" si="40">MIN(B75:AF75)</f>
        <v>0</v>
      </c>
      <c r="AK75" s="51"/>
      <c r="AZ75" s="82">
        <f t="shared" si="38"/>
        <v>-133</v>
      </c>
      <c r="BA75" s="82">
        <f t="shared" si="38"/>
        <v>-145</v>
      </c>
      <c r="BB75" s="82">
        <f t="shared" si="38"/>
        <v>-150.5</v>
      </c>
      <c r="BC75" s="82">
        <f t="shared" si="38"/>
        <v>-170</v>
      </c>
      <c r="BD75" s="82">
        <f t="shared" si="38"/>
        <v>-223</v>
      </c>
      <c r="BE75" s="82">
        <f t="shared" si="38"/>
        <v>-208</v>
      </c>
      <c r="BF75" s="82">
        <f t="shared" si="38"/>
        <v>-218</v>
      </c>
      <c r="BG75" s="82">
        <f t="shared" si="38"/>
        <v>-149</v>
      </c>
      <c r="BH75" s="82">
        <f t="shared" si="38"/>
        <v>-163</v>
      </c>
      <c r="BI75" s="82">
        <f t="shared" si="38"/>
        <v>-106</v>
      </c>
      <c r="BJ75" s="82">
        <f t="shared" si="38"/>
        <v>-47.5</v>
      </c>
      <c r="BK75" s="82">
        <f t="shared" si="38"/>
        <v>-66.599999999999994</v>
      </c>
      <c r="BL75" s="82">
        <f t="shared" si="38"/>
        <v>-27</v>
      </c>
      <c r="BM75" s="82">
        <f t="shared" si="38"/>
        <v>-24.6</v>
      </c>
      <c r="BN75" s="82">
        <f t="shared" si="38"/>
        <v>-38.6</v>
      </c>
      <c r="BO75" s="82">
        <f t="shared" si="38"/>
        <v>-33.1</v>
      </c>
      <c r="BP75" s="82">
        <f t="shared" si="38"/>
        <v>22</v>
      </c>
      <c r="BQ75" s="82">
        <f t="shared" si="38"/>
        <v>39.799999999999997</v>
      </c>
      <c r="BR75" s="82">
        <f t="shared" si="38"/>
        <v>-117.7</v>
      </c>
      <c r="BS75" s="82">
        <f t="shared" si="38"/>
        <v>-110</v>
      </c>
      <c r="BT75" s="82">
        <f t="shared" si="38"/>
        <v>-50</v>
      </c>
      <c r="BU75" s="82">
        <f t="shared" si="38"/>
        <v>-123</v>
      </c>
      <c r="BV75" s="82">
        <f t="shared" si="38"/>
        <v>-116</v>
      </c>
      <c r="BW75" s="82">
        <f t="shared" si="38"/>
        <v>-135</v>
      </c>
    </row>
    <row r="76" spans="1:75" x14ac:dyDescent="0.25">
      <c r="A76" s="65" t="s">
        <v>95</v>
      </c>
      <c r="B76" s="76">
        <v>8</v>
      </c>
      <c r="C76" s="76">
        <v>8</v>
      </c>
      <c r="D76" s="76">
        <v>8</v>
      </c>
      <c r="E76" s="76">
        <v>8</v>
      </c>
      <c r="F76" s="76">
        <v>8</v>
      </c>
      <c r="G76" s="76">
        <v>8</v>
      </c>
      <c r="H76" s="76">
        <v>8</v>
      </c>
      <c r="I76" s="76">
        <v>8</v>
      </c>
      <c r="J76" s="76">
        <v>8</v>
      </c>
      <c r="K76" s="76">
        <v>8</v>
      </c>
      <c r="L76" s="76">
        <v>8</v>
      </c>
      <c r="M76" s="76">
        <v>8</v>
      </c>
      <c r="N76" s="76">
        <v>8</v>
      </c>
      <c r="O76" s="76">
        <v>8</v>
      </c>
      <c r="P76" s="76">
        <v>8</v>
      </c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>
        <v>6.2</v>
      </c>
      <c r="AF76" s="76">
        <v>6.2</v>
      </c>
      <c r="AG76" s="66">
        <v>10.050000000000001</v>
      </c>
      <c r="AH76" s="48">
        <f t="shared" si="39"/>
        <v>8</v>
      </c>
      <c r="AI76" s="49">
        <f t="shared" si="40"/>
        <v>6.2</v>
      </c>
      <c r="AK76" s="51"/>
      <c r="AZ76" s="82">
        <f t="shared" si="38"/>
        <v>0</v>
      </c>
      <c r="BA76" s="82">
        <f t="shared" si="38"/>
        <v>0</v>
      </c>
      <c r="BB76" s="82">
        <f t="shared" si="38"/>
        <v>0</v>
      </c>
      <c r="BC76" s="82">
        <f t="shared" si="38"/>
        <v>0</v>
      </c>
      <c r="BD76" s="82">
        <f t="shared" si="38"/>
        <v>0</v>
      </c>
      <c r="BE76" s="82">
        <f t="shared" si="38"/>
        <v>0</v>
      </c>
      <c r="BF76" s="82">
        <f t="shared" si="38"/>
        <v>35.1</v>
      </c>
      <c r="BG76" s="82">
        <f t="shared" si="38"/>
        <v>38</v>
      </c>
      <c r="BH76" s="82">
        <f t="shared" si="38"/>
        <v>34.799999999999997</v>
      </c>
      <c r="BI76" s="82">
        <f t="shared" si="38"/>
        <v>38</v>
      </c>
      <c r="BJ76" s="82">
        <f t="shared" si="38"/>
        <v>36</v>
      </c>
      <c r="BK76" s="82">
        <f t="shared" si="38"/>
        <v>34.700000000000003</v>
      </c>
      <c r="BL76" s="82">
        <f t="shared" si="38"/>
        <v>31</v>
      </c>
      <c r="BM76" s="82">
        <f t="shared" si="38"/>
        <v>40.4</v>
      </c>
      <c r="BN76" s="82">
        <f t="shared" si="38"/>
        <v>49.7</v>
      </c>
      <c r="BO76" s="82">
        <f t="shared" si="38"/>
        <v>48.3</v>
      </c>
      <c r="BP76" s="82">
        <f t="shared" si="38"/>
        <v>46.1</v>
      </c>
      <c r="BQ76" s="82">
        <f t="shared" si="38"/>
        <v>22.7</v>
      </c>
      <c r="BR76" s="82">
        <f t="shared" si="38"/>
        <v>0</v>
      </c>
      <c r="BS76" s="82">
        <f t="shared" si="38"/>
        <v>0</v>
      </c>
      <c r="BT76" s="82">
        <f t="shared" si="38"/>
        <v>0</v>
      </c>
      <c r="BU76" s="82">
        <f t="shared" si="38"/>
        <v>0</v>
      </c>
      <c r="BV76" s="82">
        <f t="shared" si="38"/>
        <v>0</v>
      </c>
      <c r="BW76" s="82">
        <f t="shared" si="38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9"/>
        <v>3</v>
      </c>
      <c r="AI77" s="49">
        <f t="shared" si="40"/>
        <v>3</v>
      </c>
      <c r="AK77" s="51"/>
      <c r="AZ77" s="82">
        <f t="shared" si="38"/>
        <v>0</v>
      </c>
      <c r="BA77" s="82">
        <f t="shared" si="38"/>
        <v>0</v>
      </c>
      <c r="BB77" s="82">
        <f t="shared" si="38"/>
        <v>0</v>
      </c>
      <c r="BC77" s="82">
        <f t="shared" si="38"/>
        <v>0</v>
      </c>
      <c r="BD77" s="82">
        <f t="shared" si="38"/>
        <v>0</v>
      </c>
      <c r="BE77" s="82">
        <f t="shared" si="38"/>
        <v>0</v>
      </c>
      <c r="BF77" s="82">
        <f t="shared" si="38"/>
        <v>93.6</v>
      </c>
      <c r="BG77" s="82">
        <f t="shared" si="38"/>
        <v>95</v>
      </c>
      <c r="BH77" s="82">
        <f t="shared" si="38"/>
        <v>97.1</v>
      </c>
      <c r="BI77" s="82">
        <f t="shared" si="38"/>
        <v>0</v>
      </c>
      <c r="BJ77" s="82">
        <f t="shared" si="38"/>
        <v>107</v>
      </c>
      <c r="BK77" s="82">
        <f t="shared" si="38"/>
        <v>133.6</v>
      </c>
      <c r="BL77" s="82">
        <f t="shared" si="38"/>
        <v>103</v>
      </c>
      <c r="BM77" s="82">
        <f t="shared" si="38"/>
        <v>102.9</v>
      </c>
      <c r="BN77" s="82">
        <f t="shared" si="38"/>
        <v>129.5</v>
      </c>
      <c r="BO77" s="82">
        <f t="shared" si="38"/>
        <v>116.7</v>
      </c>
      <c r="BP77" s="82">
        <f t="shared" si="38"/>
        <v>110.1</v>
      </c>
      <c r="BQ77" s="82">
        <f t="shared" si="38"/>
        <v>81.400000000000006</v>
      </c>
      <c r="BR77" s="82">
        <f t="shared" si="38"/>
        <v>0</v>
      </c>
      <c r="BS77" s="82">
        <f t="shared" si="38"/>
        <v>0</v>
      </c>
      <c r="BT77" s="82">
        <f t="shared" si="38"/>
        <v>0</v>
      </c>
      <c r="BU77" s="82">
        <f t="shared" si="38"/>
        <v>0</v>
      </c>
      <c r="BV77" s="82">
        <f t="shared" si="38"/>
        <v>0</v>
      </c>
      <c r="BW77" s="82">
        <f t="shared" si="3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9"/>
        <v>3.54</v>
      </c>
      <c r="AI78" s="49">
        <f t="shared" si="40"/>
        <v>3.54</v>
      </c>
      <c r="AK78" s="51"/>
      <c r="AZ78" s="82">
        <f t="shared" si="38"/>
        <v>0</v>
      </c>
      <c r="BA78" s="82">
        <f t="shared" si="38"/>
        <v>0</v>
      </c>
      <c r="BB78" s="82">
        <f t="shared" si="38"/>
        <v>0</v>
      </c>
      <c r="BC78" s="82">
        <f t="shared" si="38"/>
        <v>0</v>
      </c>
      <c r="BD78" s="82">
        <f t="shared" si="38"/>
        <v>0</v>
      </c>
      <c r="BE78" s="82">
        <f t="shared" si="38"/>
        <v>0</v>
      </c>
      <c r="BF78" s="82">
        <f t="shared" si="38"/>
        <v>0</v>
      </c>
      <c r="BG78" s="82">
        <f t="shared" si="38"/>
        <v>0</v>
      </c>
      <c r="BH78" s="82">
        <f t="shared" si="38"/>
        <v>0</v>
      </c>
      <c r="BI78" s="82">
        <f t="shared" si="38"/>
        <v>0</v>
      </c>
      <c r="BJ78" s="82">
        <f t="shared" si="38"/>
        <v>0</v>
      </c>
      <c r="BK78" s="82">
        <f t="shared" si="38"/>
        <v>0</v>
      </c>
      <c r="BL78" s="82">
        <f t="shared" si="38"/>
        <v>0</v>
      </c>
      <c r="BM78" s="82">
        <f t="shared" si="38"/>
        <v>0</v>
      </c>
      <c r="BN78" s="82">
        <f t="shared" si="38"/>
        <v>0</v>
      </c>
      <c r="BO78" s="82">
        <f t="shared" si="38"/>
        <v>0</v>
      </c>
      <c r="BP78" s="82">
        <f t="shared" si="38"/>
        <v>0</v>
      </c>
      <c r="BQ78" s="82">
        <f t="shared" si="38"/>
        <v>0</v>
      </c>
      <c r="BR78" s="82">
        <f t="shared" si="38"/>
        <v>0</v>
      </c>
      <c r="BS78" s="82">
        <f t="shared" si="38"/>
        <v>0</v>
      </c>
      <c r="BT78" s="82">
        <f t="shared" si="38"/>
        <v>0</v>
      </c>
      <c r="BU78" s="82">
        <f t="shared" si="38"/>
        <v>0</v>
      </c>
      <c r="BV78" s="82">
        <f t="shared" si="38"/>
        <v>0</v>
      </c>
      <c r="BW78" s="82">
        <f t="shared" si="38"/>
        <v>0</v>
      </c>
    </row>
    <row r="79" spans="1:75" ht="15.75" thickBot="1" x14ac:dyDescent="0.3">
      <c r="A79" s="87" t="s">
        <v>99</v>
      </c>
      <c r="B79" s="71">
        <f t="shared" ref="B79:C79" si="41">SUM(B66:B78)</f>
        <v>410.84000000000009</v>
      </c>
      <c r="C79" s="71">
        <f t="shared" si="41"/>
        <v>410.84000000000009</v>
      </c>
      <c r="D79" s="71">
        <f t="shared" ref="D79" si="42">SUM(D66:D78)</f>
        <v>410.84000000000009</v>
      </c>
      <c r="E79" s="71">
        <f t="shared" ref="E79:AG79" si="43">SUM(E66:E78)</f>
        <v>410.84000000000009</v>
      </c>
      <c r="F79" s="71">
        <f t="shared" si="43"/>
        <v>410.84000000000009</v>
      </c>
      <c r="G79" s="71">
        <f t="shared" si="43"/>
        <v>410.84000000000009</v>
      </c>
      <c r="H79" s="71">
        <f t="shared" si="43"/>
        <v>410.84000000000009</v>
      </c>
      <c r="I79" s="71">
        <f t="shared" si="43"/>
        <v>410.84000000000009</v>
      </c>
      <c r="J79" s="71">
        <f t="shared" si="43"/>
        <v>417.14000000000004</v>
      </c>
      <c r="K79" s="71">
        <f t="shared" si="43"/>
        <v>418.54</v>
      </c>
      <c r="L79" s="71">
        <f t="shared" si="43"/>
        <v>417.14000000000004</v>
      </c>
      <c r="M79" s="71">
        <f t="shared" si="43"/>
        <v>418.34000000000003</v>
      </c>
      <c r="N79" s="71">
        <f t="shared" si="43"/>
        <v>425.34000000000003</v>
      </c>
      <c r="O79" s="71">
        <f t="shared" si="43"/>
        <v>431.34000000000003</v>
      </c>
      <c r="P79" s="71">
        <f t="shared" si="43"/>
        <v>415.54</v>
      </c>
      <c r="Q79" s="71">
        <f t="shared" si="43"/>
        <v>408.54</v>
      </c>
      <c r="R79" s="71">
        <f t="shared" si="43"/>
        <v>408.54</v>
      </c>
      <c r="S79" s="71">
        <f t="shared" ref="S79:T79" si="44">SUM(S66:S78)</f>
        <v>393.14</v>
      </c>
      <c r="T79" s="71">
        <f t="shared" si="44"/>
        <v>389.64</v>
      </c>
      <c r="U79" s="71">
        <f t="shared" ref="U79:V79" si="45">SUM(U66:U78)</f>
        <v>385.03999999999996</v>
      </c>
      <c r="V79" s="71">
        <f t="shared" si="45"/>
        <v>382.94</v>
      </c>
      <c r="W79" s="71">
        <f t="shared" ref="W79:X79" si="46">SUM(W66:W78)</f>
        <v>368.34</v>
      </c>
      <c r="X79" s="71">
        <f t="shared" si="46"/>
        <v>380.24</v>
      </c>
      <c r="Y79" s="71">
        <f t="shared" ref="Y79:AA79" si="47">SUM(Y66:Y78)</f>
        <v>378.94</v>
      </c>
      <c r="Z79" s="71">
        <f t="shared" si="47"/>
        <v>378.94</v>
      </c>
      <c r="AA79" s="71">
        <f t="shared" si="47"/>
        <v>380.84</v>
      </c>
      <c r="AB79" s="71">
        <f t="shared" si="43"/>
        <v>380.84</v>
      </c>
      <c r="AC79" s="71">
        <f t="shared" si="43"/>
        <v>376.84</v>
      </c>
      <c r="AD79" s="71">
        <f t="shared" si="43"/>
        <v>217.44</v>
      </c>
      <c r="AE79" s="71">
        <f t="shared" si="43"/>
        <v>376.84</v>
      </c>
      <c r="AF79" s="71">
        <f t="shared" si="43"/>
        <v>376.84</v>
      </c>
      <c r="AG79" s="72">
        <f t="shared" si="43"/>
        <v>489.91</v>
      </c>
      <c r="AH79" s="48">
        <f t="shared" si="39"/>
        <v>431.34000000000003</v>
      </c>
      <c r="AI79" s="49">
        <f t="shared" si="40"/>
        <v>217.44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/>
      <c r="N80" s="46">
        <v>10</v>
      </c>
      <c r="O80" s="46">
        <v>29</v>
      </c>
      <c r="P80" s="46">
        <v>20.2</v>
      </c>
      <c r="Q80" s="46">
        <v>13.8</v>
      </c>
      <c r="R80" s="46">
        <v>13.8</v>
      </c>
      <c r="S80" s="46">
        <v>19.899999999999999</v>
      </c>
      <c r="T80" s="46">
        <v>19.899999999999999</v>
      </c>
      <c r="U80" s="46">
        <v>19.899999999999999</v>
      </c>
      <c r="V80" s="46">
        <v>19.899999999999999</v>
      </c>
      <c r="W80" s="46">
        <v>20.100000000000001</v>
      </c>
      <c r="X80" s="46">
        <v>20.100000000000001</v>
      </c>
      <c r="Y80" s="46">
        <v>20.100000000000001</v>
      </c>
      <c r="Z80" s="46">
        <v>27.3</v>
      </c>
      <c r="AA80" s="46">
        <v>57.7</v>
      </c>
      <c r="AB80" s="46">
        <v>34</v>
      </c>
      <c r="AC80" s="46">
        <v>21</v>
      </c>
      <c r="AD80" s="46">
        <v>60</v>
      </c>
      <c r="AE80" s="46">
        <v>0</v>
      </c>
      <c r="AF80" s="46">
        <v>0</v>
      </c>
      <c r="AG80" s="61">
        <v>60</v>
      </c>
      <c r="AH80" s="48">
        <f t="shared" si="39"/>
        <v>60</v>
      </c>
      <c r="AI80" s="49">
        <f t="shared" si="4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/>
      <c r="N81" s="76"/>
      <c r="O81" s="76">
        <v>4.5</v>
      </c>
      <c r="P81" s="76">
        <v>0</v>
      </c>
      <c r="Q81" s="76">
        <v>4.7</v>
      </c>
      <c r="R81" s="76">
        <v>4.7</v>
      </c>
      <c r="S81" s="76">
        <v>8.3000000000000007</v>
      </c>
      <c r="T81" s="76">
        <v>8.3000000000000007</v>
      </c>
      <c r="U81" s="76">
        <v>8.3000000000000007</v>
      </c>
      <c r="V81" s="76">
        <v>8.3000000000000007</v>
      </c>
      <c r="W81" s="76">
        <v>0</v>
      </c>
      <c r="X81" s="76">
        <v>9.5</v>
      </c>
      <c r="Y81" s="76">
        <v>9.5</v>
      </c>
      <c r="Z81" s="76">
        <v>12.1</v>
      </c>
      <c r="AA81" s="76">
        <v>16</v>
      </c>
      <c r="AB81" s="76">
        <v>13.8</v>
      </c>
      <c r="AC81" s="76">
        <v>11.8</v>
      </c>
      <c r="AD81" s="76">
        <v>11.8</v>
      </c>
      <c r="AE81" s="76">
        <v>0</v>
      </c>
      <c r="AF81" s="76">
        <v>0</v>
      </c>
      <c r="AG81" s="66">
        <v>32</v>
      </c>
      <c r="AH81" s="48">
        <f t="shared" si="39"/>
        <v>16</v>
      </c>
      <c r="AI81" s="49">
        <f t="shared" si="4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/>
      <c r="N82" s="78"/>
      <c r="O82" s="78">
        <v>7.8</v>
      </c>
      <c r="P82" s="78">
        <v>0</v>
      </c>
      <c r="Q82" s="78">
        <v>1.7</v>
      </c>
      <c r="R82" s="78">
        <v>1.7</v>
      </c>
      <c r="S82" s="78">
        <v>3</v>
      </c>
      <c r="T82" s="78">
        <v>3</v>
      </c>
      <c r="U82" s="78">
        <v>3</v>
      </c>
      <c r="V82" s="78">
        <v>3</v>
      </c>
      <c r="W82" s="78">
        <v>0</v>
      </c>
      <c r="X82" s="78">
        <v>3.5</v>
      </c>
      <c r="Y82" s="78">
        <v>3.5</v>
      </c>
      <c r="Z82" s="78">
        <v>4.4000000000000004</v>
      </c>
      <c r="AA82" s="78">
        <v>10.4</v>
      </c>
      <c r="AB82" s="78">
        <v>5</v>
      </c>
      <c r="AC82" s="78">
        <v>4.3</v>
      </c>
      <c r="AD82" s="78">
        <v>4.3</v>
      </c>
      <c r="AE82" s="78">
        <v>0</v>
      </c>
      <c r="AF82" s="78">
        <v>0</v>
      </c>
      <c r="AG82" s="79">
        <v>14</v>
      </c>
      <c r="AH82" s="48">
        <f t="shared" si="39"/>
        <v>10.4</v>
      </c>
      <c r="AI82" s="49">
        <f t="shared" si="40"/>
        <v>0</v>
      </c>
      <c r="AK82" s="51"/>
      <c r="AY82" s="82"/>
      <c r="BF82" s="81"/>
      <c r="BG82" s="82">
        <f t="array" ref="BG82:BL105">TRANSPOSE(AZ66:BW71)</f>
        <v>24</v>
      </c>
      <c r="BH82" s="82">
        <v>0</v>
      </c>
      <c r="BI82" s="82">
        <v>-133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48">B80+B81+B82</f>
        <v>0</v>
      </c>
      <c r="C83" s="71">
        <f t="shared" si="48"/>
        <v>0</v>
      </c>
      <c r="D83" s="71">
        <f t="shared" ref="D83" si="49">D80+D81+D82</f>
        <v>0</v>
      </c>
      <c r="E83" s="71">
        <f t="shared" ref="E83:AF83" si="50">E80+E81+E82</f>
        <v>0</v>
      </c>
      <c r="F83" s="71">
        <f t="shared" si="50"/>
        <v>0</v>
      </c>
      <c r="G83" s="71">
        <f t="shared" si="50"/>
        <v>0</v>
      </c>
      <c r="H83" s="71">
        <f t="shared" si="50"/>
        <v>0</v>
      </c>
      <c r="I83" s="71">
        <f t="shared" si="50"/>
        <v>0</v>
      </c>
      <c r="J83" s="71">
        <f t="shared" si="50"/>
        <v>0</v>
      </c>
      <c r="K83" s="71">
        <f t="shared" si="50"/>
        <v>0</v>
      </c>
      <c r="L83" s="71">
        <f t="shared" si="50"/>
        <v>0</v>
      </c>
      <c r="M83" s="71">
        <f t="shared" si="50"/>
        <v>0</v>
      </c>
      <c r="N83" s="71">
        <f t="shared" si="50"/>
        <v>10</v>
      </c>
      <c r="O83" s="71">
        <f t="shared" si="50"/>
        <v>41.3</v>
      </c>
      <c r="P83" s="71">
        <f t="shared" si="50"/>
        <v>20.2</v>
      </c>
      <c r="Q83" s="71">
        <f t="shared" si="50"/>
        <v>20.2</v>
      </c>
      <c r="R83" s="71">
        <f t="shared" si="50"/>
        <v>20.2</v>
      </c>
      <c r="S83" s="71">
        <f t="shared" ref="S83:T83" si="51">S80+S81+S82</f>
        <v>31.2</v>
      </c>
      <c r="T83" s="71">
        <f t="shared" si="51"/>
        <v>31.2</v>
      </c>
      <c r="U83" s="71">
        <f t="shared" ref="U83:V83" si="52">U80+U81+U82</f>
        <v>31.2</v>
      </c>
      <c r="V83" s="71">
        <f t="shared" si="52"/>
        <v>31.2</v>
      </c>
      <c r="W83" s="71">
        <f t="shared" ref="W83:X83" si="53">W80+W81+W82</f>
        <v>20.100000000000001</v>
      </c>
      <c r="X83" s="71">
        <f t="shared" si="53"/>
        <v>33.1</v>
      </c>
      <c r="Y83" s="71">
        <f t="shared" ref="Y83:AA83" si="54">Y80+Y81+Y82</f>
        <v>33.1</v>
      </c>
      <c r="Z83" s="71">
        <f t="shared" si="54"/>
        <v>43.8</v>
      </c>
      <c r="AA83" s="71">
        <f t="shared" si="54"/>
        <v>84.100000000000009</v>
      </c>
      <c r="AB83" s="71">
        <f t="shared" si="50"/>
        <v>52.8</v>
      </c>
      <c r="AC83" s="71">
        <f t="shared" si="50"/>
        <v>37.099999999999994</v>
      </c>
      <c r="AD83" s="71">
        <f t="shared" si="50"/>
        <v>76.099999999999994</v>
      </c>
      <c r="AE83" s="71">
        <f t="shared" si="50"/>
        <v>0</v>
      </c>
      <c r="AF83" s="71">
        <f t="shared" si="50"/>
        <v>0</v>
      </c>
      <c r="AG83" s="72">
        <f>SUM(AG80:AG82)</f>
        <v>106</v>
      </c>
      <c r="AH83" s="48">
        <f t="shared" si="39"/>
        <v>84.100000000000009</v>
      </c>
      <c r="AI83" s="49">
        <f t="shared" si="40"/>
        <v>0</v>
      </c>
      <c r="AK83" s="51"/>
      <c r="AY83" s="82"/>
      <c r="BF83" s="81"/>
      <c r="BG83" s="82">
        <v>25</v>
      </c>
      <c r="BH83" s="82">
        <v>0</v>
      </c>
      <c r="BI83" s="82">
        <v>-145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28</v>
      </c>
      <c r="C84" s="46">
        <v>24</v>
      </c>
      <c r="D84" s="46">
        <v>25</v>
      </c>
      <c r="E84" s="46">
        <v>26.8</v>
      </c>
      <c r="F84" s="46">
        <v>24.8</v>
      </c>
      <c r="G84" s="46">
        <v>23</v>
      </c>
      <c r="H84" s="46">
        <v>19</v>
      </c>
      <c r="I84" s="46">
        <v>15</v>
      </c>
      <c r="J84" s="46">
        <v>48.9</v>
      </c>
      <c r="K84" s="46">
        <v>49</v>
      </c>
      <c r="L84" s="46">
        <v>44.9</v>
      </c>
      <c r="M84" s="46">
        <v>69</v>
      </c>
      <c r="N84" s="46">
        <v>52</v>
      </c>
      <c r="O84" s="46">
        <v>68</v>
      </c>
      <c r="P84" s="46">
        <v>54.5</v>
      </c>
      <c r="Q84" s="46">
        <v>58.4</v>
      </c>
      <c r="R84" s="46">
        <v>56.4</v>
      </c>
      <c r="S84" s="46">
        <v>69</v>
      </c>
      <c r="T84" s="46">
        <v>69.400000000000006</v>
      </c>
      <c r="U84" s="46">
        <v>74.5</v>
      </c>
      <c r="V84" s="46">
        <v>70.900000000000006</v>
      </c>
      <c r="W84" s="46">
        <v>75.599999999999994</v>
      </c>
      <c r="X84" s="46">
        <v>67.7</v>
      </c>
      <c r="Y84" s="46">
        <v>32</v>
      </c>
      <c r="Z84" s="46">
        <v>32.1</v>
      </c>
      <c r="AA84" s="46">
        <v>35.200000000000003</v>
      </c>
      <c r="AB84" s="46">
        <v>37.9</v>
      </c>
      <c r="AC84" s="46">
        <v>35.5</v>
      </c>
      <c r="AD84" s="46">
        <v>60</v>
      </c>
      <c r="AE84" s="46">
        <v>32</v>
      </c>
      <c r="AF84" s="46">
        <v>31.5</v>
      </c>
      <c r="AG84" s="61"/>
      <c r="AH84" s="48">
        <f t="shared" si="39"/>
        <v>75.599999999999994</v>
      </c>
      <c r="AI84" s="49">
        <f t="shared" si="40"/>
        <v>15</v>
      </c>
      <c r="AK84" s="51"/>
      <c r="AY84" s="82"/>
      <c r="BF84" s="81"/>
      <c r="BG84" s="82">
        <v>26.8</v>
      </c>
      <c r="BH84" s="82">
        <v>0</v>
      </c>
      <c r="BI84" s="82">
        <v>-150.5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9"/>
        <v>0</v>
      </c>
      <c r="AI85" s="49">
        <f t="shared" si="40"/>
        <v>0</v>
      </c>
      <c r="AK85" s="51"/>
      <c r="AL85" s="91" t="s">
        <v>111</v>
      </c>
      <c r="AM85" s="91"/>
      <c r="AY85" s="82"/>
      <c r="BF85" s="82"/>
      <c r="BG85" s="82">
        <v>24.8</v>
      </c>
      <c r="BH85" s="82">
        <v>0</v>
      </c>
      <c r="BI85" s="82">
        <v>-170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-135</v>
      </c>
      <c r="C86" s="76">
        <v>-133</v>
      </c>
      <c r="D86" s="76">
        <v>-145</v>
      </c>
      <c r="E86" s="76">
        <v>-150.5</v>
      </c>
      <c r="F86" s="76">
        <v>-170</v>
      </c>
      <c r="G86" s="76">
        <v>-223</v>
      </c>
      <c r="H86" s="76">
        <v>-189</v>
      </c>
      <c r="I86" s="76">
        <v>-208</v>
      </c>
      <c r="J86" s="76">
        <v>-202</v>
      </c>
      <c r="K86" s="76">
        <v>-218</v>
      </c>
      <c r="L86" s="76">
        <v>-147</v>
      </c>
      <c r="M86" s="76">
        <v>-149</v>
      </c>
      <c r="N86" s="76">
        <v>-163</v>
      </c>
      <c r="O86" s="76">
        <v>-106</v>
      </c>
      <c r="P86" s="76">
        <v>-47.5</v>
      </c>
      <c r="Q86" s="76">
        <v>-66.599999999999994</v>
      </c>
      <c r="R86" s="76">
        <v>-27</v>
      </c>
      <c r="S86" s="76">
        <v>-24.6</v>
      </c>
      <c r="T86" s="76">
        <v>-38.6</v>
      </c>
      <c r="U86" s="76">
        <v>-33.1</v>
      </c>
      <c r="V86" s="76">
        <v>22</v>
      </c>
      <c r="W86" s="76">
        <v>16.8</v>
      </c>
      <c r="X86" s="76">
        <v>39.799999999999997</v>
      </c>
      <c r="Y86" s="76">
        <v>-112.7</v>
      </c>
      <c r="Z86" s="76">
        <v>-117.7</v>
      </c>
      <c r="AA86" s="76">
        <v>-104.7</v>
      </c>
      <c r="AB86" s="76">
        <v>-110</v>
      </c>
      <c r="AC86" s="76">
        <v>-109</v>
      </c>
      <c r="AD86" s="76">
        <v>-50</v>
      </c>
      <c r="AE86" s="76">
        <v>-123</v>
      </c>
      <c r="AF86" s="76">
        <v>-116</v>
      </c>
      <c r="AG86" s="88"/>
      <c r="AH86" s="48">
        <f t="shared" si="39"/>
        <v>39.799999999999997</v>
      </c>
      <c r="AI86" s="49">
        <f t="shared" si="40"/>
        <v>-223</v>
      </c>
      <c r="AK86" s="92"/>
      <c r="AL86" s="93"/>
      <c r="AM86" s="93"/>
      <c r="AN86" s="94"/>
      <c r="AY86" s="82"/>
      <c r="BF86" s="82"/>
      <c r="BG86" s="82">
        <v>23</v>
      </c>
      <c r="BH86" s="82">
        <v>0</v>
      </c>
      <c r="BI86" s="82">
        <v>-223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25.1</v>
      </c>
      <c r="K87" s="89">
        <v>35.1</v>
      </c>
      <c r="L87" s="89">
        <v>38.799999999999997</v>
      </c>
      <c r="M87" s="89">
        <v>38</v>
      </c>
      <c r="N87" s="89">
        <v>34.799999999999997</v>
      </c>
      <c r="O87" s="89">
        <v>38</v>
      </c>
      <c r="P87" s="89">
        <v>36</v>
      </c>
      <c r="Q87" s="89">
        <v>34.700000000000003</v>
      </c>
      <c r="R87" s="89">
        <v>31</v>
      </c>
      <c r="S87" s="89">
        <v>40.4</v>
      </c>
      <c r="T87" s="89">
        <v>49.7</v>
      </c>
      <c r="U87" s="89">
        <v>48.3</v>
      </c>
      <c r="V87" s="89">
        <v>46.1</v>
      </c>
      <c r="W87" s="89">
        <v>51.5</v>
      </c>
      <c r="X87" s="89">
        <v>22.7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/>
      <c r="AE87" s="89"/>
      <c r="AF87" s="89"/>
      <c r="AG87" s="88"/>
      <c r="AH87" s="48">
        <f t="shared" si="39"/>
        <v>51.5</v>
      </c>
      <c r="AI87" s="49">
        <f t="shared" si="40"/>
        <v>0</v>
      </c>
      <c r="AK87" s="95" t="s">
        <v>114</v>
      </c>
      <c r="AL87" s="76"/>
      <c r="AM87" s="89"/>
      <c r="AN87" s="96"/>
      <c r="AY87" s="82"/>
      <c r="BF87" s="82"/>
      <c r="BG87" s="82">
        <v>15</v>
      </c>
      <c r="BH87" s="82">
        <v>0</v>
      </c>
      <c r="BI87" s="82">
        <v>-208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79.599999999999994</v>
      </c>
      <c r="K88" s="46">
        <v>93.6</v>
      </c>
      <c r="L88" s="46">
        <v>94.2</v>
      </c>
      <c r="M88" s="46">
        <v>95</v>
      </c>
      <c r="N88" s="46">
        <v>97.1</v>
      </c>
      <c r="O88" s="46">
        <v>0</v>
      </c>
      <c r="P88" s="46">
        <v>107</v>
      </c>
      <c r="Q88" s="46">
        <v>133.6</v>
      </c>
      <c r="R88" s="46">
        <v>103</v>
      </c>
      <c r="S88" s="46">
        <v>102.9</v>
      </c>
      <c r="T88" s="46">
        <v>129.5</v>
      </c>
      <c r="U88" s="46">
        <v>116.7</v>
      </c>
      <c r="V88" s="46">
        <v>110.1</v>
      </c>
      <c r="W88" s="46">
        <v>100.1</v>
      </c>
      <c r="X88" s="46">
        <v>81.400000000000006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/>
      <c r="AE88" s="46"/>
      <c r="AF88" s="46"/>
      <c r="AG88" s="88"/>
      <c r="AH88" s="48">
        <f t="shared" si="39"/>
        <v>133.6</v>
      </c>
      <c r="AI88" s="49">
        <f t="shared" si="40"/>
        <v>0</v>
      </c>
      <c r="AK88" s="95" t="s">
        <v>116</v>
      </c>
      <c r="AL88" s="89"/>
      <c r="AM88" s="89"/>
      <c r="AN88" s="96"/>
      <c r="AY88" s="82"/>
      <c r="BF88" s="82"/>
      <c r="BG88" s="82">
        <v>49</v>
      </c>
      <c r="BH88" s="82">
        <v>0</v>
      </c>
      <c r="BI88" s="82">
        <v>-218</v>
      </c>
      <c r="BJ88" s="82">
        <v>35.1</v>
      </c>
      <c r="BK88" s="82">
        <v>93.6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/>
      <c r="O89" s="90"/>
      <c r="P89" s="90"/>
      <c r="Q89" s="90">
        <v>54</v>
      </c>
      <c r="R89" s="90">
        <v>54</v>
      </c>
      <c r="S89" s="90">
        <v>50.1</v>
      </c>
      <c r="T89" s="90">
        <v>48</v>
      </c>
      <c r="U89" s="90">
        <v>49.8</v>
      </c>
      <c r="V89" s="90">
        <v>49.2</v>
      </c>
      <c r="W89" s="90">
        <v>47.2</v>
      </c>
      <c r="X89" s="90">
        <v>45.5</v>
      </c>
      <c r="Y89" s="90">
        <v>43.2</v>
      </c>
      <c r="Z89" s="90">
        <v>43.8</v>
      </c>
      <c r="AA89" s="90">
        <v>46</v>
      </c>
      <c r="AB89" s="90">
        <v>46.9</v>
      </c>
      <c r="AC89" s="90">
        <v>46.9</v>
      </c>
      <c r="AD89" s="90">
        <v>47.5</v>
      </c>
      <c r="AE89" s="90">
        <v>0</v>
      </c>
      <c r="AF89" s="90">
        <v>0</v>
      </c>
      <c r="AG89" s="88"/>
      <c r="AH89" s="48">
        <f>MAX(B89:AF89)</f>
        <v>54</v>
      </c>
      <c r="AI89" s="49">
        <f t="shared" si="40"/>
        <v>0</v>
      </c>
      <c r="AK89" s="99"/>
      <c r="AL89" s="46"/>
      <c r="AM89" s="46"/>
      <c r="AN89" s="100"/>
      <c r="AY89" s="82"/>
      <c r="BF89" s="82"/>
      <c r="BG89" s="82">
        <v>69</v>
      </c>
      <c r="BH89" s="82">
        <v>0</v>
      </c>
      <c r="BI89" s="82">
        <v>-149</v>
      </c>
      <c r="BJ89" s="82">
        <v>38</v>
      </c>
      <c r="BK89" s="82">
        <v>95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9"/>
        <v>0</v>
      </c>
      <c r="AI90" s="49">
        <f t="shared" si="40"/>
        <v>0</v>
      </c>
      <c r="AK90" s="99"/>
      <c r="AL90" s="90"/>
      <c r="AM90" s="102"/>
      <c r="AN90" s="202"/>
      <c r="AY90" s="82"/>
      <c r="BF90" s="82"/>
      <c r="BG90" s="82">
        <v>52</v>
      </c>
      <c r="BH90" s="82">
        <v>0</v>
      </c>
      <c r="BI90" s="82">
        <v>-163</v>
      </c>
      <c r="BJ90" s="82">
        <v>34.799999999999997</v>
      </c>
      <c r="BK90" s="82">
        <v>97.1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9"/>
        <v>0</v>
      </c>
      <c r="AI91" s="49">
        <f t="shared" si="40"/>
        <v>0</v>
      </c>
      <c r="AK91" s="99"/>
      <c r="AL91" s="90"/>
      <c r="AM91" s="90"/>
      <c r="AN91" s="203"/>
      <c r="BF91" s="82"/>
      <c r="BG91" s="82">
        <v>68</v>
      </c>
      <c r="BH91" s="82">
        <v>0</v>
      </c>
      <c r="BI91" s="82">
        <v>-106</v>
      </c>
      <c r="BJ91" s="82">
        <v>38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9"/>
        <v>0</v>
      </c>
      <c r="AI92" s="49">
        <f t="shared" si="40"/>
        <v>0</v>
      </c>
      <c r="AK92" s="104"/>
      <c r="AL92" s="105"/>
      <c r="AM92" s="105"/>
      <c r="AN92" s="106"/>
      <c r="BF92" s="82"/>
      <c r="BG92" s="82">
        <v>54.5</v>
      </c>
      <c r="BH92" s="82">
        <v>0</v>
      </c>
      <c r="BI92" s="82">
        <v>-47.5</v>
      </c>
      <c r="BJ92" s="82">
        <v>36</v>
      </c>
      <c r="BK92" s="82">
        <v>107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9"/>
        <v>0</v>
      </c>
      <c r="AI93" s="49">
        <f t="shared" si="40"/>
        <v>0</v>
      </c>
      <c r="BF93" s="82"/>
      <c r="BG93" s="82">
        <v>58.4</v>
      </c>
      <c r="BH93" s="82">
        <v>0</v>
      </c>
      <c r="BI93" s="82">
        <v>-66.599999999999994</v>
      </c>
      <c r="BJ93" s="82">
        <v>34.700000000000003</v>
      </c>
      <c r="BK93" s="82">
        <v>133.6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9"/>
        <v>0</v>
      </c>
      <c r="AI94" s="49">
        <f t="shared" si="40"/>
        <v>0</v>
      </c>
      <c r="BF94" s="82"/>
      <c r="BG94" s="82">
        <v>56.4</v>
      </c>
      <c r="BH94" s="82">
        <v>0</v>
      </c>
      <c r="BI94" s="82">
        <v>-27</v>
      </c>
      <c r="BJ94" s="82">
        <v>31</v>
      </c>
      <c r="BK94" s="82">
        <v>103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55">SUMIF(B84:B94,"&gt;0")</f>
        <v>28</v>
      </c>
      <c r="C95" s="71">
        <f t="shared" si="55"/>
        <v>24</v>
      </c>
      <c r="D95" s="71">
        <f t="shared" ref="D95" si="56">SUMIF(D84:D94,"&gt;0")</f>
        <v>25</v>
      </c>
      <c r="E95" s="71">
        <f t="shared" ref="E95:AF95" si="57">SUMIF(E84:E94,"&gt;0")</f>
        <v>26.8</v>
      </c>
      <c r="F95" s="71">
        <f t="shared" si="57"/>
        <v>24.8</v>
      </c>
      <c r="G95" s="71">
        <f t="shared" si="57"/>
        <v>23</v>
      </c>
      <c r="H95" s="71">
        <f t="shared" si="57"/>
        <v>19</v>
      </c>
      <c r="I95" s="71">
        <f t="shared" si="57"/>
        <v>15</v>
      </c>
      <c r="J95" s="71">
        <f t="shared" si="57"/>
        <v>153.6</v>
      </c>
      <c r="K95" s="71">
        <f t="shared" si="57"/>
        <v>177.7</v>
      </c>
      <c r="L95" s="71">
        <f t="shared" si="57"/>
        <v>177.89999999999998</v>
      </c>
      <c r="M95" s="71">
        <f t="shared" si="57"/>
        <v>202</v>
      </c>
      <c r="N95" s="71">
        <f t="shared" si="57"/>
        <v>183.89999999999998</v>
      </c>
      <c r="O95" s="71">
        <f t="shared" si="57"/>
        <v>106</v>
      </c>
      <c r="P95" s="71">
        <f t="shared" si="57"/>
        <v>197.5</v>
      </c>
      <c r="Q95" s="71">
        <f t="shared" si="57"/>
        <v>280.7</v>
      </c>
      <c r="R95" s="71">
        <f t="shared" si="57"/>
        <v>244.4</v>
      </c>
      <c r="S95" s="71">
        <f t="shared" ref="S95:T95" si="58">SUMIF(S84:S94,"&gt;0")</f>
        <v>262.40000000000003</v>
      </c>
      <c r="T95" s="71">
        <f t="shared" si="58"/>
        <v>296.60000000000002</v>
      </c>
      <c r="U95" s="71">
        <f t="shared" ref="U95:V95" si="59">SUMIF(U84:U94,"&gt;0")</f>
        <v>289.3</v>
      </c>
      <c r="V95" s="71">
        <f t="shared" si="59"/>
        <v>298.3</v>
      </c>
      <c r="W95" s="71">
        <f t="shared" ref="W95:X95" si="60">SUMIF(W84:W94,"&gt;0")</f>
        <v>291.2</v>
      </c>
      <c r="X95" s="71">
        <f t="shared" si="60"/>
        <v>257.10000000000002</v>
      </c>
      <c r="Y95" s="71">
        <f t="shared" ref="Y95:AA95" si="61">SUMIF(Y84:Y94,"&gt;0")</f>
        <v>75.2</v>
      </c>
      <c r="Z95" s="71">
        <f t="shared" si="61"/>
        <v>75.900000000000006</v>
      </c>
      <c r="AA95" s="71">
        <f t="shared" si="61"/>
        <v>81.2</v>
      </c>
      <c r="AB95" s="71">
        <f t="shared" si="57"/>
        <v>84.8</v>
      </c>
      <c r="AC95" s="71">
        <f t="shared" si="57"/>
        <v>82.4</v>
      </c>
      <c r="AD95" s="71">
        <f t="shared" si="57"/>
        <v>107.5</v>
      </c>
      <c r="AE95" s="71">
        <f t="shared" si="57"/>
        <v>32</v>
      </c>
      <c r="AF95" s="71">
        <f t="shared" si="57"/>
        <v>31.5</v>
      </c>
      <c r="AG95" s="101">
        <f>SUM(AG84:AG94)</f>
        <v>0</v>
      </c>
      <c r="AH95" s="48">
        <f t="shared" si="39"/>
        <v>298.3</v>
      </c>
      <c r="AI95" s="49">
        <f t="shared" si="40"/>
        <v>15</v>
      </c>
      <c r="BF95" s="82"/>
      <c r="BG95" s="82">
        <v>69</v>
      </c>
      <c r="BH95" s="82">
        <v>0</v>
      </c>
      <c r="BI95" s="82">
        <v>-24.6</v>
      </c>
      <c r="BJ95" s="82">
        <v>40.4</v>
      </c>
      <c r="BK95" s="82">
        <v>102.9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9"/>
        <v>0</v>
      </c>
      <c r="AI96" s="49">
        <f t="shared" si="40"/>
        <v>0</v>
      </c>
      <c r="BF96" s="82"/>
      <c r="BG96" s="82">
        <v>69.400000000000006</v>
      </c>
      <c r="BH96" s="82">
        <v>0</v>
      </c>
      <c r="BI96" s="82">
        <v>-38.6</v>
      </c>
      <c r="BJ96" s="82">
        <v>49.7</v>
      </c>
      <c r="BK96" s="82">
        <v>129.5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9"/>
        <v>0</v>
      </c>
      <c r="AI97" s="49">
        <f t="shared" si="40"/>
        <v>0</v>
      </c>
      <c r="BF97" s="82"/>
      <c r="BG97" s="82">
        <v>74.5</v>
      </c>
      <c r="BH97" s="82">
        <v>0</v>
      </c>
      <c r="BI97" s="82">
        <v>-33.1</v>
      </c>
      <c r="BJ97" s="82">
        <v>48.3</v>
      </c>
      <c r="BK97" s="82">
        <v>116.7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9"/>
        <v>0</v>
      </c>
      <c r="AI98" s="49">
        <f t="shared" si="40"/>
        <v>0</v>
      </c>
      <c r="BF98" s="82"/>
      <c r="BG98" s="82">
        <v>70.900000000000006</v>
      </c>
      <c r="BH98" s="82">
        <v>0</v>
      </c>
      <c r="BI98" s="82">
        <v>22</v>
      </c>
      <c r="BJ98" s="82">
        <v>46.1</v>
      </c>
      <c r="BK98" s="82">
        <v>110.1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9"/>
        <v>0</v>
      </c>
      <c r="AI99" s="49">
        <f t="shared" si="40"/>
        <v>0</v>
      </c>
      <c r="BF99" s="81"/>
      <c r="BG99" s="82">
        <v>67.7</v>
      </c>
      <c r="BH99" s="82">
        <v>0</v>
      </c>
      <c r="BI99" s="82">
        <v>39.799999999999997</v>
      </c>
      <c r="BJ99" s="82">
        <v>22.7</v>
      </c>
      <c r="BK99" s="82">
        <v>81.400000000000006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62">B61+B65+B83+B79+B95+B99</f>
        <v>1739.0400000000002</v>
      </c>
      <c r="C100" s="108">
        <f t="shared" si="62"/>
        <v>1735.0400000000002</v>
      </c>
      <c r="D100" s="108">
        <f t="shared" ref="D100" si="63">D61+D65+D83+D79+D95+D99</f>
        <v>1736.0400000000002</v>
      </c>
      <c r="E100" s="108">
        <f t="shared" ref="E100:AG100" si="64">E61+E65+E83+E79+E95+E99</f>
        <v>1737.8400000000001</v>
      </c>
      <c r="F100" s="108">
        <f t="shared" si="64"/>
        <v>1735.8400000000001</v>
      </c>
      <c r="G100" s="108">
        <f t="shared" si="64"/>
        <v>1734.0400000000002</v>
      </c>
      <c r="H100" s="108">
        <f t="shared" si="64"/>
        <v>1687.8400000000001</v>
      </c>
      <c r="I100" s="108">
        <f t="shared" si="64"/>
        <v>1726.0400000000002</v>
      </c>
      <c r="J100" s="108">
        <f t="shared" si="64"/>
        <v>1820.84</v>
      </c>
      <c r="K100" s="108">
        <f t="shared" si="64"/>
        <v>1894.34</v>
      </c>
      <c r="L100" s="108">
        <f t="shared" si="64"/>
        <v>1893.1399999999999</v>
      </c>
      <c r="M100" s="108">
        <f t="shared" si="64"/>
        <v>1928.44</v>
      </c>
      <c r="N100" s="108">
        <f t="shared" si="64"/>
        <v>1927.3400000000001</v>
      </c>
      <c r="O100" s="108">
        <f t="shared" si="64"/>
        <v>1886.7399999999998</v>
      </c>
      <c r="P100" s="108">
        <f t="shared" si="64"/>
        <v>1939.74</v>
      </c>
      <c r="Q100" s="108">
        <f t="shared" si="64"/>
        <v>1957.5400000000002</v>
      </c>
      <c r="R100" s="108">
        <f t="shared" si="64"/>
        <v>1903.14</v>
      </c>
      <c r="S100" s="108">
        <f t="shared" ref="S100:T100" si="65">S61+S65+S83+S79+S95+S99</f>
        <v>1959.0400000000004</v>
      </c>
      <c r="T100" s="108">
        <f t="shared" si="65"/>
        <v>1989.7400000000002</v>
      </c>
      <c r="U100" s="108">
        <f t="shared" ref="U100:V100" si="66">U61+U65+U83+U79+U95+U99</f>
        <v>1977.8400000000001</v>
      </c>
      <c r="V100" s="108">
        <f t="shared" si="66"/>
        <v>1755.7400000000002</v>
      </c>
      <c r="W100" s="108">
        <f t="shared" ref="W100:X100" si="67">W61+W65+W83+W79+W95+W99</f>
        <v>1597.24</v>
      </c>
      <c r="X100" s="108">
        <f t="shared" si="67"/>
        <v>1598.6399999999999</v>
      </c>
      <c r="Y100" s="108">
        <f t="shared" ref="Y100:AA100" si="68">Y61+Y65+Y83+Y79+Y95+Y99</f>
        <v>1668.44</v>
      </c>
      <c r="Z100" s="108">
        <f t="shared" si="68"/>
        <v>1692.0400000000002</v>
      </c>
      <c r="AA100" s="108">
        <f t="shared" si="68"/>
        <v>1817.94</v>
      </c>
      <c r="AB100" s="108">
        <f t="shared" si="64"/>
        <v>1810.5399999999997</v>
      </c>
      <c r="AC100" s="108">
        <f t="shared" si="64"/>
        <v>1790.6399999999999</v>
      </c>
      <c r="AD100" s="108">
        <f t="shared" si="64"/>
        <v>1542.3400000000001</v>
      </c>
      <c r="AE100" s="108">
        <f t="shared" si="64"/>
        <v>1703.1399999999999</v>
      </c>
      <c r="AF100" s="108">
        <f t="shared" si="64"/>
        <v>1702.6399999999999</v>
      </c>
      <c r="AG100" s="72">
        <f t="shared" si="64"/>
        <v>2655.44</v>
      </c>
      <c r="AH100" s="48">
        <f t="shared" si="39"/>
        <v>1989.7400000000002</v>
      </c>
      <c r="AI100" s="49">
        <f t="shared" si="40"/>
        <v>1542.3400000000001</v>
      </c>
      <c r="BF100" s="81"/>
      <c r="BG100" s="82">
        <v>32.1</v>
      </c>
      <c r="BH100" s="82">
        <v>0</v>
      </c>
      <c r="BI100" s="82">
        <v>-117.7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100</v>
      </c>
      <c r="E101" s="110">
        <v>100</v>
      </c>
      <c r="F101" s="110">
        <v>100</v>
      </c>
      <c r="G101" s="110">
        <v>130</v>
      </c>
      <c r="H101" s="110">
        <v>130</v>
      </c>
      <c r="I101" s="110">
        <v>130</v>
      </c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>
        <v>250</v>
      </c>
      <c r="Z101" s="110">
        <v>250</v>
      </c>
      <c r="AA101" s="110">
        <v>220</v>
      </c>
      <c r="AB101" s="110">
        <v>220</v>
      </c>
      <c r="AC101" s="110">
        <v>220</v>
      </c>
      <c r="AD101" s="110">
        <v>220</v>
      </c>
      <c r="AE101" s="110">
        <v>150</v>
      </c>
      <c r="AF101" s="110">
        <v>150</v>
      </c>
      <c r="AG101" s="101"/>
      <c r="AH101" s="48">
        <f t="shared" si="39"/>
        <v>250</v>
      </c>
      <c r="AI101" s="49">
        <f t="shared" si="40"/>
        <v>100</v>
      </c>
      <c r="BF101" s="81"/>
      <c r="BG101" s="82">
        <v>37.9</v>
      </c>
      <c r="BH101" s="82">
        <v>0</v>
      </c>
      <c r="BI101" s="82">
        <v>-110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69">B100+B101</f>
        <v>1839.0400000000002</v>
      </c>
      <c r="C102" s="108">
        <f t="shared" si="69"/>
        <v>1835.0400000000002</v>
      </c>
      <c r="D102" s="108">
        <f t="shared" ref="D102" si="70">D100+D101</f>
        <v>1836.0400000000002</v>
      </c>
      <c r="E102" s="108">
        <f t="shared" ref="E102:AF102" si="71">E100+E101</f>
        <v>1837.8400000000001</v>
      </c>
      <c r="F102" s="108">
        <f t="shared" si="71"/>
        <v>1835.8400000000001</v>
      </c>
      <c r="G102" s="108">
        <f t="shared" si="71"/>
        <v>1864.0400000000002</v>
      </c>
      <c r="H102" s="108">
        <f t="shared" si="71"/>
        <v>1817.8400000000001</v>
      </c>
      <c r="I102" s="108">
        <f t="shared" si="71"/>
        <v>1856.0400000000002</v>
      </c>
      <c r="J102" s="108">
        <f t="shared" si="71"/>
        <v>1820.84</v>
      </c>
      <c r="K102" s="108">
        <f t="shared" si="71"/>
        <v>1894.34</v>
      </c>
      <c r="L102" s="108">
        <f t="shared" si="71"/>
        <v>1893.1399999999999</v>
      </c>
      <c r="M102" s="108">
        <f t="shared" si="71"/>
        <v>1928.44</v>
      </c>
      <c r="N102" s="108">
        <f t="shared" si="71"/>
        <v>1927.3400000000001</v>
      </c>
      <c r="O102" s="108">
        <f t="shared" si="71"/>
        <v>1886.7399999999998</v>
      </c>
      <c r="P102" s="108">
        <f t="shared" si="71"/>
        <v>1939.74</v>
      </c>
      <c r="Q102" s="108">
        <f t="shared" si="71"/>
        <v>1957.5400000000002</v>
      </c>
      <c r="R102" s="108">
        <f t="shared" si="71"/>
        <v>1903.14</v>
      </c>
      <c r="S102" s="108">
        <f t="shared" ref="S102:T102" si="72">S100+S101</f>
        <v>1959.0400000000004</v>
      </c>
      <c r="T102" s="108">
        <f t="shared" si="72"/>
        <v>1989.7400000000002</v>
      </c>
      <c r="U102" s="108">
        <f t="shared" ref="U102:V102" si="73">U100+U101</f>
        <v>1977.8400000000001</v>
      </c>
      <c r="V102" s="108">
        <f t="shared" si="73"/>
        <v>1755.7400000000002</v>
      </c>
      <c r="W102" s="108">
        <f t="shared" ref="W102:X102" si="74">W100+W101</f>
        <v>1597.24</v>
      </c>
      <c r="X102" s="108">
        <f t="shared" si="74"/>
        <v>1598.6399999999999</v>
      </c>
      <c r="Y102" s="108">
        <f t="shared" ref="Y102:AA102" si="75">Y100+Y101</f>
        <v>1918.44</v>
      </c>
      <c r="Z102" s="108">
        <f t="shared" si="75"/>
        <v>1942.0400000000002</v>
      </c>
      <c r="AA102" s="108">
        <f t="shared" si="75"/>
        <v>2037.94</v>
      </c>
      <c r="AB102" s="108">
        <f t="shared" si="71"/>
        <v>2030.5399999999997</v>
      </c>
      <c r="AC102" s="108">
        <f t="shared" si="71"/>
        <v>2010.6399999999999</v>
      </c>
      <c r="AD102" s="108">
        <f t="shared" si="71"/>
        <v>1762.3400000000001</v>
      </c>
      <c r="AE102" s="108">
        <f t="shared" si="71"/>
        <v>1853.1399999999999</v>
      </c>
      <c r="AF102" s="108">
        <f t="shared" si="71"/>
        <v>1852.6399999999999</v>
      </c>
      <c r="AG102" s="101">
        <f>AG99+AG95+AG83+AG79+AG61+AG101</f>
        <v>2117.34</v>
      </c>
      <c r="AH102" s="48">
        <f t="shared" si="39"/>
        <v>2037.94</v>
      </c>
      <c r="AI102" s="49">
        <f t="shared" si="40"/>
        <v>1597.24</v>
      </c>
      <c r="BF102" s="81"/>
      <c r="BG102" s="82">
        <v>60</v>
      </c>
      <c r="BH102" s="82">
        <v>0</v>
      </c>
      <c r="BI102" s="82">
        <v>-50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76">B102-(B110)</f>
        <v>1704.0400000000002</v>
      </c>
      <c r="C103" s="108">
        <f t="shared" si="76"/>
        <v>1702.0400000000002</v>
      </c>
      <c r="D103" s="108">
        <f t="shared" ref="D103" si="77">D102-(D110)</f>
        <v>1691.0400000000002</v>
      </c>
      <c r="E103" s="108">
        <f t="shared" ref="E103:AF103" si="78">E102-(E110)</f>
        <v>1687.3400000000001</v>
      </c>
      <c r="F103" s="108">
        <f t="shared" si="78"/>
        <v>1665.8400000000001</v>
      </c>
      <c r="G103" s="108">
        <f t="shared" si="78"/>
        <v>1641.0400000000002</v>
      </c>
      <c r="H103" s="108">
        <f t="shared" si="78"/>
        <v>1628.8400000000001</v>
      </c>
      <c r="I103" s="108">
        <f t="shared" si="78"/>
        <v>1648.0400000000002</v>
      </c>
      <c r="J103" s="108">
        <f t="shared" si="78"/>
        <v>1618.84</v>
      </c>
      <c r="K103" s="108">
        <f t="shared" si="78"/>
        <v>1676.34</v>
      </c>
      <c r="L103" s="108">
        <f t="shared" si="78"/>
        <v>1746.1399999999999</v>
      </c>
      <c r="M103" s="108">
        <f t="shared" si="78"/>
        <v>1779.44</v>
      </c>
      <c r="N103" s="108">
        <f t="shared" si="78"/>
        <v>1764.3400000000001</v>
      </c>
      <c r="O103" s="108">
        <f t="shared" si="78"/>
        <v>1780.7399999999998</v>
      </c>
      <c r="P103" s="108">
        <f t="shared" si="78"/>
        <v>1892.24</v>
      </c>
      <c r="Q103" s="108">
        <f t="shared" si="78"/>
        <v>1890.9400000000003</v>
      </c>
      <c r="R103" s="108">
        <f t="shared" si="78"/>
        <v>1876.14</v>
      </c>
      <c r="S103" s="108">
        <f t="shared" ref="S103:T103" si="79">S102-(S110)</f>
        <v>1934.4400000000005</v>
      </c>
      <c r="T103" s="108">
        <f t="shared" si="79"/>
        <v>1951.1400000000003</v>
      </c>
      <c r="U103" s="108">
        <f t="shared" ref="U103:V103" si="80">U102-(U110)</f>
        <v>1944.7400000000002</v>
      </c>
      <c r="V103" s="108">
        <f t="shared" si="80"/>
        <v>1755.7400000000002</v>
      </c>
      <c r="W103" s="108">
        <f t="shared" ref="W103:X103" si="81">W102-(W110)</f>
        <v>1597.24</v>
      </c>
      <c r="X103" s="108">
        <f t="shared" si="81"/>
        <v>1598.6399999999999</v>
      </c>
      <c r="Y103" s="108">
        <f t="shared" ref="Y103:AA103" si="82">Y102-(Y110)</f>
        <v>1805.74</v>
      </c>
      <c r="Z103" s="108">
        <f t="shared" si="82"/>
        <v>1824.3400000000001</v>
      </c>
      <c r="AA103" s="108">
        <f t="shared" si="82"/>
        <v>1933.24</v>
      </c>
      <c r="AB103" s="108">
        <f t="shared" si="78"/>
        <v>1920.5399999999997</v>
      </c>
      <c r="AC103" s="108">
        <f t="shared" si="78"/>
        <v>1901.6399999999999</v>
      </c>
      <c r="AD103" s="108">
        <f t="shared" si="78"/>
        <v>1712.3400000000001</v>
      </c>
      <c r="AE103" s="108">
        <f t="shared" si="78"/>
        <v>1730.1399999999999</v>
      </c>
      <c r="AF103" s="108">
        <f t="shared" si="78"/>
        <v>1736.6399999999999</v>
      </c>
      <c r="AG103" s="101"/>
      <c r="AH103" s="48">
        <f t="shared" si="39"/>
        <v>1951.1400000000003</v>
      </c>
      <c r="AI103" s="49">
        <f t="shared" si="40"/>
        <v>1597.24</v>
      </c>
      <c r="BF103" s="81"/>
      <c r="BG103" s="82">
        <v>32</v>
      </c>
      <c r="BH103" s="82">
        <v>0</v>
      </c>
      <c r="BI103" s="82">
        <v>-123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83">IF(B84&lt;0,B84*-1,0)</f>
        <v>0</v>
      </c>
      <c r="C104" s="89">
        <f t="shared" si="83"/>
        <v>0</v>
      </c>
      <c r="D104" s="89">
        <f t="shared" ref="D104" si="84">IF(D84&lt;0,D84*-1,0)</f>
        <v>0</v>
      </c>
      <c r="E104" s="89">
        <f t="shared" ref="E104:AF109" si="85">IF(E84&lt;0,E84*-1,0)</f>
        <v>0</v>
      </c>
      <c r="F104" s="89">
        <f t="shared" si="85"/>
        <v>0</v>
      </c>
      <c r="G104" s="89">
        <f t="shared" si="85"/>
        <v>0</v>
      </c>
      <c r="H104" s="89">
        <f t="shared" si="85"/>
        <v>0</v>
      </c>
      <c r="I104" s="89">
        <f t="shared" si="85"/>
        <v>0</v>
      </c>
      <c r="J104" s="89">
        <f t="shared" si="85"/>
        <v>0</v>
      </c>
      <c r="K104" s="89">
        <f t="shared" si="85"/>
        <v>0</v>
      </c>
      <c r="L104" s="89">
        <f t="shared" si="85"/>
        <v>0</v>
      </c>
      <c r="M104" s="89">
        <f t="shared" si="85"/>
        <v>0</v>
      </c>
      <c r="N104" s="89">
        <f t="shared" si="85"/>
        <v>0</v>
      </c>
      <c r="O104" s="89">
        <f t="shared" si="85"/>
        <v>0</v>
      </c>
      <c r="P104" s="89">
        <f t="shared" si="85"/>
        <v>0</v>
      </c>
      <c r="Q104" s="89">
        <f t="shared" si="85"/>
        <v>0</v>
      </c>
      <c r="R104" s="89">
        <f t="shared" si="85"/>
        <v>0</v>
      </c>
      <c r="S104" s="89">
        <f t="shared" ref="S104:T104" si="86">IF(S84&lt;0,S84*-1,0)</f>
        <v>0</v>
      </c>
      <c r="T104" s="89">
        <f t="shared" si="86"/>
        <v>0</v>
      </c>
      <c r="U104" s="89">
        <f t="shared" ref="U104:V104" si="87">IF(U84&lt;0,U84*-1,0)</f>
        <v>0</v>
      </c>
      <c r="V104" s="89">
        <f t="shared" si="87"/>
        <v>0</v>
      </c>
      <c r="W104" s="89">
        <f t="shared" ref="W104:X104" si="88">IF(W84&lt;0,W84*-1,0)</f>
        <v>0</v>
      </c>
      <c r="X104" s="89">
        <f t="shared" si="88"/>
        <v>0</v>
      </c>
      <c r="Y104" s="89">
        <f t="shared" ref="Y104:AA109" si="89">IF(Y84&lt;0,Y84*-1,0)</f>
        <v>0</v>
      </c>
      <c r="Z104" s="89">
        <f t="shared" si="89"/>
        <v>0</v>
      </c>
      <c r="AA104" s="89">
        <f t="shared" si="89"/>
        <v>0</v>
      </c>
      <c r="AB104" s="89">
        <f t="shared" si="85"/>
        <v>0</v>
      </c>
      <c r="AC104" s="89">
        <f t="shared" si="85"/>
        <v>0</v>
      </c>
      <c r="AD104" s="89">
        <f t="shared" si="85"/>
        <v>0</v>
      </c>
      <c r="AE104" s="89">
        <f t="shared" si="85"/>
        <v>0</v>
      </c>
      <c r="AF104" s="89">
        <f t="shared" si="85"/>
        <v>0</v>
      </c>
      <c r="AG104" s="61"/>
      <c r="AH104" s="48">
        <f t="shared" si="39"/>
        <v>0</v>
      </c>
      <c r="AI104" s="49">
        <f t="shared" si="40"/>
        <v>0</v>
      </c>
      <c r="BG104" s="82">
        <v>31.5</v>
      </c>
      <c r="BH104" s="82">
        <v>0</v>
      </c>
      <c r="BI104" s="82">
        <v>-116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3"/>
        <v>0</v>
      </c>
      <c r="C105" s="89">
        <f t="shared" si="83"/>
        <v>0</v>
      </c>
      <c r="D105" s="89">
        <f t="shared" ref="D105" si="90">IF(D85&lt;0,D85*-1,0)</f>
        <v>0</v>
      </c>
      <c r="E105" s="89">
        <f t="shared" ref="E105:Q105" si="91">IF(E85&lt;0,E85*-1,0)</f>
        <v>0</v>
      </c>
      <c r="F105" s="89">
        <f t="shared" si="91"/>
        <v>0</v>
      </c>
      <c r="G105" s="89">
        <f t="shared" si="91"/>
        <v>0</v>
      </c>
      <c r="H105" s="89">
        <f t="shared" si="91"/>
        <v>0</v>
      </c>
      <c r="I105" s="89">
        <f t="shared" si="91"/>
        <v>0</v>
      </c>
      <c r="J105" s="89">
        <f t="shared" si="91"/>
        <v>0</v>
      </c>
      <c r="K105" s="89">
        <f t="shared" si="91"/>
        <v>0</v>
      </c>
      <c r="L105" s="89">
        <f t="shared" si="91"/>
        <v>0</v>
      </c>
      <c r="M105" s="89">
        <f t="shared" si="91"/>
        <v>0</v>
      </c>
      <c r="N105" s="89">
        <f t="shared" si="91"/>
        <v>0</v>
      </c>
      <c r="O105" s="89">
        <f t="shared" si="91"/>
        <v>0</v>
      </c>
      <c r="P105" s="89">
        <f t="shared" si="91"/>
        <v>0</v>
      </c>
      <c r="Q105" s="89">
        <f t="shared" si="91"/>
        <v>0</v>
      </c>
      <c r="R105" s="89">
        <f t="shared" si="85"/>
        <v>0</v>
      </c>
      <c r="S105" s="89">
        <f t="shared" ref="S105:T105" si="92">IF(S85&lt;0,S85*-1,0)</f>
        <v>0</v>
      </c>
      <c r="T105" s="89">
        <f t="shared" si="92"/>
        <v>0</v>
      </c>
      <c r="U105" s="89">
        <f t="shared" ref="U105:V105" si="93">IF(U85&lt;0,U85*-1,0)</f>
        <v>0</v>
      </c>
      <c r="V105" s="89">
        <f t="shared" si="93"/>
        <v>0</v>
      </c>
      <c r="W105" s="89">
        <f t="shared" ref="W105:X105" si="94">IF(W85&lt;0,W85*-1,0)</f>
        <v>0</v>
      </c>
      <c r="X105" s="89">
        <f t="shared" si="94"/>
        <v>0</v>
      </c>
      <c r="Y105" s="89">
        <f t="shared" ref="Y105:Z105" si="95">IF(Y85&lt;0,Y85*-1,0)</f>
        <v>0</v>
      </c>
      <c r="Z105" s="89">
        <f t="shared" si="95"/>
        <v>0</v>
      </c>
      <c r="AA105" s="89">
        <f t="shared" si="89"/>
        <v>0</v>
      </c>
      <c r="AB105" s="89">
        <f t="shared" si="85"/>
        <v>0</v>
      </c>
      <c r="AC105" s="89">
        <f t="shared" si="85"/>
        <v>0</v>
      </c>
      <c r="AD105" s="89">
        <f t="shared" si="85"/>
        <v>0</v>
      </c>
      <c r="AE105" s="89">
        <f t="shared" si="85"/>
        <v>0</v>
      </c>
      <c r="AF105" s="89">
        <f t="shared" si="85"/>
        <v>0</v>
      </c>
      <c r="AG105" s="66"/>
      <c r="AH105" s="48">
        <f t="shared" si="39"/>
        <v>0</v>
      </c>
      <c r="AI105" s="49">
        <f t="shared" si="40"/>
        <v>0</v>
      </c>
      <c r="AK105" s="51"/>
      <c r="BG105" s="82">
        <v>28</v>
      </c>
      <c r="BH105" s="82">
        <v>0</v>
      </c>
      <c r="BI105" s="82">
        <v>-135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3"/>
        <v>135</v>
      </c>
      <c r="C106" s="89">
        <f t="shared" si="83"/>
        <v>133</v>
      </c>
      <c r="D106" s="89">
        <f t="shared" ref="D106" si="96">IF(D86&lt;0,D86*-1,0)</f>
        <v>145</v>
      </c>
      <c r="E106" s="89">
        <f t="shared" si="85"/>
        <v>150.5</v>
      </c>
      <c r="F106" s="89">
        <f t="shared" si="85"/>
        <v>170</v>
      </c>
      <c r="G106" s="89">
        <f t="shared" si="85"/>
        <v>223</v>
      </c>
      <c r="H106" s="89">
        <f t="shared" si="85"/>
        <v>189</v>
      </c>
      <c r="I106" s="89">
        <f t="shared" si="85"/>
        <v>208</v>
      </c>
      <c r="J106" s="89">
        <f t="shared" si="85"/>
        <v>202</v>
      </c>
      <c r="K106" s="89">
        <f t="shared" si="85"/>
        <v>218</v>
      </c>
      <c r="L106" s="89">
        <f t="shared" si="85"/>
        <v>147</v>
      </c>
      <c r="M106" s="89">
        <f t="shared" si="85"/>
        <v>149</v>
      </c>
      <c r="N106" s="89">
        <f t="shared" si="85"/>
        <v>163</v>
      </c>
      <c r="O106" s="89">
        <f t="shared" si="85"/>
        <v>106</v>
      </c>
      <c r="P106" s="89">
        <f t="shared" si="85"/>
        <v>47.5</v>
      </c>
      <c r="Q106" s="89">
        <f t="shared" si="85"/>
        <v>66.599999999999994</v>
      </c>
      <c r="R106" s="89">
        <f t="shared" si="85"/>
        <v>27</v>
      </c>
      <c r="S106" s="89">
        <f t="shared" ref="S106:T106" si="97">IF(S86&lt;0,S86*-1,0)</f>
        <v>24.6</v>
      </c>
      <c r="T106" s="89">
        <f t="shared" si="97"/>
        <v>38.6</v>
      </c>
      <c r="U106" s="89">
        <f t="shared" ref="U106:V106" si="98">IF(U86&lt;0,U86*-1,0)</f>
        <v>33.1</v>
      </c>
      <c r="V106" s="89">
        <f t="shared" si="98"/>
        <v>0</v>
      </c>
      <c r="W106" s="89">
        <f t="shared" ref="W106:X106" si="99">IF(W86&lt;0,W86*-1,0)</f>
        <v>0</v>
      </c>
      <c r="X106" s="89">
        <f t="shared" si="99"/>
        <v>0</v>
      </c>
      <c r="Y106" s="89">
        <f t="shared" ref="Y106:Z106" si="100">IF(Y86&lt;0,Y86*-1,0)</f>
        <v>112.7</v>
      </c>
      <c r="Z106" s="89">
        <f t="shared" si="100"/>
        <v>117.7</v>
      </c>
      <c r="AA106" s="89">
        <f t="shared" si="89"/>
        <v>104.7</v>
      </c>
      <c r="AB106" s="89">
        <f t="shared" si="85"/>
        <v>110</v>
      </c>
      <c r="AC106" s="89">
        <f t="shared" si="85"/>
        <v>109</v>
      </c>
      <c r="AD106" s="89">
        <f t="shared" si="85"/>
        <v>50</v>
      </c>
      <c r="AE106" s="89">
        <f t="shared" si="85"/>
        <v>123</v>
      </c>
      <c r="AF106" s="89">
        <f t="shared" si="85"/>
        <v>116</v>
      </c>
      <c r="AG106" s="111"/>
      <c r="AH106" s="48">
        <f t="shared" si="39"/>
        <v>223</v>
      </c>
      <c r="AI106" s="49">
        <f t="shared" si="40"/>
        <v>0</v>
      </c>
    </row>
    <row r="107" spans="1:64" x14ac:dyDescent="0.25">
      <c r="A107" s="97" t="s">
        <v>107</v>
      </c>
      <c r="B107" s="89">
        <f t="shared" si="83"/>
        <v>0</v>
      </c>
      <c r="C107" s="89">
        <f t="shared" si="83"/>
        <v>0</v>
      </c>
      <c r="D107" s="89">
        <f t="shared" ref="D107" si="101">IF(D87&lt;0,D87*-1,0)</f>
        <v>0</v>
      </c>
      <c r="E107" s="89">
        <f t="shared" si="85"/>
        <v>0</v>
      </c>
      <c r="F107" s="89">
        <f t="shared" si="85"/>
        <v>0</v>
      </c>
      <c r="G107" s="89">
        <f t="shared" si="85"/>
        <v>0</v>
      </c>
      <c r="H107" s="89">
        <f t="shared" si="85"/>
        <v>0</v>
      </c>
      <c r="I107" s="89">
        <f t="shared" si="85"/>
        <v>0</v>
      </c>
      <c r="J107" s="89">
        <f t="shared" si="85"/>
        <v>0</v>
      </c>
      <c r="K107" s="89">
        <f t="shared" si="85"/>
        <v>0</v>
      </c>
      <c r="L107" s="89">
        <f t="shared" si="85"/>
        <v>0</v>
      </c>
      <c r="M107" s="89">
        <f t="shared" si="85"/>
        <v>0</v>
      </c>
      <c r="N107" s="89">
        <f t="shared" si="85"/>
        <v>0</v>
      </c>
      <c r="O107" s="89">
        <f t="shared" si="85"/>
        <v>0</v>
      </c>
      <c r="P107" s="89">
        <f t="shared" si="85"/>
        <v>0</v>
      </c>
      <c r="Q107" s="89">
        <f t="shared" si="85"/>
        <v>0</v>
      </c>
      <c r="R107" s="89">
        <f t="shared" si="85"/>
        <v>0</v>
      </c>
      <c r="S107" s="89">
        <f t="shared" ref="S107:T107" si="102">IF(S87&lt;0,S87*-1,0)</f>
        <v>0</v>
      </c>
      <c r="T107" s="89">
        <f t="shared" si="102"/>
        <v>0</v>
      </c>
      <c r="U107" s="89">
        <f t="shared" ref="U107:V107" si="103">IF(U87&lt;0,U87*-1,0)</f>
        <v>0</v>
      </c>
      <c r="V107" s="89">
        <f t="shared" si="103"/>
        <v>0</v>
      </c>
      <c r="W107" s="89">
        <f t="shared" ref="W107:X107" si="104">IF(W87&lt;0,W87*-1,0)</f>
        <v>0</v>
      </c>
      <c r="X107" s="89">
        <f t="shared" si="104"/>
        <v>0</v>
      </c>
      <c r="Y107" s="89">
        <f t="shared" ref="Y107:Z107" si="105">IF(Y87&lt;0,Y87*-1,0)</f>
        <v>0</v>
      </c>
      <c r="Z107" s="89">
        <f t="shared" si="105"/>
        <v>0</v>
      </c>
      <c r="AA107" s="89">
        <f t="shared" si="89"/>
        <v>0</v>
      </c>
      <c r="AB107" s="89">
        <f t="shared" si="85"/>
        <v>0</v>
      </c>
      <c r="AC107" s="89">
        <f t="shared" si="85"/>
        <v>0</v>
      </c>
      <c r="AD107" s="89">
        <f t="shared" si="85"/>
        <v>0</v>
      </c>
      <c r="AE107" s="89">
        <f t="shared" si="85"/>
        <v>0</v>
      </c>
      <c r="AF107" s="89">
        <f t="shared" si="85"/>
        <v>0</v>
      </c>
      <c r="AG107" s="111"/>
      <c r="AH107" s="48">
        <f t="shared" si="39"/>
        <v>0</v>
      </c>
      <c r="AI107" s="49">
        <f t="shared" si="40"/>
        <v>0</v>
      </c>
    </row>
    <row r="108" spans="1:64" x14ac:dyDescent="0.25">
      <c r="A108" s="97" t="s">
        <v>108</v>
      </c>
      <c r="B108" s="89">
        <f t="shared" si="83"/>
        <v>0</v>
      </c>
      <c r="C108" s="89">
        <f t="shared" si="83"/>
        <v>0</v>
      </c>
      <c r="D108" s="89">
        <f t="shared" ref="D108" si="106">IF(D88&lt;0,D88*-1,0)</f>
        <v>0</v>
      </c>
      <c r="E108" s="89">
        <f t="shared" si="85"/>
        <v>0</v>
      </c>
      <c r="F108" s="89">
        <f t="shared" si="85"/>
        <v>0</v>
      </c>
      <c r="G108" s="89">
        <f t="shared" si="85"/>
        <v>0</v>
      </c>
      <c r="H108" s="89">
        <f t="shared" si="85"/>
        <v>0</v>
      </c>
      <c r="I108" s="89">
        <f t="shared" si="85"/>
        <v>0</v>
      </c>
      <c r="J108" s="89">
        <f t="shared" si="85"/>
        <v>0</v>
      </c>
      <c r="K108" s="89">
        <f t="shared" si="85"/>
        <v>0</v>
      </c>
      <c r="L108" s="89">
        <f t="shared" si="85"/>
        <v>0</v>
      </c>
      <c r="M108" s="89">
        <f t="shared" si="85"/>
        <v>0</v>
      </c>
      <c r="N108" s="89">
        <f t="shared" si="85"/>
        <v>0</v>
      </c>
      <c r="O108" s="89">
        <f t="shared" si="85"/>
        <v>0</v>
      </c>
      <c r="P108" s="89">
        <f t="shared" si="85"/>
        <v>0</v>
      </c>
      <c r="Q108" s="89">
        <f t="shared" si="85"/>
        <v>0</v>
      </c>
      <c r="R108" s="89">
        <f t="shared" si="85"/>
        <v>0</v>
      </c>
      <c r="S108" s="89">
        <f t="shared" ref="S108:T108" si="107">IF(S88&lt;0,S88*-1,0)</f>
        <v>0</v>
      </c>
      <c r="T108" s="89">
        <f t="shared" si="107"/>
        <v>0</v>
      </c>
      <c r="U108" s="89">
        <f t="shared" ref="U108:V108" si="108">IF(U88&lt;0,U88*-1,0)</f>
        <v>0</v>
      </c>
      <c r="V108" s="89">
        <f t="shared" si="108"/>
        <v>0</v>
      </c>
      <c r="W108" s="89">
        <f t="shared" ref="W108:X108" si="109">IF(W88&lt;0,W88*-1,0)</f>
        <v>0</v>
      </c>
      <c r="X108" s="89">
        <f t="shared" si="109"/>
        <v>0</v>
      </c>
      <c r="Y108" s="89">
        <f t="shared" ref="Y108:Z108" si="110">IF(Y88&lt;0,Y88*-1,0)</f>
        <v>0</v>
      </c>
      <c r="Z108" s="89">
        <f t="shared" si="110"/>
        <v>0</v>
      </c>
      <c r="AA108" s="89">
        <f t="shared" si="89"/>
        <v>0</v>
      </c>
      <c r="AB108" s="89">
        <f t="shared" si="85"/>
        <v>0</v>
      </c>
      <c r="AC108" s="89">
        <f t="shared" si="85"/>
        <v>0</v>
      </c>
      <c r="AD108" s="89">
        <f t="shared" si="85"/>
        <v>0</v>
      </c>
      <c r="AE108" s="89">
        <f t="shared" si="85"/>
        <v>0</v>
      </c>
      <c r="AF108" s="89">
        <f t="shared" si="85"/>
        <v>0</v>
      </c>
      <c r="AG108" s="111"/>
      <c r="AH108" s="48">
        <f t="shared" si="39"/>
        <v>0</v>
      </c>
      <c r="AI108" s="49">
        <f t="shared" si="40"/>
        <v>0</v>
      </c>
    </row>
    <row r="109" spans="1:64" ht="15.75" thickBot="1" x14ac:dyDescent="0.3">
      <c r="A109" s="97" t="s">
        <v>117</v>
      </c>
      <c r="B109" s="89">
        <f t="shared" si="83"/>
        <v>0</v>
      </c>
      <c r="C109" s="89">
        <f t="shared" si="83"/>
        <v>0</v>
      </c>
      <c r="D109" s="89">
        <f t="shared" ref="D109" si="111">IF(D89&lt;0,D89*-1,0)</f>
        <v>0</v>
      </c>
      <c r="E109" s="89">
        <f t="shared" si="85"/>
        <v>0</v>
      </c>
      <c r="F109" s="89">
        <f t="shared" si="85"/>
        <v>0</v>
      </c>
      <c r="G109" s="89">
        <f t="shared" si="85"/>
        <v>0</v>
      </c>
      <c r="H109" s="89">
        <f t="shared" si="85"/>
        <v>0</v>
      </c>
      <c r="I109" s="89">
        <f t="shared" si="85"/>
        <v>0</v>
      </c>
      <c r="J109" s="89">
        <f t="shared" si="85"/>
        <v>0</v>
      </c>
      <c r="K109" s="89">
        <f t="shared" si="85"/>
        <v>0</v>
      </c>
      <c r="L109" s="89">
        <f t="shared" si="85"/>
        <v>0</v>
      </c>
      <c r="M109" s="89">
        <f t="shared" si="85"/>
        <v>0</v>
      </c>
      <c r="N109" s="89">
        <f t="shared" si="85"/>
        <v>0</v>
      </c>
      <c r="O109" s="89">
        <f t="shared" si="85"/>
        <v>0</v>
      </c>
      <c r="P109" s="89">
        <f t="shared" si="85"/>
        <v>0</v>
      </c>
      <c r="Q109" s="89">
        <f t="shared" si="85"/>
        <v>0</v>
      </c>
      <c r="R109" s="89">
        <f t="shared" si="85"/>
        <v>0</v>
      </c>
      <c r="S109" s="89">
        <f t="shared" ref="S109:T109" si="112">IF(S89&lt;0,S89*-1,0)</f>
        <v>0</v>
      </c>
      <c r="T109" s="89">
        <f t="shared" si="112"/>
        <v>0</v>
      </c>
      <c r="U109" s="89">
        <f t="shared" ref="U109:V109" si="113">IF(U89&lt;0,U89*-1,0)</f>
        <v>0</v>
      </c>
      <c r="V109" s="89">
        <f t="shared" si="113"/>
        <v>0</v>
      </c>
      <c r="W109" s="89">
        <f t="shared" ref="W109:X109" si="114">IF(W89&lt;0,W89*-1,0)</f>
        <v>0</v>
      </c>
      <c r="X109" s="89">
        <f t="shared" si="114"/>
        <v>0</v>
      </c>
      <c r="Y109" s="89">
        <f t="shared" ref="Y109:Z109" si="115">IF(Y89&lt;0,Y89*-1,0)</f>
        <v>0</v>
      </c>
      <c r="Z109" s="89">
        <f t="shared" si="115"/>
        <v>0</v>
      </c>
      <c r="AA109" s="89">
        <f t="shared" si="89"/>
        <v>0</v>
      </c>
      <c r="AB109" s="89">
        <f t="shared" si="85"/>
        <v>0</v>
      </c>
      <c r="AC109" s="89">
        <f t="shared" si="85"/>
        <v>0</v>
      </c>
      <c r="AD109" s="89">
        <f t="shared" si="85"/>
        <v>0</v>
      </c>
      <c r="AE109" s="89">
        <f t="shared" si="85"/>
        <v>0</v>
      </c>
      <c r="AF109" s="89">
        <f t="shared" si="85"/>
        <v>0</v>
      </c>
      <c r="AG109" s="98"/>
      <c r="AH109" s="48">
        <f t="shared" si="39"/>
        <v>0</v>
      </c>
      <c r="AI109" s="49">
        <f t="shared" si="40"/>
        <v>0</v>
      </c>
    </row>
    <row r="110" spans="1:64" ht="15.75" thickBot="1" x14ac:dyDescent="0.3">
      <c r="A110" s="112" t="s">
        <v>130</v>
      </c>
      <c r="B110" s="71">
        <f t="shared" ref="B110:C110" si="116">SUM(B104:B109)</f>
        <v>135</v>
      </c>
      <c r="C110" s="71">
        <f t="shared" si="116"/>
        <v>133</v>
      </c>
      <c r="D110" s="71">
        <f t="shared" ref="D110" si="117">SUM(D104:D109)</f>
        <v>145</v>
      </c>
      <c r="E110" s="71">
        <f t="shared" ref="E110:AF110" si="118">SUM(E104:E109)</f>
        <v>150.5</v>
      </c>
      <c r="F110" s="71">
        <f t="shared" si="118"/>
        <v>170</v>
      </c>
      <c r="G110" s="71">
        <f t="shared" si="118"/>
        <v>223</v>
      </c>
      <c r="H110" s="71">
        <f t="shared" si="118"/>
        <v>189</v>
      </c>
      <c r="I110" s="71">
        <f t="shared" si="118"/>
        <v>208</v>
      </c>
      <c r="J110" s="71">
        <f t="shared" si="118"/>
        <v>202</v>
      </c>
      <c r="K110" s="71">
        <f t="shared" si="118"/>
        <v>218</v>
      </c>
      <c r="L110" s="71">
        <f t="shared" si="118"/>
        <v>147</v>
      </c>
      <c r="M110" s="71">
        <f t="shared" si="118"/>
        <v>149</v>
      </c>
      <c r="N110" s="71">
        <f t="shared" si="118"/>
        <v>163</v>
      </c>
      <c r="O110" s="71">
        <f t="shared" si="118"/>
        <v>106</v>
      </c>
      <c r="P110" s="71">
        <f t="shared" si="118"/>
        <v>47.5</v>
      </c>
      <c r="Q110" s="71">
        <f t="shared" si="118"/>
        <v>66.599999999999994</v>
      </c>
      <c r="R110" s="71">
        <f t="shared" si="118"/>
        <v>27</v>
      </c>
      <c r="S110" s="71">
        <f t="shared" ref="S110:T110" si="119">SUM(S104:S109)</f>
        <v>24.6</v>
      </c>
      <c r="T110" s="71">
        <f t="shared" si="119"/>
        <v>38.6</v>
      </c>
      <c r="U110" s="71">
        <f t="shared" ref="U110:V110" si="120">SUM(U104:U109)</f>
        <v>33.1</v>
      </c>
      <c r="V110" s="71">
        <f t="shared" si="120"/>
        <v>0</v>
      </c>
      <c r="W110" s="71">
        <f t="shared" ref="W110:X110" si="121">SUM(W104:W109)</f>
        <v>0</v>
      </c>
      <c r="X110" s="71">
        <f t="shared" si="121"/>
        <v>0</v>
      </c>
      <c r="Y110" s="71">
        <f t="shared" ref="Y110:AA110" si="122">SUM(Y104:Y109)</f>
        <v>112.7</v>
      </c>
      <c r="Z110" s="71">
        <f t="shared" si="122"/>
        <v>117.7</v>
      </c>
      <c r="AA110" s="71">
        <f t="shared" si="122"/>
        <v>104.7</v>
      </c>
      <c r="AB110" s="71">
        <f t="shared" si="118"/>
        <v>110</v>
      </c>
      <c r="AC110" s="71">
        <f t="shared" si="118"/>
        <v>109</v>
      </c>
      <c r="AD110" s="71">
        <f t="shared" si="118"/>
        <v>50</v>
      </c>
      <c r="AE110" s="71">
        <f t="shared" si="118"/>
        <v>123</v>
      </c>
      <c r="AF110" s="71">
        <f t="shared" si="118"/>
        <v>116</v>
      </c>
      <c r="AG110" s="101"/>
      <c r="AH110" s="48">
        <f t="shared" si="39"/>
        <v>223</v>
      </c>
      <c r="AI110" s="49">
        <f t="shared" si="40"/>
        <v>0</v>
      </c>
    </row>
    <row r="111" spans="1:64" ht="15.75" thickBot="1" x14ac:dyDescent="0.3">
      <c r="A111" s="87" t="s">
        <v>131</v>
      </c>
      <c r="B111" s="71">
        <f t="shared" ref="B111:C111" si="123">B95-B110</f>
        <v>-107</v>
      </c>
      <c r="C111" s="71">
        <f t="shared" si="123"/>
        <v>-109</v>
      </c>
      <c r="D111" s="71">
        <f t="shared" ref="D111" si="124">D95-D110</f>
        <v>-120</v>
      </c>
      <c r="E111" s="71">
        <f t="shared" ref="E111:AF111" si="125">E95-E110</f>
        <v>-123.7</v>
      </c>
      <c r="F111" s="71">
        <f t="shared" si="125"/>
        <v>-145.19999999999999</v>
      </c>
      <c r="G111" s="71">
        <f t="shared" si="125"/>
        <v>-200</v>
      </c>
      <c r="H111" s="71">
        <f t="shared" si="125"/>
        <v>-170</v>
      </c>
      <c r="I111" s="71">
        <f t="shared" si="125"/>
        <v>-193</v>
      </c>
      <c r="J111" s="71">
        <f t="shared" si="125"/>
        <v>-48.400000000000006</v>
      </c>
      <c r="K111" s="71">
        <f t="shared" si="125"/>
        <v>-40.300000000000011</v>
      </c>
      <c r="L111" s="71">
        <f t="shared" si="125"/>
        <v>30.899999999999977</v>
      </c>
      <c r="M111" s="71">
        <f t="shared" si="125"/>
        <v>53</v>
      </c>
      <c r="N111" s="71">
        <f t="shared" si="125"/>
        <v>20.899999999999977</v>
      </c>
      <c r="O111" s="71">
        <f t="shared" si="125"/>
        <v>0</v>
      </c>
      <c r="P111" s="71">
        <f t="shared" si="125"/>
        <v>150</v>
      </c>
      <c r="Q111" s="71">
        <f t="shared" si="125"/>
        <v>214.1</v>
      </c>
      <c r="R111" s="71">
        <f t="shared" si="125"/>
        <v>217.4</v>
      </c>
      <c r="S111" s="71">
        <f t="shared" ref="S111:T111" si="126">S95-S110</f>
        <v>237.80000000000004</v>
      </c>
      <c r="T111" s="71">
        <f t="shared" si="126"/>
        <v>258</v>
      </c>
      <c r="U111" s="71">
        <f t="shared" ref="U111:V111" si="127">U95-U110</f>
        <v>256.2</v>
      </c>
      <c r="V111" s="71">
        <f t="shared" si="127"/>
        <v>298.3</v>
      </c>
      <c r="W111" s="71">
        <f t="shared" ref="W111:X111" si="128">W95-W110</f>
        <v>291.2</v>
      </c>
      <c r="X111" s="71">
        <f t="shared" si="128"/>
        <v>257.10000000000002</v>
      </c>
      <c r="Y111" s="71">
        <f t="shared" ref="Y111:AA111" si="129">Y95-Y110</f>
        <v>-37.5</v>
      </c>
      <c r="Z111" s="71">
        <f t="shared" si="129"/>
        <v>-41.8</v>
      </c>
      <c r="AA111" s="71">
        <f t="shared" si="129"/>
        <v>-23.5</v>
      </c>
      <c r="AB111" s="71">
        <f t="shared" si="125"/>
        <v>-25.200000000000003</v>
      </c>
      <c r="AC111" s="71">
        <f t="shared" si="125"/>
        <v>-26.599999999999994</v>
      </c>
      <c r="AD111" s="71">
        <f t="shared" si="125"/>
        <v>57.5</v>
      </c>
      <c r="AE111" s="71">
        <f t="shared" si="125"/>
        <v>-91</v>
      </c>
      <c r="AF111" s="71">
        <f t="shared" si="125"/>
        <v>-84.5</v>
      </c>
      <c r="AG111" s="101"/>
      <c r="AH111" s="48">
        <f t="shared" si="39"/>
        <v>298.3</v>
      </c>
      <c r="AI111" s="49">
        <f t="shared" si="40"/>
        <v>-200</v>
      </c>
    </row>
    <row r="112" spans="1:64" x14ac:dyDescent="0.25">
      <c r="A112" s="113" t="s">
        <v>132</v>
      </c>
      <c r="B112" s="114">
        <v>50.04</v>
      </c>
      <c r="C112" s="114">
        <v>50.05</v>
      </c>
      <c r="D112" s="114">
        <v>50.026000000000003</v>
      </c>
      <c r="E112" s="114">
        <v>50.070999999999998</v>
      </c>
      <c r="F112" s="114">
        <v>50</v>
      </c>
      <c r="G112" s="114">
        <v>49.99</v>
      </c>
      <c r="H112" s="114">
        <v>50.021999999999998</v>
      </c>
      <c r="I112" s="114">
        <v>49.954000000000001</v>
      </c>
      <c r="J112" s="114">
        <v>49.98</v>
      </c>
      <c r="K112" s="114">
        <v>50.064</v>
      </c>
      <c r="L112" s="114">
        <v>50.039000000000001</v>
      </c>
      <c r="M112" s="114">
        <v>50.256</v>
      </c>
      <c r="N112" s="114">
        <v>49.997999999999998</v>
      </c>
      <c r="O112" s="114">
        <v>50.015000000000001</v>
      </c>
      <c r="P112" s="114">
        <v>50.043999999999997</v>
      </c>
      <c r="Q112" s="114">
        <v>50.03</v>
      </c>
      <c r="R112" s="114">
        <v>50.073999999999998</v>
      </c>
      <c r="S112" s="114">
        <v>49.99</v>
      </c>
      <c r="T112" s="114">
        <v>49.99</v>
      </c>
      <c r="U112" s="114">
        <v>50.01</v>
      </c>
      <c r="V112" s="114">
        <v>50.04</v>
      </c>
      <c r="W112" s="114">
        <v>50.03</v>
      </c>
      <c r="X112" s="114">
        <v>50.03</v>
      </c>
      <c r="Y112" s="114">
        <v>50.03</v>
      </c>
      <c r="Z112" s="114">
        <v>49.99</v>
      </c>
      <c r="AA112" s="114">
        <v>50.03</v>
      </c>
      <c r="AB112" s="114">
        <v>50.055999999999997</v>
      </c>
      <c r="AC112" s="114">
        <v>50.036999999999999</v>
      </c>
      <c r="AD112" s="114">
        <v>50.037999999999997</v>
      </c>
      <c r="AE112" s="114">
        <v>50.043999999999997</v>
      </c>
      <c r="AF112" s="114">
        <v>50.012999999999998</v>
      </c>
      <c r="AG112" s="115"/>
      <c r="AH112" s="48">
        <f t="shared" si="39"/>
        <v>50.256</v>
      </c>
      <c r="AI112" s="49">
        <f t="shared" si="40"/>
        <v>49.954000000000001</v>
      </c>
    </row>
    <row r="113" spans="1:35" x14ac:dyDescent="0.25">
      <c r="A113" s="116" t="s">
        <v>133</v>
      </c>
      <c r="B113" s="76">
        <v>122</v>
      </c>
      <c r="C113" s="76">
        <v>122</v>
      </c>
      <c r="D113" s="76">
        <v>122</v>
      </c>
      <c r="E113" s="76">
        <v>118.9</v>
      </c>
      <c r="F113" s="76">
        <v>122</v>
      </c>
      <c r="G113" s="76">
        <v>121.8</v>
      </c>
      <c r="H113" s="76">
        <v>121.8</v>
      </c>
      <c r="I113" s="76">
        <v>122</v>
      </c>
      <c r="J113" s="76">
        <v>126</v>
      </c>
      <c r="K113" s="76">
        <v>126</v>
      </c>
      <c r="L113" s="76">
        <v>123</v>
      </c>
      <c r="M113" s="76">
        <v>123.1</v>
      </c>
      <c r="N113" s="76">
        <v>123.5</v>
      </c>
      <c r="O113" s="76">
        <v>121.6</v>
      </c>
      <c r="P113" s="76">
        <v>120.1</v>
      </c>
      <c r="Q113" s="76">
        <v>119.3</v>
      </c>
      <c r="R113" s="76">
        <v>120</v>
      </c>
      <c r="S113" s="76">
        <v>120</v>
      </c>
      <c r="T113" s="76">
        <v>121</v>
      </c>
      <c r="U113" s="76">
        <v>121.8</v>
      </c>
      <c r="V113" s="76">
        <v>123.8</v>
      </c>
      <c r="W113" s="76">
        <v>124.4</v>
      </c>
      <c r="X113" s="76">
        <v>124</v>
      </c>
      <c r="Y113" s="76">
        <v>120.8</v>
      </c>
      <c r="Z113" s="76">
        <v>122.3</v>
      </c>
      <c r="AA113" s="76">
        <v>121.6</v>
      </c>
      <c r="AB113" s="76">
        <v>122</v>
      </c>
      <c r="AC113" s="76">
        <v>122</v>
      </c>
      <c r="AD113" s="76">
        <v>122</v>
      </c>
      <c r="AE113" s="76">
        <v>122.2</v>
      </c>
      <c r="AF113" s="76">
        <v>120.9</v>
      </c>
      <c r="AG113" s="117"/>
      <c r="AH113" s="48">
        <f t="shared" si="39"/>
        <v>126</v>
      </c>
      <c r="AI113" s="49">
        <f t="shared" si="40"/>
        <v>118.9</v>
      </c>
    </row>
    <row r="114" spans="1:35" x14ac:dyDescent="0.25">
      <c r="A114" s="116" t="s">
        <v>134</v>
      </c>
      <c r="B114" s="76">
        <v>126</v>
      </c>
      <c r="C114" s="76">
        <v>126</v>
      </c>
      <c r="D114" s="76">
        <v>126</v>
      </c>
      <c r="E114" s="76">
        <v>126.6</v>
      </c>
      <c r="F114" s="76">
        <v>126.6</v>
      </c>
      <c r="G114" s="76">
        <v>127.5</v>
      </c>
      <c r="H114" s="76">
        <v>127.5</v>
      </c>
      <c r="I114" s="76">
        <v>127</v>
      </c>
      <c r="J114" s="76">
        <v>128.9</v>
      </c>
      <c r="K114" s="76">
        <v>128.9</v>
      </c>
      <c r="L114" s="76">
        <v>125.7</v>
      </c>
      <c r="M114" s="76">
        <v>126.1</v>
      </c>
      <c r="N114" s="76">
        <v>126.1</v>
      </c>
      <c r="O114" s="76">
        <v>123</v>
      </c>
      <c r="P114" s="76">
        <v>122.7</v>
      </c>
      <c r="Q114" s="76">
        <v>121.8</v>
      </c>
      <c r="R114" s="76">
        <v>122.8</v>
      </c>
      <c r="S114" s="76">
        <v>122.8</v>
      </c>
      <c r="T114" s="76">
        <v>123.5</v>
      </c>
      <c r="U114" s="76">
        <v>124.4</v>
      </c>
      <c r="V114" s="76">
        <v>125.7</v>
      </c>
      <c r="W114" s="76">
        <v>126.3</v>
      </c>
      <c r="X114" s="76">
        <v>125.1</v>
      </c>
      <c r="Y114" s="76">
        <v>125.1</v>
      </c>
      <c r="Z114" s="76">
        <v>125.1</v>
      </c>
      <c r="AA114" s="76">
        <v>124.5</v>
      </c>
      <c r="AB114" s="76">
        <v>125</v>
      </c>
      <c r="AC114" s="76">
        <v>125</v>
      </c>
      <c r="AD114" s="76">
        <v>125</v>
      </c>
      <c r="AE114" s="76">
        <v>127</v>
      </c>
      <c r="AF114" s="76">
        <v>125.9</v>
      </c>
      <c r="AG114" s="117"/>
      <c r="AH114" s="48">
        <f t="shared" si="39"/>
        <v>128.9</v>
      </c>
      <c r="AI114" s="49">
        <f t="shared" si="40"/>
        <v>121.8</v>
      </c>
    </row>
    <row r="115" spans="1:35" x14ac:dyDescent="0.25">
      <c r="A115" s="116" t="s">
        <v>135</v>
      </c>
      <c r="B115" s="76">
        <v>128.6</v>
      </c>
      <c r="C115" s="76">
        <v>128.6</v>
      </c>
      <c r="D115" s="76">
        <v>128.6</v>
      </c>
      <c r="E115" s="76">
        <v>133.5</v>
      </c>
      <c r="F115" s="76">
        <v>133.5</v>
      </c>
      <c r="G115" s="76">
        <v>131.80000000000001</v>
      </c>
      <c r="H115" s="76">
        <v>131.80000000000001</v>
      </c>
      <c r="I115" s="76">
        <v>130.69999999999999</v>
      </c>
      <c r="J115" s="76">
        <v>129.96</v>
      </c>
      <c r="K115" s="76">
        <v>129.96</v>
      </c>
      <c r="L115" s="76">
        <v>127</v>
      </c>
      <c r="M115" s="76">
        <v>127.6</v>
      </c>
      <c r="N115" s="76">
        <v>127</v>
      </c>
      <c r="O115" s="76">
        <v>127.2</v>
      </c>
      <c r="P115" s="76">
        <v>125.9</v>
      </c>
      <c r="Q115" s="76">
        <v>125.7</v>
      </c>
      <c r="R115" s="76">
        <v>126.7</v>
      </c>
      <c r="S115" s="76">
        <v>126.7</v>
      </c>
      <c r="T115" s="76">
        <v>127.9</v>
      </c>
      <c r="U115" s="76">
        <v>128.69999999999999</v>
      </c>
      <c r="V115" s="76">
        <v>131.1</v>
      </c>
      <c r="W115" s="76">
        <v>131.19999999999999</v>
      </c>
      <c r="X115" s="76">
        <v>133.1</v>
      </c>
      <c r="Y115" s="76">
        <v>133.1</v>
      </c>
      <c r="Z115" s="76">
        <v>128.5</v>
      </c>
      <c r="AA115" s="76">
        <v>128.4</v>
      </c>
      <c r="AB115" s="76">
        <v>125.96</v>
      </c>
      <c r="AC115" s="76">
        <v>125.96</v>
      </c>
      <c r="AD115" s="76">
        <v>125.96</v>
      </c>
      <c r="AE115" s="76">
        <v>127.3</v>
      </c>
      <c r="AF115" s="76">
        <v>127.5</v>
      </c>
      <c r="AG115" s="117"/>
      <c r="AH115" s="48">
        <f t="shared" si="39"/>
        <v>133.5</v>
      </c>
      <c r="AI115" s="49">
        <f t="shared" si="40"/>
        <v>125.7</v>
      </c>
    </row>
    <row r="116" spans="1:35" x14ac:dyDescent="0.25">
      <c r="A116" s="118" t="s">
        <v>136</v>
      </c>
      <c r="B116" s="76">
        <v>128.4</v>
      </c>
      <c r="C116" s="76">
        <v>128.4</v>
      </c>
      <c r="D116" s="76">
        <v>128.4</v>
      </c>
      <c r="E116" s="76">
        <v>135</v>
      </c>
      <c r="F116" s="76">
        <v>135</v>
      </c>
      <c r="G116" s="76">
        <v>132.6</v>
      </c>
      <c r="H116" s="76">
        <v>132.6</v>
      </c>
      <c r="I116" s="76">
        <v>131.5</v>
      </c>
      <c r="J116" s="76">
        <v>130</v>
      </c>
      <c r="K116" s="76">
        <v>130</v>
      </c>
      <c r="L116" s="76">
        <v>127.4</v>
      </c>
      <c r="M116" s="76">
        <v>128.19999999999999</v>
      </c>
      <c r="N116" s="76">
        <v>128</v>
      </c>
      <c r="O116" s="76">
        <v>126.7</v>
      </c>
      <c r="P116" s="76">
        <v>127.9</v>
      </c>
      <c r="Q116" s="76">
        <v>126</v>
      </c>
      <c r="R116" s="76">
        <v>126.7</v>
      </c>
      <c r="S116" s="76">
        <v>126.7</v>
      </c>
      <c r="T116" s="76">
        <v>128.19999999999999</v>
      </c>
      <c r="U116" s="76">
        <v>128.19999999999999</v>
      </c>
      <c r="V116" s="76">
        <v>130.80000000000001</v>
      </c>
      <c r="W116" s="76">
        <v>130.80000000000001</v>
      </c>
      <c r="X116" s="76">
        <v>132</v>
      </c>
      <c r="Y116" s="76">
        <v>132</v>
      </c>
      <c r="Z116" s="76">
        <v>127.8</v>
      </c>
      <c r="AA116" s="76">
        <v>128.5</v>
      </c>
      <c r="AB116" s="76">
        <v>127</v>
      </c>
      <c r="AC116" s="76">
        <v>127</v>
      </c>
      <c r="AD116" s="76">
        <v>127</v>
      </c>
      <c r="AE116" s="76">
        <v>129</v>
      </c>
      <c r="AF116" s="76">
        <v>129.1</v>
      </c>
      <c r="AG116" s="117"/>
      <c r="AH116" s="48">
        <f t="shared" si="39"/>
        <v>135</v>
      </c>
      <c r="AI116" s="49">
        <f t="shared" si="40"/>
        <v>126</v>
      </c>
    </row>
    <row r="117" spans="1:35" x14ac:dyDescent="0.25">
      <c r="A117" s="118" t="s">
        <v>137</v>
      </c>
      <c r="B117" s="119">
        <v>131.19999999999999</v>
      </c>
      <c r="C117" s="119">
        <v>131.19999999999999</v>
      </c>
      <c r="D117" s="119">
        <v>131.19999999999999</v>
      </c>
      <c r="E117" s="119">
        <v>135</v>
      </c>
      <c r="F117" s="119">
        <v>135</v>
      </c>
      <c r="G117" s="119">
        <v>134</v>
      </c>
      <c r="H117" s="119">
        <v>134</v>
      </c>
      <c r="I117" s="119">
        <v>131.4</v>
      </c>
      <c r="J117" s="119">
        <v>135</v>
      </c>
      <c r="K117" s="119">
        <v>135</v>
      </c>
      <c r="L117" s="119">
        <v>130.69999999999999</v>
      </c>
      <c r="M117" s="119">
        <v>136.80000000000001</v>
      </c>
      <c r="N117" s="119">
        <v>132.5</v>
      </c>
      <c r="O117" s="119">
        <v>131.9</v>
      </c>
      <c r="P117" s="119">
        <v>134.97999999999999</v>
      </c>
      <c r="Q117" s="119">
        <v>131.30000000000001</v>
      </c>
      <c r="R117" s="119">
        <v>131.1</v>
      </c>
      <c r="S117" s="119">
        <v>131.1</v>
      </c>
      <c r="T117" s="119">
        <v>130.30000000000001</v>
      </c>
      <c r="U117" s="119">
        <v>131.30000000000001</v>
      </c>
      <c r="V117" s="119">
        <v>136.19999999999999</v>
      </c>
      <c r="W117" s="119">
        <v>135</v>
      </c>
      <c r="X117" s="119">
        <v>135</v>
      </c>
      <c r="Y117" s="119">
        <v>135</v>
      </c>
      <c r="Z117" s="119">
        <v>134.4</v>
      </c>
      <c r="AA117" s="119">
        <v>136.19999999999999</v>
      </c>
      <c r="AB117" s="119">
        <v>133</v>
      </c>
      <c r="AC117" s="119">
        <v>133</v>
      </c>
      <c r="AD117" s="119">
        <v>0</v>
      </c>
      <c r="AE117" s="119">
        <v>133.4</v>
      </c>
      <c r="AF117" s="119">
        <v>134.6</v>
      </c>
      <c r="AG117" s="120"/>
      <c r="AH117" s="48">
        <f t="shared" si="39"/>
        <v>136.80000000000001</v>
      </c>
      <c r="AI117" s="49">
        <f t="shared" si="40"/>
        <v>0</v>
      </c>
    </row>
    <row r="118" spans="1:35" x14ac:dyDescent="0.25">
      <c r="A118" s="116" t="s">
        <v>138</v>
      </c>
      <c r="B118" s="76">
        <v>125.5</v>
      </c>
      <c r="C118" s="76">
        <v>125.5</v>
      </c>
      <c r="D118" s="76">
        <v>125.5</v>
      </c>
      <c r="E118" s="76">
        <v>129.6</v>
      </c>
      <c r="F118" s="76">
        <v>129.6</v>
      </c>
      <c r="G118" s="76">
        <v>128.9</v>
      </c>
      <c r="H118" s="76">
        <v>128.9</v>
      </c>
      <c r="I118" s="76">
        <v>124</v>
      </c>
      <c r="J118" s="76">
        <v>130</v>
      </c>
      <c r="K118" s="76">
        <v>130</v>
      </c>
      <c r="L118" s="76">
        <v>124</v>
      </c>
      <c r="M118" s="76">
        <v>124.6</v>
      </c>
      <c r="N118" s="76">
        <v>126.4</v>
      </c>
      <c r="O118" s="76">
        <v>119.5</v>
      </c>
      <c r="P118" s="76">
        <v>128.69999999999999</v>
      </c>
      <c r="Q118" s="76">
        <v>126.6</v>
      </c>
      <c r="R118" s="76">
        <v>122.1</v>
      </c>
      <c r="S118" s="76">
        <v>122.1</v>
      </c>
      <c r="T118" s="76">
        <v>114.8</v>
      </c>
      <c r="U118" s="76">
        <v>117.4</v>
      </c>
      <c r="V118" s="76">
        <v>129.5</v>
      </c>
      <c r="W118" s="76">
        <v>129.1</v>
      </c>
      <c r="X118" s="76">
        <v>129.1</v>
      </c>
      <c r="Y118" s="76">
        <v>129.1</v>
      </c>
      <c r="Z118" s="76">
        <v>129.6</v>
      </c>
      <c r="AA118" s="76">
        <v>132.9</v>
      </c>
      <c r="AB118" s="76">
        <v>128.5</v>
      </c>
      <c r="AC118" s="76">
        <v>128.5</v>
      </c>
      <c r="AD118" s="76">
        <v>128.5</v>
      </c>
      <c r="AE118" s="76">
        <v>126.3</v>
      </c>
      <c r="AF118" s="76">
        <v>129.9</v>
      </c>
      <c r="AG118" s="117"/>
      <c r="AH118" s="48">
        <f t="shared" si="39"/>
        <v>132.9</v>
      </c>
      <c r="AI118" s="49">
        <f t="shared" si="40"/>
        <v>114.8</v>
      </c>
    </row>
    <row r="119" spans="1:35" ht="15.75" thickBot="1" x14ac:dyDescent="0.3">
      <c r="A119" s="116" t="s">
        <v>139</v>
      </c>
      <c r="B119" s="105">
        <v>63.6</v>
      </c>
      <c r="C119" s="105">
        <v>63.6</v>
      </c>
      <c r="D119" s="105">
        <v>63.6</v>
      </c>
      <c r="E119" s="105">
        <v>64</v>
      </c>
      <c r="F119" s="105">
        <v>66</v>
      </c>
      <c r="G119" s="105">
        <v>64.3</v>
      </c>
      <c r="H119" s="105">
        <v>64.3</v>
      </c>
      <c r="I119" s="105">
        <v>64.5</v>
      </c>
      <c r="J119" s="105">
        <v>65.3</v>
      </c>
      <c r="K119" s="105">
        <v>65.3</v>
      </c>
      <c r="L119" s="105">
        <v>63.3</v>
      </c>
      <c r="M119" s="105">
        <v>63.3</v>
      </c>
      <c r="N119" s="105">
        <v>63.2</v>
      </c>
      <c r="O119" s="105">
        <v>62.3</v>
      </c>
      <c r="P119" s="105">
        <v>60.9</v>
      </c>
      <c r="Q119" s="105">
        <v>60.8</v>
      </c>
      <c r="R119" s="105">
        <v>61.4</v>
      </c>
      <c r="S119" s="105">
        <v>61.4</v>
      </c>
      <c r="T119" s="105">
        <v>61.9</v>
      </c>
      <c r="U119" s="105">
        <v>62.1</v>
      </c>
      <c r="V119" s="105">
        <v>63.1</v>
      </c>
      <c r="W119" s="105">
        <v>62.5</v>
      </c>
      <c r="X119" s="105">
        <v>62.5</v>
      </c>
      <c r="Y119" s="105">
        <v>62.5</v>
      </c>
      <c r="Z119" s="105">
        <v>63.2</v>
      </c>
      <c r="AA119" s="105">
        <v>62.9</v>
      </c>
      <c r="AB119" s="105">
        <v>63.5</v>
      </c>
      <c r="AC119" s="105">
        <v>63.5</v>
      </c>
      <c r="AD119" s="105">
        <v>63.5</v>
      </c>
      <c r="AE119" s="105">
        <v>64.099999999999994</v>
      </c>
      <c r="AF119" s="105">
        <v>63.8</v>
      </c>
      <c r="AG119" s="121"/>
      <c r="AH119" s="48">
        <f t="shared" si="39"/>
        <v>66</v>
      </c>
      <c r="AI119" s="49">
        <f t="shared" si="40"/>
        <v>60.8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9"/>
        <v>0</v>
      </c>
      <c r="AI120" s="49">
        <f t="shared" si="40"/>
        <v>0</v>
      </c>
    </row>
    <row r="121" spans="1:35" ht="15.75" thickBot="1" x14ac:dyDescent="0.3">
      <c r="A121" s="123" t="s">
        <v>141</v>
      </c>
      <c r="B121" s="124">
        <f t="shared" ref="B121:D121" si="130">SUM(B25,B31,B34:B35,B69,B71:B72,B74,B76,B122:B126,B158,B164,B170,B179,B181,B193,B200,B203:B204,B211,B213,B215,B219:B221,B223:B225,B230,B236:B237,B239:B241,B249,B254)</f>
        <v>61.04000000000002</v>
      </c>
      <c r="C121" s="124">
        <f t="shared" si="130"/>
        <v>54.04000000000002</v>
      </c>
      <c r="D121" s="124">
        <f t="shared" si="130"/>
        <v>47.04000000000002</v>
      </c>
      <c r="E121" s="124">
        <f t="shared" ref="E121:O121" si="131">SUM(E25,E31,E34:E35,E69,E71:E72,E74,E76,E122:E126,E158,E164,E170,E179,E181,E193,E200,E203:E204,E211,E213,E215,E219:E221,E223:E225,E230,E236:E237,E239:E241,E249,E254)</f>
        <v>44.740000000000023</v>
      </c>
      <c r="F121" s="124">
        <f t="shared" si="131"/>
        <v>79.04000000000002</v>
      </c>
      <c r="G121" s="124">
        <f t="shared" si="131"/>
        <v>85.330000000000013</v>
      </c>
      <c r="H121" s="124">
        <f t="shared" si="131"/>
        <v>95.240000000000023</v>
      </c>
      <c r="I121" s="124">
        <f t="shared" si="131"/>
        <v>111.64000000000001</v>
      </c>
      <c r="J121" s="124">
        <f t="shared" si="131"/>
        <v>154.54</v>
      </c>
      <c r="K121" s="124">
        <f t="shared" si="131"/>
        <v>168.54000000000002</v>
      </c>
      <c r="L121" s="124">
        <f t="shared" si="131"/>
        <v>179.24</v>
      </c>
      <c r="M121" s="124">
        <f t="shared" si="131"/>
        <v>197.14000000000004</v>
      </c>
      <c r="N121" s="124">
        <f t="shared" si="131"/>
        <v>197.64</v>
      </c>
      <c r="O121" s="124">
        <f t="shared" si="131"/>
        <v>229.84</v>
      </c>
      <c r="P121" s="124">
        <v>42</v>
      </c>
      <c r="Q121" s="124">
        <f t="shared" ref="Q121:AA121" si="132">SUM(Q25,Q31,Q34:Q35,Q69,Q71:Q72,Q74,Q76,Q122:Q126,Q158,Q164,Q170,Q179,Q181,Q193,Q200,Q203:Q204,Q211,Q213,Q215,Q219:Q221,Q223:Q225,Q230,Q236:Q237,Q239:Q241,Q249,Q254)</f>
        <v>220.54</v>
      </c>
      <c r="R121" s="124">
        <f t="shared" si="132"/>
        <v>194.24</v>
      </c>
      <c r="S121" s="124">
        <f t="shared" si="132"/>
        <v>192.44</v>
      </c>
      <c r="T121" s="124">
        <f t="shared" si="132"/>
        <v>185.04</v>
      </c>
      <c r="U121" s="124">
        <f t="shared" si="132"/>
        <v>205.94000000000003</v>
      </c>
      <c r="V121" s="124">
        <f t="shared" si="132"/>
        <v>231.73999999999998</v>
      </c>
      <c r="W121" s="124">
        <f t="shared" si="132"/>
        <v>181.94</v>
      </c>
      <c r="X121" s="124">
        <f t="shared" si="132"/>
        <v>260.44</v>
      </c>
      <c r="Y121" s="124">
        <f t="shared" si="132"/>
        <v>208.74000000000004</v>
      </c>
      <c r="Z121" s="124">
        <f t="shared" si="132"/>
        <v>223.53999999999996</v>
      </c>
      <c r="AA121" s="124">
        <f t="shared" si="132"/>
        <v>214.84</v>
      </c>
      <c r="AB121" s="124">
        <f t="shared" ref="AB121:AF121" si="133">SUM(AB25,AB31,AB34:AB35,AB69,AB71:AB72,AB74,AB76,AB122:AB126,AB158,AB164,AB170,AB179,AB181,AB193,AB200,AB203:AB204,AB211,AB213,AB215,AB219:AB221,AB223:AB225,AB230,AB236:AB237,AB239:AB241,AB249,AB254)</f>
        <v>344.64000000000004</v>
      </c>
      <c r="AC121" s="124">
        <f t="shared" si="133"/>
        <v>167.74000000000004</v>
      </c>
      <c r="AD121" s="124">
        <f t="shared" si="133"/>
        <v>148.74000000000004</v>
      </c>
      <c r="AE121" s="124">
        <f t="shared" si="133"/>
        <v>94.340000000000018</v>
      </c>
      <c r="AF121" s="124">
        <f t="shared" si="133"/>
        <v>76.539999999999978</v>
      </c>
      <c r="AG121" s="125"/>
      <c r="AH121" s="48">
        <f t="shared" si="39"/>
        <v>344.64000000000004</v>
      </c>
      <c r="AI121" s="49">
        <f t="shared" si="40"/>
        <v>42</v>
      </c>
    </row>
    <row r="122" spans="1:35" x14ac:dyDescent="0.25">
      <c r="A122" s="126" t="s">
        <v>142</v>
      </c>
      <c r="B122" s="127">
        <v>65</v>
      </c>
      <c r="C122" s="127">
        <v>69</v>
      </c>
      <c r="D122" s="127">
        <v>66</v>
      </c>
      <c r="E122" s="127">
        <v>44</v>
      </c>
      <c r="F122" s="127">
        <v>47</v>
      </c>
      <c r="G122" s="127">
        <v>52.2</v>
      </c>
      <c r="H122" s="127">
        <v>48.3</v>
      </c>
      <c r="I122" s="127">
        <v>50.1</v>
      </c>
      <c r="J122" s="127">
        <v>52.9</v>
      </c>
      <c r="K122" s="127">
        <v>44.8</v>
      </c>
      <c r="L122" s="127">
        <v>42.7</v>
      </c>
      <c r="M122" s="127">
        <v>57.9</v>
      </c>
      <c r="N122" s="127">
        <v>47.8</v>
      </c>
      <c r="O122" s="127">
        <v>59</v>
      </c>
      <c r="P122" s="127">
        <v>47</v>
      </c>
      <c r="Q122" s="127">
        <v>51.1</v>
      </c>
      <c r="R122" s="127">
        <v>48</v>
      </c>
      <c r="S122" s="127">
        <v>48</v>
      </c>
      <c r="T122" s="127">
        <v>31.2</v>
      </c>
      <c r="U122" s="127">
        <v>46.2</v>
      </c>
      <c r="V122" s="127">
        <v>69.7</v>
      </c>
      <c r="W122" s="127">
        <v>78.8</v>
      </c>
      <c r="X122" s="127">
        <v>83.4</v>
      </c>
      <c r="Y122" s="127">
        <v>70.5</v>
      </c>
      <c r="Z122" s="127">
        <v>74.599999999999994</v>
      </c>
      <c r="AA122" s="127">
        <v>61.1</v>
      </c>
      <c r="AB122" s="127">
        <v>64.900000000000006</v>
      </c>
      <c r="AC122" s="127">
        <v>66.400000000000006</v>
      </c>
      <c r="AD122" s="127">
        <v>66.400000000000006</v>
      </c>
      <c r="AE122" s="127">
        <v>45.6</v>
      </c>
      <c r="AF122" s="127">
        <v>49.5</v>
      </c>
      <c r="AG122" s="128">
        <v>75</v>
      </c>
      <c r="AH122" s="48">
        <f t="shared" si="39"/>
        <v>83.4</v>
      </c>
      <c r="AI122" s="49">
        <f t="shared" si="40"/>
        <v>31.2</v>
      </c>
    </row>
    <row r="123" spans="1:35" x14ac:dyDescent="0.25">
      <c r="A123" s="129" t="s">
        <v>143</v>
      </c>
      <c r="B123" s="130">
        <v>45</v>
      </c>
      <c r="C123" s="130">
        <v>47</v>
      </c>
      <c r="D123" s="130">
        <v>46</v>
      </c>
      <c r="E123" s="130">
        <v>64</v>
      </c>
      <c r="F123" s="130">
        <v>71</v>
      </c>
      <c r="G123" s="130">
        <v>75.3</v>
      </c>
      <c r="H123" s="130">
        <v>70.2</v>
      </c>
      <c r="I123" s="130">
        <v>71.5</v>
      </c>
      <c r="J123" s="130">
        <v>74.099999999999994</v>
      </c>
      <c r="K123" s="130">
        <v>60.9</v>
      </c>
      <c r="L123" s="130">
        <v>59</v>
      </c>
      <c r="M123" s="130">
        <v>78.900000000000006</v>
      </c>
      <c r="N123" s="130">
        <v>65</v>
      </c>
      <c r="O123" s="130">
        <v>44</v>
      </c>
      <c r="P123" s="130">
        <v>66.7</v>
      </c>
      <c r="Q123" s="130">
        <v>67.400000000000006</v>
      </c>
      <c r="R123" s="130">
        <v>63</v>
      </c>
      <c r="S123" s="130">
        <v>63</v>
      </c>
      <c r="T123" s="130">
        <v>43.9</v>
      </c>
      <c r="U123" s="130">
        <v>62</v>
      </c>
      <c r="V123" s="130">
        <v>98.6</v>
      </c>
      <c r="W123" s="130">
        <v>112.2</v>
      </c>
      <c r="X123" s="130">
        <v>115.2</v>
      </c>
      <c r="Y123" s="130">
        <v>99.3</v>
      </c>
      <c r="Z123" s="130">
        <v>105.2</v>
      </c>
      <c r="AA123" s="130">
        <v>87.1</v>
      </c>
      <c r="AB123" s="130">
        <v>93</v>
      </c>
      <c r="AC123" s="130">
        <v>95.3</v>
      </c>
      <c r="AD123" s="130">
        <v>95.3</v>
      </c>
      <c r="AE123" s="130">
        <v>69.3</v>
      </c>
      <c r="AF123" s="130">
        <v>72.2</v>
      </c>
      <c r="AG123" s="128">
        <v>240</v>
      </c>
      <c r="AH123" s="48">
        <f t="shared" si="39"/>
        <v>115.2</v>
      </c>
      <c r="AI123" s="49">
        <f t="shared" si="40"/>
        <v>43.9</v>
      </c>
    </row>
    <row r="124" spans="1:35" x14ac:dyDescent="0.25">
      <c r="A124" s="129" t="s">
        <v>144</v>
      </c>
      <c r="B124" s="130">
        <v>-146</v>
      </c>
      <c r="C124" s="130">
        <v>-156</v>
      </c>
      <c r="D124" s="130">
        <v>-157</v>
      </c>
      <c r="E124" s="130">
        <v>-158</v>
      </c>
      <c r="F124" s="130">
        <v>-140</v>
      </c>
      <c r="G124" s="130">
        <v>-145</v>
      </c>
      <c r="H124" s="130">
        <v>-130</v>
      </c>
      <c r="I124" s="130">
        <v>-120</v>
      </c>
      <c r="J124" s="130">
        <v>-92</v>
      </c>
      <c r="K124" s="130">
        <v>-67</v>
      </c>
      <c r="L124" s="130">
        <v>-54</v>
      </c>
      <c r="M124" s="130">
        <v>-69</v>
      </c>
      <c r="N124" s="130">
        <v>-53</v>
      </c>
      <c r="O124" s="130">
        <v>-24</v>
      </c>
      <c r="P124" s="130">
        <v>-34</v>
      </c>
      <c r="Q124" s="130">
        <v>-18.3</v>
      </c>
      <c r="R124" s="130">
        <v>-36</v>
      </c>
      <c r="S124" s="130">
        <v>-36</v>
      </c>
      <c r="T124" s="130">
        <v>-10.9</v>
      </c>
      <c r="U124" s="130">
        <v>-18.899999999999999</v>
      </c>
      <c r="V124" s="130">
        <v>-48</v>
      </c>
      <c r="W124" s="130">
        <v>-97.2</v>
      </c>
      <c r="X124" s="130">
        <v>-46</v>
      </c>
      <c r="Y124" s="130">
        <v>-62.1</v>
      </c>
      <c r="Z124" s="130">
        <v>-62.1</v>
      </c>
      <c r="AA124" s="130">
        <v>-49.9</v>
      </c>
      <c r="AB124" s="130">
        <v>87.8</v>
      </c>
      <c r="AC124" s="130">
        <v>-91.6</v>
      </c>
      <c r="AD124" s="130">
        <v>-91.6</v>
      </c>
      <c r="AE124" s="130">
        <v>-103</v>
      </c>
      <c r="AF124" s="130">
        <v>-123</v>
      </c>
      <c r="AG124" s="128">
        <v>240</v>
      </c>
      <c r="AH124" s="48">
        <f t="shared" si="39"/>
        <v>87.8</v>
      </c>
      <c r="AI124" s="49">
        <f t="shared" si="40"/>
        <v>-158</v>
      </c>
    </row>
    <row r="125" spans="1:35" ht="15.75" thickBot="1" x14ac:dyDescent="0.3">
      <c r="A125" s="129" t="s">
        <v>145</v>
      </c>
      <c r="B125" s="130">
        <v>-24</v>
      </c>
      <c r="C125" s="130">
        <v>-27</v>
      </c>
      <c r="D125" s="130">
        <v>-29</v>
      </c>
      <c r="E125" s="130">
        <v>-26.3</v>
      </c>
      <c r="F125" s="130">
        <v>-20</v>
      </c>
      <c r="G125" s="130">
        <v>-18.21</v>
      </c>
      <c r="H125" s="130">
        <v>-14.3</v>
      </c>
      <c r="I125" s="130">
        <v>-11</v>
      </c>
      <c r="J125" s="130">
        <v>-3.3</v>
      </c>
      <c r="K125" s="130">
        <v>5.6</v>
      </c>
      <c r="L125" s="130">
        <v>8.6999999999999993</v>
      </c>
      <c r="M125" s="130">
        <v>6.5</v>
      </c>
      <c r="N125" s="130">
        <v>15</v>
      </c>
      <c r="O125" s="130">
        <v>28</v>
      </c>
      <c r="P125" s="130">
        <v>23</v>
      </c>
      <c r="Q125" s="130">
        <v>22.1</v>
      </c>
      <c r="R125" s="130">
        <v>21</v>
      </c>
      <c r="S125" s="130">
        <v>21</v>
      </c>
      <c r="T125" s="130">
        <v>27.9</v>
      </c>
      <c r="U125" s="130">
        <v>28.3</v>
      </c>
      <c r="V125" s="130">
        <v>25.2</v>
      </c>
      <c r="W125" s="130">
        <v>16.5</v>
      </c>
      <c r="X125" s="130">
        <v>24.3</v>
      </c>
      <c r="Y125" s="130">
        <v>18.8</v>
      </c>
      <c r="Z125" s="130">
        <v>23.6</v>
      </c>
      <c r="AA125" s="130">
        <v>32.4</v>
      </c>
      <c r="AB125" s="130">
        <v>14.8</v>
      </c>
      <c r="AC125" s="130">
        <v>13.5</v>
      </c>
      <c r="AD125" s="130">
        <v>13.5</v>
      </c>
      <c r="AE125" s="130">
        <v>-1.7</v>
      </c>
      <c r="AF125" s="130">
        <v>-6.3</v>
      </c>
      <c r="AG125" s="128">
        <v>60</v>
      </c>
      <c r="AH125" s="48">
        <f t="shared" si="39"/>
        <v>32.4</v>
      </c>
      <c r="AI125" s="49">
        <f t="shared" si="40"/>
        <v>-29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9"/>
        <v>0</v>
      </c>
      <c r="AI126" s="49">
        <f t="shared" si="40"/>
        <v>0</v>
      </c>
    </row>
    <row r="127" spans="1:35" x14ac:dyDescent="0.25">
      <c r="A127" s="129" t="s">
        <v>147</v>
      </c>
      <c r="B127" s="131">
        <v>89</v>
      </c>
      <c r="C127" s="131">
        <v>86</v>
      </c>
      <c r="D127" s="131">
        <v>85</v>
      </c>
      <c r="E127" s="131">
        <v>82.3</v>
      </c>
      <c r="F127" s="131">
        <v>79</v>
      </c>
      <c r="G127" s="131">
        <v>70.8</v>
      </c>
      <c r="H127" s="131">
        <v>76</v>
      </c>
      <c r="I127" s="131">
        <v>80.8</v>
      </c>
      <c r="J127" s="131">
        <v>75.8</v>
      </c>
      <c r="K127" s="131">
        <v>84.5</v>
      </c>
      <c r="L127" s="131">
        <v>93.1</v>
      </c>
      <c r="M127" s="131">
        <v>88</v>
      </c>
      <c r="N127" s="131">
        <v>88</v>
      </c>
      <c r="O127" s="131">
        <v>99</v>
      </c>
      <c r="P127" s="131">
        <v>96</v>
      </c>
      <c r="Q127" s="131">
        <v>97.2</v>
      </c>
      <c r="R127" s="131">
        <v>99</v>
      </c>
      <c r="S127" s="131">
        <v>99</v>
      </c>
      <c r="T127" s="131">
        <v>102.3</v>
      </c>
      <c r="U127" s="131">
        <v>102.3</v>
      </c>
      <c r="V127" s="131">
        <v>73.400000000000006</v>
      </c>
      <c r="W127" s="131">
        <v>71.7</v>
      </c>
      <c r="X127" s="131">
        <v>65.5</v>
      </c>
      <c r="Y127" s="131">
        <v>85.1</v>
      </c>
      <c r="Z127" s="131">
        <v>86.3</v>
      </c>
      <c r="AA127" s="131">
        <v>97.1</v>
      </c>
      <c r="AB127" s="131">
        <v>99.8</v>
      </c>
      <c r="AC127" s="131">
        <v>96.9</v>
      </c>
      <c r="AD127" s="131">
        <v>96.9</v>
      </c>
      <c r="AE127" s="131">
        <v>90.4</v>
      </c>
      <c r="AF127" s="131">
        <v>85</v>
      </c>
      <c r="AG127" s="132"/>
      <c r="AH127" s="48"/>
      <c r="AI127" s="49"/>
    </row>
    <row r="128" spans="1:35" x14ac:dyDescent="0.25">
      <c r="A128" s="129" t="s">
        <v>148</v>
      </c>
      <c r="B128" s="131">
        <v>52</v>
      </c>
      <c r="C128" s="131">
        <v>55</v>
      </c>
      <c r="D128" s="131">
        <v>58</v>
      </c>
      <c r="E128" s="131">
        <v>60</v>
      </c>
      <c r="F128" s="131">
        <v>55</v>
      </c>
      <c r="G128" s="131">
        <v>27.6</v>
      </c>
      <c r="H128" s="131">
        <v>25.2</v>
      </c>
      <c r="I128" s="131">
        <v>18.899999999999999</v>
      </c>
      <c r="J128" s="131">
        <v>-11</v>
      </c>
      <c r="K128" s="131">
        <v>-9.6</v>
      </c>
      <c r="L128" s="131">
        <v>-6.3</v>
      </c>
      <c r="M128" s="131">
        <v>-17</v>
      </c>
      <c r="N128" s="131">
        <v>-10</v>
      </c>
      <c r="O128" s="131">
        <v>1.6</v>
      </c>
      <c r="P128" s="131">
        <v>7.1</v>
      </c>
      <c r="Q128" s="131">
        <v>15.8</v>
      </c>
      <c r="R128" s="131">
        <v>17</v>
      </c>
      <c r="S128" s="131">
        <v>17</v>
      </c>
      <c r="T128" s="131">
        <v>28</v>
      </c>
      <c r="U128" s="131">
        <v>28</v>
      </c>
      <c r="V128" s="131">
        <v>-28.7</v>
      </c>
      <c r="W128" s="131"/>
      <c r="X128" s="131">
        <v>-63.4</v>
      </c>
      <c r="Y128" s="131">
        <v>-29.5</v>
      </c>
      <c r="Z128" s="131">
        <v>-40.299999999999997</v>
      </c>
      <c r="AA128" s="131">
        <v>-32.4</v>
      </c>
      <c r="AB128" s="131">
        <v>-17.5</v>
      </c>
      <c r="AC128" s="131">
        <v>-22.3</v>
      </c>
      <c r="AD128" s="131">
        <v>-22.3</v>
      </c>
      <c r="AE128" s="131">
        <v>27</v>
      </c>
      <c r="AF128" s="131">
        <v>-39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84</v>
      </c>
      <c r="C129" s="131">
        <v>81</v>
      </c>
      <c r="D129" s="131">
        <v>82</v>
      </c>
      <c r="E129" s="131">
        <v>80</v>
      </c>
      <c r="F129" s="131">
        <v>70</v>
      </c>
      <c r="G129" s="131">
        <v>54.6</v>
      </c>
      <c r="H129" s="131">
        <v>58.5</v>
      </c>
      <c r="I129" s="131">
        <v>65.2</v>
      </c>
      <c r="J129" s="131">
        <v>38</v>
      </c>
      <c r="K129" s="131">
        <v>44.7</v>
      </c>
      <c r="L129" s="131">
        <v>60.2</v>
      </c>
      <c r="M129" s="131">
        <v>49</v>
      </c>
      <c r="N129" s="131">
        <v>50</v>
      </c>
      <c r="O129" s="131">
        <v>64</v>
      </c>
      <c r="P129" s="131">
        <v>69</v>
      </c>
      <c r="Q129" s="131">
        <v>69.900000000000006</v>
      </c>
      <c r="R129" s="131">
        <v>75</v>
      </c>
      <c r="S129" s="131">
        <v>75</v>
      </c>
      <c r="T129" s="131">
        <v>77.900000000000006</v>
      </c>
      <c r="U129" s="131">
        <v>77.900000000000006</v>
      </c>
      <c r="V129" s="131">
        <v>53</v>
      </c>
      <c r="W129" s="131">
        <v>24.3</v>
      </c>
      <c r="X129" s="131">
        <v>43.2</v>
      </c>
      <c r="Y129" s="131">
        <v>69.2</v>
      </c>
      <c r="Z129" s="131">
        <v>64.900000000000006</v>
      </c>
      <c r="AA129" s="131">
        <v>72.8</v>
      </c>
      <c r="AB129" s="131">
        <v>79.5</v>
      </c>
      <c r="AC129" s="131">
        <v>82.2</v>
      </c>
      <c r="AD129" s="131">
        <v>82.2</v>
      </c>
      <c r="AE129" s="131">
        <v>71</v>
      </c>
      <c r="AF129" s="131">
        <v>71</v>
      </c>
      <c r="AG129" s="128"/>
      <c r="AH129" s="48">
        <f>MAX(B129:AF129)</f>
        <v>84</v>
      </c>
      <c r="AI129" s="49">
        <f>MIN(B129:AF129)</f>
        <v>24.3</v>
      </c>
    </row>
    <row r="130" spans="1:37" x14ac:dyDescent="0.25">
      <c r="A130" s="126" t="s">
        <v>150</v>
      </c>
      <c r="B130" s="131">
        <v>-254</v>
      </c>
      <c r="C130" s="131">
        <v>-259</v>
      </c>
      <c r="D130" s="131">
        <v>-259</v>
      </c>
      <c r="E130" s="131">
        <v>-258</v>
      </c>
      <c r="F130" s="131">
        <v>-259</v>
      </c>
      <c r="G130" s="131">
        <v>-264</v>
      </c>
      <c r="H130" s="131">
        <v>-240</v>
      </c>
      <c r="I130" s="131">
        <v>-255</v>
      </c>
      <c r="J130" s="131">
        <v>-235.5</v>
      </c>
      <c r="K130" s="131">
        <v>-248</v>
      </c>
      <c r="L130" s="131">
        <v>-237.8</v>
      </c>
      <c r="M130" s="131">
        <v>-246</v>
      </c>
      <c r="N130" s="131">
        <v>-242</v>
      </c>
      <c r="O130" s="131">
        <v>-233</v>
      </c>
      <c r="P130" s="131">
        <v>-212</v>
      </c>
      <c r="Q130" s="131">
        <v>-203.6</v>
      </c>
      <c r="R130" s="131">
        <v>-216</v>
      </c>
      <c r="S130" s="131">
        <v>-216</v>
      </c>
      <c r="T130" s="131">
        <v>-219.2</v>
      </c>
      <c r="U130" s="131">
        <v>-219.2</v>
      </c>
      <c r="V130" s="131">
        <v>-142.6</v>
      </c>
      <c r="W130" s="131">
        <v>-98</v>
      </c>
      <c r="X130" s="131">
        <v>-103.2</v>
      </c>
      <c r="Y130" s="131">
        <v>-206.5</v>
      </c>
      <c r="Z130" s="131">
        <v>-216.5</v>
      </c>
      <c r="AA130" s="131">
        <v>-239.2</v>
      </c>
      <c r="AB130" s="131">
        <v>-240</v>
      </c>
      <c r="AC130" s="131">
        <v>-242</v>
      </c>
      <c r="AD130" s="131">
        <v>-242</v>
      </c>
      <c r="AE130" s="131">
        <v>-254</v>
      </c>
      <c r="AF130" s="131">
        <v>-258</v>
      </c>
      <c r="AG130" s="128"/>
      <c r="AH130" s="48">
        <f>MAX(B130:AF130)</f>
        <v>-98</v>
      </c>
      <c r="AI130" s="49">
        <f>MIN(B130:AF130)</f>
        <v>-264</v>
      </c>
    </row>
    <row r="131" spans="1:37" x14ac:dyDescent="0.25">
      <c r="A131" s="129" t="s">
        <v>151</v>
      </c>
      <c r="B131" s="119">
        <v>10.5</v>
      </c>
      <c r="C131" s="119">
        <v>14</v>
      </c>
      <c r="D131" s="119">
        <v>13</v>
      </c>
      <c r="E131" s="119">
        <v>14.7</v>
      </c>
      <c r="F131" s="119">
        <v>18.899999999999999</v>
      </c>
      <c r="G131" s="119">
        <v>23.4</v>
      </c>
      <c r="H131" s="119">
        <v>21.8</v>
      </c>
      <c r="I131" s="119">
        <v>19.3</v>
      </c>
      <c r="J131" s="119">
        <v>15.8</v>
      </c>
      <c r="K131" s="119">
        <v>15.7</v>
      </c>
      <c r="L131" s="119">
        <v>-13.8</v>
      </c>
      <c r="M131" s="119">
        <v>-19</v>
      </c>
      <c r="N131" s="119">
        <v>8</v>
      </c>
      <c r="O131" s="119">
        <v>10</v>
      </c>
      <c r="P131" s="119">
        <v>13.8</v>
      </c>
      <c r="Q131" s="119">
        <v>10.3</v>
      </c>
      <c r="R131" s="119">
        <v>11</v>
      </c>
      <c r="S131" s="119">
        <v>11</v>
      </c>
      <c r="T131" s="119">
        <v>9.5</v>
      </c>
      <c r="U131" s="119">
        <v>9.5</v>
      </c>
      <c r="V131" s="119">
        <v>10.4</v>
      </c>
      <c r="W131" s="119">
        <v>8.1999999999999993</v>
      </c>
      <c r="X131" s="119">
        <v>4.3</v>
      </c>
      <c r="Y131" s="119">
        <v>-0.4</v>
      </c>
      <c r="Z131" s="119">
        <v>-8.6</v>
      </c>
      <c r="AA131" s="119">
        <v>-13.1</v>
      </c>
      <c r="AB131" s="119">
        <v>-3.8</v>
      </c>
      <c r="AC131" s="119">
        <v>-3.5</v>
      </c>
      <c r="AD131" s="119">
        <v>-3.5</v>
      </c>
      <c r="AE131" s="119">
        <v>3.4</v>
      </c>
      <c r="AF131" s="119">
        <v>4.5999999999999996</v>
      </c>
      <c r="AG131" s="128"/>
      <c r="AH131" s="48">
        <f>MAX(B131:AF131)</f>
        <v>23.4</v>
      </c>
      <c r="AI131" s="49">
        <f>MIN(B131:AF131)</f>
        <v>-19</v>
      </c>
    </row>
    <row r="132" spans="1:37" x14ac:dyDescent="0.25">
      <c r="A132" s="129" t="s">
        <v>152</v>
      </c>
      <c r="B132" s="119">
        <v>55</v>
      </c>
      <c r="C132" s="119">
        <v>61</v>
      </c>
      <c r="D132" s="119">
        <v>60</v>
      </c>
      <c r="E132" s="119">
        <v>58.3</v>
      </c>
      <c r="F132" s="119">
        <v>51.8</v>
      </c>
      <c r="G132" s="119">
        <v>44.9</v>
      </c>
      <c r="H132" s="119">
        <v>43</v>
      </c>
      <c r="I132" s="119">
        <v>42.2</v>
      </c>
      <c r="J132" s="119">
        <v>57.7</v>
      </c>
      <c r="K132" s="119">
        <v>60</v>
      </c>
      <c r="L132" s="119">
        <v>76.3</v>
      </c>
      <c r="M132" s="119">
        <v>84</v>
      </c>
      <c r="N132" s="119">
        <v>76</v>
      </c>
      <c r="O132" s="119">
        <v>78</v>
      </c>
      <c r="P132" s="119">
        <v>85</v>
      </c>
      <c r="Q132" s="119">
        <v>89.7</v>
      </c>
      <c r="R132" s="119">
        <v>84</v>
      </c>
      <c r="S132" s="119">
        <v>84</v>
      </c>
      <c r="T132" s="119">
        <v>77.7</v>
      </c>
      <c r="U132" s="119">
        <v>77.7</v>
      </c>
      <c r="V132" s="119">
        <v>71.599999999999994</v>
      </c>
      <c r="W132" s="119">
        <v>58.6</v>
      </c>
      <c r="X132" s="119">
        <v>53.1</v>
      </c>
      <c r="Y132" s="119">
        <v>43.6</v>
      </c>
      <c r="Z132" s="119">
        <v>54.2</v>
      </c>
      <c r="AA132" s="119">
        <v>74.400000000000006</v>
      </c>
      <c r="AB132" s="119">
        <v>66.8</v>
      </c>
      <c r="AC132" s="119">
        <v>67.8</v>
      </c>
      <c r="AD132" s="119">
        <v>67.8</v>
      </c>
      <c r="AE132" s="119">
        <v>75</v>
      </c>
      <c r="AF132" s="119">
        <v>76</v>
      </c>
      <c r="AG132" s="128"/>
      <c r="AH132" s="48">
        <f>MAX(B132:AF132)</f>
        <v>89.7</v>
      </c>
      <c r="AI132" s="49">
        <f>MIN(B132:AF132)</f>
        <v>42.2</v>
      </c>
    </row>
    <row r="133" spans="1:37" ht="15.75" thickBot="1" x14ac:dyDescent="0.3">
      <c r="A133" s="129" t="s">
        <v>153</v>
      </c>
      <c r="B133" s="119">
        <v>67</v>
      </c>
      <c r="C133" s="119">
        <v>75</v>
      </c>
      <c r="D133" s="119">
        <v>78</v>
      </c>
      <c r="E133" s="119">
        <v>74.599999999999994</v>
      </c>
      <c r="F133" s="119">
        <v>69.8</v>
      </c>
      <c r="G133" s="119">
        <v>60.8</v>
      </c>
      <c r="H133" s="119">
        <v>56.5</v>
      </c>
      <c r="I133" s="119">
        <v>59.7</v>
      </c>
      <c r="J133" s="119">
        <v>68</v>
      </c>
      <c r="K133" s="119">
        <v>71.3</v>
      </c>
      <c r="L133" s="119">
        <v>89.1</v>
      </c>
      <c r="M133" s="119">
        <v>96</v>
      </c>
      <c r="N133" s="119">
        <v>90</v>
      </c>
      <c r="O133" s="119">
        <v>92</v>
      </c>
      <c r="P133" s="119">
        <v>95.7</v>
      </c>
      <c r="Q133" s="119">
        <v>98.2</v>
      </c>
      <c r="R133" s="119">
        <v>96</v>
      </c>
      <c r="S133" s="119">
        <v>96</v>
      </c>
      <c r="T133" s="119">
        <v>91.3</v>
      </c>
      <c r="U133" s="119">
        <v>91.3</v>
      </c>
      <c r="V133" s="119">
        <v>86.1</v>
      </c>
      <c r="W133" s="119">
        <v>69.7</v>
      </c>
      <c r="X133" s="119">
        <v>58.6</v>
      </c>
      <c r="Y133" s="119">
        <v>53.9</v>
      </c>
      <c r="Z133" s="119">
        <v>66.099999999999994</v>
      </c>
      <c r="AA133" s="119">
        <v>86.1</v>
      </c>
      <c r="AB133" s="119">
        <v>79.3</v>
      </c>
      <c r="AC133" s="119">
        <v>80.7</v>
      </c>
      <c r="AD133" s="119">
        <v>80.7</v>
      </c>
      <c r="AE133" s="119">
        <v>86</v>
      </c>
      <c r="AF133" s="119">
        <v>86</v>
      </c>
      <c r="AG133" s="128"/>
      <c r="AH133" s="48">
        <f>MAX(B133:AF133)</f>
        <v>98.2</v>
      </c>
      <c r="AI133" s="49">
        <f>MIN(B133:AF133)</f>
        <v>53.9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1986.6</v>
      </c>
      <c r="C135" s="137"/>
      <c r="D135" s="137">
        <v>1986.65</v>
      </c>
      <c r="E135" s="137">
        <v>1986.65</v>
      </c>
      <c r="F135" s="137"/>
      <c r="G135" s="137">
        <v>1986.58</v>
      </c>
      <c r="H135" s="137"/>
      <c r="I135" s="137">
        <v>1986.55</v>
      </c>
      <c r="J135" s="137"/>
      <c r="K135" s="137">
        <v>1986.52</v>
      </c>
      <c r="L135" s="137"/>
      <c r="M135" s="137">
        <v>1986.42</v>
      </c>
      <c r="N135" s="137">
        <v>1986.35</v>
      </c>
      <c r="O135" s="137"/>
      <c r="P135" s="137"/>
      <c r="Q135" s="137"/>
      <c r="R135" s="137">
        <v>1985.69</v>
      </c>
      <c r="S135" s="137">
        <v>1985.59</v>
      </c>
      <c r="T135" s="137">
        <v>1985.42</v>
      </c>
      <c r="U135" s="137">
        <v>1985.37</v>
      </c>
      <c r="V135" s="137">
        <v>1985.49</v>
      </c>
      <c r="W135" s="137"/>
      <c r="X135" s="137">
        <v>1986.2</v>
      </c>
      <c r="Y135" s="137"/>
      <c r="Z135" s="137">
        <v>1986.6</v>
      </c>
      <c r="AA135" s="137"/>
      <c r="AB135" s="137">
        <v>1986.66</v>
      </c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>
        <v>886.5</v>
      </c>
      <c r="F139" s="140"/>
      <c r="G139" s="140">
        <v>887.1</v>
      </c>
      <c r="H139" s="140"/>
      <c r="I139" s="140">
        <v>887.5</v>
      </c>
      <c r="J139" s="140"/>
      <c r="K139" s="140">
        <v>887.6</v>
      </c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>
        <v>884.1</v>
      </c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1486.12</v>
      </c>
      <c r="C140" s="142"/>
      <c r="D140" s="142"/>
      <c r="E140" s="142"/>
      <c r="F140" s="142"/>
      <c r="G140" s="142"/>
      <c r="H140" s="142"/>
      <c r="I140" s="142">
        <v>1486.15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>
        <v>884.2</v>
      </c>
      <c r="V140" s="142"/>
      <c r="W140" s="142"/>
      <c r="X140" s="142"/>
      <c r="Y140" s="142"/>
      <c r="Z140" s="142"/>
      <c r="AA140" s="142"/>
      <c r="AB140" s="142">
        <v>1485.9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34">SUM(B142:B246)</f>
        <v>0</v>
      </c>
      <c r="C247" s="161">
        <f t="shared" si="134"/>
        <v>0</v>
      </c>
      <c r="D247" s="161">
        <f t="shared" si="134"/>
        <v>0</v>
      </c>
      <c r="E247" s="161">
        <f t="shared" si="134"/>
        <v>0</v>
      </c>
      <c r="F247" s="161">
        <f t="shared" si="134"/>
        <v>0</v>
      </c>
      <c r="G247" s="161">
        <f t="shared" si="134"/>
        <v>0</v>
      </c>
      <c r="H247" s="161">
        <f t="shared" si="134"/>
        <v>0</v>
      </c>
      <c r="I247" s="161">
        <f t="shared" si="134"/>
        <v>0</v>
      </c>
      <c r="J247" s="161">
        <f t="shared" si="134"/>
        <v>0</v>
      </c>
      <c r="K247" s="161">
        <f t="shared" si="134"/>
        <v>0</v>
      </c>
      <c r="L247" s="161">
        <f t="shared" si="134"/>
        <v>0</v>
      </c>
      <c r="M247" s="161">
        <f t="shared" si="134"/>
        <v>0</v>
      </c>
      <c r="N247" s="161">
        <f t="shared" si="134"/>
        <v>0</v>
      </c>
      <c r="O247" s="161">
        <f t="shared" si="134"/>
        <v>0</v>
      </c>
      <c r="P247" s="161">
        <f t="shared" si="134"/>
        <v>0</v>
      </c>
      <c r="Q247" s="161">
        <f t="shared" si="134"/>
        <v>0</v>
      </c>
      <c r="R247" s="161">
        <f t="shared" si="134"/>
        <v>0</v>
      </c>
      <c r="S247" s="161">
        <f t="shared" si="134"/>
        <v>0</v>
      </c>
      <c r="T247" s="161">
        <f t="shared" si="134"/>
        <v>0</v>
      </c>
      <c r="U247" s="161">
        <f t="shared" si="134"/>
        <v>0</v>
      </c>
      <c r="V247" s="161">
        <f t="shared" si="134"/>
        <v>0</v>
      </c>
      <c r="W247" s="161">
        <f t="shared" si="134"/>
        <v>0</v>
      </c>
      <c r="X247" s="161">
        <f t="shared" si="134"/>
        <v>0</v>
      </c>
      <c r="Y247" s="161">
        <f t="shared" si="134"/>
        <v>0</v>
      </c>
      <c r="Z247" s="161">
        <f t="shared" si="134"/>
        <v>0</v>
      </c>
      <c r="AA247" s="161">
        <f t="shared" si="134"/>
        <v>0</v>
      </c>
      <c r="AB247" s="161">
        <f t="shared" si="134"/>
        <v>0</v>
      </c>
      <c r="AC247" s="161">
        <f t="shared" si="134"/>
        <v>0</v>
      </c>
      <c r="AD247" s="161">
        <f t="shared" si="134"/>
        <v>0</v>
      </c>
      <c r="AE247" s="161">
        <f t="shared" si="134"/>
        <v>0</v>
      </c>
      <c r="AF247" s="162">
        <f t="shared" si="134"/>
        <v>0</v>
      </c>
      <c r="AG247" s="163">
        <f t="shared" si="134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35">AF249</f>
        <v>0.3</v>
      </c>
      <c r="C249" s="166">
        <v>0.3</v>
      </c>
      <c r="D249" s="166">
        <f t="shared" ref="D249:S254" si="136">C249</f>
        <v>0.3</v>
      </c>
      <c r="E249" s="166">
        <f t="shared" si="136"/>
        <v>0.3</v>
      </c>
      <c r="F249" s="166">
        <f t="shared" si="136"/>
        <v>0.3</v>
      </c>
      <c r="G249" s="166">
        <f t="shared" si="136"/>
        <v>0.3</v>
      </c>
      <c r="H249" s="166">
        <f t="shared" si="136"/>
        <v>0.3</v>
      </c>
      <c r="I249" s="166">
        <f t="shared" si="136"/>
        <v>0.3</v>
      </c>
      <c r="J249" s="166">
        <f t="shared" si="136"/>
        <v>0.3</v>
      </c>
      <c r="K249" s="166">
        <f t="shared" si="136"/>
        <v>0.3</v>
      </c>
      <c r="L249" s="166">
        <f t="shared" si="136"/>
        <v>0.3</v>
      </c>
      <c r="M249" s="166">
        <f t="shared" si="136"/>
        <v>0.3</v>
      </c>
      <c r="N249" s="166">
        <f t="shared" si="136"/>
        <v>0.3</v>
      </c>
      <c r="O249" s="166">
        <f t="shared" si="136"/>
        <v>0.3</v>
      </c>
      <c r="P249" s="166">
        <f t="shared" si="136"/>
        <v>0.3</v>
      </c>
      <c r="Q249" s="166">
        <f t="shared" si="136"/>
        <v>0.3</v>
      </c>
      <c r="R249" s="166">
        <f t="shared" si="136"/>
        <v>0.3</v>
      </c>
      <c r="S249" s="166">
        <f t="shared" si="136"/>
        <v>0.3</v>
      </c>
      <c r="T249" s="166">
        <f t="shared" ref="T249:AF254" si="137">S249</f>
        <v>0.3</v>
      </c>
      <c r="U249" s="166">
        <f t="shared" si="137"/>
        <v>0.3</v>
      </c>
      <c r="V249" s="166">
        <f t="shared" si="137"/>
        <v>0.3</v>
      </c>
      <c r="W249" s="166">
        <f t="shared" si="137"/>
        <v>0.3</v>
      </c>
      <c r="X249" s="166">
        <f t="shared" si="137"/>
        <v>0.3</v>
      </c>
      <c r="Y249" s="166">
        <f t="shared" si="137"/>
        <v>0.3</v>
      </c>
      <c r="Z249" s="166">
        <f t="shared" si="137"/>
        <v>0.3</v>
      </c>
      <c r="AA249" s="166">
        <f t="shared" si="137"/>
        <v>0.3</v>
      </c>
      <c r="AB249" s="166">
        <f t="shared" si="137"/>
        <v>0.3</v>
      </c>
      <c r="AC249" s="166">
        <f t="shared" si="137"/>
        <v>0.3</v>
      </c>
      <c r="AD249" s="166">
        <f t="shared" si="137"/>
        <v>0.3</v>
      </c>
      <c r="AE249" s="166">
        <f t="shared" si="137"/>
        <v>0.3</v>
      </c>
      <c r="AF249" s="166">
        <f t="shared" si="137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35"/>
        <v>0.4</v>
      </c>
      <c r="C250" s="152">
        <v>0.4</v>
      </c>
      <c r="D250" s="152">
        <f t="shared" si="136"/>
        <v>0.4</v>
      </c>
      <c r="E250" s="152">
        <f t="shared" si="136"/>
        <v>0.4</v>
      </c>
      <c r="F250" s="152">
        <f t="shared" si="136"/>
        <v>0.4</v>
      </c>
      <c r="G250" s="152">
        <f t="shared" si="136"/>
        <v>0.4</v>
      </c>
      <c r="H250" s="152">
        <f t="shared" si="136"/>
        <v>0.4</v>
      </c>
      <c r="I250" s="152">
        <f t="shared" si="136"/>
        <v>0.4</v>
      </c>
      <c r="J250" s="152">
        <f t="shared" si="136"/>
        <v>0.4</v>
      </c>
      <c r="K250" s="152">
        <f t="shared" si="136"/>
        <v>0.4</v>
      </c>
      <c r="L250" s="152">
        <f t="shared" si="136"/>
        <v>0.4</v>
      </c>
      <c r="M250" s="152">
        <f t="shared" si="136"/>
        <v>0.4</v>
      </c>
      <c r="N250" s="152">
        <f t="shared" si="136"/>
        <v>0.4</v>
      </c>
      <c r="O250" s="152">
        <f t="shared" si="136"/>
        <v>0.4</v>
      </c>
      <c r="P250" s="152">
        <f t="shared" si="136"/>
        <v>0.4</v>
      </c>
      <c r="Q250" s="152">
        <f t="shared" si="136"/>
        <v>0.4</v>
      </c>
      <c r="R250" s="152">
        <f t="shared" si="136"/>
        <v>0.4</v>
      </c>
      <c r="S250" s="152">
        <f t="shared" si="136"/>
        <v>0.4</v>
      </c>
      <c r="T250" s="152">
        <f t="shared" si="137"/>
        <v>0.4</v>
      </c>
      <c r="U250" s="152">
        <f t="shared" si="137"/>
        <v>0.4</v>
      </c>
      <c r="V250" s="152">
        <f t="shared" si="137"/>
        <v>0.4</v>
      </c>
      <c r="W250" s="152">
        <f t="shared" si="137"/>
        <v>0.4</v>
      </c>
      <c r="X250" s="152">
        <f t="shared" si="137"/>
        <v>0.4</v>
      </c>
      <c r="Y250" s="152">
        <f t="shared" si="137"/>
        <v>0.4</v>
      </c>
      <c r="Z250" s="152">
        <f t="shared" si="137"/>
        <v>0.4</v>
      </c>
      <c r="AA250" s="152">
        <f t="shared" si="137"/>
        <v>0.4</v>
      </c>
      <c r="AB250" s="152">
        <f t="shared" si="137"/>
        <v>0.4</v>
      </c>
      <c r="AC250" s="152">
        <f t="shared" si="137"/>
        <v>0.4</v>
      </c>
      <c r="AD250" s="152">
        <f t="shared" si="137"/>
        <v>0.4</v>
      </c>
      <c r="AE250" s="152">
        <f t="shared" si="137"/>
        <v>0.4</v>
      </c>
      <c r="AF250" s="152">
        <f t="shared" si="137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35"/>
        <v>1.5</v>
      </c>
      <c r="C251" s="152">
        <v>1.5</v>
      </c>
      <c r="D251" s="152">
        <f t="shared" si="136"/>
        <v>1.5</v>
      </c>
      <c r="E251" s="152">
        <f t="shared" si="136"/>
        <v>1.5</v>
      </c>
      <c r="F251" s="152">
        <f t="shared" si="136"/>
        <v>1.5</v>
      </c>
      <c r="G251" s="152">
        <f t="shared" si="136"/>
        <v>1.5</v>
      </c>
      <c r="H251" s="152">
        <f t="shared" si="136"/>
        <v>1.5</v>
      </c>
      <c r="I251" s="152">
        <f t="shared" si="136"/>
        <v>1.5</v>
      </c>
      <c r="J251" s="152">
        <f t="shared" si="136"/>
        <v>1.5</v>
      </c>
      <c r="K251" s="152">
        <f t="shared" si="136"/>
        <v>1.5</v>
      </c>
      <c r="L251" s="152">
        <f t="shared" si="136"/>
        <v>1.5</v>
      </c>
      <c r="M251" s="152">
        <f t="shared" si="136"/>
        <v>1.5</v>
      </c>
      <c r="N251" s="152">
        <f t="shared" si="136"/>
        <v>1.5</v>
      </c>
      <c r="O251" s="152">
        <f t="shared" si="136"/>
        <v>1.5</v>
      </c>
      <c r="P251" s="152">
        <f t="shared" si="136"/>
        <v>1.5</v>
      </c>
      <c r="Q251" s="152">
        <f t="shared" si="136"/>
        <v>1.5</v>
      </c>
      <c r="R251" s="152">
        <f t="shared" si="136"/>
        <v>1.5</v>
      </c>
      <c r="S251" s="152">
        <f t="shared" si="136"/>
        <v>1.5</v>
      </c>
      <c r="T251" s="152">
        <f t="shared" si="137"/>
        <v>1.5</v>
      </c>
      <c r="U251" s="152">
        <f t="shared" si="137"/>
        <v>1.5</v>
      </c>
      <c r="V251" s="152">
        <f t="shared" si="137"/>
        <v>1.5</v>
      </c>
      <c r="W251" s="152">
        <f t="shared" si="137"/>
        <v>1.5</v>
      </c>
      <c r="X251" s="152">
        <f t="shared" si="137"/>
        <v>1.5</v>
      </c>
      <c r="Y251" s="152">
        <f t="shared" si="137"/>
        <v>1.5</v>
      </c>
      <c r="Z251" s="152">
        <f t="shared" si="137"/>
        <v>1.5</v>
      </c>
      <c r="AA251" s="152">
        <f t="shared" si="137"/>
        <v>1.5</v>
      </c>
      <c r="AB251" s="152">
        <f t="shared" si="137"/>
        <v>1.5</v>
      </c>
      <c r="AC251" s="152">
        <f t="shared" si="137"/>
        <v>1.5</v>
      </c>
      <c r="AD251" s="152">
        <f t="shared" si="137"/>
        <v>1.5</v>
      </c>
      <c r="AE251" s="152">
        <f t="shared" si="137"/>
        <v>1.5</v>
      </c>
      <c r="AF251" s="152">
        <f t="shared" si="137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35"/>
        <v>0.3</v>
      </c>
      <c r="C252" s="152">
        <v>0.3</v>
      </c>
      <c r="D252" s="152">
        <f t="shared" si="136"/>
        <v>0.3</v>
      </c>
      <c r="E252" s="152">
        <f t="shared" si="136"/>
        <v>0.3</v>
      </c>
      <c r="F252" s="152">
        <f t="shared" si="136"/>
        <v>0.3</v>
      </c>
      <c r="G252" s="152">
        <f t="shared" si="136"/>
        <v>0.3</v>
      </c>
      <c r="H252" s="152">
        <f t="shared" si="136"/>
        <v>0.3</v>
      </c>
      <c r="I252" s="152">
        <f t="shared" si="136"/>
        <v>0.3</v>
      </c>
      <c r="J252" s="152">
        <f t="shared" si="136"/>
        <v>0.3</v>
      </c>
      <c r="K252" s="152">
        <f t="shared" si="136"/>
        <v>0.3</v>
      </c>
      <c r="L252" s="152">
        <f t="shared" si="136"/>
        <v>0.3</v>
      </c>
      <c r="M252" s="152">
        <f t="shared" si="136"/>
        <v>0.3</v>
      </c>
      <c r="N252" s="152">
        <f t="shared" si="136"/>
        <v>0.3</v>
      </c>
      <c r="O252" s="152">
        <f t="shared" si="136"/>
        <v>0.3</v>
      </c>
      <c r="P252" s="152">
        <f t="shared" si="136"/>
        <v>0.3</v>
      </c>
      <c r="Q252" s="152">
        <f t="shared" si="136"/>
        <v>0.3</v>
      </c>
      <c r="R252" s="152">
        <f t="shared" si="136"/>
        <v>0.3</v>
      </c>
      <c r="S252" s="152">
        <f t="shared" si="136"/>
        <v>0.3</v>
      </c>
      <c r="T252" s="152">
        <f t="shared" si="137"/>
        <v>0.3</v>
      </c>
      <c r="U252" s="152">
        <f t="shared" si="137"/>
        <v>0.3</v>
      </c>
      <c r="V252" s="152">
        <f t="shared" si="137"/>
        <v>0.3</v>
      </c>
      <c r="W252" s="152">
        <f t="shared" si="137"/>
        <v>0.3</v>
      </c>
      <c r="X252" s="152">
        <f t="shared" si="137"/>
        <v>0.3</v>
      </c>
      <c r="Y252" s="152">
        <f t="shared" si="137"/>
        <v>0.3</v>
      </c>
      <c r="Z252" s="152">
        <f t="shared" si="137"/>
        <v>0.3</v>
      </c>
      <c r="AA252" s="152">
        <f t="shared" si="137"/>
        <v>0.3</v>
      </c>
      <c r="AB252" s="152">
        <f t="shared" si="137"/>
        <v>0.3</v>
      </c>
      <c r="AC252" s="152">
        <f t="shared" si="137"/>
        <v>0.3</v>
      </c>
      <c r="AD252" s="152">
        <f t="shared" si="137"/>
        <v>0.3</v>
      </c>
      <c r="AE252" s="152">
        <f t="shared" si="137"/>
        <v>0.3</v>
      </c>
      <c r="AF252" s="152">
        <f t="shared" si="137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35"/>
        <v>0.4</v>
      </c>
      <c r="C253" s="152">
        <v>0.4</v>
      </c>
      <c r="D253" s="152">
        <f t="shared" si="136"/>
        <v>0.4</v>
      </c>
      <c r="E253" s="152">
        <f t="shared" si="136"/>
        <v>0.4</v>
      </c>
      <c r="F253" s="152">
        <f t="shared" si="136"/>
        <v>0.4</v>
      </c>
      <c r="G253" s="152">
        <f t="shared" si="136"/>
        <v>0.4</v>
      </c>
      <c r="H253" s="152">
        <f t="shared" si="136"/>
        <v>0.4</v>
      </c>
      <c r="I253" s="152">
        <f t="shared" si="136"/>
        <v>0.4</v>
      </c>
      <c r="J253" s="152">
        <f t="shared" si="136"/>
        <v>0.4</v>
      </c>
      <c r="K253" s="152">
        <f t="shared" si="136"/>
        <v>0.4</v>
      </c>
      <c r="L253" s="152">
        <f t="shared" si="136"/>
        <v>0.4</v>
      </c>
      <c r="M253" s="152">
        <f t="shared" si="136"/>
        <v>0.4</v>
      </c>
      <c r="N253" s="152">
        <f t="shared" si="136"/>
        <v>0.4</v>
      </c>
      <c r="O253" s="152">
        <f t="shared" si="136"/>
        <v>0.4</v>
      </c>
      <c r="P253" s="152">
        <f t="shared" si="136"/>
        <v>0.4</v>
      </c>
      <c r="Q253" s="152">
        <f t="shared" si="136"/>
        <v>0.4</v>
      </c>
      <c r="R253" s="152">
        <f t="shared" si="136"/>
        <v>0.4</v>
      </c>
      <c r="S253" s="152">
        <f t="shared" si="136"/>
        <v>0.4</v>
      </c>
      <c r="T253" s="152">
        <f t="shared" si="137"/>
        <v>0.4</v>
      </c>
      <c r="U253" s="152">
        <f t="shared" si="137"/>
        <v>0.4</v>
      </c>
      <c r="V253" s="152">
        <f t="shared" si="137"/>
        <v>0.4</v>
      </c>
      <c r="W253" s="152">
        <f t="shared" si="137"/>
        <v>0.4</v>
      </c>
      <c r="X253" s="152">
        <f t="shared" si="137"/>
        <v>0.4</v>
      </c>
      <c r="Y253" s="152">
        <f t="shared" si="137"/>
        <v>0.4</v>
      </c>
      <c r="Z253" s="152">
        <f t="shared" si="137"/>
        <v>0.4</v>
      </c>
      <c r="AA253" s="152">
        <f t="shared" si="137"/>
        <v>0.4</v>
      </c>
      <c r="AB253" s="152">
        <f t="shared" si="137"/>
        <v>0.4</v>
      </c>
      <c r="AC253" s="152">
        <f t="shared" si="137"/>
        <v>0.4</v>
      </c>
      <c r="AD253" s="152">
        <f t="shared" si="137"/>
        <v>0.4</v>
      </c>
      <c r="AE253" s="152">
        <f t="shared" si="137"/>
        <v>0.4</v>
      </c>
      <c r="AF253" s="152">
        <f t="shared" si="137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35"/>
        <v>0.64</v>
      </c>
      <c r="C254" s="157">
        <v>0.64</v>
      </c>
      <c r="D254" s="157">
        <f t="shared" si="136"/>
        <v>0.64</v>
      </c>
      <c r="E254" s="157">
        <f t="shared" si="136"/>
        <v>0.64</v>
      </c>
      <c r="F254" s="157">
        <f t="shared" si="136"/>
        <v>0.64</v>
      </c>
      <c r="G254" s="157">
        <f t="shared" si="136"/>
        <v>0.64</v>
      </c>
      <c r="H254" s="157">
        <f t="shared" si="136"/>
        <v>0.64</v>
      </c>
      <c r="I254" s="157">
        <f t="shared" si="136"/>
        <v>0.64</v>
      </c>
      <c r="J254" s="157">
        <f t="shared" si="136"/>
        <v>0.64</v>
      </c>
      <c r="K254" s="157">
        <f t="shared" si="136"/>
        <v>0.64</v>
      </c>
      <c r="L254" s="157">
        <f t="shared" si="136"/>
        <v>0.64</v>
      </c>
      <c r="M254" s="157">
        <f t="shared" si="136"/>
        <v>0.64</v>
      </c>
      <c r="N254" s="157">
        <f t="shared" si="136"/>
        <v>0.64</v>
      </c>
      <c r="O254" s="157">
        <f t="shared" si="136"/>
        <v>0.64</v>
      </c>
      <c r="P254" s="157">
        <f t="shared" si="136"/>
        <v>0.64</v>
      </c>
      <c r="Q254" s="157">
        <f t="shared" si="136"/>
        <v>0.64</v>
      </c>
      <c r="R254" s="157">
        <f t="shared" si="136"/>
        <v>0.64</v>
      </c>
      <c r="S254" s="157">
        <f t="shared" si="136"/>
        <v>0.64</v>
      </c>
      <c r="T254" s="157">
        <f t="shared" si="137"/>
        <v>0.64</v>
      </c>
      <c r="U254" s="157">
        <f t="shared" si="137"/>
        <v>0.64</v>
      </c>
      <c r="V254" s="157">
        <f t="shared" si="137"/>
        <v>0.64</v>
      </c>
      <c r="W254" s="157">
        <f t="shared" si="137"/>
        <v>0.64</v>
      </c>
      <c r="X254" s="157">
        <f t="shared" si="137"/>
        <v>0.64</v>
      </c>
      <c r="Y254" s="157">
        <f t="shared" si="137"/>
        <v>0.64</v>
      </c>
      <c r="Z254" s="157">
        <f t="shared" si="137"/>
        <v>0.64</v>
      </c>
      <c r="AA254" s="157">
        <f t="shared" si="137"/>
        <v>0.64</v>
      </c>
      <c r="AB254" s="157">
        <f t="shared" si="137"/>
        <v>0.64</v>
      </c>
      <c r="AC254" s="157">
        <f t="shared" si="137"/>
        <v>0.64</v>
      </c>
      <c r="AD254" s="157">
        <f t="shared" si="137"/>
        <v>0.64</v>
      </c>
      <c r="AE254" s="157">
        <f t="shared" si="137"/>
        <v>0.64</v>
      </c>
      <c r="AF254" s="157">
        <f t="shared" si="137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38">SUM(B249:B254)</f>
        <v>3.54</v>
      </c>
      <c r="C255" s="161">
        <f t="shared" si="138"/>
        <v>3.54</v>
      </c>
      <c r="D255" s="161">
        <f t="shared" si="138"/>
        <v>3.54</v>
      </c>
      <c r="E255" s="161">
        <f t="shared" si="138"/>
        <v>3.54</v>
      </c>
      <c r="F255" s="161">
        <f t="shared" si="138"/>
        <v>3.54</v>
      </c>
      <c r="G255" s="161">
        <f t="shared" si="138"/>
        <v>3.54</v>
      </c>
      <c r="H255" s="161">
        <f t="shared" si="138"/>
        <v>3.54</v>
      </c>
      <c r="I255" s="161">
        <f t="shared" si="138"/>
        <v>3.54</v>
      </c>
      <c r="J255" s="161">
        <f t="shared" si="138"/>
        <v>3.54</v>
      </c>
      <c r="K255" s="161">
        <f t="shared" si="138"/>
        <v>3.54</v>
      </c>
      <c r="L255" s="161">
        <f t="shared" si="138"/>
        <v>3.54</v>
      </c>
      <c r="M255" s="161">
        <f t="shared" si="138"/>
        <v>3.54</v>
      </c>
      <c r="N255" s="161">
        <f t="shared" si="138"/>
        <v>3.54</v>
      </c>
      <c r="O255" s="161">
        <f t="shared" si="138"/>
        <v>3.54</v>
      </c>
      <c r="P255" s="161">
        <f t="shared" si="138"/>
        <v>3.54</v>
      </c>
      <c r="Q255" s="161">
        <f t="shared" si="138"/>
        <v>3.54</v>
      </c>
      <c r="R255" s="161">
        <f t="shared" si="138"/>
        <v>3.54</v>
      </c>
      <c r="S255" s="161">
        <f t="shared" si="138"/>
        <v>3.54</v>
      </c>
      <c r="T255" s="161">
        <f t="shared" si="138"/>
        <v>3.54</v>
      </c>
      <c r="U255" s="161">
        <f t="shared" si="138"/>
        <v>3.54</v>
      </c>
      <c r="V255" s="161">
        <f t="shared" si="138"/>
        <v>3.54</v>
      </c>
      <c r="W255" s="161">
        <f t="shared" si="138"/>
        <v>3.54</v>
      </c>
      <c r="X255" s="161">
        <f t="shared" si="138"/>
        <v>3.54</v>
      </c>
      <c r="Y255" s="161">
        <f t="shared" si="138"/>
        <v>3.54</v>
      </c>
      <c r="Z255" s="161">
        <f t="shared" si="138"/>
        <v>3.54</v>
      </c>
      <c r="AA255" s="161">
        <f t="shared" si="138"/>
        <v>3.54</v>
      </c>
      <c r="AB255" s="161">
        <f t="shared" si="138"/>
        <v>3.54</v>
      </c>
      <c r="AC255" s="161">
        <f t="shared" si="138"/>
        <v>3.54</v>
      </c>
      <c r="AD255" s="161">
        <f t="shared" si="138"/>
        <v>3.54</v>
      </c>
      <c r="AE255" s="161">
        <f t="shared" si="138"/>
        <v>3.54</v>
      </c>
      <c r="AF255" s="161">
        <f t="shared" si="138"/>
        <v>3.54</v>
      </c>
      <c r="AG255" s="171">
        <f t="shared" si="138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1928.44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2080/10/29)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895" priority="80">
      <formula>$AH11=0</formula>
    </cfRule>
  </conditionalFormatting>
  <conditionalFormatting sqref="A89">
    <cfRule type="expression" dxfId="894" priority="138">
      <formula>$AH94=0</formula>
    </cfRule>
  </conditionalFormatting>
  <conditionalFormatting sqref="A90:A94">
    <cfRule type="expression" dxfId="893" priority="81">
      <formula>$AH89=0</formula>
    </cfRule>
  </conditionalFormatting>
  <conditionalFormatting sqref="B8">
    <cfRule type="expression" dxfId="892" priority="134">
      <formula>AND(C$9&gt;=14/24,C$9&lt;20/24)</formula>
    </cfRule>
    <cfRule type="expression" dxfId="891" priority="135">
      <formula>AND(C$9&gt;=8/24,C$9&lt;14/24)</formula>
    </cfRule>
    <cfRule type="expression" dxfId="890" priority="136">
      <formula>C$9&lt;8/24</formula>
    </cfRule>
    <cfRule type="expression" dxfId="889" priority="137">
      <formula>C$9&gt;=20/24</formula>
    </cfRule>
  </conditionalFormatting>
  <conditionalFormatting sqref="B9:AF10 Q11:R22 B11:P35 S11:AF57 Q23:Q35 R23:R57 B36:Q57 E62:O64 B62:D71 E66:I71 J67:O69 B72:AF77 B80:AF102 B104:AF120 B122:AF140 B247:AF247 B249:B255">
    <cfRule type="expression" dxfId="888" priority="42">
      <formula>AND(B$9&gt;=14/24,B$9&lt;20/24)</formula>
    </cfRule>
    <cfRule type="expression" dxfId="887" priority="43">
      <formula>AND(B$9&gt;=8/24,B$9&lt;14/24)</formula>
    </cfRule>
    <cfRule type="expression" dxfId="886" priority="44">
      <formula>B$9&lt;8/24</formula>
    </cfRule>
  </conditionalFormatting>
  <conditionalFormatting sqref="B58:AF60">
    <cfRule type="expression" dxfId="885" priority="37">
      <formula>B$9&gt;=20/24</formula>
    </cfRule>
    <cfRule type="expression" dxfId="884" priority="38">
      <formula>AND(B$9&gt;=14/24,B$9&lt;20/24)</formula>
    </cfRule>
    <cfRule type="expression" dxfId="883" priority="39">
      <formula>AND(B$9&gt;=8/24,B$9&lt;14/24)</formula>
    </cfRule>
    <cfRule type="expression" dxfId="882" priority="49">
      <formula>B$9&lt;8/24</formula>
    </cfRule>
  </conditionalFormatting>
  <conditionalFormatting sqref="D249:AF255">
    <cfRule type="expression" dxfId="881" priority="119">
      <formula>D$9&gt;=20/24</formula>
    </cfRule>
    <cfRule type="expression" dxfId="880" priority="120">
      <formula>AND(D$9&gt;=14/24,D$9&lt;20/24)</formula>
    </cfRule>
    <cfRule type="expression" dxfId="879" priority="121">
      <formula>AND(D$9&gt;=8/24,D$9&lt;14/24)</formula>
    </cfRule>
    <cfRule type="expression" dxfId="878" priority="122">
      <formula>D$9&lt;8/24</formula>
    </cfRule>
  </conditionalFormatting>
  <conditionalFormatting sqref="E66:I70 J67:O70">
    <cfRule type="expression" dxfId="877" priority="50">
      <formula>E$9&gt;=20/24</formula>
    </cfRule>
    <cfRule type="expression" dxfId="876" priority="51">
      <formula>AND(E$9&gt;=14/24,E$9&lt;20/24)</formula>
    </cfRule>
    <cfRule type="expression" dxfId="875" priority="52">
      <formula>AND(E$9&gt;=8/24,E$9&lt;14/24)</formula>
    </cfRule>
    <cfRule type="expression" dxfId="874" priority="53">
      <formula>E$9&lt;8/24</formula>
    </cfRule>
  </conditionalFormatting>
  <conditionalFormatting sqref="E71:O71">
    <cfRule type="expression" dxfId="873" priority="45">
      <formula>E$9&gt;=20/24</formula>
    </cfRule>
    <cfRule type="expression" dxfId="872" priority="46">
      <formula>AND(E$9&gt;=14/24,E$9&lt;20/24)</formula>
    </cfRule>
    <cfRule type="expression" dxfId="871" priority="47">
      <formula>AND(E$9&gt;=8/24,E$9&lt;14/24)</formula>
    </cfRule>
    <cfRule type="expression" dxfId="870" priority="48">
      <formula>E$9&lt;8/24</formula>
    </cfRule>
  </conditionalFormatting>
  <conditionalFormatting sqref="E62:AF65">
    <cfRule type="expression" dxfId="869" priority="60">
      <formula>E$9&gt;=20/24</formula>
    </cfRule>
    <cfRule type="expression" dxfId="868" priority="61">
      <formula>AND(E$9&gt;=14/24,E$9&lt;20/24)</formula>
    </cfRule>
    <cfRule type="expression" dxfId="867" priority="62">
      <formula>AND(E$9&gt;=8/24,E$9&lt;14/24)</formula>
    </cfRule>
    <cfRule type="expression" dxfId="866" priority="63">
      <formula>E$9&lt;8/24</formula>
    </cfRule>
  </conditionalFormatting>
  <conditionalFormatting sqref="F66:O68">
    <cfRule type="expression" dxfId="865" priority="72">
      <formula>F$9&gt;=20/24</formula>
    </cfRule>
    <cfRule type="expression" dxfId="864" priority="73">
      <formula>AND(F$9&gt;=14/24,F$9&lt;20/24)</formula>
    </cfRule>
    <cfRule type="expression" dxfId="863" priority="74">
      <formula>AND(F$9&gt;=8/24,F$9&lt;14/24)</formula>
    </cfRule>
    <cfRule type="expression" dxfId="862" priority="75">
      <formula>F$9&lt;8/24</formula>
    </cfRule>
  </conditionalFormatting>
  <conditionalFormatting sqref="M8 S8 AB8">
    <cfRule type="expression" dxfId="861" priority="126">
      <formula>AND(N$9&gt;=14/24,N$9&lt;20/24)</formula>
    </cfRule>
    <cfRule type="expression" dxfId="860" priority="127">
      <formula>AND(N$9&gt;=8/24,N$9&lt;14/24)</formula>
    </cfRule>
    <cfRule type="expression" dxfId="859" priority="128">
      <formula>N$9&lt;8/24</formula>
    </cfRule>
  </conditionalFormatting>
  <conditionalFormatting sqref="N66:Z70">
    <cfRule type="expression" dxfId="858" priority="76">
      <formula>N$9&gt;=20/24</formula>
    </cfRule>
    <cfRule type="expression" dxfId="857" priority="77">
      <formula>AND(N$9&gt;=14/24,N$9&lt;20/24)</formula>
    </cfRule>
    <cfRule type="expression" dxfId="856" priority="78">
      <formula>AND(N$9&gt;=8/24,N$9&lt;14/24)</formula>
    </cfRule>
    <cfRule type="expression" dxfId="855" priority="79">
      <formula>N$9&lt;8/24</formula>
    </cfRule>
  </conditionalFormatting>
  <conditionalFormatting sqref="N71:Z71">
    <cfRule type="expression" dxfId="854" priority="68">
      <formula>N$9&gt;=20/24</formula>
    </cfRule>
    <cfRule type="expression" dxfId="853" priority="69">
      <formula>AND(N$9&gt;=14/24,N$9&lt;20/24)</formula>
    </cfRule>
    <cfRule type="expression" dxfId="852" priority="70">
      <formula>AND(N$9&gt;=8/24,N$9&lt;14/24)</formula>
    </cfRule>
    <cfRule type="expression" dxfId="851" priority="71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Q11:R22 B11:P35 S11:AF57 Q23:Q35 R23:R57 B36:Q57 E62:O64 B62:D71 E66:I71 J67:O69 B72:AF77 B80:AF102 B9:AF10 B104:AF120 B122:AF140 B247:AF247 B249:B255">
    <cfRule type="expression" dxfId="850" priority="41">
      <formula>B$9&gt;=20/24</formula>
    </cfRule>
  </conditionalFormatting>
  <conditionalFormatting sqref="S8 AB8 M8">
    <cfRule type="expression" dxfId="849" priority="125">
      <formula>N$9&gt;=20/24</formula>
    </cfRule>
  </conditionalFormatting>
  <conditionalFormatting sqref="S8">
    <cfRule type="expression" dxfId="848" priority="112">
      <formula>U$9&gt;=20/24</formula>
    </cfRule>
    <cfRule type="expression" dxfId="847" priority="113">
      <formula>AND(U$9&gt;=14/24,U$9&lt;20/24)</formula>
    </cfRule>
    <cfRule type="expression" dxfId="846" priority="114">
      <formula>AND(U$9&gt;=8/24,U$9&lt;14/24)</formula>
    </cfRule>
    <cfRule type="expression" dxfId="845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A11:AF60 B11:D71 S11:Z83 R23:R60 E36:Q60 Q11:R22 E11:P35 Q23:Q35 AA61:AG61 E61:R65 AA62:AF64 AA65:AG65 E66:L71 M66:R77 AA66:AF83 B72:L77 B78:R83 AG83">
    <cfRule type="expression" dxfId="844" priority="40">
      <formula>B11&gt;$AG11</formula>
    </cfRule>
  </conditionalFormatting>
  <conditionalFormatting sqref="AA66:AF71">
    <cfRule type="expression" dxfId="843" priority="64">
      <formula>AA$9&gt;=20/24</formula>
    </cfRule>
    <cfRule type="expression" dxfId="842" priority="65">
      <formula>AND(AA$9&gt;=14/24,AA$9&lt;20/24)</formula>
    </cfRule>
    <cfRule type="expression" dxfId="841" priority="66">
      <formula>AND(AA$9&gt;=8/24,AA$9&lt;14/24)</formula>
    </cfRule>
    <cfRule type="expression" dxfId="840" priority="67">
      <formula>AA$9&lt;8/24</formula>
    </cfRule>
  </conditionalFormatting>
  <conditionalFormatting sqref="AB8">
    <cfRule type="expression" dxfId="839" priority="108">
      <formula>AD$9&gt;=20/24</formula>
    </cfRule>
    <cfRule type="expression" dxfId="838" priority="109">
      <formula>AND(AD$9&gt;=14/24,AD$9&lt;20/24)</formula>
    </cfRule>
    <cfRule type="expression" dxfId="837" priority="110">
      <formula>AND(AD$9&gt;=8/24,AD$9&lt;14/24)</formula>
    </cfRule>
    <cfRule type="expression" dxfId="836" priority="111">
      <formula>AD$9&lt;8/24</formula>
    </cfRule>
  </conditionalFormatting>
  <conditionalFormatting sqref="AG65">
    <cfRule type="expression" dxfId="835" priority="87">
      <formula>AG$9&gt;=20/24</formula>
    </cfRule>
    <cfRule type="expression" dxfId="834" priority="88">
      <formula>AND(AG$9&gt;=14/24,AG$9&lt;20/24)</formula>
    </cfRule>
    <cfRule type="expression" dxfId="833" priority="89">
      <formula>AND(AG$9&gt;=8/24,AG$9&lt;14/24)</formula>
    </cfRule>
    <cfRule type="expression" dxfId="832" priority="90">
      <formula>AG$9&lt;8/24</formula>
    </cfRule>
  </conditionalFormatting>
  <conditionalFormatting sqref="AG78:AG79">
    <cfRule type="expression" dxfId="831" priority="82">
      <formula>AG78&gt;$AG78</formula>
    </cfRule>
  </conditionalFormatting>
  <conditionalFormatting sqref="AG83">
    <cfRule type="expression" dxfId="830" priority="83">
      <formula>AG$9&gt;=20/24</formula>
    </cfRule>
    <cfRule type="expression" dxfId="829" priority="84">
      <formula>AND(AG$9&gt;=14/24,AG$9&lt;20/24)</formula>
    </cfRule>
    <cfRule type="expression" dxfId="828" priority="85">
      <formula>AND(AG$9&gt;=8/24,AG$9&lt;14/24)</formula>
    </cfRule>
    <cfRule type="expression" dxfId="827" priority="86">
      <formula>AG$9&lt;8/24</formula>
    </cfRule>
  </conditionalFormatting>
  <conditionalFormatting sqref="AG100">
    <cfRule type="expression" dxfId="826" priority="104">
      <formula>AG$9&gt;=20/24</formula>
    </cfRule>
    <cfRule type="expression" dxfId="825" priority="105">
      <formula>AND(AG$9&gt;=14/24,AG$9&lt;20/24)</formula>
    </cfRule>
    <cfRule type="expression" dxfId="824" priority="106">
      <formula>AND(AG$9&gt;=8/24,AG$9&lt;14/24)</formula>
    </cfRule>
    <cfRule type="expression" dxfId="823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822" priority="129">
      <formula>AJ$9&gt;=20/24</formula>
    </cfRule>
    <cfRule type="expression" dxfId="821" priority="130">
      <formula>AND(AJ$9&gt;=14/24,AJ$9&lt;20/24)</formula>
    </cfRule>
    <cfRule type="expression" dxfId="820" priority="131">
      <formula>AND(AJ$9&gt;=8/24,AJ$9&lt;14/24)</formula>
    </cfRule>
    <cfRule type="expression" dxfId="819" priority="132">
      <formula>AJ$9&lt;8/24</formula>
    </cfRule>
  </conditionalFormatting>
  <conditionalFormatting sqref="AL86:AN86 AL92:AN92">
    <cfRule type="expression" dxfId="818" priority="97">
      <formula>AL$9&gt;=20/24</formula>
    </cfRule>
    <cfRule type="expression" dxfId="817" priority="98">
      <formula>AND(AL$9&gt;=14/24,AL$9&lt;20/24)</formula>
    </cfRule>
    <cfRule type="expression" dxfId="816" priority="99">
      <formula>AND(AL$9&gt;=8/24,AL$9&lt;14/24)</formula>
    </cfRule>
    <cfRule type="expression" dxfId="815" priority="100">
      <formula>AL$9&lt;8/24</formula>
    </cfRule>
  </conditionalFormatting>
  <conditionalFormatting sqref="AM15:AM21 AN16:AR21">
    <cfRule type="expression" dxfId="814" priority="13">
      <formula>AX$9&gt;=20/24</formula>
    </cfRule>
    <cfRule type="expression" dxfId="813" priority="14">
      <formula>AND(AX$9&gt;=14/24,AX$9&lt;20/24)</formula>
    </cfRule>
    <cfRule type="expression" dxfId="812" priority="15">
      <formula>AND(AX$9&gt;=8/24,AX$9&lt;14/24)</formula>
    </cfRule>
    <cfRule type="expression" dxfId="811" priority="16">
      <formula>AX$9&lt;8/24</formula>
    </cfRule>
  </conditionalFormatting>
  <conditionalFormatting sqref="AN87:AN90">
    <cfRule type="expression" dxfId="810" priority="93">
      <formula>AN$9&gt;=20/24</formula>
    </cfRule>
    <cfRule type="expression" dxfId="809" priority="94">
      <formula>AND(AN$9&gt;=14/24,AN$9&lt;20/24)</formula>
    </cfRule>
    <cfRule type="expression" dxfId="808" priority="95">
      <formula>AND(AN$9&gt;=8/24,AN$9&lt;14/24)</formula>
    </cfRule>
    <cfRule type="expression" dxfId="807" priority="96">
      <formula>AN$9&lt;8/24</formula>
    </cfRule>
  </conditionalFormatting>
  <conditionalFormatting sqref="AN15:AR15">
    <cfRule type="expression" dxfId="806" priority="1">
      <formula>U$9&gt;=20/24</formula>
    </cfRule>
    <cfRule type="expression" dxfId="805" priority="2">
      <formula>AND(U$9&gt;=14/24,U$9&lt;20/24)</formula>
    </cfRule>
    <cfRule type="expression" dxfId="804" priority="3">
      <formula>AND(U$9&gt;=8/24,U$9&lt;14/24)</formula>
    </cfRule>
    <cfRule type="expression" dxfId="803" priority="4">
      <formula>U$9&lt;8/24</formula>
    </cfRule>
  </conditionalFormatting>
  <conditionalFormatting sqref="AS15">
    <cfRule type="expression" dxfId="802" priority="9">
      <formula>AA$9&gt;=20/24</formula>
    </cfRule>
    <cfRule type="expression" dxfId="801" priority="10">
      <formula>AND(AA$9&gt;=14/24,AA$9&lt;20/24)</formula>
    </cfRule>
    <cfRule type="expression" dxfId="800" priority="11">
      <formula>AND(AA$9&gt;=8/24,AA$9&lt;14/24)</formula>
    </cfRule>
    <cfRule type="expression" dxfId="799" priority="12">
      <formula>AA$9&lt;8/24</formula>
    </cfRule>
  </conditionalFormatting>
  <conditionalFormatting sqref="AS16:AS21">
    <cfRule type="expression" dxfId="798" priority="17">
      <formula>BE$9&gt;=20/24</formula>
    </cfRule>
    <cfRule type="expression" dxfId="797" priority="18">
      <formula>AND(BE$9&gt;=14/24,BE$9&lt;20/24)</formula>
    </cfRule>
    <cfRule type="expression" dxfId="796" priority="19">
      <formula>AND(BE$9&gt;=8/24,BE$9&lt;14/24)</formula>
    </cfRule>
    <cfRule type="expression" dxfId="795" priority="20">
      <formula>BE$9&lt;8/24</formula>
    </cfRule>
  </conditionalFormatting>
  <conditionalFormatting sqref="AT15 AX15:BJ15">
    <cfRule type="expression" dxfId="794" priority="21">
      <formula>AC$9&gt;=20/24</formula>
    </cfRule>
    <cfRule type="expression" dxfId="793" priority="22">
      <formula>AND(AC$9&gt;=14/24,AC$9&lt;20/24)</formula>
    </cfRule>
    <cfRule type="expression" dxfId="792" priority="23">
      <formula>AND(AC$9&gt;=8/24,AC$9&lt;14/24)</formula>
    </cfRule>
    <cfRule type="expression" dxfId="791" priority="24">
      <formula>AC$9&lt;8/24</formula>
    </cfRule>
  </conditionalFormatting>
  <conditionalFormatting sqref="AT16:AT21">
    <cfRule type="expression" dxfId="790" priority="25">
      <formula>BG$9&gt;=20/24</formula>
    </cfRule>
    <cfRule type="expression" dxfId="789" priority="26">
      <formula>AND(BG$9&gt;=14/24,BG$9&lt;20/24)</formula>
    </cfRule>
    <cfRule type="expression" dxfId="788" priority="27">
      <formula>AND(BG$9&gt;=8/24,BG$9&lt;14/24)</formula>
    </cfRule>
    <cfRule type="expression" dxfId="787" priority="28">
      <formula>BG$9&lt;8/24</formula>
    </cfRule>
  </conditionalFormatting>
  <conditionalFormatting sqref="AU15:AV15">
    <cfRule type="expression" dxfId="786" priority="29">
      <formula>AE$9&gt;=20/24</formula>
    </cfRule>
    <cfRule type="expression" dxfId="785" priority="30">
      <formula>AND(AE$9&gt;=14/24,AE$9&lt;20/24)</formula>
    </cfRule>
    <cfRule type="expression" dxfId="784" priority="31">
      <formula>AND(AE$9&gt;=8/24,AE$9&lt;14/24)</formula>
    </cfRule>
    <cfRule type="expression" dxfId="783" priority="32">
      <formula>AE$9&lt;8/24</formula>
    </cfRule>
  </conditionalFormatting>
  <conditionalFormatting sqref="AU16:BJ21">
    <cfRule type="expression" dxfId="782" priority="33">
      <formula>BI$9&gt;=20/24</formula>
    </cfRule>
    <cfRule type="expression" dxfId="781" priority="34">
      <formula>AND(BI$9&gt;=14/24,BI$9&lt;20/24)</formula>
    </cfRule>
    <cfRule type="expression" dxfId="780" priority="35">
      <formula>AND(BI$9&gt;=8/24,BI$9&lt;14/24)</formula>
    </cfRule>
    <cfRule type="expression" dxfId="779" priority="36">
      <formula>BI$9&lt;8/24</formula>
    </cfRule>
  </conditionalFormatting>
  <conditionalFormatting sqref="AW15">
    <cfRule type="expression" dxfId="778" priority="5">
      <formula>B$9&gt;=20/24</formula>
    </cfRule>
    <cfRule type="expression" dxfId="777" priority="6">
      <formula>AND(B$9&gt;=14/24,B$9&lt;20/24)</formula>
    </cfRule>
    <cfRule type="expression" dxfId="776" priority="7">
      <formula>AND(B$9&gt;=8/24,B$9&lt;14/24)</formula>
    </cfRule>
    <cfRule type="expression" dxfId="775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4EFE-BF98-4D18-8276-F55AA5404E13}">
  <sheetPr codeName="Sheet34"/>
  <dimension ref="A1:CJ297"/>
  <sheetViews>
    <sheetView zoomScale="106" workbookViewId="0">
      <pane xSplit="1" ySplit="10" topLeftCell="B12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111" sqref="A111:AF11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2080/10/30</v>
      </c>
      <c r="C4" s="187"/>
      <c r="D4" s="187"/>
      <c r="E4" s="188" t="str">
        <f ca="1">"2080/"&amp;"10/"&amp;INT(MID(CELL("filename",G6),FIND("]",CELL("filename",G6))+1,200))</f>
        <v>2080/10/30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25</v>
      </c>
      <c r="C5" s="30">
        <f t="shared" si="0"/>
        <v>24</v>
      </c>
      <c r="D5" s="30">
        <f t="shared" si="0"/>
        <v>29.8</v>
      </c>
      <c r="E5" s="30">
        <f t="shared" si="0"/>
        <v>25</v>
      </c>
      <c r="F5" s="30">
        <f t="shared" si="0"/>
        <v>20.7</v>
      </c>
      <c r="G5" s="30">
        <f t="shared" si="0"/>
        <v>18.600000000000001</v>
      </c>
      <c r="H5" s="30">
        <f t="shared" si="0"/>
        <v>10.8</v>
      </c>
      <c r="I5" s="30">
        <f t="shared" si="0"/>
        <v>166.3</v>
      </c>
      <c r="J5" s="30">
        <f t="shared" si="0"/>
        <v>176.9</v>
      </c>
      <c r="K5" s="30">
        <f t="shared" si="0"/>
        <v>194.2</v>
      </c>
      <c r="L5" s="30">
        <f t="shared" si="0"/>
        <v>210.6</v>
      </c>
      <c r="M5" s="30">
        <f t="shared" si="0"/>
        <v>222.3</v>
      </c>
      <c r="N5" s="30">
        <f t="shared" si="0"/>
        <v>211.7</v>
      </c>
      <c r="O5" s="30">
        <f t="shared" si="0"/>
        <v>271.89999999999998</v>
      </c>
      <c r="P5" s="30">
        <f t="shared" si="0"/>
        <v>278.5</v>
      </c>
      <c r="Q5" s="30">
        <f t="shared" si="0"/>
        <v>302.8</v>
      </c>
      <c r="R5" s="30">
        <f t="shared" si="0"/>
        <v>293.09999999999997</v>
      </c>
      <c r="S5" s="30">
        <f t="shared" si="0"/>
        <v>289.60000000000002</v>
      </c>
      <c r="T5" s="30">
        <f t="shared" si="0"/>
        <v>304.39999999999998</v>
      </c>
      <c r="U5" s="30">
        <f t="shared" si="0"/>
        <v>282</v>
      </c>
      <c r="V5" s="30">
        <f t="shared" si="0"/>
        <v>247.5</v>
      </c>
      <c r="W5" s="30">
        <f t="shared" si="0"/>
        <v>237.5</v>
      </c>
      <c r="X5" s="30">
        <f t="shared" si="0"/>
        <v>78.2</v>
      </c>
      <c r="Y5" s="30">
        <f t="shared" si="0"/>
        <v>33.799999999999997</v>
      </c>
      <c r="Z5" s="30">
        <f t="shared" si="0"/>
        <v>30.5</v>
      </c>
      <c r="AA5" s="30">
        <f t="shared" si="0"/>
        <v>35.700000000000003</v>
      </c>
      <c r="AB5" s="30">
        <f t="shared" si="0"/>
        <v>22.6</v>
      </c>
      <c r="AC5" s="30">
        <f t="shared" si="0"/>
        <v>19.600000000000001</v>
      </c>
      <c r="AD5" s="30">
        <f t="shared" si="0"/>
        <v>21.5</v>
      </c>
      <c r="AE5" s="30">
        <f t="shared" si="0"/>
        <v>27.8</v>
      </c>
      <c r="AF5" s="30">
        <f>B95</f>
        <v>27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Load=1542</v>
      </c>
      <c r="B7" s="35">
        <f t="shared" ref="B7:AF7" si="1">B103</f>
        <v>1664.14</v>
      </c>
      <c r="C7" s="35">
        <f t="shared" si="1"/>
        <v>1629.14</v>
      </c>
      <c r="D7" s="35">
        <f t="shared" si="1"/>
        <v>1630.14</v>
      </c>
      <c r="E7" s="35">
        <f t="shared" si="1"/>
        <v>1605.94</v>
      </c>
      <c r="F7" s="35">
        <f t="shared" si="1"/>
        <v>1611.14</v>
      </c>
      <c r="G7" s="35">
        <f t="shared" si="1"/>
        <v>1611.84</v>
      </c>
      <c r="H7" s="35">
        <f t="shared" si="1"/>
        <v>1600.7399999999998</v>
      </c>
      <c r="I7" s="35">
        <f t="shared" si="1"/>
        <v>1626.9399999999998</v>
      </c>
      <c r="J7" s="35">
        <f t="shared" si="1"/>
        <v>1542.4399999999998</v>
      </c>
      <c r="K7" s="35">
        <f t="shared" si="1"/>
        <v>1637.04</v>
      </c>
      <c r="L7" s="35">
        <f t="shared" si="1"/>
        <v>1687.34</v>
      </c>
      <c r="M7" s="35">
        <f t="shared" si="1"/>
        <v>1799.3400000000001</v>
      </c>
      <c r="N7" s="35">
        <f t="shared" si="1"/>
        <v>1823.14</v>
      </c>
      <c r="O7" s="35">
        <f t="shared" si="1"/>
        <v>1928.74</v>
      </c>
      <c r="P7" s="35">
        <f t="shared" si="1"/>
        <v>1959.3400000000001</v>
      </c>
      <c r="Q7" s="35">
        <f t="shared" si="1"/>
        <v>1979.04</v>
      </c>
      <c r="R7" s="35">
        <f t="shared" si="1"/>
        <v>2007.8400000000001</v>
      </c>
      <c r="S7" s="35">
        <f t="shared" si="1"/>
        <v>2014.3400000000001</v>
      </c>
      <c r="T7" s="35">
        <f t="shared" si="1"/>
        <v>2024.94</v>
      </c>
      <c r="U7" s="35">
        <f t="shared" si="1"/>
        <v>1969.24</v>
      </c>
      <c r="V7" s="35">
        <f t="shared" si="1"/>
        <v>1962.24</v>
      </c>
      <c r="W7" s="35">
        <f t="shared" si="1"/>
        <v>1882.74</v>
      </c>
      <c r="X7" s="35">
        <f t="shared" si="1"/>
        <v>1724.24</v>
      </c>
      <c r="Y7" s="35">
        <f t="shared" si="1"/>
        <v>1820.3000000000002</v>
      </c>
      <c r="Z7" s="35">
        <f t="shared" si="1"/>
        <v>1967.5</v>
      </c>
      <c r="AA7" s="35">
        <f t="shared" si="1"/>
        <v>2068.94</v>
      </c>
      <c r="AB7" s="35">
        <f t="shared" si="1"/>
        <v>2036.3400000000004</v>
      </c>
      <c r="AC7" s="35">
        <f t="shared" si="1"/>
        <v>2011.44</v>
      </c>
      <c r="AD7" s="35">
        <f t="shared" si="1"/>
        <v>1967.4400000000003</v>
      </c>
      <c r="AE7" s="35">
        <f t="shared" si="1"/>
        <v>1830.64</v>
      </c>
      <c r="AF7" s="35">
        <f t="shared" si="1"/>
        <v>1773.3400000000001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2163.14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2036.34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28.4</v>
      </c>
      <c r="C11" s="46">
        <v>28.4</v>
      </c>
      <c r="D11" s="46">
        <v>28.4</v>
      </c>
      <c r="E11" s="46">
        <v>28.4</v>
      </c>
      <c r="F11" s="46">
        <v>28.4</v>
      </c>
      <c r="G11" s="46">
        <v>28.4</v>
      </c>
      <c r="H11" s="46">
        <v>28.4</v>
      </c>
      <c r="I11" s="46">
        <v>28.4</v>
      </c>
      <c r="J11" s="46">
        <v>28.4</v>
      </c>
      <c r="K11" s="46">
        <v>28.4</v>
      </c>
      <c r="L11" s="46">
        <v>28.4</v>
      </c>
      <c r="M11" s="46">
        <v>35.299999999999997</v>
      </c>
      <c r="N11" s="46">
        <v>31.4</v>
      </c>
      <c r="O11" s="46">
        <v>32.299999999999997</v>
      </c>
      <c r="P11" s="46">
        <v>26.7</v>
      </c>
      <c r="Q11" s="46">
        <v>28.9</v>
      </c>
      <c r="R11" s="46">
        <v>28.9</v>
      </c>
      <c r="S11" s="46">
        <v>28.9</v>
      </c>
      <c r="T11" s="46">
        <v>28.9</v>
      </c>
      <c r="U11" s="46">
        <v>28.9</v>
      </c>
      <c r="V11" s="46">
        <v>28.9</v>
      </c>
      <c r="W11" s="46">
        <v>28.9</v>
      </c>
      <c r="X11" s="46">
        <v>28.9</v>
      </c>
      <c r="Y11" s="46">
        <v>28.9</v>
      </c>
      <c r="Z11" s="46">
        <v>21.7</v>
      </c>
      <c r="AA11" s="46">
        <v>21.7</v>
      </c>
      <c r="AB11" s="46">
        <v>21.7</v>
      </c>
      <c r="AC11" s="46">
        <v>21.7</v>
      </c>
      <c r="AD11" s="46">
        <v>21.7</v>
      </c>
      <c r="AE11" s="46">
        <v>21.7</v>
      </c>
      <c r="AF11" s="46">
        <v>21.7</v>
      </c>
      <c r="AG11" s="47">
        <v>86</v>
      </c>
      <c r="AH11" s="48">
        <f t="shared" ref="AH11:AH74" si="2">MAX(B11:AF11)</f>
        <v>35.299999999999997</v>
      </c>
      <c r="AI11" s="49">
        <f t="shared" ref="AI11:AI74" si="3">MIN(B11:AF11)</f>
        <v>21.7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22</v>
      </c>
      <c r="C12" s="46">
        <v>22</v>
      </c>
      <c r="D12" s="46">
        <v>22</v>
      </c>
      <c r="E12" s="46">
        <v>22</v>
      </c>
      <c r="F12" s="46">
        <v>22</v>
      </c>
      <c r="G12" s="46">
        <v>22</v>
      </c>
      <c r="H12" s="46">
        <v>22</v>
      </c>
      <c r="I12" s="46">
        <v>22</v>
      </c>
      <c r="J12" s="46">
        <v>22</v>
      </c>
      <c r="K12" s="46">
        <v>22</v>
      </c>
      <c r="L12" s="46">
        <v>22</v>
      </c>
      <c r="M12" s="46">
        <v>22</v>
      </c>
      <c r="N12" s="46">
        <v>22</v>
      </c>
      <c r="O12" s="46">
        <v>22</v>
      </c>
      <c r="P12" s="46">
        <v>22</v>
      </c>
      <c r="Q12" s="46">
        <v>22</v>
      </c>
      <c r="R12" s="46">
        <v>22</v>
      </c>
      <c r="S12" s="46">
        <v>43</v>
      </c>
      <c r="T12" s="46">
        <v>43</v>
      </c>
      <c r="U12" s="46">
        <v>43</v>
      </c>
      <c r="V12" s="46">
        <v>43</v>
      </c>
      <c r="W12" s="46">
        <v>43</v>
      </c>
      <c r="X12" s="46">
        <v>43</v>
      </c>
      <c r="Y12" s="46">
        <v>43</v>
      </c>
      <c r="Z12" s="46">
        <v>43</v>
      </c>
      <c r="AA12" s="46">
        <v>43</v>
      </c>
      <c r="AB12" s="46">
        <v>43</v>
      </c>
      <c r="AC12" s="46">
        <v>43</v>
      </c>
      <c r="AD12" s="46">
        <v>43</v>
      </c>
      <c r="AE12" s="46">
        <v>43</v>
      </c>
      <c r="AF12" s="46">
        <v>43</v>
      </c>
      <c r="AG12" s="50">
        <v>77</v>
      </c>
      <c r="AH12" s="48">
        <f t="shared" si="2"/>
        <v>43</v>
      </c>
      <c r="AI12" s="49">
        <f t="shared" si="3"/>
        <v>22</v>
      </c>
      <c r="AK12" s="51"/>
      <c r="AL12" s="52" t="str">
        <f ca="1">MID(CELL("filename",C7),FIND("]",CELL("filename",C7))+1,600)</f>
        <v>30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69.900000000000006</v>
      </c>
      <c r="C13" s="46">
        <v>69.900000000000006</v>
      </c>
      <c r="D13" s="46">
        <v>69.900000000000006</v>
      </c>
      <c r="E13" s="46">
        <v>69.900000000000006</v>
      </c>
      <c r="F13" s="46">
        <v>69.900000000000006</v>
      </c>
      <c r="G13" s="46">
        <v>69.900000000000006</v>
      </c>
      <c r="H13" s="46">
        <v>69.900000000000006</v>
      </c>
      <c r="I13" s="46">
        <v>69.900000000000006</v>
      </c>
      <c r="J13" s="46">
        <v>69.900000000000006</v>
      </c>
      <c r="K13" s="46">
        <v>69.900000000000006</v>
      </c>
      <c r="L13" s="46">
        <v>69.900000000000006</v>
      </c>
      <c r="M13" s="46">
        <v>69.900000000000006</v>
      </c>
      <c r="N13" s="46">
        <v>69.900000000000006</v>
      </c>
      <c r="O13" s="46">
        <v>69.900000000000006</v>
      </c>
      <c r="P13" s="46">
        <v>69.900000000000006</v>
      </c>
      <c r="Q13" s="46">
        <v>69.900000000000006</v>
      </c>
      <c r="R13" s="46">
        <v>69.900000000000006</v>
      </c>
      <c r="S13" s="46">
        <v>69.900000000000006</v>
      </c>
      <c r="T13" s="46">
        <v>69.900000000000006</v>
      </c>
      <c r="U13" s="46">
        <v>69.900000000000006</v>
      </c>
      <c r="V13" s="46">
        <v>69.900000000000006</v>
      </c>
      <c r="W13" s="46">
        <v>69.900000000000006</v>
      </c>
      <c r="X13" s="46">
        <v>69.900000000000006</v>
      </c>
      <c r="Y13" s="46">
        <v>69.900000000000006</v>
      </c>
      <c r="Z13" s="46">
        <v>70.8</v>
      </c>
      <c r="AA13" s="46">
        <v>70.8</v>
      </c>
      <c r="AB13" s="46">
        <v>70.8</v>
      </c>
      <c r="AC13" s="46">
        <v>70.8</v>
      </c>
      <c r="AD13" s="46">
        <v>70.8</v>
      </c>
      <c r="AE13" s="46">
        <v>70.8</v>
      </c>
      <c r="AF13" s="46">
        <v>70.8</v>
      </c>
      <c r="AG13" s="50">
        <v>73</v>
      </c>
      <c r="AH13" s="48">
        <f t="shared" si="2"/>
        <v>70.8</v>
      </c>
      <c r="AI13" s="49">
        <f t="shared" si="3"/>
        <v>69.900000000000006</v>
      </c>
      <c r="AK13" s="51"/>
      <c r="AL13" s="52" t="str">
        <f ca="1">"Daily Load Curve(Excluding of Export) of Nepal ("&amp;A4&amp;" "&amp;B4&amp;")"</f>
        <v>Daily Load Curve(Excluding of Export) of Nepal (Nepali Date: 2080/10/30)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40.700000000000003</v>
      </c>
      <c r="C14" s="46">
        <v>40.700000000000003</v>
      </c>
      <c r="D14" s="46">
        <v>40.700000000000003</v>
      </c>
      <c r="E14" s="46">
        <v>40.700000000000003</v>
      </c>
      <c r="F14" s="46">
        <v>40.700000000000003</v>
      </c>
      <c r="G14" s="46">
        <v>40.700000000000003</v>
      </c>
      <c r="H14" s="46">
        <v>40.700000000000003</v>
      </c>
      <c r="I14" s="46">
        <v>40.700000000000003</v>
      </c>
      <c r="J14" s="46">
        <v>40.700000000000003</v>
      </c>
      <c r="K14" s="46">
        <v>40.700000000000003</v>
      </c>
      <c r="L14" s="46">
        <v>40.700000000000003</v>
      </c>
      <c r="M14" s="46">
        <v>40.700000000000003</v>
      </c>
      <c r="N14" s="46">
        <v>40.700000000000003</v>
      </c>
      <c r="O14" s="46">
        <v>40.700000000000003</v>
      </c>
      <c r="P14" s="46">
        <v>40.700000000000003</v>
      </c>
      <c r="Q14" s="46">
        <v>40.700000000000003</v>
      </c>
      <c r="R14" s="46">
        <v>40.700000000000003</v>
      </c>
      <c r="S14" s="46">
        <v>40.700000000000003</v>
      </c>
      <c r="T14" s="46">
        <v>40.700000000000003</v>
      </c>
      <c r="U14" s="46">
        <v>40.700000000000003</v>
      </c>
      <c r="V14" s="46">
        <v>40.700000000000003</v>
      </c>
      <c r="W14" s="46">
        <v>40.700000000000003</v>
      </c>
      <c r="X14" s="46">
        <v>40.700000000000003</v>
      </c>
      <c r="Y14" s="46">
        <v>40.700000000000003</v>
      </c>
      <c r="Z14" s="46">
        <v>41</v>
      </c>
      <c r="AA14" s="46">
        <v>41</v>
      </c>
      <c r="AB14" s="46">
        <v>41</v>
      </c>
      <c r="AC14" s="46">
        <v>41</v>
      </c>
      <c r="AD14" s="46">
        <v>41</v>
      </c>
      <c r="AE14" s="46">
        <v>41</v>
      </c>
      <c r="AF14" s="46">
        <v>41</v>
      </c>
      <c r="AG14" s="50">
        <v>71</v>
      </c>
      <c r="AH14" s="48">
        <f t="shared" si="2"/>
        <v>41</v>
      </c>
      <c r="AI14" s="49">
        <f t="shared" si="3"/>
        <v>40.700000000000003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14</v>
      </c>
      <c r="C15" s="46">
        <v>14</v>
      </c>
      <c r="D15" s="46">
        <v>14</v>
      </c>
      <c r="E15" s="46">
        <v>14</v>
      </c>
      <c r="F15" s="46">
        <v>14</v>
      </c>
      <c r="G15" s="46">
        <v>14</v>
      </c>
      <c r="H15" s="46">
        <v>14</v>
      </c>
      <c r="I15" s="46">
        <v>14</v>
      </c>
      <c r="J15" s="46">
        <v>14</v>
      </c>
      <c r="K15" s="46">
        <v>14</v>
      </c>
      <c r="L15" s="46">
        <v>14</v>
      </c>
      <c r="M15" s="46">
        <v>14</v>
      </c>
      <c r="N15" s="46">
        <v>14</v>
      </c>
      <c r="O15" s="46">
        <v>14</v>
      </c>
      <c r="P15" s="46">
        <v>14</v>
      </c>
      <c r="Q15" s="46">
        <v>14</v>
      </c>
      <c r="R15" s="46">
        <v>14</v>
      </c>
      <c r="S15" s="46">
        <v>14</v>
      </c>
      <c r="T15" s="46">
        <v>14</v>
      </c>
      <c r="U15" s="46">
        <v>14</v>
      </c>
      <c r="V15" s="46">
        <v>14</v>
      </c>
      <c r="W15" s="46">
        <v>14</v>
      </c>
      <c r="X15" s="46">
        <v>14</v>
      </c>
      <c r="Y15" s="46">
        <v>14</v>
      </c>
      <c r="Z15" s="46">
        <v>25.5</v>
      </c>
      <c r="AA15" s="46">
        <v>25.5</v>
      </c>
      <c r="AB15" s="46">
        <v>25.5</v>
      </c>
      <c r="AC15" s="46">
        <v>25.5</v>
      </c>
      <c r="AD15" s="46">
        <v>25.5</v>
      </c>
      <c r="AE15" s="46">
        <v>25.5</v>
      </c>
      <c r="AF15" s="46">
        <v>25.5</v>
      </c>
      <c r="AG15" s="50">
        <v>54</v>
      </c>
      <c r="AH15" s="48">
        <f t="shared" si="2"/>
        <v>25.5</v>
      </c>
      <c r="AI15" s="49">
        <f t="shared" si="3"/>
        <v>14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29.8</v>
      </c>
      <c r="C16" s="46">
        <v>29.8</v>
      </c>
      <c r="D16" s="46">
        <v>29.8</v>
      </c>
      <c r="E16" s="46">
        <v>29.8</v>
      </c>
      <c r="F16" s="46">
        <v>29.8</v>
      </c>
      <c r="G16" s="46">
        <v>29.8</v>
      </c>
      <c r="H16" s="46">
        <v>29.8</v>
      </c>
      <c r="I16" s="46">
        <v>29.8</v>
      </c>
      <c r="J16" s="46">
        <v>29.8</v>
      </c>
      <c r="K16" s="46">
        <v>29.8</v>
      </c>
      <c r="L16" s="46">
        <v>29.8</v>
      </c>
      <c r="M16" s="46">
        <v>29.8</v>
      </c>
      <c r="N16" s="46">
        <v>29.8</v>
      </c>
      <c r="O16" s="46">
        <v>29.8</v>
      </c>
      <c r="P16" s="46">
        <v>29.8</v>
      </c>
      <c r="Q16" s="46">
        <v>29.8</v>
      </c>
      <c r="R16" s="46">
        <v>29.8</v>
      </c>
      <c r="S16" s="46">
        <v>29.8</v>
      </c>
      <c r="T16" s="46">
        <v>29.8</v>
      </c>
      <c r="U16" s="46">
        <v>29.8</v>
      </c>
      <c r="V16" s="46">
        <v>29.8</v>
      </c>
      <c r="W16" s="46">
        <v>29.8</v>
      </c>
      <c r="X16" s="46">
        <v>29.8</v>
      </c>
      <c r="Y16" s="46">
        <v>29.8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</v>
      </c>
      <c r="AF16" s="46">
        <v>27</v>
      </c>
      <c r="AG16" s="50">
        <v>54</v>
      </c>
      <c r="AH16" s="48">
        <f t="shared" si="2"/>
        <v>29.8</v>
      </c>
      <c r="AI16" s="49">
        <f t="shared" si="3"/>
        <v>27</v>
      </c>
      <c r="AK16" s="51"/>
      <c r="AL16" s="54" t="s">
        <v>7</v>
      </c>
      <c r="AM16" s="59">
        <f t="shared" ref="AM16:AR16" si="4">B61</f>
        <v>760.2</v>
      </c>
      <c r="AN16" s="59">
        <f t="shared" si="4"/>
        <v>760.2</v>
      </c>
      <c r="AO16" s="59">
        <f t="shared" si="4"/>
        <v>760.2</v>
      </c>
      <c r="AP16" s="59">
        <f t="shared" si="4"/>
        <v>760.2</v>
      </c>
      <c r="AQ16" s="59">
        <f t="shared" si="4"/>
        <v>760.2</v>
      </c>
      <c r="AR16" s="59">
        <f t="shared" si="4"/>
        <v>785.19999999999993</v>
      </c>
      <c r="AS16" s="59">
        <f>I61</f>
        <v>785.19999999999993</v>
      </c>
      <c r="AT16" s="59">
        <f>K61</f>
        <v>785.19999999999993</v>
      </c>
      <c r="AU16" s="59">
        <f t="shared" ref="AU16:BD16" si="5">M61</f>
        <v>806.10000000000014</v>
      </c>
      <c r="AV16" s="59">
        <f t="shared" si="5"/>
        <v>802.2</v>
      </c>
      <c r="AW16" s="59">
        <f t="shared" si="5"/>
        <v>802.1</v>
      </c>
      <c r="AX16" s="59">
        <f t="shared" si="5"/>
        <v>797.50000000000011</v>
      </c>
      <c r="AY16" s="59">
        <f t="shared" si="5"/>
        <v>799.7</v>
      </c>
      <c r="AZ16" s="59">
        <f t="shared" si="5"/>
        <v>799.7</v>
      </c>
      <c r="BA16" s="59">
        <f t="shared" si="5"/>
        <v>820.7</v>
      </c>
      <c r="BB16" s="59">
        <f t="shared" si="5"/>
        <v>820.7</v>
      </c>
      <c r="BC16" s="59">
        <f t="shared" si="5"/>
        <v>820.7</v>
      </c>
      <c r="BD16" s="59">
        <f t="shared" si="5"/>
        <v>820.7</v>
      </c>
      <c r="BE16" s="60">
        <f>X61</f>
        <v>820.7</v>
      </c>
      <c r="BF16" s="60">
        <f>Z61</f>
        <v>867.19999999999993</v>
      </c>
      <c r="BG16" s="60">
        <f>AB61</f>
        <v>867.19999999999993</v>
      </c>
      <c r="BH16" s="60">
        <f>AD61</f>
        <v>867.19999999999993</v>
      </c>
      <c r="BI16" s="60">
        <f>AE61</f>
        <v>867.19999999999993</v>
      </c>
      <c r="BJ16" s="60">
        <f>AF61</f>
        <v>867.19999999999993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25.1</v>
      </c>
      <c r="C17" s="46">
        <v>25.1</v>
      </c>
      <c r="D17" s="46">
        <v>25.1</v>
      </c>
      <c r="E17" s="46">
        <v>25.1</v>
      </c>
      <c r="F17" s="46">
        <v>25.1</v>
      </c>
      <c r="G17" s="46">
        <v>25.1</v>
      </c>
      <c r="H17" s="46">
        <v>25.1</v>
      </c>
      <c r="I17" s="46">
        <v>25.1</v>
      </c>
      <c r="J17" s="46">
        <v>25.1</v>
      </c>
      <c r="K17" s="46">
        <v>25.1</v>
      </c>
      <c r="L17" s="46">
        <v>25.1</v>
      </c>
      <c r="M17" s="46">
        <v>25.1</v>
      </c>
      <c r="N17" s="46">
        <v>25.1</v>
      </c>
      <c r="O17" s="46">
        <v>25.1</v>
      </c>
      <c r="P17" s="46">
        <v>25.1</v>
      </c>
      <c r="Q17" s="46">
        <v>25.1</v>
      </c>
      <c r="R17" s="46">
        <v>25.1</v>
      </c>
      <c r="S17" s="46">
        <v>25.1</v>
      </c>
      <c r="T17" s="46">
        <v>25.1</v>
      </c>
      <c r="U17" s="46">
        <v>25.1</v>
      </c>
      <c r="V17" s="46">
        <v>25.1</v>
      </c>
      <c r="W17" s="46">
        <v>25.1</v>
      </c>
      <c r="X17" s="46">
        <v>25.1</v>
      </c>
      <c r="Y17" s="46">
        <v>25.1</v>
      </c>
      <c r="Z17" s="46">
        <v>24</v>
      </c>
      <c r="AA17" s="46">
        <v>24</v>
      </c>
      <c r="AB17" s="46">
        <v>24</v>
      </c>
      <c r="AC17" s="46">
        <v>24</v>
      </c>
      <c r="AD17" s="46">
        <v>24</v>
      </c>
      <c r="AE17" s="46">
        <v>24</v>
      </c>
      <c r="AF17" s="46">
        <v>24</v>
      </c>
      <c r="AG17" s="47">
        <v>52.4</v>
      </c>
      <c r="AH17" s="48">
        <f t="shared" si="2"/>
        <v>25.1</v>
      </c>
      <c r="AI17" s="49">
        <f t="shared" si="3"/>
        <v>24</v>
      </c>
      <c r="AK17" s="51"/>
      <c r="AL17" s="54" t="s">
        <v>27</v>
      </c>
      <c r="AM17" s="59">
        <f t="shared" ref="AM17:AR17" si="6">B65</f>
        <v>509.1</v>
      </c>
      <c r="AN17" s="59">
        <f t="shared" si="6"/>
        <v>509.1</v>
      </c>
      <c r="AO17" s="59">
        <f t="shared" si="6"/>
        <v>509.1</v>
      </c>
      <c r="AP17" s="59">
        <f t="shared" si="6"/>
        <v>509.1</v>
      </c>
      <c r="AQ17" s="59">
        <f t="shared" si="6"/>
        <v>509.1</v>
      </c>
      <c r="AR17" s="59">
        <f t="shared" si="6"/>
        <v>509.1</v>
      </c>
      <c r="AS17" s="59">
        <f>I65</f>
        <v>509.1</v>
      </c>
      <c r="AT17" s="59">
        <f>K65</f>
        <v>509.1</v>
      </c>
      <c r="AU17" s="59">
        <f t="shared" ref="AU17:BD17" si="7">M65</f>
        <v>509.1</v>
      </c>
      <c r="AV17" s="59">
        <f t="shared" si="7"/>
        <v>509</v>
      </c>
      <c r="AW17" s="59">
        <f t="shared" si="7"/>
        <v>511.7</v>
      </c>
      <c r="AX17" s="59">
        <f t="shared" si="7"/>
        <v>512</v>
      </c>
      <c r="AY17" s="59">
        <f t="shared" si="7"/>
        <v>512.20000000000005</v>
      </c>
      <c r="AZ17" s="59">
        <f t="shared" si="7"/>
        <v>512.20000000000005</v>
      </c>
      <c r="BA17" s="59">
        <f t="shared" si="7"/>
        <v>463.7</v>
      </c>
      <c r="BB17" s="59">
        <f t="shared" si="7"/>
        <v>481.8</v>
      </c>
      <c r="BC17" s="59">
        <f t="shared" si="7"/>
        <v>451.6</v>
      </c>
      <c r="BD17" s="59">
        <f t="shared" si="7"/>
        <v>463.8</v>
      </c>
      <c r="BE17" s="60">
        <f>X65</f>
        <v>275.3</v>
      </c>
      <c r="BF17" s="60">
        <f>Z65</f>
        <v>475.5</v>
      </c>
      <c r="BG17" s="60">
        <f>AB65</f>
        <v>513.70000000000005</v>
      </c>
      <c r="BH17" s="60">
        <f>AD65</f>
        <v>513.70000000000005</v>
      </c>
      <c r="BI17" s="60">
        <f>AE65</f>
        <v>513.70000000000005</v>
      </c>
      <c r="BJ17" s="60">
        <f>AF65</f>
        <v>513.70000000000005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>
        <v>50.5</v>
      </c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50.5</v>
      </c>
      <c r="AF18" s="53">
        <v>50.5</v>
      </c>
      <c r="AG18" s="50">
        <v>50</v>
      </c>
      <c r="AH18" s="48">
        <f t="shared" si="2"/>
        <v>50.5</v>
      </c>
      <c r="AI18" s="49">
        <f t="shared" si="3"/>
        <v>50.5</v>
      </c>
      <c r="AK18" s="51"/>
      <c r="AL18" s="54" t="s">
        <v>29</v>
      </c>
      <c r="AM18" s="59">
        <f t="shared" ref="AM18:AR18" si="8">B79</f>
        <v>376.84</v>
      </c>
      <c r="AN18" s="59">
        <f t="shared" si="8"/>
        <v>376.84</v>
      </c>
      <c r="AO18" s="59">
        <f t="shared" si="8"/>
        <v>376.84</v>
      </c>
      <c r="AP18" s="59">
        <f t="shared" si="8"/>
        <v>376.84</v>
      </c>
      <c r="AQ18" s="59">
        <f t="shared" si="8"/>
        <v>376.84</v>
      </c>
      <c r="AR18" s="59">
        <f t="shared" si="8"/>
        <v>376.84</v>
      </c>
      <c r="AS18" s="59">
        <f>I79</f>
        <v>376.84</v>
      </c>
      <c r="AT18" s="59">
        <f>K79</f>
        <v>376.84</v>
      </c>
      <c r="AU18" s="59">
        <f t="shared" ref="AU18:BD18" si="9">M79</f>
        <v>388.44</v>
      </c>
      <c r="AV18" s="59">
        <f t="shared" si="9"/>
        <v>396.64</v>
      </c>
      <c r="AW18" s="59">
        <f t="shared" si="9"/>
        <v>404.53999999999996</v>
      </c>
      <c r="AX18" s="59">
        <f t="shared" si="9"/>
        <v>400.64</v>
      </c>
      <c r="AY18" s="59">
        <f t="shared" si="9"/>
        <v>403.54</v>
      </c>
      <c r="AZ18" s="59">
        <f t="shared" si="9"/>
        <v>424.34000000000003</v>
      </c>
      <c r="BA18" s="59">
        <f t="shared" si="9"/>
        <v>428.04</v>
      </c>
      <c r="BB18" s="59">
        <f t="shared" si="9"/>
        <v>424.84000000000003</v>
      </c>
      <c r="BC18" s="59">
        <f t="shared" si="9"/>
        <v>410.74</v>
      </c>
      <c r="BD18" s="59">
        <f t="shared" si="9"/>
        <v>410.74</v>
      </c>
      <c r="BE18" s="60">
        <f>X79</f>
        <v>410.74</v>
      </c>
      <c r="BF18" s="60">
        <f>Z79</f>
        <v>416.7</v>
      </c>
      <c r="BG18" s="60">
        <f>AB79</f>
        <v>414.74</v>
      </c>
      <c r="BH18" s="60">
        <f>AD79</f>
        <v>414.74</v>
      </c>
      <c r="BI18" s="60">
        <f>AE79</f>
        <v>414.74</v>
      </c>
      <c r="BJ18" s="60">
        <f>AF79</f>
        <v>414.74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27</v>
      </c>
      <c r="C19" s="46">
        <v>27</v>
      </c>
      <c r="D19" s="46">
        <v>27</v>
      </c>
      <c r="E19" s="46">
        <v>27</v>
      </c>
      <c r="F19" s="46">
        <v>27</v>
      </c>
      <c r="G19" s="46">
        <v>27</v>
      </c>
      <c r="H19" s="46">
        <v>27</v>
      </c>
      <c r="I19" s="46">
        <v>27</v>
      </c>
      <c r="J19" s="46">
        <v>27</v>
      </c>
      <c r="K19" s="46">
        <v>27</v>
      </c>
      <c r="L19" s="46">
        <v>27</v>
      </c>
      <c r="M19" s="46">
        <v>41</v>
      </c>
      <c r="N19" s="46">
        <v>41</v>
      </c>
      <c r="O19" s="46">
        <v>40</v>
      </c>
      <c r="P19" s="46">
        <v>41</v>
      </c>
      <c r="Q19" s="46">
        <v>41</v>
      </c>
      <c r="R19" s="46">
        <v>41</v>
      </c>
      <c r="S19" s="46">
        <v>41</v>
      </c>
      <c r="T19" s="46">
        <v>41</v>
      </c>
      <c r="U19" s="46">
        <v>41</v>
      </c>
      <c r="V19" s="46">
        <v>41</v>
      </c>
      <c r="W19" s="46">
        <v>41</v>
      </c>
      <c r="X19" s="46">
        <v>41</v>
      </c>
      <c r="Y19" s="46">
        <v>41</v>
      </c>
      <c r="Z19" s="46">
        <v>41</v>
      </c>
      <c r="AA19" s="46">
        <v>41</v>
      </c>
      <c r="AB19" s="46">
        <v>41</v>
      </c>
      <c r="AC19" s="46">
        <v>41</v>
      </c>
      <c r="AD19" s="46">
        <v>41</v>
      </c>
      <c r="AE19" s="46">
        <v>41</v>
      </c>
      <c r="AF19" s="46">
        <v>41</v>
      </c>
      <c r="AG19" s="50">
        <v>45</v>
      </c>
      <c r="AH19" s="48">
        <f t="shared" si="2"/>
        <v>41</v>
      </c>
      <c r="AI19" s="49">
        <f t="shared" si="3"/>
        <v>27</v>
      </c>
      <c r="AK19" s="51"/>
      <c r="AL19" s="54" t="s">
        <v>31</v>
      </c>
      <c r="AM19" s="59">
        <f t="shared" ref="AM19:AR19" si="10">B95</f>
        <v>27</v>
      </c>
      <c r="AN19" s="59">
        <f t="shared" si="10"/>
        <v>25</v>
      </c>
      <c r="AO19" s="59">
        <f t="shared" si="10"/>
        <v>24</v>
      </c>
      <c r="AP19" s="59">
        <f t="shared" si="10"/>
        <v>29.8</v>
      </c>
      <c r="AQ19" s="59">
        <f t="shared" si="10"/>
        <v>25</v>
      </c>
      <c r="AR19" s="59">
        <f t="shared" si="10"/>
        <v>20.7</v>
      </c>
      <c r="AS19" s="59">
        <f>I95</f>
        <v>10.8</v>
      </c>
      <c r="AT19" s="59">
        <f>K95</f>
        <v>176.9</v>
      </c>
      <c r="AU19" s="59">
        <f t="shared" ref="AU19:BD19" si="11">M95</f>
        <v>210.6</v>
      </c>
      <c r="AV19" s="59">
        <f t="shared" si="11"/>
        <v>222.3</v>
      </c>
      <c r="AW19" s="59">
        <f t="shared" si="11"/>
        <v>211.7</v>
      </c>
      <c r="AX19" s="59">
        <f t="shared" si="11"/>
        <v>271.89999999999998</v>
      </c>
      <c r="AY19" s="59">
        <f t="shared" si="11"/>
        <v>278.5</v>
      </c>
      <c r="AZ19" s="59">
        <f t="shared" si="11"/>
        <v>302.8</v>
      </c>
      <c r="BA19" s="59">
        <f t="shared" si="11"/>
        <v>293.09999999999997</v>
      </c>
      <c r="BB19" s="59">
        <f t="shared" si="11"/>
        <v>289.60000000000002</v>
      </c>
      <c r="BC19" s="59">
        <f t="shared" si="11"/>
        <v>304.39999999999998</v>
      </c>
      <c r="BD19" s="59">
        <f t="shared" si="11"/>
        <v>282</v>
      </c>
      <c r="BE19" s="60">
        <f>X95</f>
        <v>237.5</v>
      </c>
      <c r="BF19" s="60">
        <f>Z95</f>
        <v>33.799999999999997</v>
      </c>
      <c r="BG19" s="60">
        <f>AB95</f>
        <v>35.700000000000003</v>
      </c>
      <c r="BH19" s="60">
        <f>AD95</f>
        <v>19.600000000000001</v>
      </c>
      <c r="BI19" s="60">
        <f>AE95</f>
        <v>21.5</v>
      </c>
      <c r="BJ19" s="60">
        <f>AF95</f>
        <v>27.8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33.1</v>
      </c>
      <c r="C20" s="46">
        <v>33.1</v>
      </c>
      <c r="D20" s="46">
        <v>33.1</v>
      </c>
      <c r="E20" s="46">
        <v>33.1</v>
      </c>
      <c r="F20" s="46">
        <v>33.1</v>
      </c>
      <c r="G20" s="46">
        <v>33.1</v>
      </c>
      <c r="H20" s="46">
        <v>33.1</v>
      </c>
      <c r="I20" s="46">
        <v>33.1</v>
      </c>
      <c r="J20" s="46">
        <v>33.1</v>
      </c>
      <c r="K20" s="46">
        <v>33.1</v>
      </c>
      <c r="L20" s="46">
        <v>33.1</v>
      </c>
      <c r="M20" s="46">
        <v>33.1</v>
      </c>
      <c r="N20" s="46">
        <v>33.1</v>
      </c>
      <c r="O20" s="46">
        <v>33.1</v>
      </c>
      <c r="P20" s="46">
        <v>33.1</v>
      </c>
      <c r="Q20" s="46">
        <v>33.1</v>
      </c>
      <c r="R20" s="46">
        <v>33.1</v>
      </c>
      <c r="S20" s="46">
        <v>33.1</v>
      </c>
      <c r="T20" s="46">
        <v>33.1</v>
      </c>
      <c r="U20" s="46">
        <v>33.1</v>
      </c>
      <c r="V20" s="46">
        <v>33.1</v>
      </c>
      <c r="W20" s="46">
        <v>33.1</v>
      </c>
      <c r="X20" s="46">
        <v>33.1</v>
      </c>
      <c r="Y20" s="46">
        <v>33.1</v>
      </c>
      <c r="Z20" s="46">
        <v>43.3</v>
      </c>
      <c r="AA20" s="46">
        <v>43.3</v>
      </c>
      <c r="AB20" s="46">
        <v>43.3</v>
      </c>
      <c r="AC20" s="46">
        <v>43.3</v>
      </c>
      <c r="AD20" s="46">
        <v>43.3</v>
      </c>
      <c r="AE20" s="46">
        <v>43.3</v>
      </c>
      <c r="AF20" s="46">
        <v>43.3</v>
      </c>
      <c r="AG20" s="50">
        <v>44</v>
      </c>
      <c r="AH20" s="48">
        <f t="shared" si="2"/>
        <v>43.3</v>
      </c>
      <c r="AI20" s="49">
        <f t="shared" si="3"/>
        <v>33.1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20.100000000000001</v>
      </c>
      <c r="AV20" s="59">
        <f t="shared" si="13"/>
        <v>0</v>
      </c>
      <c r="AW20" s="59">
        <f t="shared" si="13"/>
        <v>18.7</v>
      </c>
      <c r="AX20" s="59">
        <f t="shared" si="13"/>
        <v>19.299999999999997</v>
      </c>
      <c r="AY20" s="59">
        <f t="shared" si="13"/>
        <v>39</v>
      </c>
      <c r="AZ20" s="59">
        <f t="shared" si="13"/>
        <v>18.8</v>
      </c>
      <c r="BA20" s="59">
        <f t="shared" si="13"/>
        <v>18.8</v>
      </c>
      <c r="BB20" s="59">
        <f t="shared" si="13"/>
        <v>21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18.3</v>
      </c>
      <c r="BG20" s="60">
        <f>AB83</f>
        <v>81.8</v>
      </c>
      <c r="BH20" s="60">
        <f>AD83</f>
        <v>15.4</v>
      </c>
      <c r="BI20" s="60">
        <f>AE83</f>
        <v>0</v>
      </c>
      <c r="BJ20" s="60">
        <f>AF83</f>
        <v>19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150</v>
      </c>
      <c r="AO21" s="59">
        <f t="shared" si="14"/>
        <v>150</v>
      </c>
      <c r="AP21" s="59">
        <f t="shared" si="14"/>
        <v>150</v>
      </c>
      <c r="AQ21" s="59">
        <f t="shared" si="14"/>
        <v>150</v>
      </c>
      <c r="AR21" s="59">
        <f t="shared" si="14"/>
        <v>150</v>
      </c>
      <c r="AS21" s="59">
        <f>I101</f>
        <v>150</v>
      </c>
      <c r="AT21" s="59">
        <f>K101</f>
        <v>0</v>
      </c>
      <c r="AU21" s="59">
        <f t="shared" ref="AU21:BD21" si="15">M101</f>
        <v>50</v>
      </c>
      <c r="AV21" s="59">
        <f t="shared" si="15"/>
        <v>50</v>
      </c>
      <c r="AW21" s="59">
        <f t="shared" si="15"/>
        <v>50</v>
      </c>
      <c r="AX21" s="59">
        <f t="shared" si="15"/>
        <v>50</v>
      </c>
      <c r="AY21" s="59">
        <f t="shared" si="15"/>
        <v>50</v>
      </c>
      <c r="AZ21" s="59">
        <f t="shared" si="15"/>
        <v>50</v>
      </c>
      <c r="BA21" s="59">
        <f t="shared" si="15"/>
        <v>50</v>
      </c>
      <c r="BB21" s="59">
        <f t="shared" si="15"/>
        <v>50</v>
      </c>
      <c r="BC21" s="59">
        <f t="shared" si="15"/>
        <v>50</v>
      </c>
      <c r="BD21" s="59">
        <f t="shared" si="15"/>
        <v>50</v>
      </c>
      <c r="BE21" s="60">
        <f>X101</f>
        <v>50</v>
      </c>
      <c r="BF21" s="60">
        <f>Z101</f>
        <v>250</v>
      </c>
      <c r="BG21" s="60">
        <f>AB101</f>
        <v>250</v>
      </c>
      <c r="BH21" s="60">
        <f>AD101</f>
        <v>250</v>
      </c>
      <c r="BI21" s="60">
        <f>AE101</f>
        <v>150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29.3</v>
      </c>
      <c r="C22" s="46">
        <v>29.3</v>
      </c>
      <c r="D22" s="46">
        <v>29.3</v>
      </c>
      <c r="E22" s="46">
        <v>29.3</v>
      </c>
      <c r="F22" s="46">
        <v>29.3</v>
      </c>
      <c r="G22" s="46">
        <v>29.3</v>
      </c>
      <c r="H22" s="46">
        <v>29.3</v>
      </c>
      <c r="I22" s="46">
        <v>29.3</v>
      </c>
      <c r="J22" s="46">
        <v>29.3</v>
      </c>
      <c r="K22" s="46">
        <v>29.3</v>
      </c>
      <c r="L22" s="46">
        <v>29.3</v>
      </c>
      <c r="M22" s="46">
        <v>29.3</v>
      </c>
      <c r="N22" s="46">
        <v>29.3</v>
      </c>
      <c r="O22" s="46">
        <v>29.3</v>
      </c>
      <c r="P22" s="46">
        <v>29.3</v>
      </c>
      <c r="Q22" s="46">
        <v>29.3</v>
      </c>
      <c r="R22" s="46">
        <v>29.3</v>
      </c>
      <c r="S22" s="46">
        <v>29.3</v>
      </c>
      <c r="T22" s="46">
        <v>29.3</v>
      </c>
      <c r="U22" s="46">
        <v>29.3</v>
      </c>
      <c r="V22" s="46">
        <v>29.3</v>
      </c>
      <c r="W22" s="46">
        <v>29.3</v>
      </c>
      <c r="X22" s="46">
        <v>29.3</v>
      </c>
      <c r="Y22" s="46">
        <v>29.3</v>
      </c>
      <c r="Z22" s="46">
        <v>30.7</v>
      </c>
      <c r="AA22" s="46">
        <v>30.7</v>
      </c>
      <c r="AB22" s="46">
        <v>30.7</v>
      </c>
      <c r="AC22" s="46">
        <v>30.7</v>
      </c>
      <c r="AD22" s="46">
        <v>30.7</v>
      </c>
      <c r="AE22" s="46">
        <v>30.7</v>
      </c>
      <c r="AF22" s="46">
        <v>30.7</v>
      </c>
      <c r="AG22" s="50">
        <v>38.46</v>
      </c>
      <c r="AH22" s="48">
        <f t="shared" si="2"/>
        <v>30.7</v>
      </c>
      <c r="AI22" s="49">
        <f t="shared" si="3"/>
        <v>29.3</v>
      </c>
      <c r="AK22" s="51"/>
      <c r="AL22" s="62" t="s">
        <v>37</v>
      </c>
      <c r="AM22" s="63">
        <f t="shared" ref="AM22:BJ22" si="16">SUM(AM16:AM21)</f>
        <v>1823.14</v>
      </c>
      <c r="AN22" s="63">
        <f t="shared" si="16"/>
        <v>1821.14</v>
      </c>
      <c r="AO22" s="63">
        <f t="shared" si="16"/>
        <v>1820.14</v>
      </c>
      <c r="AP22" s="63">
        <f t="shared" si="16"/>
        <v>1825.94</v>
      </c>
      <c r="AQ22" s="63">
        <f t="shared" si="16"/>
        <v>1821.14</v>
      </c>
      <c r="AR22" s="63">
        <f t="shared" si="16"/>
        <v>1841.84</v>
      </c>
      <c r="AS22" s="63">
        <f t="shared" si="16"/>
        <v>1831.9399999999998</v>
      </c>
      <c r="AT22" s="63">
        <f t="shared" si="16"/>
        <v>1848.04</v>
      </c>
      <c r="AU22" s="63">
        <f t="shared" si="16"/>
        <v>1984.3400000000001</v>
      </c>
      <c r="AV22" s="63">
        <f t="shared" si="16"/>
        <v>1980.14</v>
      </c>
      <c r="AW22" s="63">
        <f t="shared" si="16"/>
        <v>1998.74</v>
      </c>
      <c r="AX22" s="63">
        <f t="shared" si="16"/>
        <v>2051.34</v>
      </c>
      <c r="AY22" s="63">
        <f t="shared" si="16"/>
        <v>2082.94</v>
      </c>
      <c r="AZ22" s="63">
        <f t="shared" si="16"/>
        <v>2107.84</v>
      </c>
      <c r="BA22" s="63">
        <f t="shared" si="16"/>
        <v>2074.34</v>
      </c>
      <c r="BB22" s="63">
        <f t="shared" si="16"/>
        <v>2087.94</v>
      </c>
      <c r="BC22" s="63">
        <f t="shared" si="16"/>
        <v>2037.44</v>
      </c>
      <c r="BD22" s="63">
        <f t="shared" si="16"/>
        <v>2027.24</v>
      </c>
      <c r="BE22" s="63">
        <f t="shared" si="16"/>
        <v>1794.24</v>
      </c>
      <c r="BF22" s="63">
        <f t="shared" si="16"/>
        <v>2061.5</v>
      </c>
      <c r="BG22" s="63">
        <f t="shared" si="16"/>
        <v>2163.1400000000003</v>
      </c>
      <c r="BH22" s="63">
        <f t="shared" si="16"/>
        <v>2080.6400000000003</v>
      </c>
      <c r="BI22" s="63">
        <f t="shared" si="16"/>
        <v>1967.14</v>
      </c>
      <c r="BJ22" s="63">
        <f t="shared" si="16"/>
        <v>1992.44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14.8</v>
      </c>
      <c r="C23" s="46">
        <v>14.8</v>
      </c>
      <c r="D23" s="46">
        <v>14.8</v>
      </c>
      <c r="E23" s="46">
        <v>14.8</v>
      </c>
      <c r="F23" s="46">
        <v>14.8</v>
      </c>
      <c r="G23" s="46">
        <v>14.8</v>
      </c>
      <c r="H23" s="46">
        <v>14.8</v>
      </c>
      <c r="I23" s="46">
        <v>14.8</v>
      </c>
      <c r="J23" s="46">
        <v>14.8</v>
      </c>
      <c r="K23" s="46">
        <v>14.8</v>
      </c>
      <c r="L23" s="46">
        <v>14.8</v>
      </c>
      <c r="M23" s="46">
        <v>14.8</v>
      </c>
      <c r="N23" s="46">
        <v>14.8</v>
      </c>
      <c r="O23" s="46">
        <v>14.8</v>
      </c>
      <c r="P23" s="46">
        <v>14.8</v>
      </c>
      <c r="Q23" s="46">
        <v>14.8</v>
      </c>
      <c r="R23" s="46">
        <v>14.8</v>
      </c>
      <c r="S23" s="46">
        <v>14.8</v>
      </c>
      <c r="T23" s="46">
        <v>14.8</v>
      </c>
      <c r="U23" s="46">
        <v>14.8</v>
      </c>
      <c r="V23" s="46">
        <v>14.8</v>
      </c>
      <c r="W23" s="46">
        <v>14.8</v>
      </c>
      <c r="X23" s="46">
        <v>14.8</v>
      </c>
      <c r="Y23" s="46">
        <v>14.8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14.8</v>
      </c>
      <c r="AK23" s="51"/>
      <c r="AL23" s="62" t="s">
        <v>39</v>
      </c>
      <c r="AM23" s="63">
        <f t="shared" ref="AM23:AR23" si="17">B110*-1</f>
        <v>-159</v>
      </c>
      <c r="AN23" s="63">
        <f t="shared" si="17"/>
        <v>-192</v>
      </c>
      <c r="AO23" s="63">
        <f t="shared" si="17"/>
        <v>-190</v>
      </c>
      <c r="AP23" s="63">
        <f t="shared" si="17"/>
        <v>-220</v>
      </c>
      <c r="AQ23" s="63">
        <f t="shared" si="17"/>
        <v>-210</v>
      </c>
      <c r="AR23" s="63">
        <f t="shared" si="17"/>
        <v>-230</v>
      </c>
      <c r="AS23" s="63">
        <f>I110*-1</f>
        <v>-205</v>
      </c>
      <c r="AT23" s="63">
        <f>K110*-1</f>
        <v>-211</v>
      </c>
      <c r="AU23" s="63">
        <f t="shared" ref="AU23:BD23" si="18">M110*-1</f>
        <v>-185</v>
      </c>
      <c r="AV23" s="63">
        <f t="shared" si="18"/>
        <v>-157</v>
      </c>
      <c r="AW23" s="63">
        <f t="shared" si="18"/>
        <v>-70</v>
      </c>
      <c r="AX23" s="63">
        <f t="shared" si="18"/>
        <v>-92</v>
      </c>
      <c r="AY23" s="63">
        <f t="shared" si="18"/>
        <v>-103.9</v>
      </c>
      <c r="AZ23" s="63">
        <f t="shared" si="18"/>
        <v>-100</v>
      </c>
      <c r="BA23" s="63">
        <f t="shared" si="18"/>
        <v>-60</v>
      </c>
      <c r="BB23" s="63">
        <f t="shared" si="18"/>
        <v>-63</v>
      </c>
      <c r="BC23" s="63">
        <f t="shared" si="18"/>
        <v>-68.2</v>
      </c>
      <c r="BD23" s="63">
        <f t="shared" si="18"/>
        <v>-65</v>
      </c>
      <c r="BE23" s="63">
        <f>X110*-1</f>
        <v>-70</v>
      </c>
      <c r="BF23" s="63">
        <f>Z110*-1</f>
        <v>-94</v>
      </c>
      <c r="BG23" s="63">
        <f>AB110*-1</f>
        <v>-126.8</v>
      </c>
      <c r="BH23" s="63">
        <f>AD110*-1</f>
        <v>-113.2</v>
      </c>
      <c r="BI23" s="63">
        <f>AE110*-1</f>
        <v>-136.5</v>
      </c>
      <c r="BJ23" s="63">
        <f>AF110*-1</f>
        <v>-219.1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1664.14</v>
      </c>
      <c r="AN24" s="63">
        <f t="shared" si="19"/>
        <v>1629.14</v>
      </c>
      <c r="AO24" s="63">
        <f t="shared" si="19"/>
        <v>1630.14</v>
      </c>
      <c r="AP24" s="63">
        <f t="shared" si="19"/>
        <v>1605.94</v>
      </c>
      <c r="AQ24" s="63">
        <f t="shared" si="19"/>
        <v>1611.14</v>
      </c>
      <c r="AR24" s="63">
        <f t="shared" si="19"/>
        <v>1611.84</v>
      </c>
      <c r="AS24" s="63">
        <f t="shared" si="19"/>
        <v>1626.9399999999998</v>
      </c>
      <c r="AT24" s="63">
        <f t="shared" si="19"/>
        <v>1637.04</v>
      </c>
      <c r="AU24" s="63">
        <f t="shared" si="19"/>
        <v>1799.3400000000001</v>
      </c>
      <c r="AV24" s="63">
        <f t="shared" si="19"/>
        <v>1823.14</v>
      </c>
      <c r="AW24" s="63">
        <f t="shared" si="19"/>
        <v>1928.74</v>
      </c>
      <c r="AX24" s="63">
        <f t="shared" si="19"/>
        <v>1959.3400000000001</v>
      </c>
      <c r="AY24" s="63">
        <f t="shared" si="19"/>
        <v>1979.04</v>
      </c>
      <c r="AZ24" s="63">
        <f t="shared" si="19"/>
        <v>2007.8400000000001</v>
      </c>
      <c r="BA24" s="63">
        <f t="shared" si="19"/>
        <v>2014.3400000000001</v>
      </c>
      <c r="BB24" s="63">
        <f t="shared" si="19"/>
        <v>2024.94</v>
      </c>
      <c r="BC24" s="63">
        <f t="shared" si="19"/>
        <v>1969.24</v>
      </c>
      <c r="BD24" s="63">
        <f t="shared" si="19"/>
        <v>1962.24</v>
      </c>
      <c r="BE24" s="63">
        <f t="shared" si="19"/>
        <v>1724.24</v>
      </c>
      <c r="BF24" s="63">
        <f t="shared" si="19"/>
        <v>1967.5</v>
      </c>
      <c r="BG24" s="63">
        <f t="shared" si="19"/>
        <v>2036.3400000000004</v>
      </c>
      <c r="BH24" s="63">
        <f t="shared" si="19"/>
        <v>1967.4400000000003</v>
      </c>
      <c r="BI24" s="63">
        <f t="shared" si="19"/>
        <v>1830.64</v>
      </c>
      <c r="BJ24" s="63">
        <f t="shared" si="19"/>
        <v>1773.3400000000001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12</v>
      </c>
      <c r="C25" s="46">
        <v>12</v>
      </c>
      <c r="D25" s="46">
        <v>12</v>
      </c>
      <c r="E25" s="46">
        <v>12</v>
      </c>
      <c r="F25" s="46">
        <v>12</v>
      </c>
      <c r="G25" s="46">
        <v>12</v>
      </c>
      <c r="H25" s="46">
        <v>12</v>
      </c>
      <c r="I25" s="46">
        <v>12</v>
      </c>
      <c r="J25" s="46">
        <v>12</v>
      </c>
      <c r="K25" s="46">
        <v>12</v>
      </c>
      <c r="L25" s="46">
        <v>12</v>
      </c>
      <c r="M25" s="46">
        <v>12</v>
      </c>
      <c r="N25" s="46">
        <v>12</v>
      </c>
      <c r="O25" s="46">
        <v>12</v>
      </c>
      <c r="P25" s="46">
        <v>12</v>
      </c>
      <c r="Q25" s="46">
        <v>12</v>
      </c>
      <c r="R25" s="46">
        <v>12</v>
      </c>
      <c r="S25" s="46">
        <v>12</v>
      </c>
      <c r="T25" s="46">
        <v>12</v>
      </c>
      <c r="U25" s="46">
        <v>12</v>
      </c>
      <c r="V25" s="46">
        <v>12</v>
      </c>
      <c r="W25" s="46">
        <v>12</v>
      </c>
      <c r="X25" s="46">
        <v>12</v>
      </c>
      <c r="Y25" s="46">
        <v>12</v>
      </c>
      <c r="Z25" s="46">
        <v>16.899999999999999</v>
      </c>
      <c r="AA25" s="46">
        <v>16.899999999999999</v>
      </c>
      <c r="AB25" s="46">
        <v>16.899999999999999</v>
      </c>
      <c r="AC25" s="46">
        <v>16.899999999999999</v>
      </c>
      <c r="AD25" s="46">
        <v>16.899999999999999</v>
      </c>
      <c r="AE25" s="46">
        <v>16.899999999999999</v>
      </c>
      <c r="AF25" s="46">
        <v>16.899999999999999</v>
      </c>
      <c r="AG25" s="61">
        <v>30</v>
      </c>
      <c r="AH25" s="48">
        <f t="shared" si="2"/>
        <v>16.899999999999999</v>
      </c>
      <c r="AI25" s="49">
        <f t="shared" si="3"/>
        <v>12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10</v>
      </c>
      <c r="C26" s="46">
        <v>10</v>
      </c>
      <c r="D26" s="46">
        <v>10</v>
      </c>
      <c r="E26" s="46">
        <v>10</v>
      </c>
      <c r="F26" s="46">
        <v>10</v>
      </c>
      <c r="G26" s="46">
        <v>10</v>
      </c>
      <c r="H26" s="46">
        <v>10</v>
      </c>
      <c r="I26" s="46">
        <v>10</v>
      </c>
      <c r="J26" s="46">
        <v>10</v>
      </c>
      <c r="K26" s="46">
        <v>10</v>
      </c>
      <c r="L26" s="46">
        <v>10</v>
      </c>
      <c r="M26" s="46">
        <v>10</v>
      </c>
      <c r="N26" s="46">
        <v>10</v>
      </c>
      <c r="O26" s="46">
        <v>10</v>
      </c>
      <c r="P26" s="46">
        <v>10</v>
      </c>
      <c r="Q26" s="46">
        <v>10</v>
      </c>
      <c r="R26" s="46">
        <v>10</v>
      </c>
      <c r="S26" s="46">
        <v>10</v>
      </c>
      <c r="T26" s="46">
        <v>10</v>
      </c>
      <c r="U26" s="46">
        <v>10</v>
      </c>
      <c r="V26" s="46">
        <v>10</v>
      </c>
      <c r="W26" s="46">
        <v>10</v>
      </c>
      <c r="X26" s="46">
        <v>10</v>
      </c>
      <c r="Y26" s="46">
        <v>10</v>
      </c>
      <c r="Z26" s="46">
        <v>18</v>
      </c>
      <c r="AA26" s="46">
        <v>18</v>
      </c>
      <c r="AB26" s="46">
        <v>18</v>
      </c>
      <c r="AC26" s="46">
        <v>18</v>
      </c>
      <c r="AD26" s="46">
        <v>18</v>
      </c>
      <c r="AE26" s="46">
        <v>18</v>
      </c>
      <c r="AF26" s="46">
        <v>18</v>
      </c>
      <c r="AG26" s="50">
        <v>24.2</v>
      </c>
      <c r="AH26" s="48">
        <f t="shared" si="2"/>
        <v>18</v>
      </c>
      <c r="AI26" s="49">
        <f t="shared" si="3"/>
        <v>10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10.9</v>
      </c>
      <c r="C27" s="46">
        <v>10.9</v>
      </c>
      <c r="D27" s="46">
        <v>10.9</v>
      </c>
      <c r="E27" s="46">
        <v>10.9</v>
      </c>
      <c r="F27" s="46">
        <v>10.9</v>
      </c>
      <c r="G27" s="46">
        <v>10.9</v>
      </c>
      <c r="H27" s="46">
        <v>10.9</v>
      </c>
      <c r="I27" s="46">
        <v>10.9</v>
      </c>
      <c r="J27" s="46">
        <v>10.9</v>
      </c>
      <c r="K27" s="46">
        <v>10.9</v>
      </c>
      <c r="L27" s="46">
        <v>10.9</v>
      </c>
      <c r="M27" s="46">
        <v>10.9</v>
      </c>
      <c r="N27" s="46">
        <v>10.9</v>
      </c>
      <c r="O27" s="46">
        <v>10.9</v>
      </c>
      <c r="P27" s="46">
        <v>10.9</v>
      </c>
      <c r="Q27" s="46">
        <v>10.9</v>
      </c>
      <c r="R27" s="46">
        <v>10.9</v>
      </c>
      <c r="S27" s="46">
        <v>10.9</v>
      </c>
      <c r="T27" s="46">
        <v>10.9</v>
      </c>
      <c r="U27" s="46">
        <v>10.9</v>
      </c>
      <c r="V27" s="46">
        <v>10.9</v>
      </c>
      <c r="W27" s="46">
        <v>10.9</v>
      </c>
      <c r="X27" s="46">
        <v>10.9</v>
      </c>
      <c r="Y27" s="46">
        <v>10.9</v>
      </c>
      <c r="Z27" s="46">
        <v>12</v>
      </c>
      <c r="AA27" s="46">
        <v>12</v>
      </c>
      <c r="AB27" s="46">
        <v>12</v>
      </c>
      <c r="AC27" s="46">
        <v>12</v>
      </c>
      <c r="AD27" s="46">
        <v>12</v>
      </c>
      <c r="AE27" s="46">
        <v>12</v>
      </c>
      <c r="AF27" s="46">
        <v>12</v>
      </c>
      <c r="AG27" s="50">
        <v>28</v>
      </c>
      <c r="AH27" s="48">
        <f t="shared" si="2"/>
        <v>12</v>
      </c>
      <c r="AI27" s="49">
        <f t="shared" si="3"/>
        <v>10.9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12.5</v>
      </c>
      <c r="C28" s="46">
        <v>12.5</v>
      </c>
      <c r="D28" s="46">
        <v>12.5</v>
      </c>
      <c r="E28" s="46">
        <v>12.5</v>
      </c>
      <c r="F28" s="46">
        <v>12.5</v>
      </c>
      <c r="G28" s="46">
        <v>12.5</v>
      </c>
      <c r="H28" s="46">
        <v>12.5</v>
      </c>
      <c r="I28" s="46">
        <v>12.5</v>
      </c>
      <c r="J28" s="46">
        <v>12.5</v>
      </c>
      <c r="K28" s="46">
        <v>12.5</v>
      </c>
      <c r="L28" s="46">
        <v>12.5</v>
      </c>
      <c r="M28" s="46">
        <v>12.5</v>
      </c>
      <c r="N28" s="46">
        <v>12.5</v>
      </c>
      <c r="O28" s="46">
        <v>12.5</v>
      </c>
      <c r="P28" s="46">
        <v>12.5</v>
      </c>
      <c r="Q28" s="46">
        <v>12.5</v>
      </c>
      <c r="R28" s="46">
        <v>12.5</v>
      </c>
      <c r="S28" s="46">
        <v>12.5</v>
      </c>
      <c r="T28" s="46">
        <v>12.5</v>
      </c>
      <c r="U28" s="46">
        <v>12.5</v>
      </c>
      <c r="V28" s="46">
        <v>12.5</v>
      </c>
      <c r="W28" s="46">
        <v>12.5</v>
      </c>
      <c r="X28" s="46">
        <v>12.5</v>
      </c>
      <c r="Y28" s="46">
        <v>12.5</v>
      </c>
      <c r="Z28" s="46">
        <v>16.8</v>
      </c>
      <c r="AA28" s="46">
        <v>16.8</v>
      </c>
      <c r="AB28" s="46">
        <v>16.8</v>
      </c>
      <c r="AC28" s="46">
        <v>16.8</v>
      </c>
      <c r="AD28" s="46">
        <v>16.8</v>
      </c>
      <c r="AE28" s="46">
        <v>16.8</v>
      </c>
      <c r="AF28" s="46">
        <v>16.8</v>
      </c>
      <c r="AG28" s="61">
        <v>30</v>
      </c>
      <c r="AH28" s="48">
        <f t="shared" si="2"/>
        <v>16.8</v>
      </c>
      <c r="AI28" s="49">
        <f t="shared" si="3"/>
        <v>12.5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17.5</v>
      </c>
      <c r="C29" s="46">
        <v>17.5</v>
      </c>
      <c r="D29" s="46">
        <v>17.5</v>
      </c>
      <c r="E29" s="46">
        <v>17.5</v>
      </c>
      <c r="F29" s="46">
        <v>17.5</v>
      </c>
      <c r="G29" s="46">
        <v>17.5</v>
      </c>
      <c r="H29" s="46">
        <v>17.5</v>
      </c>
      <c r="I29" s="46">
        <v>17.5</v>
      </c>
      <c r="J29" s="46">
        <v>17.5</v>
      </c>
      <c r="K29" s="46">
        <v>17.5</v>
      </c>
      <c r="L29" s="46">
        <v>17.5</v>
      </c>
      <c r="M29" s="46">
        <v>17.5</v>
      </c>
      <c r="N29" s="46">
        <v>17.5</v>
      </c>
      <c r="O29" s="46">
        <v>17.5</v>
      </c>
      <c r="P29" s="46">
        <v>17.5</v>
      </c>
      <c r="Q29" s="46">
        <v>17.5</v>
      </c>
      <c r="R29" s="46">
        <v>17.5</v>
      </c>
      <c r="S29" s="46">
        <v>17.5</v>
      </c>
      <c r="T29" s="46">
        <v>17.5</v>
      </c>
      <c r="U29" s="46">
        <v>17.5</v>
      </c>
      <c r="V29" s="46">
        <v>17.5</v>
      </c>
      <c r="W29" s="46">
        <v>17.5</v>
      </c>
      <c r="X29" s="46">
        <v>17.5</v>
      </c>
      <c r="Y29" s="46">
        <v>17.5</v>
      </c>
      <c r="Z29" s="46">
        <v>15</v>
      </c>
      <c r="AA29" s="46">
        <v>15</v>
      </c>
      <c r="AB29" s="46">
        <v>15</v>
      </c>
      <c r="AC29" s="46">
        <v>15</v>
      </c>
      <c r="AD29" s="46">
        <v>15</v>
      </c>
      <c r="AE29" s="46">
        <v>15</v>
      </c>
      <c r="AF29" s="46">
        <v>15</v>
      </c>
      <c r="AG29" s="50">
        <v>25</v>
      </c>
      <c r="AH29" s="48">
        <f t="shared" si="2"/>
        <v>17.5</v>
      </c>
      <c r="AI29" s="49">
        <f t="shared" si="3"/>
        <v>15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25</v>
      </c>
      <c r="H30" s="46">
        <v>25</v>
      </c>
      <c r="I30" s="46">
        <v>25</v>
      </c>
      <c r="J30" s="46">
        <v>25</v>
      </c>
      <c r="K30" s="46">
        <v>25</v>
      </c>
      <c r="L30" s="46">
        <v>25</v>
      </c>
      <c r="M30" s="46">
        <v>25</v>
      </c>
      <c r="N30" s="46">
        <v>25</v>
      </c>
      <c r="O30" s="46">
        <v>25</v>
      </c>
      <c r="P30" s="46">
        <v>25</v>
      </c>
      <c r="Q30" s="46">
        <v>25</v>
      </c>
      <c r="R30" s="46">
        <v>25</v>
      </c>
      <c r="S30" s="46">
        <v>25</v>
      </c>
      <c r="T30" s="46">
        <v>25</v>
      </c>
      <c r="U30" s="46">
        <v>25</v>
      </c>
      <c r="V30" s="46">
        <v>25</v>
      </c>
      <c r="W30" s="46">
        <v>25</v>
      </c>
      <c r="X30" s="46">
        <v>25</v>
      </c>
      <c r="Y30" s="46">
        <v>25</v>
      </c>
      <c r="Z30" s="46">
        <v>25</v>
      </c>
      <c r="AA30" s="46">
        <v>25</v>
      </c>
      <c r="AB30" s="46">
        <v>25</v>
      </c>
      <c r="AC30" s="46">
        <v>25</v>
      </c>
      <c r="AD30" s="46">
        <v>25</v>
      </c>
      <c r="AE30" s="46">
        <v>25</v>
      </c>
      <c r="AF30" s="46">
        <v>25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16.7</v>
      </c>
      <c r="C32" s="46">
        <v>16.7</v>
      </c>
      <c r="D32" s="46">
        <v>16.7</v>
      </c>
      <c r="E32" s="46">
        <v>16.7</v>
      </c>
      <c r="F32" s="46">
        <v>16.7</v>
      </c>
      <c r="G32" s="46">
        <v>16.7</v>
      </c>
      <c r="H32" s="46">
        <v>16.7</v>
      </c>
      <c r="I32" s="46">
        <v>16.7</v>
      </c>
      <c r="J32" s="46">
        <v>16.7</v>
      </c>
      <c r="K32" s="46">
        <v>16.7</v>
      </c>
      <c r="L32" s="46">
        <v>16.7</v>
      </c>
      <c r="M32" s="46">
        <v>16.7</v>
      </c>
      <c r="N32" s="46">
        <v>16.7</v>
      </c>
      <c r="O32" s="46">
        <v>16.7</v>
      </c>
      <c r="P32" s="46">
        <v>16.7</v>
      </c>
      <c r="Q32" s="46">
        <v>16.7</v>
      </c>
      <c r="R32" s="46">
        <v>16.7</v>
      </c>
      <c r="S32" s="46">
        <v>16.7</v>
      </c>
      <c r="T32" s="46">
        <v>16.7</v>
      </c>
      <c r="U32" s="46">
        <v>16.7</v>
      </c>
      <c r="V32" s="46">
        <v>16.7</v>
      </c>
      <c r="W32" s="46">
        <v>16.7</v>
      </c>
      <c r="X32" s="46">
        <v>16.7</v>
      </c>
      <c r="Y32" s="46">
        <v>16.7</v>
      </c>
      <c r="Z32" s="46">
        <v>22.8</v>
      </c>
      <c r="AA32" s="46">
        <v>22.8</v>
      </c>
      <c r="AB32" s="46">
        <v>22.8</v>
      </c>
      <c r="AC32" s="46">
        <v>22.8</v>
      </c>
      <c r="AD32" s="46">
        <v>22.8</v>
      </c>
      <c r="AE32" s="46">
        <v>22.8</v>
      </c>
      <c r="AF32" s="46">
        <v>22.8</v>
      </c>
      <c r="AG32" s="50">
        <v>25</v>
      </c>
      <c r="AH32" s="48">
        <f t="shared" si="2"/>
        <v>22.8</v>
      </c>
      <c r="AI32" s="49">
        <f t="shared" si="3"/>
        <v>16.7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6.1</v>
      </c>
      <c r="C33" s="46">
        <v>6.1</v>
      </c>
      <c r="D33" s="46">
        <v>6.1</v>
      </c>
      <c r="E33" s="46">
        <v>6.1</v>
      </c>
      <c r="F33" s="46">
        <v>6.1</v>
      </c>
      <c r="G33" s="46">
        <v>6.1</v>
      </c>
      <c r="H33" s="46">
        <v>6.1</v>
      </c>
      <c r="I33" s="46">
        <v>6.1</v>
      </c>
      <c r="J33" s="46">
        <v>6.1</v>
      </c>
      <c r="K33" s="46">
        <v>6.1</v>
      </c>
      <c r="L33" s="46">
        <v>6.1</v>
      </c>
      <c r="M33" s="46">
        <v>6.1</v>
      </c>
      <c r="N33" s="46">
        <v>6.1</v>
      </c>
      <c r="O33" s="46">
        <v>6.1</v>
      </c>
      <c r="P33" s="46">
        <v>6.1</v>
      </c>
      <c r="Q33" s="46">
        <v>6.1</v>
      </c>
      <c r="R33" s="46">
        <v>6.1</v>
      </c>
      <c r="S33" s="46">
        <v>6.1</v>
      </c>
      <c r="T33" s="46">
        <v>6.1</v>
      </c>
      <c r="U33" s="46">
        <v>6.1</v>
      </c>
      <c r="V33" s="46">
        <v>6.1</v>
      </c>
      <c r="W33" s="46">
        <v>6.1</v>
      </c>
      <c r="X33" s="46">
        <v>6.1</v>
      </c>
      <c r="Y33" s="46">
        <v>6.1</v>
      </c>
      <c r="Z33" s="46">
        <v>6.1</v>
      </c>
      <c r="AA33" s="46">
        <v>6.1</v>
      </c>
      <c r="AB33" s="46">
        <v>6.1</v>
      </c>
      <c r="AC33" s="46">
        <v>6.1</v>
      </c>
      <c r="AD33" s="46">
        <v>6.1</v>
      </c>
      <c r="AE33" s="46">
        <v>6.1</v>
      </c>
      <c r="AF33" s="46">
        <v>6.1</v>
      </c>
      <c r="AG33" s="50">
        <v>23.5</v>
      </c>
      <c r="AH33" s="48">
        <f t="shared" si="2"/>
        <v>6.1</v>
      </c>
      <c r="AI33" s="49">
        <f t="shared" si="3"/>
        <v>6.1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5.0999999999999996</v>
      </c>
      <c r="C37" s="46">
        <v>5.0999999999999996</v>
      </c>
      <c r="D37" s="46">
        <v>5.0999999999999996</v>
      </c>
      <c r="E37" s="46">
        <v>5.0999999999999996</v>
      </c>
      <c r="F37" s="46">
        <v>5.0999999999999996</v>
      </c>
      <c r="G37" s="46">
        <v>5.0999999999999996</v>
      </c>
      <c r="H37" s="46">
        <v>5.0999999999999996</v>
      </c>
      <c r="I37" s="46">
        <v>5.0999999999999996</v>
      </c>
      <c r="J37" s="46">
        <v>5.0999999999999996</v>
      </c>
      <c r="K37" s="46">
        <v>5.0999999999999996</v>
      </c>
      <c r="L37" s="46">
        <v>5.0999999999999996</v>
      </c>
      <c r="M37" s="46">
        <v>5.0999999999999996</v>
      </c>
      <c r="N37" s="46">
        <v>5.0999999999999996</v>
      </c>
      <c r="O37" s="46">
        <v>5.0999999999999996</v>
      </c>
      <c r="P37" s="46">
        <v>5.0999999999999996</v>
      </c>
      <c r="Q37" s="46">
        <v>5.0999999999999996</v>
      </c>
      <c r="R37" s="46">
        <v>5.0999999999999996</v>
      </c>
      <c r="S37" s="46">
        <v>5.0999999999999996</v>
      </c>
      <c r="T37" s="46">
        <v>5.0999999999999996</v>
      </c>
      <c r="U37" s="46">
        <v>5.0999999999999996</v>
      </c>
      <c r="V37" s="46">
        <v>5.0999999999999996</v>
      </c>
      <c r="W37" s="46">
        <v>5.0999999999999996</v>
      </c>
      <c r="X37" s="46">
        <v>5.0999999999999996</v>
      </c>
      <c r="Y37" s="46">
        <v>5.0999999999999996</v>
      </c>
      <c r="Z37" s="46">
        <v>8.9</v>
      </c>
      <c r="AA37" s="46">
        <v>8.9</v>
      </c>
      <c r="AB37" s="46">
        <v>8.9</v>
      </c>
      <c r="AC37" s="46">
        <v>8.9</v>
      </c>
      <c r="AD37" s="46">
        <v>8.9</v>
      </c>
      <c r="AE37" s="46">
        <v>8.9</v>
      </c>
      <c r="AF37" s="46">
        <v>8.9</v>
      </c>
      <c r="AG37" s="50">
        <v>22</v>
      </c>
      <c r="AH37" s="48">
        <f t="shared" si="2"/>
        <v>8.9</v>
      </c>
      <c r="AI37" s="49">
        <f t="shared" si="3"/>
        <v>5.0999999999999996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>
        <v>20</v>
      </c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</v>
      </c>
      <c r="AF38" s="46">
        <v>20</v>
      </c>
      <c r="AG38" s="50">
        <v>20</v>
      </c>
      <c r="AH38" s="48">
        <f t="shared" si="2"/>
        <v>20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13.3</v>
      </c>
      <c r="C40" s="46">
        <v>13.3</v>
      </c>
      <c r="D40" s="46">
        <v>13.3</v>
      </c>
      <c r="E40" s="46">
        <v>13.3</v>
      </c>
      <c r="F40" s="46">
        <v>13.3</v>
      </c>
      <c r="G40" s="46">
        <v>13.3</v>
      </c>
      <c r="H40" s="46">
        <v>13.3</v>
      </c>
      <c r="I40" s="46">
        <v>13.3</v>
      </c>
      <c r="J40" s="46">
        <v>13.3</v>
      </c>
      <c r="K40" s="46">
        <v>13.3</v>
      </c>
      <c r="L40" s="46">
        <v>13.3</v>
      </c>
      <c r="M40" s="46">
        <v>13.3</v>
      </c>
      <c r="N40" s="46">
        <v>13.3</v>
      </c>
      <c r="O40" s="46">
        <v>13.3</v>
      </c>
      <c r="P40" s="46">
        <v>13.3</v>
      </c>
      <c r="Q40" s="46">
        <v>13.3</v>
      </c>
      <c r="R40" s="46">
        <v>13.3</v>
      </c>
      <c r="S40" s="46">
        <v>13.3</v>
      </c>
      <c r="T40" s="46">
        <v>13.3</v>
      </c>
      <c r="U40" s="46">
        <v>13.3</v>
      </c>
      <c r="V40" s="46">
        <v>13.3</v>
      </c>
      <c r="W40" s="46">
        <v>13.3</v>
      </c>
      <c r="X40" s="46">
        <v>13.3</v>
      </c>
      <c r="Y40" s="46">
        <v>13.3</v>
      </c>
      <c r="Z40" s="46">
        <v>13.7</v>
      </c>
      <c r="AA40" s="46">
        <v>13.7</v>
      </c>
      <c r="AB40" s="46">
        <v>13.7</v>
      </c>
      <c r="AC40" s="46">
        <v>13.7</v>
      </c>
      <c r="AD40" s="46">
        <v>13.7</v>
      </c>
      <c r="AE40" s="46">
        <v>13.7</v>
      </c>
      <c r="AF40" s="46">
        <v>13.7</v>
      </c>
      <c r="AG40" s="50">
        <v>18</v>
      </c>
      <c r="AH40" s="48">
        <f t="shared" si="2"/>
        <v>13.7</v>
      </c>
      <c r="AI40" s="49">
        <f t="shared" si="3"/>
        <v>13.3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>
        <v>5.0999999999999996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91</v>
      </c>
      <c r="C60" s="68">
        <v>91</v>
      </c>
      <c r="D60" s="68">
        <v>91</v>
      </c>
      <c r="E60" s="68">
        <v>95.6</v>
      </c>
      <c r="F60" s="68">
        <v>91</v>
      </c>
      <c r="G60" s="68">
        <v>91</v>
      </c>
      <c r="H60" s="68">
        <v>91</v>
      </c>
      <c r="I60" s="68">
        <v>91</v>
      </c>
      <c r="J60" s="68">
        <v>91</v>
      </c>
      <c r="K60" s="68">
        <v>91</v>
      </c>
      <c r="L60" s="68">
        <v>91</v>
      </c>
      <c r="M60" s="68">
        <f>45.3+34.8</f>
        <v>80.099999999999994</v>
      </c>
      <c r="N60" s="53">
        <f>48+39.5</f>
        <v>87.5</v>
      </c>
      <c r="O60" s="53">
        <f>48.2+40.3</f>
        <v>88.5</v>
      </c>
      <c r="P60" s="53">
        <f>50+41.2</f>
        <v>91.2</v>
      </c>
      <c r="Q60" s="53">
        <f>48.5+39.1</f>
        <v>87.6</v>
      </c>
      <c r="R60" s="53">
        <v>95.2</v>
      </c>
      <c r="S60" s="53">
        <v>88.8</v>
      </c>
      <c r="T60" s="53">
        <v>88.8</v>
      </c>
      <c r="U60" s="53">
        <v>86</v>
      </c>
      <c r="V60" s="53">
        <v>86</v>
      </c>
      <c r="W60" s="53">
        <v>86</v>
      </c>
      <c r="X60" s="53">
        <v>93</v>
      </c>
      <c r="Y60" s="53">
        <v>93</v>
      </c>
      <c r="Z60" s="53">
        <v>96.3</v>
      </c>
      <c r="AA60" s="68">
        <v>96</v>
      </c>
      <c r="AB60" s="68">
        <v>96</v>
      </c>
      <c r="AC60" s="68">
        <v>96</v>
      </c>
      <c r="AD60" s="68">
        <v>98.8</v>
      </c>
      <c r="AE60" s="68">
        <v>98.8</v>
      </c>
      <c r="AF60" s="68">
        <v>98.8</v>
      </c>
      <c r="AG60" s="66">
        <v>240</v>
      </c>
      <c r="AH60" s="48">
        <f t="shared" si="2"/>
        <v>98.8</v>
      </c>
      <c r="AI60" s="49">
        <f t="shared" si="3"/>
        <v>80.099999999999994</v>
      </c>
      <c r="AK60" s="51"/>
    </row>
    <row r="61" spans="1:88" ht="15.75" thickBot="1" x14ac:dyDescent="0.3">
      <c r="A61" s="70" t="s">
        <v>75</v>
      </c>
      <c r="B61" s="71">
        <f>SUM(B11:B59)</f>
        <v>760.2</v>
      </c>
      <c r="C61" s="71">
        <f t="shared" ref="C61:AG61" si="20">SUM(C11:C59)</f>
        <v>760.2</v>
      </c>
      <c r="D61" s="71">
        <f t="shared" si="20"/>
        <v>760.2</v>
      </c>
      <c r="E61" s="71">
        <f t="shared" si="20"/>
        <v>760.2</v>
      </c>
      <c r="F61" s="71">
        <f t="shared" si="20"/>
        <v>760.2</v>
      </c>
      <c r="G61" s="71">
        <f t="shared" si="20"/>
        <v>785.19999999999993</v>
      </c>
      <c r="H61" s="71">
        <f t="shared" si="20"/>
        <v>785.19999999999993</v>
      </c>
      <c r="I61" s="71">
        <f t="shared" si="20"/>
        <v>785.19999999999993</v>
      </c>
      <c r="J61" s="71">
        <f t="shared" si="20"/>
        <v>785.19999999999993</v>
      </c>
      <c r="K61" s="71">
        <f t="shared" si="20"/>
        <v>785.19999999999993</v>
      </c>
      <c r="L61" s="71">
        <f t="shared" si="20"/>
        <v>785.19999999999993</v>
      </c>
      <c r="M61" s="71">
        <f t="shared" ref="M61" si="21">SUM(M11:M59)</f>
        <v>806.10000000000014</v>
      </c>
      <c r="N61" s="71">
        <f t="shared" si="20"/>
        <v>802.2</v>
      </c>
      <c r="O61" s="71">
        <f t="shared" si="20"/>
        <v>802.1</v>
      </c>
      <c r="P61" s="71">
        <f t="shared" si="20"/>
        <v>797.50000000000011</v>
      </c>
      <c r="Q61" s="71">
        <f t="shared" si="20"/>
        <v>799.7</v>
      </c>
      <c r="R61" s="71">
        <f t="shared" si="20"/>
        <v>799.7</v>
      </c>
      <c r="S61" s="71">
        <f t="shared" si="20"/>
        <v>820.7</v>
      </c>
      <c r="T61" s="71">
        <f t="shared" si="20"/>
        <v>820.7</v>
      </c>
      <c r="U61" s="71">
        <f t="shared" si="20"/>
        <v>820.7</v>
      </c>
      <c r="V61" s="71">
        <f t="shared" si="20"/>
        <v>820.7</v>
      </c>
      <c r="W61" s="71">
        <f t="shared" si="20"/>
        <v>820.7</v>
      </c>
      <c r="X61" s="71">
        <f t="shared" si="20"/>
        <v>820.7</v>
      </c>
      <c r="Y61" s="71">
        <f t="shared" si="20"/>
        <v>820.7</v>
      </c>
      <c r="Z61" s="71">
        <f t="shared" si="20"/>
        <v>867.19999999999993</v>
      </c>
      <c r="AA61" s="71">
        <f t="shared" si="20"/>
        <v>867.19999999999993</v>
      </c>
      <c r="AB61" s="71">
        <f t="shared" ref="AB61:AC61" si="22">SUM(AB11:AB59)</f>
        <v>867.19999999999993</v>
      </c>
      <c r="AC61" s="71">
        <f t="shared" si="22"/>
        <v>867.19999999999993</v>
      </c>
      <c r="AD61" s="71">
        <f t="shared" ref="AD61:AE61" si="23">SUM(AD11:AD59)</f>
        <v>867.19999999999993</v>
      </c>
      <c r="AE61" s="71">
        <f t="shared" si="23"/>
        <v>867.19999999999993</v>
      </c>
      <c r="AF61" s="71">
        <f t="shared" ref="AF61" si="24">SUM(AF11:AF59)</f>
        <v>867.19999999999993</v>
      </c>
      <c r="AG61" s="71">
        <f t="shared" si="20"/>
        <v>1466.0300000000002</v>
      </c>
      <c r="AH61" s="48">
        <f t="shared" si="2"/>
        <v>867.19999999999993</v>
      </c>
      <c r="AI61" s="49">
        <f t="shared" si="3"/>
        <v>760.2</v>
      </c>
      <c r="AK61" s="51"/>
    </row>
    <row r="62" spans="1:88" x14ac:dyDescent="0.25">
      <c r="A62" s="73" t="s">
        <v>76</v>
      </c>
      <c r="B62" s="46">
        <v>458</v>
      </c>
      <c r="C62" s="46">
        <v>458</v>
      </c>
      <c r="D62" s="46">
        <v>458</v>
      </c>
      <c r="E62" s="46">
        <v>458</v>
      </c>
      <c r="F62" s="46">
        <v>458</v>
      </c>
      <c r="G62" s="46">
        <v>458</v>
      </c>
      <c r="H62" s="46">
        <v>458</v>
      </c>
      <c r="I62" s="46">
        <v>458</v>
      </c>
      <c r="J62" s="46">
        <v>458</v>
      </c>
      <c r="K62" s="46">
        <v>458</v>
      </c>
      <c r="L62" s="46">
        <v>458</v>
      </c>
      <c r="M62" s="46">
        <v>458</v>
      </c>
      <c r="N62" s="74">
        <v>458</v>
      </c>
      <c r="O62" s="74">
        <v>458</v>
      </c>
      <c r="P62" s="74">
        <v>458.3</v>
      </c>
      <c r="Q62" s="74">
        <v>458.5</v>
      </c>
      <c r="R62" s="74">
        <v>458.5</v>
      </c>
      <c r="S62" s="74">
        <v>410</v>
      </c>
      <c r="T62" s="74">
        <v>428</v>
      </c>
      <c r="U62" s="74">
        <v>397.8</v>
      </c>
      <c r="V62" s="74">
        <v>410</v>
      </c>
      <c r="W62" s="46">
        <v>380</v>
      </c>
      <c r="X62" s="46">
        <v>221.5</v>
      </c>
      <c r="Y62" s="46">
        <v>315</v>
      </c>
      <c r="Z62" s="46">
        <v>421.8</v>
      </c>
      <c r="AA62" s="46">
        <v>460</v>
      </c>
      <c r="AB62" s="46">
        <v>460</v>
      </c>
      <c r="AC62" s="46">
        <v>460</v>
      </c>
      <c r="AD62" s="46">
        <v>460</v>
      </c>
      <c r="AE62" s="46">
        <v>460</v>
      </c>
      <c r="AF62" s="46">
        <v>460</v>
      </c>
      <c r="AG62" s="61">
        <v>456</v>
      </c>
      <c r="AH62" s="48">
        <f t="shared" si="2"/>
        <v>460</v>
      </c>
      <c r="AI62" s="49">
        <f t="shared" si="3"/>
        <v>221.5</v>
      </c>
      <c r="AK62" s="51"/>
    </row>
    <row r="63" spans="1:88" x14ac:dyDescent="0.25">
      <c r="A63" s="75" t="s">
        <v>77</v>
      </c>
      <c r="B63" s="76">
        <v>28.5</v>
      </c>
      <c r="C63" s="76">
        <v>28.5</v>
      </c>
      <c r="D63" s="76">
        <v>28.5</v>
      </c>
      <c r="E63" s="76">
        <v>28.5</v>
      </c>
      <c r="F63" s="76">
        <v>28.5</v>
      </c>
      <c r="G63" s="76">
        <v>28.5</v>
      </c>
      <c r="H63" s="76">
        <v>28.5</v>
      </c>
      <c r="I63" s="76">
        <v>28.5</v>
      </c>
      <c r="J63" s="76">
        <v>28.5</v>
      </c>
      <c r="K63" s="76">
        <v>28.5</v>
      </c>
      <c r="L63" s="76">
        <v>28.5</v>
      </c>
      <c r="M63" s="76">
        <v>28.5</v>
      </c>
      <c r="N63" s="76">
        <v>28.5</v>
      </c>
      <c r="O63" s="76">
        <v>31.2</v>
      </c>
      <c r="P63" s="76">
        <v>31.2</v>
      </c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31.2</v>
      </c>
      <c r="AC63" s="76">
        <v>31.2</v>
      </c>
      <c r="AD63" s="76">
        <v>31.2</v>
      </c>
      <c r="AE63" s="76">
        <v>31.2</v>
      </c>
      <c r="AF63" s="76">
        <v>31.2</v>
      </c>
      <c r="AG63" s="66">
        <v>60</v>
      </c>
      <c r="AH63" s="48">
        <f t="shared" si="2"/>
        <v>31.2</v>
      </c>
      <c r="AI63" s="49">
        <f t="shared" si="3"/>
        <v>28.5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22.5</v>
      </c>
      <c r="O64" s="78">
        <v>22.5</v>
      </c>
      <c r="P64" s="78">
        <v>22.5</v>
      </c>
      <c r="Q64" s="78">
        <v>22.5</v>
      </c>
      <c r="R64" s="78">
        <v>22.5</v>
      </c>
      <c r="S64" s="78">
        <v>22.5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22.5</v>
      </c>
      <c r="AF64" s="78">
        <v>22.5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AG65" si="25">SUM(B62:B64)</f>
        <v>509.1</v>
      </c>
      <c r="C65" s="71">
        <f t="shared" si="25"/>
        <v>509.1</v>
      </c>
      <c r="D65" s="71">
        <f t="shared" si="25"/>
        <v>509.1</v>
      </c>
      <c r="E65" s="71">
        <f t="shared" si="25"/>
        <v>509.1</v>
      </c>
      <c r="F65" s="71">
        <f t="shared" si="25"/>
        <v>509.1</v>
      </c>
      <c r="G65" s="71">
        <f t="shared" si="25"/>
        <v>509.1</v>
      </c>
      <c r="H65" s="71">
        <f t="shared" si="25"/>
        <v>509.1</v>
      </c>
      <c r="I65" s="71">
        <f t="shared" si="25"/>
        <v>509.1</v>
      </c>
      <c r="J65" s="71">
        <f t="shared" si="25"/>
        <v>509.1</v>
      </c>
      <c r="K65" s="71">
        <f t="shared" si="25"/>
        <v>509.1</v>
      </c>
      <c r="L65" s="71">
        <f t="shared" si="25"/>
        <v>509.1</v>
      </c>
      <c r="M65" s="71">
        <f t="shared" ref="M65" si="26">SUM(M62:M64)</f>
        <v>509.1</v>
      </c>
      <c r="N65" s="71">
        <f t="shared" si="25"/>
        <v>509</v>
      </c>
      <c r="O65" s="71">
        <f t="shared" si="25"/>
        <v>511.7</v>
      </c>
      <c r="P65" s="71">
        <f t="shared" si="25"/>
        <v>512</v>
      </c>
      <c r="Q65" s="71">
        <f t="shared" si="25"/>
        <v>512.20000000000005</v>
      </c>
      <c r="R65" s="71">
        <f t="shared" si="25"/>
        <v>512.20000000000005</v>
      </c>
      <c r="S65" s="71">
        <f t="shared" si="25"/>
        <v>463.7</v>
      </c>
      <c r="T65" s="71">
        <f t="shared" si="25"/>
        <v>481.8</v>
      </c>
      <c r="U65" s="71">
        <f>SUM(U62:U64)</f>
        <v>451.6</v>
      </c>
      <c r="V65" s="71">
        <f t="shared" si="25"/>
        <v>463.8</v>
      </c>
      <c r="W65" s="71">
        <f t="shared" si="25"/>
        <v>433.8</v>
      </c>
      <c r="X65" s="71">
        <f t="shared" si="25"/>
        <v>275.3</v>
      </c>
      <c r="Y65" s="71">
        <f t="shared" si="25"/>
        <v>368.7</v>
      </c>
      <c r="Z65" s="71">
        <f t="shared" si="25"/>
        <v>475.5</v>
      </c>
      <c r="AA65" s="71">
        <f t="shared" si="25"/>
        <v>513.70000000000005</v>
      </c>
      <c r="AB65" s="71">
        <f t="shared" ref="AB65:AC65" si="27">SUM(AB62:AB64)</f>
        <v>513.70000000000005</v>
      </c>
      <c r="AC65" s="71">
        <f t="shared" si="27"/>
        <v>513.70000000000005</v>
      </c>
      <c r="AD65" s="71">
        <f t="shared" ref="AD65:AE65" si="28">SUM(AD62:AD64)</f>
        <v>513.70000000000005</v>
      </c>
      <c r="AE65" s="71">
        <f t="shared" si="28"/>
        <v>513.70000000000005</v>
      </c>
      <c r="AF65" s="71">
        <f t="shared" ref="AF65" si="29">SUM(AF62:AF64)</f>
        <v>513.70000000000005</v>
      </c>
      <c r="AG65" s="72">
        <f t="shared" si="25"/>
        <v>538.1</v>
      </c>
      <c r="AH65" s="48">
        <f t="shared" si="2"/>
        <v>513.70000000000005</v>
      </c>
      <c r="AI65" s="49">
        <f t="shared" si="3"/>
        <v>275.3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145.5</v>
      </c>
      <c r="C66" s="46">
        <v>145.5</v>
      </c>
      <c r="D66" s="46">
        <v>145.5</v>
      </c>
      <c r="E66" s="46">
        <v>145.5</v>
      </c>
      <c r="F66" s="46">
        <v>145.5</v>
      </c>
      <c r="G66" s="46">
        <v>145.5</v>
      </c>
      <c r="H66" s="46">
        <v>145.5</v>
      </c>
      <c r="I66" s="46">
        <v>145.5</v>
      </c>
      <c r="J66" s="46">
        <v>145.5</v>
      </c>
      <c r="K66" s="46">
        <v>145.5</v>
      </c>
      <c r="L66" s="46">
        <v>145.5</v>
      </c>
      <c r="M66" s="46">
        <v>145.5</v>
      </c>
      <c r="N66" s="46">
        <v>145.5</v>
      </c>
      <c r="O66" s="46">
        <v>146.1</v>
      </c>
      <c r="P66" s="46">
        <v>145.6</v>
      </c>
      <c r="Q66" s="46">
        <v>145.80000000000001</v>
      </c>
      <c r="R66" s="46">
        <v>145.80000000000001</v>
      </c>
      <c r="S66" s="46">
        <v>145.80000000000001</v>
      </c>
      <c r="T66" s="46">
        <v>145.80000000000001</v>
      </c>
      <c r="U66" s="46">
        <v>145.80000000000001</v>
      </c>
      <c r="V66" s="46">
        <v>145.80000000000001</v>
      </c>
      <c r="W66" s="46">
        <v>145.80000000000001</v>
      </c>
      <c r="X66" s="46">
        <v>145.80000000000001</v>
      </c>
      <c r="Y66" s="46">
        <v>145.80000000000001</v>
      </c>
      <c r="Z66" s="46">
        <v>145.80000000000001</v>
      </c>
      <c r="AA66" s="46">
        <v>145.80000000000001</v>
      </c>
      <c r="AB66" s="46">
        <v>145.80000000000001</v>
      </c>
      <c r="AC66" s="46">
        <v>145.80000000000001</v>
      </c>
      <c r="AD66" s="46">
        <v>145.80000000000001</v>
      </c>
      <c r="AE66" s="46">
        <v>145.80000000000001</v>
      </c>
      <c r="AF66" s="46">
        <v>145.80000000000001</v>
      </c>
      <c r="AG66" s="61">
        <v>144</v>
      </c>
      <c r="AH66" s="48">
        <f t="shared" si="2"/>
        <v>146.1</v>
      </c>
      <c r="AI66" s="49">
        <f t="shared" si="3"/>
        <v>145.5</v>
      </c>
      <c r="AK66" s="51"/>
      <c r="AY66" s="1" t="s">
        <v>86</v>
      </c>
      <c r="AZ66" s="82">
        <f>ROUND(C84,0)</f>
        <v>25</v>
      </c>
      <c r="BA66" s="81">
        <f t="shared" ref="BA66:BD70" si="30">D84</f>
        <v>24</v>
      </c>
      <c r="BB66" s="81">
        <f t="shared" si="30"/>
        <v>29.8</v>
      </c>
      <c r="BC66" s="81">
        <f t="shared" si="30"/>
        <v>25</v>
      </c>
      <c r="BD66" s="81">
        <f t="shared" si="30"/>
        <v>20.7</v>
      </c>
      <c r="BE66" s="82">
        <f>I84</f>
        <v>10.8</v>
      </c>
      <c r="BF66" s="82">
        <f>K84</f>
        <v>53.2</v>
      </c>
      <c r="BG66" s="82">
        <f t="shared" ref="BG66:BP70" si="31">M84</f>
        <v>61.2</v>
      </c>
      <c r="BH66" s="82">
        <f t="shared" si="31"/>
        <v>65.099999999999994</v>
      </c>
      <c r="BI66" s="82">
        <f t="shared" si="31"/>
        <v>52</v>
      </c>
      <c r="BJ66" s="82">
        <f t="shared" si="31"/>
        <v>53.2</v>
      </c>
      <c r="BK66" s="82">
        <f t="shared" si="31"/>
        <v>59.4</v>
      </c>
      <c r="BL66" s="82">
        <f t="shared" si="31"/>
        <v>71.400000000000006</v>
      </c>
      <c r="BM66" s="82">
        <f t="shared" si="31"/>
        <v>72.2</v>
      </c>
      <c r="BN66" s="82">
        <f t="shared" si="31"/>
        <v>74</v>
      </c>
      <c r="BO66" s="82">
        <f t="shared" si="31"/>
        <v>68</v>
      </c>
      <c r="BP66" s="82">
        <f t="shared" si="31"/>
        <v>52</v>
      </c>
      <c r="BQ66" s="82">
        <f>X84</f>
        <v>50</v>
      </c>
      <c r="BR66" s="82">
        <f>Z84</f>
        <v>33.799999999999997</v>
      </c>
      <c r="BS66" s="81">
        <f>AB84</f>
        <v>35.700000000000003</v>
      </c>
      <c r="BT66" s="81">
        <f t="shared" ref="BT66:BV70" si="32">AD84</f>
        <v>19.600000000000001</v>
      </c>
      <c r="BU66" s="81">
        <f t="shared" si="32"/>
        <v>21.5</v>
      </c>
      <c r="BV66" s="81">
        <f t="shared" si="32"/>
        <v>27.8</v>
      </c>
      <c r="BW66" s="81">
        <f>B84</f>
        <v>27</v>
      </c>
    </row>
    <row r="67" spans="1:75" x14ac:dyDescent="0.25">
      <c r="A67" s="65" t="s">
        <v>81</v>
      </c>
      <c r="B67" s="76">
        <v>69.5</v>
      </c>
      <c r="C67" s="76">
        <v>69.5</v>
      </c>
      <c r="D67" s="76">
        <v>69.5</v>
      </c>
      <c r="E67" s="76">
        <v>69.5</v>
      </c>
      <c r="F67" s="76">
        <v>69.5</v>
      </c>
      <c r="G67" s="76">
        <v>69.5</v>
      </c>
      <c r="H67" s="76">
        <v>69.5</v>
      </c>
      <c r="I67" s="76">
        <v>69.5</v>
      </c>
      <c r="J67" s="76">
        <v>69.5</v>
      </c>
      <c r="K67" s="76">
        <v>69.5</v>
      </c>
      <c r="L67" s="76">
        <v>69.5</v>
      </c>
      <c r="M67" s="76">
        <v>69.5</v>
      </c>
      <c r="N67" s="76">
        <v>71.5</v>
      </c>
      <c r="O67" s="76">
        <v>71.400000000000006</v>
      </c>
      <c r="P67" s="76">
        <v>71.400000000000006</v>
      </c>
      <c r="Q67" s="76">
        <v>71.900000000000006</v>
      </c>
      <c r="R67" s="76">
        <v>71.900000000000006</v>
      </c>
      <c r="S67" s="76">
        <v>71.900000000000006</v>
      </c>
      <c r="T67" s="76">
        <v>71.900000000000006</v>
      </c>
      <c r="U67" s="76">
        <v>71.900000000000006</v>
      </c>
      <c r="V67" s="76">
        <v>71.900000000000006</v>
      </c>
      <c r="W67" s="76">
        <v>71.900000000000006</v>
      </c>
      <c r="X67" s="76">
        <v>71.900000000000006</v>
      </c>
      <c r="Y67" s="76">
        <v>71.900000000000006</v>
      </c>
      <c r="Z67" s="76">
        <v>71.900000000000006</v>
      </c>
      <c r="AA67" s="76">
        <v>71.900000000000006</v>
      </c>
      <c r="AB67" s="76">
        <v>71.900000000000006</v>
      </c>
      <c r="AC67" s="76">
        <v>71.900000000000006</v>
      </c>
      <c r="AD67" s="76">
        <v>71.900000000000006</v>
      </c>
      <c r="AE67" s="76">
        <v>71.900000000000006</v>
      </c>
      <c r="AF67" s="76">
        <v>71.900000000000006</v>
      </c>
      <c r="AG67" s="66">
        <v>70</v>
      </c>
      <c r="AH67" s="48">
        <f t="shared" si="2"/>
        <v>71.900000000000006</v>
      </c>
      <c r="AI67" s="49">
        <f t="shared" si="3"/>
        <v>69.5</v>
      </c>
      <c r="AK67" s="51"/>
      <c r="AY67" s="1" t="s">
        <v>88</v>
      </c>
      <c r="AZ67" s="82">
        <f>ROUND(C85,0)</f>
        <v>0</v>
      </c>
      <c r="BA67" s="81">
        <f t="shared" si="30"/>
        <v>0</v>
      </c>
      <c r="BB67" s="81">
        <f t="shared" si="30"/>
        <v>0</v>
      </c>
      <c r="BC67" s="81">
        <f t="shared" si="30"/>
        <v>0</v>
      </c>
      <c r="BD67" s="81">
        <f t="shared" si="30"/>
        <v>0</v>
      </c>
      <c r="BE67" s="82">
        <f>I85</f>
        <v>0</v>
      </c>
      <c r="BF67" s="82">
        <f>K85</f>
        <v>0</v>
      </c>
      <c r="BG67" s="82">
        <f t="shared" si="31"/>
        <v>0</v>
      </c>
      <c r="BH67" s="82">
        <f t="shared" si="31"/>
        <v>0</v>
      </c>
      <c r="BI67" s="82">
        <f t="shared" si="31"/>
        <v>0</v>
      </c>
      <c r="BJ67" s="82">
        <f t="shared" si="31"/>
        <v>0</v>
      </c>
      <c r="BK67" s="82">
        <f t="shared" si="31"/>
        <v>0</v>
      </c>
      <c r="BL67" s="82">
        <f t="shared" si="31"/>
        <v>0</v>
      </c>
      <c r="BM67" s="82">
        <f t="shared" si="31"/>
        <v>0</v>
      </c>
      <c r="BN67" s="82">
        <f t="shared" si="31"/>
        <v>0</v>
      </c>
      <c r="BO67" s="82">
        <f t="shared" si="31"/>
        <v>0</v>
      </c>
      <c r="BP67" s="82">
        <f t="shared" si="31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2"/>
        <v>0</v>
      </c>
      <c r="BU67" s="81">
        <f t="shared" si="32"/>
        <v>0</v>
      </c>
      <c r="BV67" s="81">
        <f t="shared" si="32"/>
        <v>0</v>
      </c>
      <c r="BW67" s="81">
        <f>B85</f>
        <v>0</v>
      </c>
    </row>
    <row r="68" spans="1:75" x14ac:dyDescent="0.25">
      <c r="A68" s="65" t="s">
        <v>82</v>
      </c>
      <c r="B68" s="76">
        <v>68</v>
      </c>
      <c r="C68" s="76">
        <v>68</v>
      </c>
      <c r="D68" s="76">
        <v>68</v>
      </c>
      <c r="E68" s="76">
        <v>68</v>
      </c>
      <c r="F68" s="76">
        <v>68</v>
      </c>
      <c r="G68" s="76">
        <v>68</v>
      </c>
      <c r="H68" s="76">
        <v>68</v>
      </c>
      <c r="I68" s="76">
        <v>68</v>
      </c>
      <c r="J68" s="76">
        <v>68</v>
      </c>
      <c r="K68" s="76">
        <v>68</v>
      </c>
      <c r="L68" s="76">
        <v>68</v>
      </c>
      <c r="M68" s="76">
        <v>68</v>
      </c>
      <c r="N68" s="76">
        <v>67.2</v>
      </c>
      <c r="O68" s="76">
        <v>67</v>
      </c>
      <c r="P68" s="76">
        <v>67</v>
      </c>
      <c r="Q68" s="76">
        <v>67.400000000000006</v>
      </c>
      <c r="R68" s="76">
        <v>67.400000000000006</v>
      </c>
      <c r="S68" s="76">
        <v>67.400000000000006</v>
      </c>
      <c r="T68" s="76">
        <v>67.400000000000006</v>
      </c>
      <c r="U68" s="76">
        <v>67.400000000000006</v>
      </c>
      <c r="V68" s="76">
        <v>67.400000000000006</v>
      </c>
      <c r="W68" s="76">
        <v>67.400000000000006</v>
      </c>
      <c r="X68" s="76">
        <v>67.400000000000006</v>
      </c>
      <c r="Y68" s="76">
        <v>67.400000000000006</v>
      </c>
      <c r="Z68" s="76">
        <v>67.400000000000006</v>
      </c>
      <c r="AA68" s="76">
        <v>67.400000000000006</v>
      </c>
      <c r="AB68" s="76">
        <v>67.400000000000006</v>
      </c>
      <c r="AC68" s="76">
        <v>67.400000000000006</v>
      </c>
      <c r="AD68" s="76">
        <v>67.400000000000006</v>
      </c>
      <c r="AE68" s="76">
        <v>67.400000000000006</v>
      </c>
      <c r="AF68" s="76">
        <v>67.400000000000006</v>
      </c>
      <c r="AG68" s="66">
        <v>69</v>
      </c>
      <c r="AH68" s="48">
        <f t="shared" si="2"/>
        <v>68</v>
      </c>
      <c r="AI68" s="49">
        <f t="shared" si="3"/>
        <v>67</v>
      </c>
      <c r="AK68" s="51"/>
      <c r="AL68" s="83"/>
      <c r="AO68" s="83"/>
      <c r="AY68" s="1" t="s">
        <v>90</v>
      </c>
      <c r="AZ68" s="82">
        <f>ROUND(C86,0)</f>
        <v>-192</v>
      </c>
      <c r="BA68" s="81">
        <f t="shared" si="30"/>
        <v>-190</v>
      </c>
      <c r="BB68" s="81">
        <f t="shared" si="30"/>
        <v>-220</v>
      </c>
      <c r="BC68" s="81">
        <f t="shared" si="30"/>
        <v>-210</v>
      </c>
      <c r="BD68" s="81">
        <f t="shared" si="30"/>
        <v>-230</v>
      </c>
      <c r="BE68" s="82">
        <f>I86</f>
        <v>-205</v>
      </c>
      <c r="BF68" s="82">
        <f>K86</f>
        <v>-211</v>
      </c>
      <c r="BG68" s="82">
        <f t="shared" si="31"/>
        <v>-185</v>
      </c>
      <c r="BH68" s="82">
        <f t="shared" si="31"/>
        <v>-157</v>
      </c>
      <c r="BI68" s="82">
        <f t="shared" si="31"/>
        <v>-70</v>
      </c>
      <c r="BJ68" s="82">
        <f t="shared" si="31"/>
        <v>-92</v>
      </c>
      <c r="BK68" s="82">
        <f t="shared" si="31"/>
        <v>-103.9</v>
      </c>
      <c r="BL68" s="82">
        <f t="shared" si="31"/>
        <v>-100</v>
      </c>
      <c r="BM68" s="82">
        <f t="shared" si="31"/>
        <v>-60</v>
      </c>
      <c r="BN68" s="82">
        <f t="shared" si="31"/>
        <v>-63</v>
      </c>
      <c r="BO68" s="82">
        <f t="shared" si="31"/>
        <v>-68.2</v>
      </c>
      <c r="BP68" s="82">
        <f t="shared" si="31"/>
        <v>-65</v>
      </c>
      <c r="BQ68" s="82">
        <f>X86</f>
        <v>-70</v>
      </c>
      <c r="BR68" s="82">
        <f>Z86</f>
        <v>-94</v>
      </c>
      <c r="BS68" s="81">
        <f>AB86</f>
        <v>-126.8</v>
      </c>
      <c r="BT68" s="81">
        <f t="shared" si="32"/>
        <v>-113.2</v>
      </c>
      <c r="BU68" s="81">
        <f t="shared" si="32"/>
        <v>-136.5</v>
      </c>
      <c r="BV68" s="81">
        <f t="shared" si="32"/>
        <v>-219.1</v>
      </c>
      <c r="BW68" s="81">
        <f>B86</f>
        <v>-159</v>
      </c>
    </row>
    <row r="69" spans="1:75" s="83" customFormat="1" x14ac:dyDescent="0.25">
      <c r="A69" s="65" t="s">
        <v>83</v>
      </c>
      <c r="B69" s="76">
        <v>30</v>
      </c>
      <c r="C69" s="76">
        <v>30</v>
      </c>
      <c r="D69" s="76">
        <v>30</v>
      </c>
      <c r="E69" s="76">
        <v>30</v>
      </c>
      <c r="F69" s="76">
        <v>30</v>
      </c>
      <c r="G69" s="76">
        <v>30</v>
      </c>
      <c r="H69" s="76">
        <v>30</v>
      </c>
      <c r="I69" s="76">
        <v>30</v>
      </c>
      <c r="J69" s="76">
        <v>30</v>
      </c>
      <c r="K69" s="76">
        <v>30</v>
      </c>
      <c r="L69" s="76">
        <v>30</v>
      </c>
      <c r="M69" s="76">
        <v>30</v>
      </c>
      <c r="N69" s="76">
        <v>30</v>
      </c>
      <c r="O69" s="76">
        <v>29.5</v>
      </c>
      <c r="P69" s="76">
        <v>29.5</v>
      </c>
      <c r="Q69" s="76">
        <v>30</v>
      </c>
      <c r="R69" s="76">
        <v>60</v>
      </c>
      <c r="S69" s="76">
        <v>60</v>
      </c>
      <c r="T69" s="76">
        <v>60</v>
      </c>
      <c r="U69" s="76">
        <v>60</v>
      </c>
      <c r="V69" s="76">
        <v>60</v>
      </c>
      <c r="W69" s="76">
        <v>60</v>
      </c>
      <c r="X69" s="76">
        <v>60</v>
      </c>
      <c r="Y69" s="76">
        <v>60</v>
      </c>
      <c r="Z69" s="76">
        <v>60</v>
      </c>
      <c r="AA69" s="76">
        <v>60</v>
      </c>
      <c r="AB69" s="76">
        <v>60</v>
      </c>
      <c r="AC69" s="76">
        <v>60</v>
      </c>
      <c r="AD69" s="76">
        <v>60</v>
      </c>
      <c r="AE69" s="76">
        <v>60</v>
      </c>
      <c r="AF69" s="76">
        <v>60</v>
      </c>
      <c r="AG69" s="66">
        <v>60</v>
      </c>
      <c r="AH69" s="48">
        <f t="shared" si="2"/>
        <v>60</v>
      </c>
      <c r="AI69" s="49">
        <f t="shared" si="3"/>
        <v>29.5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0"/>
        <v>0</v>
      </c>
      <c r="BB69" s="81">
        <f t="shared" si="30"/>
        <v>0</v>
      </c>
      <c r="BC69" s="81">
        <f t="shared" si="30"/>
        <v>0</v>
      </c>
      <c r="BD69" s="81">
        <f t="shared" si="30"/>
        <v>0</v>
      </c>
      <c r="BE69" s="82">
        <f>I87</f>
        <v>0</v>
      </c>
      <c r="BF69" s="82">
        <f>K87</f>
        <v>14</v>
      </c>
      <c r="BG69" s="82">
        <f t="shared" si="31"/>
        <v>23.3</v>
      </c>
      <c r="BH69" s="82">
        <f t="shared" si="31"/>
        <v>37.200000000000003</v>
      </c>
      <c r="BI69" s="82">
        <f t="shared" si="31"/>
        <v>34.6</v>
      </c>
      <c r="BJ69" s="82">
        <f t="shared" si="31"/>
        <v>36</v>
      </c>
      <c r="BK69" s="82">
        <f t="shared" si="31"/>
        <v>35</v>
      </c>
      <c r="BL69" s="82">
        <f t="shared" si="31"/>
        <v>36.4</v>
      </c>
      <c r="BM69" s="82">
        <f t="shared" si="31"/>
        <v>33.5</v>
      </c>
      <c r="BN69" s="82">
        <f t="shared" si="31"/>
        <v>34.4</v>
      </c>
      <c r="BO69" s="82">
        <f t="shared" si="31"/>
        <v>37.4</v>
      </c>
      <c r="BP69" s="82">
        <f t="shared" si="31"/>
        <v>36</v>
      </c>
      <c r="BQ69" s="82">
        <f>X87</f>
        <v>18.5</v>
      </c>
      <c r="BR69" s="82">
        <f>Z87</f>
        <v>0</v>
      </c>
      <c r="BS69" s="81">
        <f>AB87</f>
        <v>0</v>
      </c>
      <c r="BT69" s="81">
        <f t="shared" si="32"/>
        <v>0</v>
      </c>
      <c r="BU69" s="81">
        <f t="shared" si="32"/>
        <v>0</v>
      </c>
      <c r="BV69" s="81">
        <f t="shared" si="32"/>
        <v>0</v>
      </c>
      <c r="BW69" s="81">
        <f>B87</f>
        <v>0</v>
      </c>
    </row>
    <row r="70" spans="1:75" x14ac:dyDescent="0.25">
      <c r="A70" s="65" t="s">
        <v>84</v>
      </c>
      <c r="B70" s="46">
        <v>14.4</v>
      </c>
      <c r="C70" s="46">
        <v>14.4</v>
      </c>
      <c r="D70" s="46">
        <v>14.4</v>
      </c>
      <c r="E70" s="46">
        <v>14.4</v>
      </c>
      <c r="F70" s="46">
        <v>14.4</v>
      </c>
      <c r="G70" s="46">
        <v>14.4</v>
      </c>
      <c r="H70" s="46">
        <v>14.4</v>
      </c>
      <c r="I70" s="46">
        <v>14.4</v>
      </c>
      <c r="J70" s="46">
        <v>14.4</v>
      </c>
      <c r="K70" s="46">
        <v>14.4</v>
      </c>
      <c r="L70" s="46">
        <v>14.4</v>
      </c>
      <c r="M70" s="46">
        <v>23</v>
      </c>
      <c r="N70" s="46">
        <v>23</v>
      </c>
      <c r="O70" s="76">
        <v>27.2</v>
      </c>
      <c r="P70" s="76">
        <v>22.4</v>
      </c>
      <c r="Q70" s="76">
        <v>22.5</v>
      </c>
      <c r="R70" s="76">
        <v>14.1</v>
      </c>
      <c r="S70" s="76">
        <v>14.1</v>
      </c>
      <c r="T70" s="76">
        <v>14.1</v>
      </c>
      <c r="U70" s="76">
        <v>0</v>
      </c>
      <c r="V70" s="76">
        <v>0</v>
      </c>
      <c r="W70" s="76">
        <v>0</v>
      </c>
      <c r="X70" s="76">
        <v>0</v>
      </c>
      <c r="Y70" s="76">
        <v>14.8</v>
      </c>
      <c r="Z70" s="76">
        <v>14.8</v>
      </c>
      <c r="AA70" s="76">
        <v>14.8</v>
      </c>
      <c r="AB70" s="76">
        <v>14.8</v>
      </c>
      <c r="AC70" s="76">
        <v>14.8</v>
      </c>
      <c r="AD70" s="76">
        <v>14.8</v>
      </c>
      <c r="AE70" s="76">
        <v>14.8</v>
      </c>
      <c r="AF70" s="76">
        <v>14.8</v>
      </c>
      <c r="AG70" s="66">
        <v>30</v>
      </c>
      <c r="AH70" s="48">
        <f t="shared" si="2"/>
        <v>27.2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0"/>
        <v>0</v>
      </c>
      <c r="BB70" s="81">
        <f t="shared" si="30"/>
        <v>0</v>
      </c>
      <c r="BC70" s="81">
        <f t="shared" si="30"/>
        <v>0</v>
      </c>
      <c r="BD70" s="81">
        <f t="shared" si="30"/>
        <v>0</v>
      </c>
      <c r="BE70" s="82">
        <f>I88</f>
        <v>0</v>
      </c>
      <c r="BF70" s="82">
        <f>K88</f>
        <v>109.7</v>
      </c>
      <c r="BG70" s="82">
        <f t="shared" si="31"/>
        <v>126.1</v>
      </c>
      <c r="BH70" s="82">
        <f t="shared" si="31"/>
        <v>120</v>
      </c>
      <c r="BI70" s="82">
        <f t="shared" si="31"/>
        <v>125.1</v>
      </c>
      <c r="BJ70" s="82">
        <f t="shared" si="31"/>
        <v>132.69999999999999</v>
      </c>
      <c r="BK70" s="82">
        <f t="shared" si="31"/>
        <v>131.1</v>
      </c>
      <c r="BL70" s="82">
        <f t="shared" si="31"/>
        <v>141</v>
      </c>
      <c r="BM70" s="82">
        <f t="shared" si="31"/>
        <v>136.5</v>
      </c>
      <c r="BN70" s="82">
        <f t="shared" si="31"/>
        <v>131</v>
      </c>
      <c r="BO70" s="82">
        <f t="shared" si="31"/>
        <v>145</v>
      </c>
      <c r="BP70" s="82">
        <f t="shared" si="31"/>
        <v>142</v>
      </c>
      <c r="BQ70" s="82">
        <f>X88</f>
        <v>119.5</v>
      </c>
      <c r="BR70" s="82">
        <f>Z88</f>
        <v>0</v>
      </c>
      <c r="BS70" s="81">
        <f>AB88</f>
        <v>0</v>
      </c>
      <c r="BT70" s="81">
        <f t="shared" si="32"/>
        <v>0</v>
      </c>
      <c r="BU70" s="81">
        <f t="shared" si="32"/>
        <v>0</v>
      </c>
      <c r="BV70" s="81">
        <f t="shared" si="32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3</v>
      </c>
      <c r="N71" s="46">
        <v>10</v>
      </c>
      <c r="O71" s="76">
        <v>13.9</v>
      </c>
      <c r="P71" s="76">
        <v>15.3</v>
      </c>
      <c r="Q71" s="76">
        <v>16.5</v>
      </c>
      <c r="R71" s="76">
        <v>15.7</v>
      </c>
      <c r="S71" s="76">
        <v>14</v>
      </c>
      <c r="T71" s="76">
        <v>10.8</v>
      </c>
      <c r="U71" s="76">
        <v>10.8</v>
      </c>
      <c r="V71" s="76">
        <v>10.8</v>
      </c>
      <c r="W71" s="76">
        <v>10.8</v>
      </c>
      <c r="X71" s="76">
        <v>10.8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66">
        <v>25</v>
      </c>
      <c r="AH71" s="48">
        <f t="shared" si="2"/>
        <v>16.5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3">M94</f>
        <v>0</v>
      </c>
      <c r="BH71" s="82">
        <f t="shared" si="33"/>
        <v>0</v>
      </c>
      <c r="BI71" s="82">
        <f t="shared" si="33"/>
        <v>0</v>
      </c>
      <c r="BJ71" s="82">
        <f t="shared" si="33"/>
        <v>0</v>
      </c>
      <c r="BK71" s="82">
        <f t="shared" si="33"/>
        <v>0</v>
      </c>
      <c r="BL71" s="82">
        <f t="shared" si="33"/>
        <v>0</v>
      </c>
      <c r="BM71" s="82">
        <f t="shared" si="33"/>
        <v>0</v>
      </c>
      <c r="BN71" s="82">
        <f t="shared" si="33"/>
        <v>0</v>
      </c>
      <c r="BO71" s="82">
        <f t="shared" si="33"/>
        <v>0</v>
      </c>
      <c r="BP71" s="82">
        <f t="shared" si="33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14.4</v>
      </c>
      <c r="C72" s="76">
        <v>14.4</v>
      </c>
      <c r="D72" s="76">
        <v>14.4</v>
      </c>
      <c r="E72" s="76">
        <v>14.4</v>
      </c>
      <c r="F72" s="76">
        <v>14.4</v>
      </c>
      <c r="G72" s="76">
        <v>14.4</v>
      </c>
      <c r="H72" s="76">
        <v>14.4</v>
      </c>
      <c r="I72" s="76">
        <v>14.4</v>
      </c>
      <c r="J72" s="76">
        <v>14.4</v>
      </c>
      <c r="K72" s="76">
        <v>14.4</v>
      </c>
      <c r="L72" s="76">
        <v>14.4</v>
      </c>
      <c r="M72" s="76">
        <v>14.4</v>
      </c>
      <c r="N72" s="76">
        <v>14.4</v>
      </c>
      <c r="O72" s="76">
        <v>14.4</v>
      </c>
      <c r="P72" s="76">
        <v>14.4</v>
      </c>
      <c r="Q72" s="76">
        <v>14.4</v>
      </c>
      <c r="R72" s="76">
        <v>14.4</v>
      </c>
      <c r="S72" s="76">
        <v>14.4</v>
      </c>
      <c r="T72" s="76">
        <v>14.4</v>
      </c>
      <c r="U72" s="76">
        <v>14.4</v>
      </c>
      <c r="V72" s="76">
        <v>14.4</v>
      </c>
      <c r="W72" s="76">
        <v>14.4</v>
      </c>
      <c r="X72" s="76">
        <v>14.4</v>
      </c>
      <c r="Y72" s="76">
        <v>14.4</v>
      </c>
      <c r="Z72" s="76">
        <v>14.4</v>
      </c>
      <c r="AA72" s="76">
        <v>14.4</v>
      </c>
      <c r="AB72" s="76">
        <v>14.4</v>
      </c>
      <c r="AC72" s="76">
        <v>14.4</v>
      </c>
      <c r="AD72" s="76">
        <v>14.4</v>
      </c>
      <c r="AE72" s="76">
        <v>14.4</v>
      </c>
      <c r="AF72" s="76">
        <v>14.4</v>
      </c>
      <c r="AG72" s="66">
        <v>24</v>
      </c>
      <c r="AH72" s="48">
        <f t="shared" si="2"/>
        <v>14.4</v>
      </c>
      <c r="AI72" s="49">
        <f t="shared" si="3"/>
        <v>14.4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34">VALUE(AZ66)</f>
        <v>25</v>
      </c>
      <c r="BA73" s="82">
        <f t="shared" si="34"/>
        <v>24</v>
      </c>
      <c r="BB73" s="82">
        <f t="shared" si="34"/>
        <v>29.8</v>
      </c>
      <c r="BC73" s="82">
        <f t="shared" si="34"/>
        <v>25</v>
      </c>
      <c r="BD73" s="82">
        <f t="shared" si="34"/>
        <v>20.7</v>
      </c>
      <c r="BE73" s="82">
        <f t="shared" si="34"/>
        <v>10.8</v>
      </c>
      <c r="BF73" s="82">
        <f t="shared" si="34"/>
        <v>53.2</v>
      </c>
      <c r="BG73" s="82">
        <f t="shared" si="34"/>
        <v>61.2</v>
      </c>
      <c r="BH73" s="82">
        <f t="shared" si="34"/>
        <v>65.099999999999994</v>
      </c>
      <c r="BI73" s="82">
        <f t="shared" si="34"/>
        <v>52</v>
      </c>
      <c r="BJ73" s="82">
        <f t="shared" si="34"/>
        <v>53.2</v>
      </c>
      <c r="BK73" s="82">
        <f t="shared" si="34"/>
        <v>59.4</v>
      </c>
      <c r="BL73" s="82">
        <f t="shared" si="34"/>
        <v>71.400000000000006</v>
      </c>
      <c r="BM73" s="82">
        <f t="shared" si="34"/>
        <v>72.2</v>
      </c>
      <c r="BN73" s="82">
        <f t="shared" si="34"/>
        <v>74</v>
      </c>
      <c r="BO73" s="82">
        <f t="shared" si="34"/>
        <v>68</v>
      </c>
      <c r="BP73" s="82">
        <f t="shared" si="34"/>
        <v>52</v>
      </c>
      <c r="BQ73" s="82">
        <f t="shared" si="34"/>
        <v>50</v>
      </c>
      <c r="BR73" s="82">
        <f t="shared" si="34"/>
        <v>33.799999999999997</v>
      </c>
      <c r="BS73" s="82">
        <f t="shared" si="34"/>
        <v>35.700000000000003</v>
      </c>
      <c r="BT73" s="82">
        <f t="shared" si="34"/>
        <v>19.600000000000001</v>
      </c>
      <c r="BU73" s="82">
        <f t="shared" si="34"/>
        <v>21.5</v>
      </c>
      <c r="BV73" s="82">
        <f t="shared" si="34"/>
        <v>27.8</v>
      </c>
      <c r="BW73" s="82">
        <f t="shared" si="34"/>
        <v>27</v>
      </c>
    </row>
    <row r="74" spans="1:75" x14ac:dyDescent="0.25">
      <c r="A74" s="65" t="s">
        <v>91</v>
      </c>
      <c r="B74" s="76">
        <v>4.5999999999999996</v>
      </c>
      <c r="C74" s="76">
        <v>4.5999999999999996</v>
      </c>
      <c r="D74" s="76">
        <v>4.5999999999999996</v>
      </c>
      <c r="E74" s="76">
        <v>4.5999999999999996</v>
      </c>
      <c r="F74" s="76">
        <v>4.5999999999999996</v>
      </c>
      <c r="G74" s="76">
        <v>4.5999999999999996</v>
      </c>
      <c r="H74" s="76">
        <v>4.5999999999999996</v>
      </c>
      <c r="I74" s="76">
        <v>4.5999999999999996</v>
      </c>
      <c r="J74" s="76">
        <v>4.5999999999999996</v>
      </c>
      <c r="K74" s="76">
        <v>4.5999999999999996</v>
      </c>
      <c r="L74" s="76">
        <v>4.5999999999999996</v>
      </c>
      <c r="M74" s="76">
        <v>4.5999999999999996</v>
      </c>
      <c r="N74" s="76">
        <v>4.5999999999999996</v>
      </c>
      <c r="O74" s="76">
        <v>4.5999999999999996</v>
      </c>
      <c r="P74" s="76">
        <v>4.5999999999999996</v>
      </c>
      <c r="Q74" s="76">
        <v>4.5999999999999996</v>
      </c>
      <c r="R74" s="76">
        <v>4.5999999999999996</v>
      </c>
      <c r="S74" s="76">
        <v>10</v>
      </c>
      <c r="T74" s="76">
        <v>10</v>
      </c>
      <c r="U74" s="76">
        <v>10</v>
      </c>
      <c r="V74" s="76">
        <v>10</v>
      </c>
      <c r="W74" s="76">
        <v>10</v>
      </c>
      <c r="X74" s="76">
        <v>10</v>
      </c>
      <c r="Y74" s="76">
        <v>10</v>
      </c>
      <c r="Z74" s="76">
        <v>10</v>
      </c>
      <c r="AA74" s="76">
        <v>10</v>
      </c>
      <c r="AB74" s="76">
        <v>10</v>
      </c>
      <c r="AC74" s="76">
        <v>10</v>
      </c>
      <c r="AD74" s="76">
        <v>10</v>
      </c>
      <c r="AE74" s="76">
        <v>10</v>
      </c>
      <c r="AF74" s="76">
        <v>10</v>
      </c>
      <c r="AG74" s="66">
        <v>14.1</v>
      </c>
      <c r="AH74" s="48">
        <f t="shared" si="2"/>
        <v>10</v>
      </c>
      <c r="AI74" s="49">
        <f t="shared" si="3"/>
        <v>4.5999999999999996</v>
      </c>
      <c r="AK74" s="51"/>
      <c r="AZ74" s="82">
        <f t="shared" si="34"/>
        <v>0</v>
      </c>
      <c r="BA74" s="82">
        <f t="shared" si="34"/>
        <v>0</v>
      </c>
      <c r="BB74" s="82">
        <f t="shared" si="34"/>
        <v>0</v>
      </c>
      <c r="BC74" s="82">
        <f t="shared" si="34"/>
        <v>0</v>
      </c>
      <c r="BD74" s="82">
        <f t="shared" si="34"/>
        <v>0</v>
      </c>
      <c r="BE74" s="82">
        <f t="shared" si="34"/>
        <v>0</v>
      </c>
      <c r="BF74" s="82">
        <f t="shared" si="34"/>
        <v>0</v>
      </c>
      <c r="BG74" s="82">
        <f t="shared" si="34"/>
        <v>0</v>
      </c>
      <c r="BH74" s="82">
        <f t="shared" si="34"/>
        <v>0</v>
      </c>
      <c r="BI74" s="82">
        <f t="shared" si="34"/>
        <v>0</v>
      </c>
      <c r="BJ74" s="82">
        <f t="shared" si="34"/>
        <v>0</v>
      </c>
      <c r="BK74" s="82">
        <f t="shared" si="34"/>
        <v>0</v>
      </c>
      <c r="BL74" s="82">
        <f t="shared" si="34"/>
        <v>0</v>
      </c>
      <c r="BM74" s="82">
        <f t="shared" si="34"/>
        <v>0</v>
      </c>
      <c r="BN74" s="82">
        <f t="shared" si="34"/>
        <v>0</v>
      </c>
      <c r="BO74" s="82">
        <f t="shared" si="34"/>
        <v>0</v>
      </c>
      <c r="BP74" s="82">
        <f t="shared" si="34"/>
        <v>0</v>
      </c>
      <c r="BQ74" s="82">
        <f t="shared" si="34"/>
        <v>0</v>
      </c>
      <c r="BR74" s="82">
        <f t="shared" si="34"/>
        <v>0</v>
      </c>
      <c r="BS74" s="82">
        <f t="shared" si="34"/>
        <v>0</v>
      </c>
      <c r="BT74" s="82">
        <f t="shared" si="34"/>
        <v>0</v>
      </c>
      <c r="BU74" s="82">
        <f t="shared" si="34"/>
        <v>0</v>
      </c>
      <c r="BV74" s="82">
        <f t="shared" si="34"/>
        <v>0</v>
      </c>
      <c r="BW74" s="82">
        <f t="shared" si="34"/>
        <v>0</v>
      </c>
    </row>
    <row r="75" spans="1:75" x14ac:dyDescent="0.25">
      <c r="A75" s="84" t="s">
        <v>93</v>
      </c>
      <c r="B75" s="76">
        <v>13.9</v>
      </c>
      <c r="C75" s="76">
        <v>13.9</v>
      </c>
      <c r="D75" s="76">
        <v>13.9</v>
      </c>
      <c r="E75" s="76">
        <v>13.9</v>
      </c>
      <c r="F75" s="76">
        <v>13.9</v>
      </c>
      <c r="G75" s="76">
        <v>13.9</v>
      </c>
      <c r="H75" s="76">
        <v>13.9</v>
      </c>
      <c r="I75" s="76">
        <v>13.9</v>
      </c>
      <c r="J75" s="76">
        <v>13.9</v>
      </c>
      <c r="K75" s="76">
        <v>13.9</v>
      </c>
      <c r="L75" s="76">
        <v>13.9</v>
      </c>
      <c r="M75" s="76">
        <v>13.9</v>
      </c>
      <c r="N75" s="76">
        <v>13.9</v>
      </c>
      <c r="O75" s="76">
        <v>13.9</v>
      </c>
      <c r="P75" s="76">
        <v>13.9</v>
      </c>
      <c r="Q75" s="76">
        <v>13.9</v>
      </c>
      <c r="R75" s="76">
        <v>13.9</v>
      </c>
      <c r="S75" s="76">
        <v>13.9</v>
      </c>
      <c r="T75" s="76">
        <v>13.9</v>
      </c>
      <c r="U75" s="76">
        <v>13.9</v>
      </c>
      <c r="V75" s="76">
        <v>13.9</v>
      </c>
      <c r="W75" s="76">
        <v>13.9</v>
      </c>
      <c r="X75" s="76">
        <v>13.9</v>
      </c>
      <c r="Y75" s="76">
        <v>13.9</v>
      </c>
      <c r="Z75" s="76">
        <v>13.9</v>
      </c>
      <c r="AA75" s="76">
        <v>13.9</v>
      </c>
      <c r="AB75" s="76">
        <v>13.9</v>
      </c>
      <c r="AC75" s="76">
        <v>13.9</v>
      </c>
      <c r="AD75" s="76">
        <v>13.9</v>
      </c>
      <c r="AE75" s="76">
        <v>13.9</v>
      </c>
      <c r="AF75" s="76">
        <v>13.9</v>
      </c>
      <c r="AG75" s="66">
        <v>14</v>
      </c>
      <c r="AH75" s="48">
        <f t="shared" ref="AH75:AH126" si="35">MAX(B75:AF75)</f>
        <v>13.9</v>
      </c>
      <c r="AI75" s="49">
        <f t="shared" ref="AI75:AI126" si="36">MIN(B75:AF75)</f>
        <v>13.9</v>
      </c>
      <c r="AK75" s="51"/>
      <c r="AZ75" s="82">
        <f t="shared" si="34"/>
        <v>-192</v>
      </c>
      <c r="BA75" s="82">
        <f t="shared" si="34"/>
        <v>-190</v>
      </c>
      <c r="BB75" s="82">
        <f t="shared" si="34"/>
        <v>-220</v>
      </c>
      <c r="BC75" s="82">
        <f t="shared" si="34"/>
        <v>-210</v>
      </c>
      <c r="BD75" s="82">
        <f t="shared" si="34"/>
        <v>-230</v>
      </c>
      <c r="BE75" s="82">
        <f t="shared" si="34"/>
        <v>-205</v>
      </c>
      <c r="BF75" s="82">
        <f t="shared" si="34"/>
        <v>-211</v>
      </c>
      <c r="BG75" s="82">
        <f t="shared" si="34"/>
        <v>-185</v>
      </c>
      <c r="BH75" s="82">
        <f t="shared" si="34"/>
        <v>-157</v>
      </c>
      <c r="BI75" s="82">
        <f t="shared" si="34"/>
        <v>-70</v>
      </c>
      <c r="BJ75" s="82">
        <f t="shared" si="34"/>
        <v>-92</v>
      </c>
      <c r="BK75" s="82">
        <f t="shared" si="34"/>
        <v>-103.9</v>
      </c>
      <c r="BL75" s="82">
        <f t="shared" si="34"/>
        <v>-100</v>
      </c>
      <c r="BM75" s="82">
        <f t="shared" si="34"/>
        <v>-60</v>
      </c>
      <c r="BN75" s="82">
        <f t="shared" si="34"/>
        <v>-63</v>
      </c>
      <c r="BO75" s="82">
        <f t="shared" si="34"/>
        <v>-68.2</v>
      </c>
      <c r="BP75" s="82">
        <f t="shared" si="34"/>
        <v>-65</v>
      </c>
      <c r="BQ75" s="82">
        <f t="shared" si="34"/>
        <v>-70</v>
      </c>
      <c r="BR75" s="82">
        <f t="shared" si="34"/>
        <v>-94</v>
      </c>
      <c r="BS75" s="82">
        <f t="shared" si="34"/>
        <v>-126.8</v>
      </c>
      <c r="BT75" s="82">
        <f t="shared" si="34"/>
        <v>-113.2</v>
      </c>
      <c r="BU75" s="82">
        <f t="shared" si="34"/>
        <v>-136.5</v>
      </c>
      <c r="BV75" s="82">
        <f t="shared" si="34"/>
        <v>-219.1</v>
      </c>
      <c r="BW75" s="82">
        <f t="shared" si="34"/>
        <v>-159</v>
      </c>
    </row>
    <row r="76" spans="1:75" x14ac:dyDescent="0.25">
      <c r="A76" s="65" t="s">
        <v>95</v>
      </c>
      <c r="B76" s="76">
        <v>6.2</v>
      </c>
      <c r="C76" s="76">
        <v>6.2</v>
      </c>
      <c r="D76" s="76">
        <v>6.2</v>
      </c>
      <c r="E76" s="76">
        <v>6.2</v>
      </c>
      <c r="F76" s="76">
        <v>6.2</v>
      </c>
      <c r="G76" s="76">
        <v>6.2</v>
      </c>
      <c r="H76" s="76">
        <v>6.2</v>
      </c>
      <c r="I76" s="76">
        <v>6.2</v>
      </c>
      <c r="J76" s="76">
        <v>6.2</v>
      </c>
      <c r="K76" s="76">
        <v>6.2</v>
      </c>
      <c r="L76" s="76">
        <v>6.2</v>
      </c>
      <c r="M76" s="76">
        <v>6.2</v>
      </c>
      <c r="N76" s="76">
        <v>6.2</v>
      </c>
      <c r="O76" s="76">
        <v>6.2</v>
      </c>
      <c r="P76" s="76">
        <v>6.2</v>
      </c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>
        <v>6.2</v>
      </c>
      <c r="AF76" s="76">
        <v>6.2</v>
      </c>
      <c r="AG76" s="66">
        <v>10.050000000000001</v>
      </c>
      <c r="AH76" s="48">
        <f t="shared" si="35"/>
        <v>6.2</v>
      </c>
      <c r="AI76" s="49">
        <f t="shared" si="36"/>
        <v>6.2</v>
      </c>
      <c r="AK76" s="51"/>
      <c r="AZ76" s="82">
        <f t="shared" si="34"/>
        <v>0</v>
      </c>
      <c r="BA76" s="82">
        <f t="shared" si="34"/>
        <v>0</v>
      </c>
      <c r="BB76" s="82">
        <f t="shared" si="34"/>
        <v>0</v>
      </c>
      <c r="BC76" s="82">
        <f t="shared" si="34"/>
        <v>0</v>
      </c>
      <c r="BD76" s="82">
        <f t="shared" si="34"/>
        <v>0</v>
      </c>
      <c r="BE76" s="82">
        <f t="shared" si="34"/>
        <v>0</v>
      </c>
      <c r="BF76" s="82">
        <f t="shared" si="34"/>
        <v>14</v>
      </c>
      <c r="BG76" s="82">
        <f t="shared" si="34"/>
        <v>23.3</v>
      </c>
      <c r="BH76" s="82">
        <f t="shared" si="34"/>
        <v>37.200000000000003</v>
      </c>
      <c r="BI76" s="82">
        <f t="shared" si="34"/>
        <v>34.6</v>
      </c>
      <c r="BJ76" s="82">
        <f t="shared" si="34"/>
        <v>36</v>
      </c>
      <c r="BK76" s="82">
        <f t="shared" si="34"/>
        <v>35</v>
      </c>
      <c r="BL76" s="82">
        <f t="shared" si="34"/>
        <v>36.4</v>
      </c>
      <c r="BM76" s="82">
        <f t="shared" si="34"/>
        <v>33.5</v>
      </c>
      <c r="BN76" s="82">
        <f t="shared" si="34"/>
        <v>34.4</v>
      </c>
      <c r="BO76" s="82">
        <f t="shared" si="34"/>
        <v>37.4</v>
      </c>
      <c r="BP76" s="82">
        <f t="shared" si="34"/>
        <v>36</v>
      </c>
      <c r="BQ76" s="82">
        <f t="shared" si="34"/>
        <v>18.5</v>
      </c>
      <c r="BR76" s="82">
        <f t="shared" si="34"/>
        <v>0</v>
      </c>
      <c r="BS76" s="82">
        <f t="shared" si="34"/>
        <v>0</v>
      </c>
      <c r="BT76" s="82">
        <f t="shared" si="34"/>
        <v>0</v>
      </c>
      <c r="BU76" s="82">
        <f t="shared" si="34"/>
        <v>0</v>
      </c>
      <c r="BV76" s="82">
        <f t="shared" si="34"/>
        <v>0</v>
      </c>
      <c r="BW76" s="82">
        <f t="shared" si="34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35"/>
        <v>3</v>
      </c>
      <c r="AI77" s="49">
        <f t="shared" si="36"/>
        <v>3</v>
      </c>
      <c r="AK77" s="51"/>
      <c r="AZ77" s="82">
        <f t="shared" si="34"/>
        <v>0</v>
      </c>
      <c r="BA77" s="82">
        <f t="shared" si="34"/>
        <v>0</v>
      </c>
      <c r="BB77" s="82">
        <f t="shared" si="34"/>
        <v>0</v>
      </c>
      <c r="BC77" s="82">
        <f t="shared" si="34"/>
        <v>0</v>
      </c>
      <c r="BD77" s="82">
        <f t="shared" si="34"/>
        <v>0</v>
      </c>
      <c r="BE77" s="82">
        <f t="shared" si="34"/>
        <v>0</v>
      </c>
      <c r="BF77" s="82">
        <f t="shared" si="34"/>
        <v>109.7</v>
      </c>
      <c r="BG77" s="82">
        <f t="shared" si="34"/>
        <v>126.1</v>
      </c>
      <c r="BH77" s="82">
        <f t="shared" si="34"/>
        <v>120</v>
      </c>
      <c r="BI77" s="82">
        <f t="shared" si="34"/>
        <v>125.1</v>
      </c>
      <c r="BJ77" s="82">
        <f t="shared" si="34"/>
        <v>132.69999999999999</v>
      </c>
      <c r="BK77" s="82">
        <f t="shared" si="34"/>
        <v>131.1</v>
      </c>
      <c r="BL77" s="82">
        <f t="shared" si="34"/>
        <v>141</v>
      </c>
      <c r="BM77" s="82">
        <f t="shared" si="34"/>
        <v>136.5</v>
      </c>
      <c r="BN77" s="82">
        <f t="shared" si="34"/>
        <v>131</v>
      </c>
      <c r="BO77" s="82">
        <f t="shared" si="34"/>
        <v>145</v>
      </c>
      <c r="BP77" s="82">
        <f t="shared" si="34"/>
        <v>142</v>
      </c>
      <c r="BQ77" s="82">
        <f t="shared" si="34"/>
        <v>119.5</v>
      </c>
      <c r="BR77" s="82">
        <f t="shared" si="34"/>
        <v>0</v>
      </c>
      <c r="BS77" s="82">
        <f t="shared" si="34"/>
        <v>0</v>
      </c>
      <c r="BT77" s="82">
        <f t="shared" si="34"/>
        <v>0</v>
      </c>
      <c r="BU77" s="82">
        <f t="shared" si="34"/>
        <v>0</v>
      </c>
      <c r="BV77" s="82">
        <f t="shared" si="34"/>
        <v>0</v>
      </c>
      <c r="BW77" s="82">
        <f t="shared" si="34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5"/>
        <v>5.5</v>
      </c>
      <c r="AI78" s="49">
        <f t="shared" si="36"/>
        <v>3.5</v>
      </c>
      <c r="AK78" s="51"/>
      <c r="AZ78" s="82">
        <f t="shared" si="34"/>
        <v>0</v>
      </c>
      <c r="BA78" s="82">
        <f t="shared" si="34"/>
        <v>0</v>
      </c>
      <c r="BB78" s="82">
        <f t="shared" si="34"/>
        <v>0</v>
      </c>
      <c r="BC78" s="82">
        <f t="shared" si="34"/>
        <v>0</v>
      </c>
      <c r="BD78" s="82">
        <f t="shared" si="34"/>
        <v>0</v>
      </c>
      <c r="BE78" s="82">
        <f t="shared" si="34"/>
        <v>0</v>
      </c>
      <c r="BF78" s="82">
        <f t="shared" si="34"/>
        <v>0</v>
      </c>
      <c r="BG78" s="82">
        <f t="shared" si="34"/>
        <v>0</v>
      </c>
      <c r="BH78" s="82">
        <f t="shared" si="34"/>
        <v>0</v>
      </c>
      <c r="BI78" s="82">
        <f t="shared" si="34"/>
        <v>0</v>
      </c>
      <c r="BJ78" s="82">
        <f t="shared" si="34"/>
        <v>0</v>
      </c>
      <c r="BK78" s="82">
        <f t="shared" si="34"/>
        <v>0</v>
      </c>
      <c r="BL78" s="82">
        <f t="shared" si="34"/>
        <v>0</v>
      </c>
      <c r="BM78" s="82">
        <f t="shared" si="34"/>
        <v>0</v>
      </c>
      <c r="BN78" s="82">
        <f t="shared" si="34"/>
        <v>0</v>
      </c>
      <c r="BO78" s="82">
        <f t="shared" si="34"/>
        <v>0</v>
      </c>
      <c r="BP78" s="82">
        <f t="shared" si="34"/>
        <v>0</v>
      </c>
      <c r="BQ78" s="82">
        <f t="shared" si="34"/>
        <v>0</v>
      </c>
      <c r="BR78" s="82">
        <f t="shared" si="34"/>
        <v>0</v>
      </c>
      <c r="BS78" s="82">
        <f t="shared" si="34"/>
        <v>0</v>
      </c>
      <c r="BT78" s="82">
        <f t="shared" si="34"/>
        <v>0</v>
      </c>
      <c r="BU78" s="82">
        <f t="shared" si="34"/>
        <v>0</v>
      </c>
      <c r="BV78" s="82">
        <f t="shared" si="34"/>
        <v>0</v>
      </c>
      <c r="BW78" s="82">
        <f t="shared" si="34"/>
        <v>0</v>
      </c>
    </row>
    <row r="79" spans="1:75" ht="15.75" thickBot="1" x14ac:dyDescent="0.3">
      <c r="A79" s="87" t="s">
        <v>99</v>
      </c>
      <c r="B79" s="71">
        <f t="shared" ref="B79:AG79" si="37">SUM(B66:B78)</f>
        <v>376.84</v>
      </c>
      <c r="C79" s="71">
        <f t="shared" si="37"/>
        <v>376.84</v>
      </c>
      <c r="D79" s="71">
        <f t="shared" si="37"/>
        <v>376.84</v>
      </c>
      <c r="E79" s="71">
        <f t="shared" si="37"/>
        <v>376.84</v>
      </c>
      <c r="F79" s="71">
        <f t="shared" si="37"/>
        <v>376.84</v>
      </c>
      <c r="G79" s="71">
        <f t="shared" si="37"/>
        <v>376.84</v>
      </c>
      <c r="H79" s="71">
        <f t="shared" si="37"/>
        <v>376.84</v>
      </c>
      <c r="I79" s="71">
        <f t="shared" si="37"/>
        <v>376.84</v>
      </c>
      <c r="J79" s="71">
        <f t="shared" si="37"/>
        <v>376.84</v>
      </c>
      <c r="K79" s="71">
        <f t="shared" si="37"/>
        <v>376.84</v>
      </c>
      <c r="L79" s="71">
        <f t="shared" si="37"/>
        <v>376.84</v>
      </c>
      <c r="M79" s="71">
        <f t="shared" si="37"/>
        <v>388.44</v>
      </c>
      <c r="N79" s="71">
        <f t="shared" si="37"/>
        <v>396.64</v>
      </c>
      <c r="O79" s="71">
        <f t="shared" si="37"/>
        <v>404.53999999999996</v>
      </c>
      <c r="P79" s="71">
        <f t="shared" si="37"/>
        <v>400.64</v>
      </c>
      <c r="Q79" s="71">
        <f t="shared" si="37"/>
        <v>403.54</v>
      </c>
      <c r="R79" s="71">
        <f t="shared" si="37"/>
        <v>424.34000000000003</v>
      </c>
      <c r="S79" s="71">
        <f t="shared" si="37"/>
        <v>428.04</v>
      </c>
      <c r="T79" s="71">
        <f t="shared" si="37"/>
        <v>424.84000000000003</v>
      </c>
      <c r="U79" s="71">
        <f t="shared" si="37"/>
        <v>410.74</v>
      </c>
      <c r="V79" s="71">
        <f t="shared" si="37"/>
        <v>410.74</v>
      </c>
      <c r="W79" s="71">
        <f t="shared" si="37"/>
        <v>410.74</v>
      </c>
      <c r="X79" s="71">
        <f t="shared" si="37"/>
        <v>410.74</v>
      </c>
      <c r="Y79" s="71">
        <f t="shared" si="37"/>
        <v>414.7</v>
      </c>
      <c r="Z79" s="71">
        <f t="shared" si="37"/>
        <v>416.7</v>
      </c>
      <c r="AA79" s="71">
        <f t="shared" si="37"/>
        <v>414.74</v>
      </c>
      <c r="AB79" s="71">
        <f t="shared" ref="AB79:AC79" si="38">SUM(AB66:AB78)</f>
        <v>414.74</v>
      </c>
      <c r="AC79" s="71">
        <f t="shared" si="38"/>
        <v>414.74</v>
      </c>
      <c r="AD79" s="71">
        <f t="shared" ref="AD79:AE79" si="39">SUM(AD66:AD78)</f>
        <v>414.74</v>
      </c>
      <c r="AE79" s="71">
        <f t="shared" si="39"/>
        <v>414.74</v>
      </c>
      <c r="AF79" s="71">
        <f t="shared" ref="AF79" si="40">SUM(AF66:AF78)</f>
        <v>414.74</v>
      </c>
      <c r="AG79" s="72">
        <f t="shared" si="37"/>
        <v>489.91</v>
      </c>
      <c r="AH79" s="48">
        <f t="shared" si="35"/>
        <v>428.04</v>
      </c>
      <c r="AI79" s="49">
        <f t="shared" si="36"/>
        <v>376.84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>
        <v>14</v>
      </c>
      <c r="N80" s="46"/>
      <c r="O80" s="46">
        <v>14.2</v>
      </c>
      <c r="P80" s="46">
        <v>14</v>
      </c>
      <c r="Q80" s="46">
        <v>24.3</v>
      </c>
      <c r="R80" s="46">
        <v>14</v>
      </c>
      <c r="S80" s="46">
        <v>14</v>
      </c>
      <c r="T80" s="46">
        <v>14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14.4</v>
      </c>
      <c r="AA80" s="46">
        <v>59.8</v>
      </c>
      <c r="AB80" s="46">
        <v>50.1</v>
      </c>
      <c r="AC80" s="46">
        <v>28.9</v>
      </c>
      <c r="AD80" s="46">
        <v>10.6</v>
      </c>
      <c r="AE80" s="46">
        <v>0</v>
      </c>
      <c r="AF80" s="46">
        <v>9.9</v>
      </c>
      <c r="AG80" s="61">
        <v>60</v>
      </c>
      <c r="AH80" s="48">
        <f t="shared" si="35"/>
        <v>59.8</v>
      </c>
      <c r="AI80" s="49">
        <f t="shared" si="36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>
        <v>4.5</v>
      </c>
      <c r="N81" s="76"/>
      <c r="O81" s="76">
        <v>3.3</v>
      </c>
      <c r="P81" s="76">
        <v>3.9</v>
      </c>
      <c r="Q81" s="76">
        <v>10.8</v>
      </c>
      <c r="R81" s="76">
        <v>3.5</v>
      </c>
      <c r="S81" s="76">
        <v>3.5</v>
      </c>
      <c r="T81" s="76">
        <v>5.0999999999999996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2.9</v>
      </c>
      <c r="AA81" s="76">
        <v>28</v>
      </c>
      <c r="AB81" s="76">
        <v>23.2</v>
      </c>
      <c r="AC81" s="76">
        <v>15.3</v>
      </c>
      <c r="AD81" s="76">
        <v>3.5</v>
      </c>
      <c r="AE81" s="76">
        <v>0</v>
      </c>
      <c r="AF81" s="76">
        <v>6.7</v>
      </c>
      <c r="AG81" s="66">
        <v>32</v>
      </c>
      <c r="AH81" s="48">
        <f t="shared" si="35"/>
        <v>28</v>
      </c>
      <c r="AI81" s="49">
        <f t="shared" si="36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>
        <v>1.6</v>
      </c>
      <c r="N82" s="78"/>
      <c r="O82" s="78">
        <v>1.2</v>
      </c>
      <c r="P82" s="78">
        <v>1.4</v>
      </c>
      <c r="Q82" s="78">
        <v>3.9</v>
      </c>
      <c r="R82" s="78">
        <v>1.3</v>
      </c>
      <c r="S82" s="78">
        <v>1.3</v>
      </c>
      <c r="T82" s="78">
        <v>1.9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1</v>
      </c>
      <c r="AA82" s="78">
        <v>10</v>
      </c>
      <c r="AB82" s="78">
        <v>8.5</v>
      </c>
      <c r="AC82" s="78">
        <v>5.6</v>
      </c>
      <c r="AD82" s="78">
        <v>1.3</v>
      </c>
      <c r="AE82" s="78">
        <v>0</v>
      </c>
      <c r="AF82" s="78">
        <v>2.4</v>
      </c>
      <c r="AG82" s="79">
        <v>14</v>
      </c>
      <c r="AH82" s="48">
        <f t="shared" si="35"/>
        <v>10</v>
      </c>
      <c r="AI82" s="49">
        <f t="shared" si="36"/>
        <v>0</v>
      </c>
      <c r="AK82" s="51"/>
      <c r="AY82" s="82"/>
      <c r="BF82" s="81"/>
      <c r="BG82" s="82">
        <f t="array" ref="BG82:BL105">TRANSPOSE(AZ66:BW71)</f>
        <v>25</v>
      </c>
      <c r="BH82" s="82">
        <v>0</v>
      </c>
      <c r="BI82" s="82">
        <v>-192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A83" si="41">B80+B81+B82</f>
        <v>0</v>
      </c>
      <c r="C83" s="71">
        <f t="shared" si="41"/>
        <v>0</v>
      </c>
      <c r="D83" s="71">
        <f t="shared" si="41"/>
        <v>0</v>
      </c>
      <c r="E83" s="71">
        <f t="shared" si="41"/>
        <v>0</v>
      </c>
      <c r="F83" s="71">
        <f t="shared" si="41"/>
        <v>0</v>
      </c>
      <c r="G83" s="71">
        <f t="shared" si="41"/>
        <v>0</v>
      </c>
      <c r="H83" s="71">
        <f t="shared" si="41"/>
        <v>0</v>
      </c>
      <c r="I83" s="71">
        <f t="shared" si="41"/>
        <v>0</v>
      </c>
      <c r="J83" s="71">
        <f t="shared" si="41"/>
        <v>0</v>
      </c>
      <c r="K83" s="71">
        <f t="shared" si="41"/>
        <v>0</v>
      </c>
      <c r="L83" s="71">
        <f t="shared" si="41"/>
        <v>0</v>
      </c>
      <c r="M83" s="71">
        <f t="shared" si="41"/>
        <v>20.100000000000001</v>
      </c>
      <c r="N83" s="71">
        <f t="shared" si="41"/>
        <v>0</v>
      </c>
      <c r="O83" s="71">
        <f t="shared" si="41"/>
        <v>18.7</v>
      </c>
      <c r="P83" s="71">
        <f t="shared" si="41"/>
        <v>19.299999999999997</v>
      </c>
      <c r="Q83" s="71">
        <f t="shared" si="41"/>
        <v>39</v>
      </c>
      <c r="R83" s="71">
        <f t="shared" si="41"/>
        <v>18.8</v>
      </c>
      <c r="S83" s="71">
        <f t="shared" si="41"/>
        <v>18.8</v>
      </c>
      <c r="T83" s="71">
        <f t="shared" si="41"/>
        <v>21</v>
      </c>
      <c r="U83" s="71">
        <f t="shared" si="41"/>
        <v>0</v>
      </c>
      <c r="V83" s="71">
        <f t="shared" si="41"/>
        <v>0</v>
      </c>
      <c r="W83" s="71">
        <f t="shared" si="41"/>
        <v>0</v>
      </c>
      <c r="X83" s="71">
        <f t="shared" si="41"/>
        <v>0</v>
      </c>
      <c r="Y83" s="71">
        <f t="shared" si="41"/>
        <v>0</v>
      </c>
      <c r="Z83" s="71">
        <f t="shared" si="41"/>
        <v>18.3</v>
      </c>
      <c r="AA83" s="71">
        <f t="shared" si="41"/>
        <v>97.8</v>
      </c>
      <c r="AB83" s="71">
        <f t="shared" ref="AB83:AC83" si="42">AB80+AB81+AB82</f>
        <v>81.8</v>
      </c>
      <c r="AC83" s="71">
        <f t="shared" si="42"/>
        <v>49.800000000000004</v>
      </c>
      <c r="AD83" s="71">
        <f t="shared" ref="AD83:AE83" si="43">AD80+AD81+AD82</f>
        <v>15.4</v>
      </c>
      <c r="AE83" s="71">
        <f t="shared" si="43"/>
        <v>0</v>
      </c>
      <c r="AF83" s="71">
        <f t="shared" ref="AF83" si="44">AF80+AF81+AF82</f>
        <v>19</v>
      </c>
      <c r="AG83" s="72">
        <f>SUM(AG80:AG82)</f>
        <v>106</v>
      </c>
      <c r="AH83" s="48">
        <f t="shared" si="35"/>
        <v>97.8</v>
      </c>
      <c r="AI83" s="49">
        <f t="shared" si="36"/>
        <v>0</v>
      </c>
      <c r="AK83" s="51"/>
      <c r="AY83" s="82"/>
      <c r="BF83" s="81"/>
      <c r="BG83" s="82">
        <v>24</v>
      </c>
      <c r="BH83" s="82">
        <v>0</v>
      </c>
      <c r="BI83" s="82">
        <v>-190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27</v>
      </c>
      <c r="C84" s="46">
        <v>25</v>
      </c>
      <c r="D84" s="46">
        <v>24</v>
      </c>
      <c r="E84" s="46">
        <v>29.8</v>
      </c>
      <c r="F84" s="46">
        <v>25</v>
      </c>
      <c r="G84" s="46">
        <v>20.7</v>
      </c>
      <c r="H84" s="46">
        <v>18.600000000000001</v>
      </c>
      <c r="I84" s="46">
        <v>10.8</v>
      </c>
      <c r="J84" s="46">
        <v>52.6</v>
      </c>
      <c r="K84" s="46">
        <v>53.2</v>
      </c>
      <c r="L84" s="46">
        <v>56.4</v>
      </c>
      <c r="M84" s="46">
        <v>61.2</v>
      </c>
      <c r="N84" s="46">
        <v>65.099999999999994</v>
      </c>
      <c r="O84" s="46">
        <v>52</v>
      </c>
      <c r="P84" s="46">
        <v>53.2</v>
      </c>
      <c r="Q84" s="46">
        <v>59.4</v>
      </c>
      <c r="R84" s="46">
        <v>71.400000000000006</v>
      </c>
      <c r="S84" s="46">
        <v>72.2</v>
      </c>
      <c r="T84" s="46">
        <v>74</v>
      </c>
      <c r="U84" s="46">
        <v>68</v>
      </c>
      <c r="V84" s="46">
        <v>52</v>
      </c>
      <c r="W84" s="46">
        <v>51</v>
      </c>
      <c r="X84" s="46">
        <v>50</v>
      </c>
      <c r="Y84" s="46">
        <v>34</v>
      </c>
      <c r="Z84" s="46">
        <v>33.799999999999997</v>
      </c>
      <c r="AA84" s="46">
        <v>30.5</v>
      </c>
      <c r="AB84" s="46">
        <v>35.700000000000003</v>
      </c>
      <c r="AC84" s="46">
        <v>22.6</v>
      </c>
      <c r="AD84" s="46">
        <v>19.600000000000001</v>
      </c>
      <c r="AE84" s="46">
        <v>21.5</v>
      </c>
      <c r="AF84" s="46">
        <v>27.8</v>
      </c>
      <c r="AG84" s="61"/>
      <c r="AH84" s="48">
        <f t="shared" si="35"/>
        <v>74</v>
      </c>
      <c r="AI84" s="49">
        <f t="shared" si="36"/>
        <v>10.8</v>
      </c>
      <c r="AK84" s="51"/>
      <c r="AY84" s="82"/>
      <c r="BF84" s="81"/>
      <c r="BG84" s="82">
        <v>29.8</v>
      </c>
      <c r="BH84" s="82">
        <v>0</v>
      </c>
      <c r="BI84" s="82">
        <v>-220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66"/>
      <c r="AH85" s="48">
        <f t="shared" si="35"/>
        <v>0</v>
      </c>
      <c r="AI85" s="49">
        <f t="shared" si="36"/>
        <v>0</v>
      </c>
      <c r="AK85" s="51"/>
      <c r="AL85" s="91" t="s">
        <v>111</v>
      </c>
      <c r="AM85" s="91"/>
      <c r="AY85" s="82"/>
      <c r="BF85" s="82"/>
      <c r="BG85" s="82">
        <v>25</v>
      </c>
      <c r="BH85" s="82">
        <v>0</v>
      </c>
      <c r="BI85" s="82">
        <v>-210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-159</v>
      </c>
      <c r="C86" s="76">
        <v>-192</v>
      </c>
      <c r="D86" s="76">
        <v>-190</v>
      </c>
      <c r="E86" s="76">
        <v>-220</v>
      </c>
      <c r="F86" s="76">
        <v>-210</v>
      </c>
      <c r="G86" s="76">
        <v>-230</v>
      </c>
      <c r="H86" s="76">
        <v>-239</v>
      </c>
      <c r="I86" s="76">
        <v>-205</v>
      </c>
      <c r="J86" s="76">
        <v>-295</v>
      </c>
      <c r="K86" s="76">
        <v>-211</v>
      </c>
      <c r="L86" s="76">
        <v>-178</v>
      </c>
      <c r="M86" s="76">
        <v>-185</v>
      </c>
      <c r="N86" s="76">
        <v>-157</v>
      </c>
      <c r="O86" s="76">
        <v>-70</v>
      </c>
      <c r="P86" s="76">
        <v>-92</v>
      </c>
      <c r="Q86" s="76">
        <v>-103.9</v>
      </c>
      <c r="R86" s="76">
        <v>-100</v>
      </c>
      <c r="S86" s="76">
        <v>-60</v>
      </c>
      <c r="T86" s="76">
        <v>-63</v>
      </c>
      <c r="U86" s="76">
        <v>-68.2</v>
      </c>
      <c r="V86" s="76">
        <v>-65</v>
      </c>
      <c r="W86" s="76">
        <v>-80</v>
      </c>
      <c r="X86" s="76">
        <v>-70</v>
      </c>
      <c r="Y86" s="76">
        <v>-112</v>
      </c>
      <c r="Z86" s="76">
        <v>-94</v>
      </c>
      <c r="AA86" s="76">
        <v>-105</v>
      </c>
      <c r="AB86" s="76">
        <v>-126.8</v>
      </c>
      <c r="AC86" s="76">
        <v>-106.6</v>
      </c>
      <c r="AD86" s="76">
        <v>-113.2</v>
      </c>
      <c r="AE86" s="76">
        <v>-136.5</v>
      </c>
      <c r="AF86" s="76">
        <v>-219.1</v>
      </c>
      <c r="AG86" s="88"/>
      <c r="AH86" s="48">
        <f t="shared" si="35"/>
        <v>-60</v>
      </c>
      <c r="AI86" s="49">
        <f t="shared" si="36"/>
        <v>-295</v>
      </c>
      <c r="AK86" s="92"/>
      <c r="AL86" s="93"/>
      <c r="AM86" s="93"/>
      <c r="AN86" s="94"/>
      <c r="AY86" s="82"/>
      <c r="BF86" s="82"/>
      <c r="BG86" s="82">
        <v>20.7</v>
      </c>
      <c r="BH86" s="82">
        <v>0</v>
      </c>
      <c r="BI86" s="82">
        <v>-230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>
        <v>14.4</v>
      </c>
      <c r="K87" s="89">
        <v>14</v>
      </c>
      <c r="L87" s="89">
        <v>12.9</v>
      </c>
      <c r="M87" s="89">
        <v>23.3</v>
      </c>
      <c r="N87" s="89">
        <v>37.200000000000003</v>
      </c>
      <c r="O87" s="89">
        <v>34.6</v>
      </c>
      <c r="P87" s="89">
        <v>36</v>
      </c>
      <c r="Q87" s="89">
        <v>35</v>
      </c>
      <c r="R87" s="89">
        <v>36.4</v>
      </c>
      <c r="S87" s="89">
        <v>33.5</v>
      </c>
      <c r="T87" s="89">
        <v>34.4</v>
      </c>
      <c r="U87" s="89">
        <v>37.4</v>
      </c>
      <c r="V87" s="89">
        <v>36</v>
      </c>
      <c r="W87" s="89">
        <v>31.5</v>
      </c>
      <c r="X87" s="89">
        <v>18.5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8"/>
      <c r="AH87" s="48">
        <f t="shared" si="35"/>
        <v>37.4</v>
      </c>
      <c r="AI87" s="49">
        <f t="shared" si="36"/>
        <v>0</v>
      </c>
      <c r="AK87" s="95" t="s">
        <v>114</v>
      </c>
      <c r="AL87" s="76"/>
      <c r="AM87" s="89"/>
      <c r="AN87" s="96"/>
      <c r="AY87" s="82"/>
      <c r="BF87" s="82"/>
      <c r="BG87" s="82">
        <v>10.8</v>
      </c>
      <c r="BH87" s="82">
        <v>0</v>
      </c>
      <c r="BI87" s="82">
        <v>-205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99.3</v>
      </c>
      <c r="K88" s="46">
        <v>109.7</v>
      </c>
      <c r="L88" s="46">
        <v>124.9</v>
      </c>
      <c r="M88" s="46">
        <v>126.1</v>
      </c>
      <c r="N88" s="46">
        <v>120</v>
      </c>
      <c r="O88" s="46">
        <v>125.1</v>
      </c>
      <c r="P88" s="46">
        <v>132.69999999999999</v>
      </c>
      <c r="Q88" s="46">
        <v>131.1</v>
      </c>
      <c r="R88" s="46">
        <v>141</v>
      </c>
      <c r="S88" s="46">
        <v>136.5</v>
      </c>
      <c r="T88" s="46">
        <v>131</v>
      </c>
      <c r="U88" s="46">
        <v>145</v>
      </c>
      <c r="V88" s="46">
        <v>142</v>
      </c>
      <c r="W88" s="46">
        <v>115</v>
      </c>
      <c r="X88" s="46">
        <v>119.5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88"/>
      <c r="AH88" s="48">
        <f t="shared" si="35"/>
        <v>145</v>
      </c>
      <c r="AI88" s="49">
        <f t="shared" si="36"/>
        <v>0</v>
      </c>
      <c r="AK88" s="95" t="s">
        <v>116</v>
      </c>
      <c r="AL88" s="89"/>
      <c r="AM88" s="89"/>
      <c r="AN88" s="96"/>
      <c r="AY88" s="82"/>
      <c r="BF88" s="82"/>
      <c r="BG88" s="82">
        <v>53.2</v>
      </c>
      <c r="BH88" s="82">
        <v>0</v>
      </c>
      <c r="BI88" s="82">
        <v>-211</v>
      </c>
      <c r="BJ88" s="82">
        <v>14</v>
      </c>
      <c r="BK88" s="82">
        <v>109.7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>
        <v>0</v>
      </c>
      <c r="K89" s="90">
        <v>0</v>
      </c>
      <c r="L89" s="90">
        <v>0</v>
      </c>
      <c r="M89" s="90"/>
      <c r="N89" s="90"/>
      <c r="O89" s="90"/>
      <c r="P89" s="90">
        <v>50</v>
      </c>
      <c r="Q89" s="90">
        <v>53</v>
      </c>
      <c r="R89" s="90">
        <v>54</v>
      </c>
      <c r="S89" s="90">
        <v>50.9</v>
      </c>
      <c r="T89" s="90">
        <v>50.2</v>
      </c>
      <c r="U89" s="90">
        <v>54</v>
      </c>
      <c r="V89" s="90">
        <v>52</v>
      </c>
      <c r="W89" s="90">
        <v>50</v>
      </c>
      <c r="X89" s="90">
        <v>49.5</v>
      </c>
      <c r="Y89" s="90">
        <v>44.2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88"/>
      <c r="AH89" s="48">
        <f>MAX(B89:AF89)</f>
        <v>54</v>
      </c>
      <c r="AI89" s="49">
        <f t="shared" si="36"/>
        <v>0</v>
      </c>
      <c r="AK89" s="99"/>
      <c r="AL89" s="46"/>
      <c r="AM89" s="46"/>
      <c r="AN89" s="100"/>
      <c r="AY89" s="82"/>
      <c r="BF89" s="82"/>
      <c r="BG89" s="82">
        <v>61.2</v>
      </c>
      <c r="BH89" s="82">
        <v>0</v>
      </c>
      <c r="BI89" s="82">
        <v>-185</v>
      </c>
      <c r="BJ89" s="82">
        <v>23.3</v>
      </c>
      <c r="BK89" s="82">
        <v>126.1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5"/>
        <v>0</v>
      </c>
      <c r="AI90" s="49">
        <f t="shared" si="36"/>
        <v>0</v>
      </c>
      <c r="AK90" s="99"/>
      <c r="AL90" s="90"/>
      <c r="AM90" s="102"/>
      <c r="AN90" s="202"/>
      <c r="AY90" s="82"/>
      <c r="BF90" s="82"/>
      <c r="BG90" s="82">
        <v>65.099999999999994</v>
      </c>
      <c r="BH90" s="82">
        <v>0</v>
      </c>
      <c r="BI90" s="82">
        <v>-157</v>
      </c>
      <c r="BJ90" s="82">
        <v>37.200000000000003</v>
      </c>
      <c r="BK90" s="82">
        <v>120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5"/>
        <v>0</v>
      </c>
      <c r="AI91" s="49">
        <f t="shared" si="36"/>
        <v>0</v>
      </c>
      <c r="AK91" s="99"/>
      <c r="AL91" s="90"/>
      <c r="AM91" s="90"/>
      <c r="AN91" s="203"/>
      <c r="BF91" s="82"/>
      <c r="BG91" s="82">
        <v>52</v>
      </c>
      <c r="BH91" s="82">
        <v>0</v>
      </c>
      <c r="BI91" s="82">
        <v>-70</v>
      </c>
      <c r="BJ91" s="82">
        <v>34.6</v>
      </c>
      <c r="BK91" s="82">
        <v>125.1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5"/>
        <v>0</v>
      </c>
      <c r="AI92" s="49">
        <f t="shared" si="36"/>
        <v>0</v>
      </c>
      <c r="AK92" s="104"/>
      <c r="AL92" s="105"/>
      <c r="AM92" s="105"/>
      <c r="AN92" s="106"/>
      <c r="BF92" s="82"/>
      <c r="BG92" s="82">
        <v>53.2</v>
      </c>
      <c r="BH92" s="82">
        <v>0</v>
      </c>
      <c r="BI92" s="82">
        <v>-92</v>
      </c>
      <c r="BJ92" s="82">
        <v>36</v>
      </c>
      <c r="BK92" s="82">
        <v>132.69999999999999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5"/>
        <v>0</v>
      </c>
      <c r="AI93" s="49">
        <f t="shared" si="36"/>
        <v>0</v>
      </c>
      <c r="BF93" s="82"/>
      <c r="BG93" s="82">
        <v>59.4</v>
      </c>
      <c r="BH93" s="82">
        <v>0</v>
      </c>
      <c r="BI93" s="82">
        <v>-103.9</v>
      </c>
      <c r="BJ93" s="82">
        <v>35</v>
      </c>
      <c r="BK93" s="82">
        <v>131.1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5"/>
        <v>0</v>
      </c>
      <c r="AI94" s="49">
        <f t="shared" si="36"/>
        <v>0</v>
      </c>
      <c r="BF94" s="82"/>
      <c r="BG94" s="82">
        <v>71.400000000000006</v>
      </c>
      <c r="BH94" s="82">
        <v>0</v>
      </c>
      <c r="BI94" s="82">
        <v>-100</v>
      </c>
      <c r="BJ94" s="82">
        <v>36.4</v>
      </c>
      <c r="BK94" s="82">
        <v>141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27</v>
      </c>
      <c r="C95" s="71">
        <f>SUMIF(C84:C94,"&gt;0")</f>
        <v>25</v>
      </c>
      <c r="D95" s="71">
        <f t="shared" ref="D95:AA95" si="45">SUMIF(D84:D94,"&gt;0")</f>
        <v>24</v>
      </c>
      <c r="E95" s="71">
        <f t="shared" si="45"/>
        <v>29.8</v>
      </c>
      <c r="F95" s="71">
        <f t="shared" si="45"/>
        <v>25</v>
      </c>
      <c r="G95" s="71">
        <f t="shared" si="45"/>
        <v>20.7</v>
      </c>
      <c r="H95" s="71">
        <f t="shared" si="45"/>
        <v>18.600000000000001</v>
      </c>
      <c r="I95" s="71">
        <f t="shared" si="45"/>
        <v>10.8</v>
      </c>
      <c r="J95" s="71">
        <f t="shared" si="45"/>
        <v>166.3</v>
      </c>
      <c r="K95" s="71">
        <f t="shared" si="45"/>
        <v>176.9</v>
      </c>
      <c r="L95" s="71">
        <f t="shared" si="45"/>
        <v>194.2</v>
      </c>
      <c r="M95" s="71">
        <f t="shared" si="45"/>
        <v>210.6</v>
      </c>
      <c r="N95" s="71">
        <f t="shared" si="45"/>
        <v>222.3</v>
      </c>
      <c r="O95" s="71">
        <f t="shared" si="45"/>
        <v>211.7</v>
      </c>
      <c r="P95" s="71">
        <f t="shared" si="45"/>
        <v>271.89999999999998</v>
      </c>
      <c r="Q95" s="71">
        <f t="shared" si="45"/>
        <v>278.5</v>
      </c>
      <c r="R95" s="71">
        <f t="shared" si="45"/>
        <v>302.8</v>
      </c>
      <c r="S95" s="71">
        <f t="shared" si="45"/>
        <v>293.09999999999997</v>
      </c>
      <c r="T95" s="71">
        <f t="shared" si="45"/>
        <v>289.60000000000002</v>
      </c>
      <c r="U95" s="71">
        <f>SUMIF(U84:U94,"&gt;0")</f>
        <v>304.39999999999998</v>
      </c>
      <c r="V95" s="71">
        <f t="shared" si="45"/>
        <v>282</v>
      </c>
      <c r="W95" s="71">
        <f t="shared" si="45"/>
        <v>247.5</v>
      </c>
      <c r="X95" s="71">
        <f t="shared" si="45"/>
        <v>237.5</v>
      </c>
      <c r="Y95" s="71">
        <f t="shared" si="45"/>
        <v>78.2</v>
      </c>
      <c r="Z95" s="71">
        <f t="shared" si="45"/>
        <v>33.799999999999997</v>
      </c>
      <c r="AA95" s="71">
        <f t="shared" si="45"/>
        <v>30.5</v>
      </c>
      <c r="AB95" s="71">
        <f t="shared" ref="AB95:AC95" si="46">SUMIF(AB84:AB94,"&gt;0")</f>
        <v>35.700000000000003</v>
      </c>
      <c r="AC95" s="71">
        <f t="shared" si="46"/>
        <v>22.6</v>
      </c>
      <c r="AD95" s="71">
        <f t="shared" ref="AD95:AE95" si="47">SUMIF(AD84:AD94,"&gt;0")</f>
        <v>19.600000000000001</v>
      </c>
      <c r="AE95" s="71">
        <f t="shared" si="47"/>
        <v>21.5</v>
      </c>
      <c r="AF95" s="71">
        <f t="shared" ref="AF95" si="48">SUMIF(AF84:AF94,"&gt;0")</f>
        <v>27.8</v>
      </c>
      <c r="AG95" s="101">
        <f>SUM(AG84:AG94)</f>
        <v>0</v>
      </c>
      <c r="AH95" s="48">
        <f t="shared" si="35"/>
        <v>304.39999999999998</v>
      </c>
      <c r="AI95" s="49">
        <f t="shared" si="36"/>
        <v>10.8</v>
      </c>
      <c r="BF95" s="82"/>
      <c r="BG95" s="82">
        <v>72.2</v>
      </c>
      <c r="BH95" s="82">
        <v>0</v>
      </c>
      <c r="BI95" s="82">
        <v>-60</v>
      </c>
      <c r="BJ95" s="82">
        <v>33.5</v>
      </c>
      <c r="BK95" s="82">
        <v>136.5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5"/>
        <v>0</v>
      </c>
      <c r="AI96" s="49">
        <f t="shared" si="36"/>
        <v>0</v>
      </c>
      <c r="BF96" s="82"/>
      <c r="BG96" s="82">
        <v>74</v>
      </c>
      <c r="BH96" s="82">
        <v>0</v>
      </c>
      <c r="BI96" s="82">
        <v>-63</v>
      </c>
      <c r="BJ96" s="82">
        <v>34.4</v>
      </c>
      <c r="BK96" s="82">
        <v>131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5"/>
        <v>0</v>
      </c>
      <c r="AI97" s="49">
        <f t="shared" si="36"/>
        <v>0</v>
      </c>
      <c r="BF97" s="82"/>
      <c r="BG97" s="82">
        <v>68</v>
      </c>
      <c r="BH97" s="82">
        <v>0</v>
      </c>
      <c r="BI97" s="82">
        <v>-68.2</v>
      </c>
      <c r="BJ97" s="82">
        <v>37.4</v>
      </c>
      <c r="BK97" s="82">
        <v>145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5"/>
        <v>0</v>
      </c>
      <c r="AI98" s="49">
        <f t="shared" si="36"/>
        <v>0</v>
      </c>
      <c r="BF98" s="82"/>
      <c r="BG98" s="82">
        <v>52</v>
      </c>
      <c r="BH98" s="82">
        <v>0</v>
      </c>
      <c r="BI98" s="82">
        <v>-65</v>
      </c>
      <c r="BJ98" s="82">
        <v>36</v>
      </c>
      <c r="BK98" s="82">
        <v>142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5"/>
        <v>0</v>
      </c>
      <c r="AI99" s="49">
        <f t="shared" si="36"/>
        <v>0</v>
      </c>
      <c r="BF99" s="81"/>
      <c r="BG99" s="82">
        <v>50</v>
      </c>
      <c r="BH99" s="82">
        <v>0</v>
      </c>
      <c r="BI99" s="82">
        <v>-70</v>
      </c>
      <c r="BJ99" s="82">
        <v>18.5</v>
      </c>
      <c r="BK99" s="82">
        <v>119.5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49">B61+B65+B83+B79+B95+B99</f>
        <v>1673.14</v>
      </c>
      <c r="C100" s="108">
        <f t="shared" si="49"/>
        <v>1671.14</v>
      </c>
      <c r="D100" s="108">
        <f t="shared" si="49"/>
        <v>1670.14</v>
      </c>
      <c r="E100" s="108">
        <f t="shared" si="49"/>
        <v>1675.94</v>
      </c>
      <c r="F100" s="108">
        <f t="shared" si="49"/>
        <v>1671.14</v>
      </c>
      <c r="G100" s="108">
        <f t="shared" si="49"/>
        <v>1691.84</v>
      </c>
      <c r="H100" s="108">
        <f t="shared" si="49"/>
        <v>1689.7399999999998</v>
      </c>
      <c r="I100" s="108">
        <f t="shared" si="49"/>
        <v>1681.9399999999998</v>
      </c>
      <c r="J100" s="108">
        <f t="shared" si="49"/>
        <v>1837.4399999999998</v>
      </c>
      <c r="K100" s="108">
        <f t="shared" si="49"/>
        <v>1848.04</v>
      </c>
      <c r="L100" s="108">
        <f t="shared" si="49"/>
        <v>1865.34</v>
      </c>
      <c r="M100" s="108">
        <f t="shared" si="49"/>
        <v>1934.3400000000001</v>
      </c>
      <c r="N100" s="108">
        <f t="shared" si="49"/>
        <v>1930.14</v>
      </c>
      <c r="O100" s="108">
        <f t="shared" si="49"/>
        <v>1948.74</v>
      </c>
      <c r="P100" s="108">
        <f t="shared" si="49"/>
        <v>2001.3400000000001</v>
      </c>
      <c r="Q100" s="108">
        <f t="shared" si="49"/>
        <v>2032.94</v>
      </c>
      <c r="R100" s="108">
        <f t="shared" si="49"/>
        <v>2057.84</v>
      </c>
      <c r="S100" s="108">
        <f t="shared" si="49"/>
        <v>2024.34</v>
      </c>
      <c r="T100" s="108">
        <f t="shared" si="49"/>
        <v>2037.94</v>
      </c>
      <c r="U100" s="108">
        <f t="shared" si="49"/>
        <v>1987.44</v>
      </c>
      <c r="V100" s="108">
        <f t="shared" si="49"/>
        <v>1977.24</v>
      </c>
      <c r="W100" s="108">
        <f t="shared" si="49"/>
        <v>1912.74</v>
      </c>
      <c r="X100" s="108">
        <f t="shared" si="49"/>
        <v>1744.24</v>
      </c>
      <c r="Y100" s="108">
        <f t="shared" si="49"/>
        <v>1682.3000000000002</v>
      </c>
      <c r="Z100" s="108">
        <f t="shared" si="49"/>
        <v>1811.4999999999998</v>
      </c>
      <c r="AA100" s="108">
        <f t="shared" si="49"/>
        <v>1923.94</v>
      </c>
      <c r="AB100" s="108">
        <f t="shared" ref="AB100:AC100" si="50">AB61+AB65+AB83+AB79+AB95+AB99</f>
        <v>1913.14</v>
      </c>
      <c r="AC100" s="108">
        <f t="shared" si="50"/>
        <v>1868.04</v>
      </c>
      <c r="AD100" s="108">
        <f t="shared" ref="AD100:AE100" si="51">AD61+AD65+AD83+AD79+AD95+AD99</f>
        <v>1830.64</v>
      </c>
      <c r="AE100" s="108">
        <f t="shared" si="51"/>
        <v>1817.14</v>
      </c>
      <c r="AF100" s="108">
        <f t="shared" ref="AF100" si="52">AF61+AF65+AF83+AF79+AF95+AF99</f>
        <v>1842.44</v>
      </c>
      <c r="AG100" s="72">
        <f t="shared" si="49"/>
        <v>2655.44</v>
      </c>
      <c r="AH100" s="48">
        <f t="shared" si="35"/>
        <v>2057.84</v>
      </c>
      <c r="AI100" s="49">
        <f t="shared" si="36"/>
        <v>1670.14</v>
      </c>
      <c r="BF100" s="81"/>
      <c r="BG100" s="82">
        <v>33.799999999999997</v>
      </c>
      <c r="BH100" s="82">
        <v>0</v>
      </c>
      <c r="BI100" s="82">
        <v>-94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150</v>
      </c>
      <c r="D101" s="110">
        <v>150</v>
      </c>
      <c r="E101" s="110">
        <v>150</v>
      </c>
      <c r="F101" s="110">
        <v>150</v>
      </c>
      <c r="G101" s="110">
        <v>150</v>
      </c>
      <c r="H101" s="110">
        <v>150</v>
      </c>
      <c r="I101" s="110">
        <v>150</v>
      </c>
      <c r="J101" s="110">
        <v>0</v>
      </c>
      <c r="K101" s="110"/>
      <c r="L101" s="110"/>
      <c r="M101" s="110">
        <v>50</v>
      </c>
      <c r="N101" s="110">
        <v>50</v>
      </c>
      <c r="O101" s="110">
        <v>50</v>
      </c>
      <c r="P101" s="110">
        <v>50</v>
      </c>
      <c r="Q101" s="110">
        <v>50</v>
      </c>
      <c r="R101" s="110">
        <v>50</v>
      </c>
      <c r="S101" s="110">
        <v>50</v>
      </c>
      <c r="T101" s="110">
        <v>50</v>
      </c>
      <c r="U101" s="110">
        <v>50</v>
      </c>
      <c r="V101" s="110">
        <v>50</v>
      </c>
      <c r="W101" s="110">
        <v>50</v>
      </c>
      <c r="X101" s="110">
        <v>50</v>
      </c>
      <c r="Y101" s="110">
        <v>250</v>
      </c>
      <c r="Z101" s="110">
        <v>250</v>
      </c>
      <c r="AA101" s="110">
        <v>250</v>
      </c>
      <c r="AB101" s="110">
        <v>250</v>
      </c>
      <c r="AC101" s="110">
        <v>250</v>
      </c>
      <c r="AD101" s="110">
        <v>250</v>
      </c>
      <c r="AE101" s="110">
        <v>150</v>
      </c>
      <c r="AF101" s="110">
        <v>150</v>
      </c>
      <c r="AG101" s="101"/>
      <c r="AH101" s="48">
        <f t="shared" si="35"/>
        <v>250</v>
      </c>
      <c r="AI101" s="49">
        <f t="shared" si="36"/>
        <v>0</v>
      </c>
      <c r="BF101" s="81"/>
      <c r="BG101" s="82">
        <v>35.700000000000003</v>
      </c>
      <c r="BH101" s="82">
        <v>0</v>
      </c>
      <c r="BI101" s="82">
        <v>-126.8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1823.14</v>
      </c>
      <c r="C102" s="108">
        <f t="shared" ref="C102:AA102" si="53">C100+C101</f>
        <v>1821.14</v>
      </c>
      <c r="D102" s="108">
        <f t="shared" si="53"/>
        <v>1820.14</v>
      </c>
      <c r="E102" s="108">
        <f t="shared" si="53"/>
        <v>1825.94</v>
      </c>
      <c r="F102" s="108">
        <f t="shared" si="53"/>
        <v>1821.14</v>
      </c>
      <c r="G102" s="108">
        <f t="shared" si="53"/>
        <v>1841.84</v>
      </c>
      <c r="H102" s="108">
        <f t="shared" si="53"/>
        <v>1839.7399999999998</v>
      </c>
      <c r="I102" s="108">
        <f t="shared" si="53"/>
        <v>1831.9399999999998</v>
      </c>
      <c r="J102" s="108">
        <f t="shared" si="53"/>
        <v>1837.4399999999998</v>
      </c>
      <c r="K102" s="108">
        <f t="shared" si="53"/>
        <v>1848.04</v>
      </c>
      <c r="L102" s="108">
        <f t="shared" si="53"/>
        <v>1865.34</v>
      </c>
      <c r="M102" s="108">
        <f t="shared" si="53"/>
        <v>1984.3400000000001</v>
      </c>
      <c r="N102" s="108">
        <f t="shared" si="53"/>
        <v>1980.14</v>
      </c>
      <c r="O102" s="108">
        <f t="shared" si="53"/>
        <v>1998.74</v>
      </c>
      <c r="P102" s="108">
        <f t="shared" si="53"/>
        <v>2051.34</v>
      </c>
      <c r="Q102" s="108">
        <f t="shared" si="53"/>
        <v>2082.94</v>
      </c>
      <c r="R102" s="108">
        <f t="shared" si="53"/>
        <v>2107.84</v>
      </c>
      <c r="S102" s="108">
        <f t="shared" si="53"/>
        <v>2074.34</v>
      </c>
      <c r="T102" s="108">
        <f t="shared" si="53"/>
        <v>2087.94</v>
      </c>
      <c r="U102" s="108">
        <f t="shared" si="53"/>
        <v>2037.44</v>
      </c>
      <c r="V102" s="108">
        <f t="shared" si="53"/>
        <v>2027.24</v>
      </c>
      <c r="W102" s="108">
        <f t="shared" si="53"/>
        <v>1962.74</v>
      </c>
      <c r="X102" s="108">
        <f t="shared" si="53"/>
        <v>1794.24</v>
      </c>
      <c r="Y102" s="108">
        <f t="shared" si="53"/>
        <v>1932.3000000000002</v>
      </c>
      <c r="Z102" s="108">
        <f t="shared" si="53"/>
        <v>2061.5</v>
      </c>
      <c r="AA102" s="108">
        <f t="shared" si="53"/>
        <v>2173.94</v>
      </c>
      <c r="AB102" s="108">
        <f t="shared" ref="AB102:AC102" si="54">AB100+AB101</f>
        <v>2163.1400000000003</v>
      </c>
      <c r="AC102" s="108">
        <f t="shared" si="54"/>
        <v>2118.04</v>
      </c>
      <c r="AD102" s="108">
        <f t="shared" ref="AD102:AE102" si="55">AD100+AD101</f>
        <v>2080.6400000000003</v>
      </c>
      <c r="AE102" s="108">
        <f t="shared" si="55"/>
        <v>1967.14</v>
      </c>
      <c r="AF102" s="108">
        <f t="shared" ref="AF102" si="56">AF100+AF101</f>
        <v>1992.44</v>
      </c>
      <c r="AG102" s="101">
        <f>AG99+AG95+AG83+AG79+AG61+AG101</f>
        <v>2117.34</v>
      </c>
      <c r="AH102" s="48">
        <f t="shared" si="35"/>
        <v>2173.94</v>
      </c>
      <c r="AI102" s="49">
        <f t="shared" si="36"/>
        <v>1794.24</v>
      </c>
      <c r="BF102" s="81"/>
      <c r="BG102" s="82">
        <v>19.600000000000001</v>
      </c>
      <c r="BH102" s="82">
        <v>0</v>
      </c>
      <c r="BI102" s="82">
        <v>-113.2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1664.14</v>
      </c>
      <c r="C103" s="108">
        <f t="shared" ref="C103:AA103" si="57">C102-(C110)</f>
        <v>1629.14</v>
      </c>
      <c r="D103" s="108">
        <f t="shared" si="57"/>
        <v>1630.14</v>
      </c>
      <c r="E103" s="108">
        <f t="shared" si="57"/>
        <v>1605.94</v>
      </c>
      <c r="F103" s="108">
        <f t="shared" si="57"/>
        <v>1611.14</v>
      </c>
      <c r="G103" s="108">
        <f t="shared" si="57"/>
        <v>1611.84</v>
      </c>
      <c r="H103" s="108">
        <f t="shared" si="57"/>
        <v>1600.7399999999998</v>
      </c>
      <c r="I103" s="108">
        <f t="shared" si="57"/>
        <v>1626.9399999999998</v>
      </c>
      <c r="J103" s="108">
        <f t="shared" si="57"/>
        <v>1542.4399999999998</v>
      </c>
      <c r="K103" s="108">
        <f t="shared" si="57"/>
        <v>1637.04</v>
      </c>
      <c r="L103" s="108">
        <f t="shared" si="57"/>
        <v>1687.34</v>
      </c>
      <c r="M103" s="108">
        <f t="shared" si="57"/>
        <v>1799.3400000000001</v>
      </c>
      <c r="N103" s="108">
        <f t="shared" si="57"/>
        <v>1823.14</v>
      </c>
      <c r="O103" s="108">
        <f t="shared" si="57"/>
        <v>1928.74</v>
      </c>
      <c r="P103" s="108">
        <f t="shared" si="57"/>
        <v>1959.3400000000001</v>
      </c>
      <c r="Q103" s="108">
        <f t="shared" si="57"/>
        <v>1979.04</v>
      </c>
      <c r="R103" s="108">
        <f t="shared" si="57"/>
        <v>2007.8400000000001</v>
      </c>
      <c r="S103" s="108">
        <f t="shared" si="57"/>
        <v>2014.3400000000001</v>
      </c>
      <c r="T103" s="108">
        <f t="shared" si="57"/>
        <v>2024.94</v>
      </c>
      <c r="U103" s="108">
        <f t="shared" si="57"/>
        <v>1969.24</v>
      </c>
      <c r="V103" s="108">
        <f t="shared" si="57"/>
        <v>1962.24</v>
      </c>
      <c r="W103" s="108">
        <f t="shared" si="57"/>
        <v>1882.74</v>
      </c>
      <c r="X103" s="108">
        <f t="shared" si="57"/>
        <v>1724.24</v>
      </c>
      <c r="Y103" s="108">
        <f t="shared" si="57"/>
        <v>1820.3000000000002</v>
      </c>
      <c r="Z103" s="108">
        <f t="shared" si="57"/>
        <v>1967.5</v>
      </c>
      <c r="AA103" s="108">
        <f t="shared" si="57"/>
        <v>2068.94</v>
      </c>
      <c r="AB103" s="108">
        <f t="shared" ref="AB103:AC103" si="58">AB102-(AB110)</f>
        <v>2036.3400000000004</v>
      </c>
      <c r="AC103" s="108">
        <f t="shared" si="58"/>
        <v>2011.44</v>
      </c>
      <c r="AD103" s="108">
        <f t="shared" ref="AD103:AE103" si="59">AD102-(AD110)</f>
        <v>1967.4400000000003</v>
      </c>
      <c r="AE103" s="108">
        <f t="shared" si="59"/>
        <v>1830.64</v>
      </c>
      <c r="AF103" s="108">
        <f t="shared" ref="AF103" si="60">AF102-(AF110)</f>
        <v>1773.3400000000001</v>
      </c>
      <c r="AG103" s="101"/>
      <c r="AH103" s="48">
        <f t="shared" si="35"/>
        <v>2068.94</v>
      </c>
      <c r="AI103" s="49">
        <f t="shared" si="36"/>
        <v>1542.4399999999998</v>
      </c>
      <c r="BF103" s="81"/>
      <c r="BG103" s="82">
        <v>21.5</v>
      </c>
      <c r="BH103" s="82">
        <v>0</v>
      </c>
      <c r="BI103" s="82">
        <v>-136.5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A109" si="61">IF(C84&lt;0,C84*-1,0)</f>
        <v>0</v>
      </c>
      <c r="D104" s="89">
        <f t="shared" si="61"/>
        <v>0</v>
      </c>
      <c r="E104" s="89">
        <f t="shared" si="61"/>
        <v>0</v>
      </c>
      <c r="F104" s="89">
        <f t="shared" si="61"/>
        <v>0</v>
      </c>
      <c r="G104" s="89">
        <f t="shared" si="61"/>
        <v>0</v>
      </c>
      <c r="H104" s="89">
        <f t="shared" si="61"/>
        <v>0</v>
      </c>
      <c r="I104" s="89">
        <f t="shared" si="61"/>
        <v>0</v>
      </c>
      <c r="J104" s="89">
        <f t="shared" si="61"/>
        <v>0</v>
      </c>
      <c r="K104" s="89">
        <f t="shared" si="61"/>
        <v>0</v>
      </c>
      <c r="L104" s="89">
        <f t="shared" si="61"/>
        <v>0</v>
      </c>
      <c r="M104" s="89">
        <f t="shared" si="61"/>
        <v>0</v>
      </c>
      <c r="N104" s="89">
        <f t="shared" si="61"/>
        <v>0</v>
      </c>
      <c r="O104" s="89">
        <f t="shared" si="61"/>
        <v>0</v>
      </c>
      <c r="P104" s="89">
        <f t="shared" si="61"/>
        <v>0</v>
      </c>
      <c r="Q104" s="89">
        <f t="shared" si="61"/>
        <v>0</v>
      </c>
      <c r="R104" s="89">
        <f t="shared" si="61"/>
        <v>0</v>
      </c>
      <c r="S104" s="89">
        <f t="shared" si="61"/>
        <v>0</v>
      </c>
      <c r="T104" s="89">
        <f t="shared" si="61"/>
        <v>0</v>
      </c>
      <c r="U104" s="89">
        <f t="shared" si="61"/>
        <v>0</v>
      </c>
      <c r="V104" s="89">
        <f t="shared" si="61"/>
        <v>0</v>
      </c>
      <c r="W104" s="89">
        <f t="shared" si="61"/>
        <v>0</v>
      </c>
      <c r="X104" s="89">
        <f t="shared" si="61"/>
        <v>0</v>
      </c>
      <c r="Y104" s="89">
        <f t="shared" si="61"/>
        <v>0</v>
      </c>
      <c r="Z104" s="89">
        <f t="shared" si="61"/>
        <v>0</v>
      </c>
      <c r="AA104" s="89">
        <f t="shared" si="61"/>
        <v>0</v>
      </c>
      <c r="AB104" s="89">
        <f t="shared" ref="AB104:AC104" si="62">IF(AB84&lt;0,AB84*-1,0)</f>
        <v>0</v>
      </c>
      <c r="AC104" s="89">
        <f t="shared" si="62"/>
        <v>0</v>
      </c>
      <c r="AD104" s="89">
        <f t="shared" ref="AD104:AE104" si="63">IF(AD84&lt;0,AD84*-1,0)</f>
        <v>0</v>
      </c>
      <c r="AE104" s="89">
        <f t="shared" si="63"/>
        <v>0</v>
      </c>
      <c r="AF104" s="89">
        <f t="shared" ref="AF104" si="64">IF(AF84&lt;0,AF84*-1,0)</f>
        <v>0</v>
      </c>
      <c r="AG104" s="61"/>
      <c r="AH104" s="48">
        <f t="shared" si="35"/>
        <v>0</v>
      </c>
      <c r="AI104" s="49">
        <f t="shared" si="36"/>
        <v>0</v>
      </c>
      <c r="BG104" s="82">
        <v>27.8</v>
      </c>
      <c r="BH104" s="82">
        <v>0</v>
      </c>
      <c r="BI104" s="82">
        <v>-219.1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65">IF(B85&lt;0,B85*-1,0)</f>
        <v>0</v>
      </c>
      <c r="C105" s="89">
        <f t="shared" si="65"/>
        <v>0</v>
      </c>
      <c r="D105" s="89">
        <f t="shared" si="65"/>
        <v>0</v>
      </c>
      <c r="E105" s="89">
        <f t="shared" si="65"/>
        <v>0</v>
      </c>
      <c r="F105" s="89">
        <f t="shared" si="65"/>
        <v>0</v>
      </c>
      <c r="G105" s="89">
        <f t="shared" si="65"/>
        <v>0</v>
      </c>
      <c r="H105" s="89">
        <f t="shared" si="65"/>
        <v>0</v>
      </c>
      <c r="I105" s="89">
        <f t="shared" si="65"/>
        <v>0</v>
      </c>
      <c r="J105" s="89">
        <f t="shared" si="65"/>
        <v>0</v>
      </c>
      <c r="K105" s="89">
        <f t="shared" si="65"/>
        <v>0</v>
      </c>
      <c r="L105" s="89">
        <f t="shared" si="65"/>
        <v>0</v>
      </c>
      <c r="M105" s="89">
        <f t="shared" si="65"/>
        <v>0</v>
      </c>
      <c r="N105" s="89">
        <f t="shared" si="65"/>
        <v>0</v>
      </c>
      <c r="O105" s="89">
        <f t="shared" si="65"/>
        <v>0</v>
      </c>
      <c r="P105" s="89">
        <f t="shared" si="65"/>
        <v>0</v>
      </c>
      <c r="Q105" s="89">
        <f t="shared" si="65"/>
        <v>0</v>
      </c>
      <c r="R105" s="89">
        <f t="shared" si="61"/>
        <v>0</v>
      </c>
      <c r="S105" s="89">
        <f t="shared" si="61"/>
        <v>0</v>
      </c>
      <c r="T105" s="89">
        <f t="shared" si="61"/>
        <v>0</v>
      </c>
      <c r="U105" s="89">
        <f t="shared" si="61"/>
        <v>0</v>
      </c>
      <c r="V105" s="89">
        <f t="shared" si="61"/>
        <v>0</v>
      </c>
      <c r="W105" s="89">
        <f t="shared" si="61"/>
        <v>0</v>
      </c>
      <c r="X105" s="89">
        <f t="shared" si="61"/>
        <v>0</v>
      </c>
      <c r="Y105" s="89">
        <f t="shared" si="61"/>
        <v>0</v>
      </c>
      <c r="Z105" s="89">
        <f t="shared" si="61"/>
        <v>0</v>
      </c>
      <c r="AA105" s="89">
        <f t="shared" si="61"/>
        <v>0</v>
      </c>
      <c r="AB105" s="89">
        <f t="shared" ref="AB105:AC105" si="66">IF(AB85&lt;0,AB85*-1,0)</f>
        <v>0</v>
      </c>
      <c r="AC105" s="89">
        <f t="shared" si="66"/>
        <v>0</v>
      </c>
      <c r="AD105" s="89">
        <f t="shared" ref="AD105:AE105" si="67">IF(AD85&lt;0,AD85*-1,0)</f>
        <v>0</v>
      </c>
      <c r="AE105" s="89">
        <f t="shared" si="67"/>
        <v>0</v>
      </c>
      <c r="AF105" s="89">
        <f t="shared" ref="AF105" si="68">IF(AF85&lt;0,AF85*-1,0)</f>
        <v>0</v>
      </c>
      <c r="AG105" s="66"/>
      <c r="AH105" s="48">
        <f t="shared" si="35"/>
        <v>0</v>
      </c>
      <c r="AI105" s="49">
        <f t="shared" si="36"/>
        <v>0</v>
      </c>
      <c r="AK105" s="51"/>
      <c r="BG105" s="82">
        <v>27</v>
      </c>
      <c r="BH105" s="82">
        <v>0</v>
      </c>
      <c r="BI105" s="82">
        <v>-159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65"/>
        <v>159</v>
      </c>
      <c r="C106" s="89">
        <f t="shared" si="61"/>
        <v>192</v>
      </c>
      <c r="D106" s="89">
        <f t="shared" si="61"/>
        <v>190</v>
      </c>
      <c r="E106" s="89">
        <f t="shared" si="61"/>
        <v>220</v>
      </c>
      <c r="F106" s="89">
        <f t="shared" si="61"/>
        <v>210</v>
      </c>
      <c r="G106" s="89">
        <f t="shared" si="61"/>
        <v>230</v>
      </c>
      <c r="H106" s="89">
        <f t="shared" si="61"/>
        <v>239</v>
      </c>
      <c r="I106" s="89">
        <f t="shared" si="61"/>
        <v>205</v>
      </c>
      <c r="J106" s="89">
        <f t="shared" si="61"/>
        <v>295</v>
      </c>
      <c r="K106" s="89">
        <f t="shared" si="61"/>
        <v>211</v>
      </c>
      <c r="L106" s="89">
        <f t="shared" si="61"/>
        <v>178</v>
      </c>
      <c r="M106" s="89">
        <f t="shared" si="61"/>
        <v>185</v>
      </c>
      <c r="N106" s="89">
        <f t="shared" si="61"/>
        <v>157</v>
      </c>
      <c r="O106" s="89">
        <f t="shared" si="61"/>
        <v>70</v>
      </c>
      <c r="P106" s="89">
        <f t="shared" si="61"/>
        <v>92</v>
      </c>
      <c r="Q106" s="89">
        <f t="shared" si="61"/>
        <v>103.9</v>
      </c>
      <c r="R106" s="89">
        <f t="shared" si="61"/>
        <v>100</v>
      </c>
      <c r="S106" s="89">
        <f t="shared" si="61"/>
        <v>60</v>
      </c>
      <c r="T106" s="89">
        <f t="shared" si="61"/>
        <v>63</v>
      </c>
      <c r="U106" s="89">
        <f t="shared" si="61"/>
        <v>68.2</v>
      </c>
      <c r="V106" s="89">
        <f t="shared" si="61"/>
        <v>65</v>
      </c>
      <c r="W106" s="89">
        <f t="shared" si="61"/>
        <v>80</v>
      </c>
      <c r="X106" s="89">
        <f t="shared" si="61"/>
        <v>70</v>
      </c>
      <c r="Y106" s="89">
        <f t="shared" si="61"/>
        <v>112</v>
      </c>
      <c r="Z106" s="89">
        <f t="shared" si="61"/>
        <v>94</v>
      </c>
      <c r="AA106" s="89">
        <f t="shared" si="61"/>
        <v>105</v>
      </c>
      <c r="AB106" s="89">
        <f t="shared" ref="AB106:AC106" si="69">IF(AB86&lt;0,AB86*-1,0)</f>
        <v>126.8</v>
      </c>
      <c r="AC106" s="89">
        <f t="shared" si="69"/>
        <v>106.6</v>
      </c>
      <c r="AD106" s="89">
        <f t="shared" ref="AD106:AE106" si="70">IF(AD86&lt;0,AD86*-1,0)</f>
        <v>113.2</v>
      </c>
      <c r="AE106" s="89">
        <f t="shared" si="70"/>
        <v>136.5</v>
      </c>
      <c r="AF106" s="89">
        <f t="shared" ref="AF106" si="71">IF(AF86&lt;0,AF86*-1,0)</f>
        <v>219.1</v>
      </c>
      <c r="AG106" s="111"/>
      <c r="AH106" s="48">
        <f t="shared" si="35"/>
        <v>295</v>
      </c>
      <c r="AI106" s="49">
        <f t="shared" si="36"/>
        <v>60</v>
      </c>
    </row>
    <row r="107" spans="1:64" x14ac:dyDescent="0.25">
      <c r="A107" s="97" t="s">
        <v>107</v>
      </c>
      <c r="B107" s="89">
        <f t="shared" si="65"/>
        <v>0</v>
      </c>
      <c r="C107" s="89">
        <f t="shared" si="61"/>
        <v>0</v>
      </c>
      <c r="D107" s="89">
        <f t="shared" si="61"/>
        <v>0</v>
      </c>
      <c r="E107" s="89">
        <f t="shared" si="61"/>
        <v>0</v>
      </c>
      <c r="F107" s="89">
        <f t="shared" si="61"/>
        <v>0</v>
      </c>
      <c r="G107" s="89">
        <f t="shared" si="61"/>
        <v>0</v>
      </c>
      <c r="H107" s="89">
        <f t="shared" si="61"/>
        <v>0</v>
      </c>
      <c r="I107" s="89">
        <f t="shared" si="61"/>
        <v>0</v>
      </c>
      <c r="J107" s="89">
        <f t="shared" si="61"/>
        <v>0</v>
      </c>
      <c r="K107" s="89">
        <f t="shared" si="61"/>
        <v>0</v>
      </c>
      <c r="L107" s="89">
        <f t="shared" si="61"/>
        <v>0</v>
      </c>
      <c r="M107" s="89">
        <f t="shared" si="61"/>
        <v>0</v>
      </c>
      <c r="N107" s="89">
        <f t="shared" si="61"/>
        <v>0</v>
      </c>
      <c r="O107" s="89">
        <f t="shared" si="61"/>
        <v>0</v>
      </c>
      <c r="P107" s="89">
        <f t="shared" si="61"/>
        <v>0</v>
      </c>
      <c r="Q107" s="89">
        <f t="shared" si="61"/>
        <v>0</v>
      </c>
      <c r="R107" s="89">
        <f t="shared" si="61"/>
        <v>0</v>
      </c>
      <c r="S107" s="89">
        <f t="shared" si="61"/>
        <v>0</v>
      </c>
      <c r="T107" s="89">
        <f t="shared" si="61"/>
        <v>0</v>
      </c>
      <c r="U107" s="89">
        <f t="shared" si="61"/>
        <v>0</v>
      </c>
      <c r="V107" s="89">
        <f t="shared" si="61"/>
        <v>0</v>
      </c>
      <c r="W107" s="89">
        <f t="shared" si="61"/>
        <v>0</v>
      </c>
      <c r="X107" s="89">
        <f t="shared" si="61"/>
        <v>0</v>
      </c>
      <c r="Y107" s="89">
        <f t="shared" si="61"/>
        <v>0</v>
      </c>
      <c r="Z107" s="89">
        <f t="shared" si="61"/>
        <v>0</v>
      </c>
      <c r="AA107" s="89">
        <f t="shared" si="61"/>
        <v>0</v>
      </c>
      <c r="AB107" s="89">
        <f t="shared" ref="AB107:AC107" si="72">IF(AB87&lt;0,AB87*-1,0)</f>
        <v>0</v>
      </c>
      <c r="AC107" s="89">
        <f t="shared" si="72"/>
        <v>0</v>
      </c>
      <c r="AD107" s="89">
        <f t="shared" ref="AD107:AE107" si="73">IF(AD87&lt;0,AD87*-1,0)</f>
        <v>0</v>
      </c>
      <c r="AE107" s="89">
        <f t="shared" si="73"/>
        <v>0</v>
      </c>
      <c r="AF107" s="89">
        <f t="shared" ref="AF107" si="74">IF(AF87&lt;0,AF87*-1,0)</f>
        <v>0</v>
      </c>
      <c r="AG107" s="111"/>
      <c r="AH107" s="48">
        <f t="shared" si="35"/>
        <v>0</v>
      </c>
      <c r="AI107" s="49">
        <f t="shared" si="36"/>
        <v>0</v>
      </c>
    </row>
    <row r="108" spans="1:64" x14ac:dyDescent="0.25">
      <c r="A108" s="97" t="s">
        <v>108</v>
      </c>
      <c r="B108" s="89">
        <f t="shared" si="65"/>
        <v>0</v>
      </c>
      <c r="C108" s="89">
        <f t="shared" si="61"/>
        <v>0</v>
      </c>
      <c r="D108" s="89">
        <f t="shared" si="61"/>
        <v>0</v>
      </c>
      <c r="E108" s="89">
        <f t="shared" si="61"/>
        <v>0</v>
      </c>
      <c r="F108" s="89">
        <f t="shared" si="61"/>
        <v>0</v>
      </c>
      <c r="G108" s="89">
        <f t="shared" si="61"/>
        <v>0</v>
      </c>
      <c r="H108" s="89">
        <f t="shared" si="61"/>
        <v>0</v>
      </c>
      <c r="I108" s="89">
        <f t="shared" si="61"/>
        <v>0</v>
      </c>
      <c r="J108" s="89">
        <f t="shared" si="61"/>
        <v>0</v>
      </c>
      <c r="K108" s="89">
        <f t="shared" si="61"/>
        <v>0</v>
      </c>
      <c r="L108" s="89">
        <f t="shared" si="61"/>
        <v>0</v>
      </c>
      <c r="M108" s="89">
        <f t="shared" si="61"/>
        <v>0</v>
      </c>
      <c r="N108" s="89">
        <f t="shared" si="61"/>
        <v>0</v>
      </c>
      <c r="O108" s="89">
        <f t="shared" si="61"/>
        <v>0</v>
      </c>
      <c r="P108" s="89">
        <f t="shared" si="61"/>
        <v>0</v>
      </c>
      <c r="Q108" s="89">
        <f t="shared" si="61"/>
        <v>0</v>
      </c>
      <c r="R108" s="89">
        <f t="shared" si="61"/>
        <v>0</v>
      </c>
      <c r="S108" s="89">
        <f t="shared" si="61"/>
        <v>0</v>
      </c>
      <c r="T108" s="89">
        <f t="shared" si="61"/>
        <v>0</v>
      </c>
      <c r="U108" s="89">
        <f t="shared" si="61"/>
        <v>0</v>
      </c>
      <c r="V108" s="89">
        <f t="shared" si="61"/>
        <v>0</v>
      </c>
      <c r="W108" s="89">
        <f t="shared" si="61"/>
        <v>0</v>
      </c>
      <c r="X108" s="89">
        <f t="shared" si="61"/>
        <v>0</v>
      </c>
      <c r="Y108" s="89">
        <f t="shared" si="61"/>
        <v>0</v>
      </c>
      <c r="Z108" s="89">
        <f t="shared" si="61"/>
        <v>0</v>
      </c>
      <c r="AA108" s="89">
        <f t="shared" si="61"/>
        <v>0</v>
      </c>
      <c r="AB108" s="89">
        <f t="shared" ref="AB108:AC108" si="75">IF(AB88&lt;0,AB88*-1,0)</f>
        <v>0</v>
      </c>
      <c r="AC108" s="89">
        <f t="shared" si="75"/>
        <v>0</v>
      </c>
      <c r="AD108" s="89">
        <f t="shared" ref="AD108:AE108" si="76">IF(AD88&lt;0,AD88*-1,0)</f>
        <v>0</v>
      </c>
      <c r="AE108" s="89">
        <f t="shared" si="76"/>
        <v>0</v>
      </c>
      <c r="AF108" s="89">
        <f t="shared" ref="AF108" si="77">IF(AF88&lt;0,AF88*-1,0)</f>
        <v>0</v>
      </c>
      <c r="AG108" s="111"/>
      <c r="AH108" s="48">
        <f t="shared" si="35"/>
        <v>0</v>
      </c>
      <c r="AI108" s="49">
        <f t="shared" si="36"/>
        <v>0</v>
      </c>
    </row>
    <row r="109" spans="1:64" ht="15.75" thickBot="1" x14ac:dyDescent="0.3">
      <c r="A109" s="97" t="s">
        <v>117</v>
      </c>
      <c r="B109" s="89">
        <f t="shared" si="65"/>
        <v>0</v>
      </c>
      <c r="C109" s="89">
        <f t="shared" si="61"/>
        <v>0</v>
      </c>
      <c r="D109" s="89">
        <f t="shared" si="61"/>
        <v>0</v>
      </c>
      <c r="E109" s="89">
        <f t="shared" si="61"/>
        <v>0</v>
      </c>
      <c r="F109" s="89">
        <f t="shared" si="61"/>
        <v>0</v>
      </c>
      <c r="G109" s="89">
        <f t="shared" si="61"/>
        <v>0</v>
      </c>
      <c r="H109" s="89">
        <f t="shared" si="61"/>
        <v>0</v>
      </c>
      <c r="I109" s="89">
        <f t="shared" si="61"/>
        <v>0</v>
      </c>
      <c r="J109" s="89">
        <f t="shared" si="61"/>
        <v>0</v>
      </c>
      <c r="K109" s="89">
        <f t="shared" si="61"/>
        <v>0</v>
      </c>
      <c r="L109" s="89">
        <f t="shared" si="61"/>
        <v>0</v>
      </c>
      <c r="M109" s="89">
        <f t="shared" si="61"/>
        <v>0</v>
      </c>
      <c r="N109" s="89">
        <f t="shared" si="61"/>
        <v>0</v>
      </c>
      <c r="O109" s="89">
        <f t="shared" si="61"/>
        <v>0</v>
      </c>
      <c r="P109" s="89">
        <f t="shared" si="61"/>
        <v>0</v>
      </c>
      <c r="Q109" s="89">
        <f t="shared" si="61"/>
        <v>0</v>
      </c>
      <c r="R109" s="89">
        <f t="shared" si="61"/>
        <v>0</v>
      </c>
      <c r="S109" s="89">
        <f t="shared" si="61"/>
        <v>0</v>
      </c>
      <c r="T109" s="89">
        <f t="shared" si="61"/>
        <v>0</v>
      </c>
      <c r="U109" s="89">
        <f t="shared" si="61"/>
        <v>0</v>
      </c>
      <c r="V109" s="89">
        <f t="shared" si="61"/>
        <v>0</v>
      </c>
      <c r="W109" s="89">
        <f t="shared" si="61"/>
        <v>0</v>
      </c>
      <c r="X109" s="89">
        <f t="shared" si="61"/>
        <v>0</v>
      </c>
      <c r="Y109" s="89">
        <f t="shared" si="61"/>
        <v>0</v>
      </c>
      <c r="Z109" s="89">
        <f t="shared" si="61"/>
        <v>0</v>
      </c>
      <c r="AA109" s="89">
        <f t="shared" si="61"/>
        <v>0</v>
      </c>
      <c r="AB109" s="89">
        <f t="shared" ref="AB109:AC109" si="78">IF(AB89&lt;0,AB89*-1,0)</f>
        <v>0</v>
      </c>
      <c r="AC109" s="89">
        <f t="shared" si="78"/>
        <v>0</v>
      </c>
      <c r="AD109" s="89">
        <f t="shared" ref="AD109:AE109" si="79">IF(AD89&lt;0,AD89*-1,0)</f>
        <v>0</v>
      </c>
      <c r="AE109" s="89">
        <f t="shared" si="79"/>
        <v>0</v>
      </c>
      <c r="AF109" s="89">
        <f t="shared" ref="AF109" si="80">IF(AF89&lt;0,AF89*-1,0)</f>
        <v>0</v>
      </c>
      <c r="AG109" s="98"/>
      <c r="AH109" s="48">
        <f t="shared" si="35"/>
        <v>0</v>
      </c>
      <c r="AI109" s="49">
        <f t="shared" si="36"/>
        <v>0</v>
      </c>
    </row>
    <row r="110" spans="1:64" ht="15.75" thickBot="1" x14ac:dyDescent="0.3">
      <c r="A110" s="112" t="s">
        <v>130</v>
      </c>
      <c r="B110" s="71">
        <f>SUM(B104:B109)</f>
        <v>159</v>
      </c>
      <c r="C110" s="71">
        <f t="shared" ref="C110:AA110" si="81">SUM(C104:C109)</f>
        <v>192</v>
      </c>
      <c r="D110" s="71">
        <f t="shared" si="81"/>
        <v>190</v>
      </c>
      <c r="E110" s="71">
        <f t="shared" si="81"/>
        <v>220</v>
      </c>
      <c r="F110" s="71">
        <f t="shared" si="81"/>
        <v>210</v>
      </c>
      <c r="G110" s="71">
        <f t="shared" si="81"/>
        <v>230</v>
      </c>
      <c r="H110" s="71">
        <f t="shared" si="81"/>
        <v>239</v>
      </c>
      <c r="I110" s="71">
        <f t="shared" si="81"/>
        <v>205</v>
      </c>
      <c r="J110" s="71">
        <f t="shared" si="81"/>
        <v>295</v>
      </c>
      <c r="K110" s="71">
        <f t="shared" si="81"/>
        <v>211</v>
      </c>
      <c r="L110" s="71">
        <f t="shared" si="81"/>
        <v>178</v>
      </c>
      <c r="M110" s="71">
        <f t="shared" si="81"/>
        <v>185</v>
      </c>
      <c r="N110" s="71">
        <f t="shared" si="81"/>
        <v>157</v>
      </c>
      <c r="O110" s="71">
        <f t="shared" si="81"/>
        <v>70</v>
      </c>
      <c r="P110" s="71">
        <f t="shared" si="81"/>
        <v>92</v>
      </c>
      <c r="Q110" s="71">
        <f t="shared" si="81"/>
        <v>103.9</v>
      </c>
      <c r="R110" s="71">
        <f t="shared" si="81"/>
        <v>100</v>
      </c>
      <c r="S110" s="71">
        <f t="shared" si="81"/>
        <v>60</v>
      </c>
      <c r="T110" s="71">
        <f t="shared" si="81"/>
        <v>63</v>
      </c>
      <c r="U110" s="71">
        <f t="shared" si="81"/>
        <v>68.2</v>
      </c>
      <c r="V110" s="71">
        <f t="shared" si="81"/>
        <v>65</v>
      </c>
      <c r="W110" s="71">
        <f t="shared" si="81"/>
        <v>80</v>
      </c>
      <c r="X110" s="71">
        <f t="shared" si="81"/>
        <v>70</v>
      </c>
      <c r="Y110" s="71">
        <f t="shared" si="81"/>
        <v>112</v>
      </c>
      <c r="Z110" s="71">
        <f t="shared" si="81"/>
        <v>94</v>
      </c>
      <c r="AA110" s="71">
        <f t="shared" si="81"/>
        <v>105</v>
      </c>
      <c r="AB110" s="71">
        <f t="shared" ref="AB110:AC110" si="82">SUM(AB104:AB109)</f>
        <v>126.8</v>
      </c>
      <c r="AC110" s="71">
        <f t="shared" si="82"/>
        <v>106.6</v>
      </c>
      <c r="AD110" s="71">
        <f t="shared" ref="AD110:AE110" si="83">SUM(AD104:AD109)</f>
        <v>113.2</v>
      </c>
      <c r="AE110" s="71">
        <f t="shared" si="83"/>
        <v>136.5</v>
      </c>
      <c r="AF110" s="71">
        <f t="shared" ref="AF110" si="84">SUM(AF104:AF109)</f>
        <v>219.1</v>
      </c>
      <c r="AG110" s="101"/>
      <c r="AH110" s="48">
        <f t="shared" si="35"/>
        <v>295</v>
      </c>
      <c r="AI110" s="49">
        <f t="shared" si="36"/>
        <v>60</v>
      </c>
    </row>
    <row r="111" spans="1:64" ht="15.75" thickBot="1" x14ac:dyDescent="0.3">
      <c r="A111" s="87" t="s">
        <v>131</v>
      </c>
      <c r="B111" s="71">
        <f t="shared" ref="B111:AA111" si="85">B95-B110</f>
        <v>-132</v>
      </c>
      <c r="C111" s="71">
        <f t="shared" si="85"/>
        <v>-167</v>
      </c>
      <c r="D111" s="71">
        <f t="shared" si="85"/>
        <v>-166</v>
      </c>
      <c r="E111" s="71">
        <f t="shared" si="85"/>
        <v>-190.2</v>
      </c>
      <c r="F111" s="71">
        <f t="shared" si="85"/>
        <v>-185</v>
      </c>
      <c r="G111" s="71">
        <f t="shared" si="85"/>
        <v>-209.3</v>
      </c>
      <c r="H111" s="71">
        <f t="shared" si="85"/>
        <v>-220.4</v>
      </c>
      <c r="I111" s="71">
        <f t="shared" si="85"/>
        <v>-194.2</v>
      </c>
      <c r="J111" s="71">
        <f t="shared" si="85"/>
        <v>-128.69999999999999</v>
      </c>
      <c r="K111" s="71">
        <f t="shared" si="85"/>
        <v>-34.099999999999994</v>
      </c>
      <c r="L111" s="71">
        <f t="shared" si="85"/>
        <v>16.199999999999989</v>
      </c>
      <c r="M111" s="71">
        <f t="shared" si="85"/>
        <v>25.599999999999994</v>
      </c>
      <c r="N111" s="71">
        <f t="shared" si="85"/>
        <v>65.300000000000011</v>
      </c>
      <c r="O111" s="71">
        <f t="shared" si="85"/>
        <v>141.69999999999999</v>
      </c>
      <c r="P111" s="71">
        <f t="shared" si="85"/>
        <v>179.89999999999998</v>
      </c>
      <c r="Q111" s="71">
        <f t="shared" si="85"/>
        <v>174.6</v>
      </c>
      <c r="R111" s="71">
        <f t="shared" si="85"/>
        <v>202.8</v>
      </c>
      <c r="S111" s="71">
        <f t="shared" si="85"/>
        <v>233.09999999999997</v>
      </c>
      <c r="T111" s="71">
        <f t="shared" si="85"/>
        <v>226.60000000000002</v>
      </c>
      <c r="U111" s="71">
        <f t="shared" si="85"/>
        <v>236.2</v>
      </c>
      <c r="V111" s="71">
        <f t="shared" si="85"/>
        <v>217</v>
      </c>
      <c r="W111" s="71">
        <f t="shared" si="85"/>
        <v>167.5</v>
      </c>
      <c r="X111" s="71">
        <f t="shared" si="85"/>
        <v>167.5</v>
      </c>
      <c r="Y111" s="71">
        <f t="shared" si="85"/>
        <v>-33.799999999999997</v>
      </c>
      <c r="Z111" s="71">
        <f t="shared" si="85"/>
        <v>-60.2</v>
      </c>
      <c r="AA111" s="71">
        <f t="shared" si="85"/>
        <v>-74.5</v>
      </c>
      <c r="AB111" s="71">
        <f t="shared" ref="AB111:AC111" si="86">AB95-AB110</f>
        <v>-91.1</v>
      </c>
      <c r="AC111" s="71">
        <f t="shared" si="86"/>
        <v>-84</v>
      </c>
      <c r="AD111" s="71">
        <f t="shared" ref="AD111:AE111" si="87">AD95-AD110</f>
        <v>-93.6</v>
      </c>
      <c r="AE111" s="71">
        <f t="shared" si="87"/>
        <v>-115</v>
      </c>
      <c r="AF111" s="71">
        <f t="shared" ref="AF111" si="88">AF95-AF110</f>
        <v>-191.29999999999998</v>
      </c>
      <c r="AG111" s="101"/>
      <c r="AH111" s="48">
        <f t="shared" si="35"/>
        <v>236.2</v>
      </c>
      <c r="AI111" s="49">
        <f t="shared" si="36"/>
        <v>-220.4</v>
      </c>
    </row>
    <row r="112" spans="1:64" x14ac:dyDescent="0.25">
      <c r="A112" s="113" t="s">
        <v>132</v>
      </c>
      <c r="B112" s="114">
        <v>50.023000000000003</v>
      </c>
      <c r="C112" s="114">
        <v>50.021000000000001</v>
      </c>
      <c r="D112" s="114">
        <v>50.033999999999999</v>
      </c>
      <c r="E112" s="114">
        <v>50.045999999999999</v>
      </c>
      <c r="F112" s="114">
        <v>49.9</v>
      </c>
      <c r="G112" s="114">
        <v>50</v>
      </c>
      <c r="H112" s="114">
        <v>49.957000000000001</v>
      </c>
      <c r="I112" s="114">
        <v>50.027000000000001</v>
      </c>
      <c r="J112" s="114">
        <v>49.972000000000001</v>
      </c>
      <c r="K112" s="114">
        <v>50.014000000000003</v>
      </c>
      <c r="L112" s="114">
        <v>50.024000000000001</v>
      </c>
      <c r="M112" s="114">
        <v>49.976999999999997</v>
      </c>
      <c r="N112" s="114">
        <v>49.991</v>
      </c>
      <c r="O112" s="114">
        <v>50.003999999999998</v>
      </c>
      <c r="P112" s="114">
        <v>50.042000000000002</v>
      </c>
      <c r="Q112" s="114">
        <v>50.031999999999996</v>
      </c>
      <c r="R112" s="114">
        <v>49.99</v>
      </c>
      <c r="S112" s="114">
        <v>50</v>
      </c>
      <c r="T112" s="114">
        <v>50</v>
      </c>
      <c r="U112" s="114">
        <v>49.926000000000002</v>
      </c>
      <c r="V112" s="114">
        <v>50</v>
      </c>
      <c r="W112" s="114">
        <v>50</v>
      </c>
      <c r="X112" s="114">
        <v>50.026000000000003</v>
      </c>
      <c r="Y112" s="114">
        <v>50.11</v>
      </c>
      <c r="Z112" s="114">
        <v>50.072000000000003</v>
      </c>
      <c r="AA112" s="114">
        <v>50</v>
      </c>
      <c r="AB112" s="114">
        <v>49.92</v>
      </c>
      <c r="AC112" s="114">
        <v>49.94</v>
      </c>
      <c r="AD112" s="114">
        <v>49.92</v>
      </c>
      <c r="AE112" s="114">
        <v>50.02</v>
      </c>
      <c r="AF112" s="114">
        <v>50.02</v>
      </c>
      <c r="AG112" s="115"/>
      <c r="AH112" s="48">
        <f t="shared" si="35"/>
        <v>50.11</v>
      </c>
      <c r="AI112" s="49">
        <f t="shared" si="36"/>
        <v>49.9</v>
      </c>
    </row>
    <row r="113" spans="1:35" x14ac:dyDescent="0.25">
      <c r="A113" s="116" t="s">
        <v>133</v>
      </c>
      <c r="B113" s="76">
        <v>120.4</v>
      </c>
      <c r="C113" s="76">
        <v>120.1</v>
      </c>
      <c r="D113" s="76">
        <v>121</v>
      </c>
      <c r="E113" s="76">
        <v>121</v>
      </c>
      <c r="F113" s="76">
        <v>121</v>
      </c>
      <c r="G113" s="76">
        <v>121</v>
      </c>
      <c r="H113" s="76">
        <v>121</v>
      </c>
      <c r="I113" s="76">
        <v>121.7</v>
      </c>
      <c r="J113" s="76">
        <v>125.6</v>
      </c>
      <c r="K113" s="76">
        <v>124</v>
      </c>
      <c r="L113" s="76">
        <v>124</v>
      </c>
      <c r="M113" s="76">
        <v>121.7</v>
      </c>
      <c r="N113" s="76">
        <v>120.7</v>
      </c>
      <c r="O113" s="76">
        <v>121.2</v>
      </c>
      <c r="P113" s="76">
        <v>121.3</v>
      </c>
      <c r="Q113" s="76">
        <v>123</v>
      </c>
      <c r="R113" s="76">
        <v>121.4</v>
      </c>
      <c r="S113" s="76">
        <v>121</v>
      </c>
      <c r="T113" s="76">
        <v>121</v>
      </c>
      <c r="U113" s="76">
        <v>120.6</v>
      </c>
      <c r="V113" s="76">
        <v>120.6</v>
      </c>
      <c r="W113" s="76">
        <v>123</v>
      </c>
      <c r="X113" s="76">
        <v>124.6</v>
      </c>
      <c r="Y113" s="76">
        <v>120</v>
      </c>
      <c r="Z113" s="76">
        <v>120</v>
      </c>
      <c r="AA113" s="76">
        <v>121</v>
      </c>
      <c r="AB113" s="76">
        <v>122.3</v>
      </c>
      <c r="AC113" s="76">
        <v>122</v>
      </c>
      <c r="AD113" s="76">
        <v>121.7</v>
      </c>
      <c r="AE113" s="76">
        <v>121.7</v>
      </c>
      <c r="AF113" s="76">
        <v>121.7</v>
      </c>
      <c r="AG113" s="117"/>
      <c r="AH113" s="48">
        <f t="shared" si="35"/>
        <v>125.6</v>
      </c>
      <c r="AI113" s="49">
        <f t="shared" si="36"/>
        <v>120</v>
      </c>
    </row>
    <row r="114" spans="1:35" x14ac:dyDescent="0.25">
      <c r="A114" s="116" t="s">
        <v>134</v>
      </c>
      <c r="B114" s="76">
        <v>126.1</v>
      </c>
      <c r="C114" s="76">
        <v>126</v>
      </c>
      <c r="D114" s="76">
        <v>126.9</v>
      </c>
      <c r="E114" s="76">
        <v>126.9</v>
      </c>
      <c r="F114" s="76">
        <v>126.9</v>
      </c>
      <c r="G114" s="76">
        <v>126.9</v>
      </c>
      <c r="H114" s="76">
        <v>126.9</v>
      </c>
      <c r="I114" s="76">
        <v>125.8</v>
      </c>
      <c r="J114" s="76">
        <v>127.5</v>
      </c>
      <c r="K114" s="76">
        <v>126</v>
      </c>
      <c r="L114" s="76">
        <v>126</v>
      </c>
      <c r="M114" s="76">
        <v>123.2</v>
      </c>
      <c r="N114" s="76">
        <v>122.7</v>
      </c>
      <c r="O114" s="76">
        <v>123.1</v>
      </c>
      <c r="P114" s="76">
        <v>123.4</v>
      </c>
      <c r="Q114" s="76">
        <v>125.3</v>
      </c>
      <c r="R114" s="76">
        <v>123.4</v>
      </c>
      <c r="S114" s="76">
        <v>123.8</v>
      </c>
      <c r="T114" s="76">
        <v>123.8</v>
      </c>
      <c r="U114" s="76">
        <v>123.7</v>
      </c>
      <c r="V114" s="76">
        <v>123.7</v>
      </c>
      <c r="W114" s="76">
        <v>123.7</v>
      </c>
      <c r="X114" s="76">
        <v>123.7</v>
      </c>
      <c r="Y114" s="76">
        <v>124.4</v>
      </c>
      <c r="Z114" s="76">
        <v>124.4</v>
      </c>
      <c r="AA114" s="76">
        <v>124.4</v>
      </c>
      <c r="AB114" s="76">
        <v>126</v>
      </c>
      <c r="AC114" s="76">
        <v>126</v>
      </c>
      <c r="AD114" s="76">
        <v>126.2</v>
      </c>
      <c r="AE114" s="76">
        <v>126.2</v>
      </c>
      <c r="AF114" s="76">
        <v>126.2</v>
      </c>
      <c r="AG114" s="117"/>
      <c r="AH114" s="48">
        <f t="shared" si="35"/>
        <v>127.5</v>
      </c>
      <c r="AI114" s="49">
        <f t="shared" si="36"/>
        <v>122.7</v>
      </c>
    </row>
    <row r="115" spans="1:35" x14ac:dyDescent="0.25">
      <c r="A115" s="116" t="s">
        <v>135</v>
      </c>
      <c r="B115" s="76">
        <v>128.80000000000001</v>
      </c>
      <c r="C115" s="76">
        <v>129.5</v>
      </c>
      <c r="D115" s="76">
        <v>131.19999999999999</v>
      </c>
      <c r="E115" s="76">
        <v>131.19999999999999</v>
      </c>
      <c r="F115" s="76">
        <v>131.19999999999999</v>
      </c>
      <c r="G115" s="76">
        <v>131.19999999999999</v>
      </c>
      <c r="H115" s="76">
        <v>131.19999999999999</v>
      </c>
      <c r="I115" s="76">
        <v>129.69999999999999</v>
      </c>
      <c r="J115" s="76">
        <v>127.8</v>
      </c>
      <c r="K115" s="76">
        <v>127.7</v>
      </c>
      <c r="L115" s="76">
        <v>127.7</v>
      </c>
      <c r="M115" s="76">
        <v>125.3</v>
      </c>
      <c r="N115" s="76">
        <v>127.8</v>
      </c>
      <c r="O115" s="76">
        <v>125.3</v>
      </c>
      <c r="P115" s="76">
        <v>125.5</v>
      </c>
      <c r="Q115" s="76">
        <v>128.03</v>
      </c>
      <c r="R115" s="76">
        <v>125.1</v>
      </c>
      <c r="S115" s="76">
        <v>127</v>
      </c>
      <c r="T115" s="76">
        <v>127</v>
      </c>
      <c r="U115" s="76">
        <v>128.6</v>
      </c>
      <c r="V115" s="76">
        <v>128.6</v>
      </c>
      <c r="W115" s="76">
        <v>128.6</v>
      </c>
      <c r="X115" s="76">
        <v>128.6</v>
      </c>
      <c r="Y115" s="76">
        <v>130.6</v>
      </c>
      <c r="Z115" s="76">
        <v>130.6</v>
      </c>
      <c r="AA115" s="76">
        <v>130.6</v>
      </c>
      <c r="AB115" s="76">
        <v>127.5</v>
      </c>
      <c r="AC115" s="76">
        <v>126.8</v>
      </c>
      <c r="AD115" s="76">
        <v>127</v>
      </c>
      <c r="AE115" s="76">
        <v>127</v>
      </c>
      <c r="AF115" s="76">
        <v>127</v>
      </c>
      <c r="AG115" s="117"/>
      <c r="AH115" s="48">
        <f t="shared" si="35"/>
        <v>131.19999999999999</v>
      </c>
      <c r="AI115" s="49">
        <f t="shared" si="36"/>
        <v>125.1</v>
      </c>
    </row>
    <row r="116" spans="1:35" x14ac:dyDescent="0.25">
      <c r="A116" s="118" t="s">
        <v>136</v>
      </c>
      <c r="B116" s="76">
        <v>130.69999999999999</v>
      </c>
      <c r="C116" s="76">
        <v>130.1</v>
      </c>
      <c r="D116" s="76">
        <v>130.9</v>
      </c>
      <c r="E116" s="76">
        <v>130.9</v>
      </c>
      <c r="F116" s="76">
        <v>130.9</v>
      </c>
      <c r="G116" s="76">
        <v>130.9</v>
      </c>
      <c r="H116" s="76">
        <v>130.9</v>
      </c>
      <c r="I116" s="76">
        <v>129.69999999999999</v>
      </c>
      <c r="J116" s="76">
        <v>127.6</v>
      </c>
      <c r="K116" s="76">
        <v>129</v>
      </c>
      <c r="L116" s="76">
        <v>129</v>
      </c>
      <c r="M116" s="76">
        <v>125.8</v>
      </c>
      <c r="N116" s="76">
        <v>129.19999999999999</v>
      </c>
      <c r="O116" s="76">
        <v>127.1</v>
      </c>
      <c r="P116" s="76">
        <v>127.1</v>
      </c>
      <c r="Q116" s="76">
        <v>130.19999999999999</v>
      </c>
      <c r="R116" s="76">
        <v>127.3</v>
      </c>
      <c r="S116" s="76">
        <v>127</v>
      </c>
      <c r="T116" s="76">
        <v>127</v>
      </c>
      <c r="U116" s="76">
        <v>128.80000000000001</v>
      </c>
      <c r="V116" s="76">
        <v>128.80000000000001</v>
      </c>
      <c r="W116" s="76">
        <v>128.80000000000001</v>
      </c>
      <c r="X116" s="76">
        <v>128.80000000000001</v>
      </c>
      <c r="Y116" s="76">
        <v>131</v>
      </c>
      <c r="Z116" s="76">
        <v>131</v>
      </c>
      <c r="AA116" s="76">
        <v>131</v>
      </c>
      <c r="AB116" s="76">
        <v>128.80000000000001</v>
      </c>
      <c r="AC116" s="76">
        <v>127.7</v>
      </c>
      <c r="AD116" s="76">
        <v>127.8</v>
      </c>
      <c r="AE116" s="76">
        <v>127.8</v>
      </c>
      <c r="AF116" s="76">
        <v>127.8</v>
      </c>
      <c r="AG116" s="117"/>
      <c r="AH116" s="48">
        <f t="shared" si="35"/>
        <v>131</v>
      </c>
      <c r="AI116" s="49">
        <f t="shared" si="36"/>
        <v>125.8</v>
      </c>
    </row>
    <row r="117" spans="1:35" x14ac:dyDescent="0.25">
      <c r="A117" s="118" t="s">
        <v>137</v>
      </c>
      <c r="B117" s="119">
        <v>134.4</v>
      </c>
      <c r="C117" s="119">
        <v>133.30000000000001</v>
      </c>
      <c r="D117" s="119">
        <v>131.6</v>
      </c>
      <c r="E117" s="119">
        <v>131.6</v>
      </c>
      <c r="F117" s="119">
        <v>131.6</v>
      </c>
      <c r="G117" s="119">
        <v>131.6</v>
      </c>
      <c r="H117" s="119">
        <v>131.6</v>
      </c>
      <c r="I117" s="119">
        <v>133</v>
      </c>
      <c r="J117" s="119">
        <v>135</v>
      </c>
      <c r="K117" s="119">
        <v>134</v>
      </c>
      <c r="L117" s="119">
        <v>134</v>
      </c>
      <c r="M117" s="119">
        <v>130</v>
      </c>
      <c r="N117" s="119">
        <v>134.9</v>
      </c>
      <c r="O117" s="119">
        <v>130.5</v>
      </c>
      <c r="P117" s="119">
        <v>131.80000000000001</v>
      </c>
      <c r="Q117" s="119">
        <v>134.69999999999999</v>
      </c>
      <c r="R117" s="119">
        <v>131.30000000000001</v>
      </c>
      <c r="S117" s="119">
        <v>132.80000000000001</v>
      </c>
      <c r="T117" s="119">
        <v>132.80000000000001</v>
      </c>
      <c r="U117" s="119">
        <v>131.9</v>
      </c>
      <c r="V117" s="119">
        <v>131.9</v>
      </c>
      <c r="W117" s="119">
        <v>131.9</v>
      </c>
      <c r="X117" s="119">
        <v>131.9</v>
      </c>
      <c r="Y117" s="119">
        <v>132.6</v>
      </c>
      <c r="Z117" s="119">
        <v>132.6</v>
      </c>
      <c r="AA117" s="119">
        <v>132.6</v>
      </c>
      <c r="AB117" s="119">
        <v>132.4</v>
      </c>
      <c r="AC117" s="119">
        <v>132.4</v>
      </c>
      <c r="AD117" s="119">
        <v>132.80000000000001</v>
      </c>
      <c r="AE117" s="119">
        <v>132.80000000000001</v>
      </c>
      <c r="AF117" s="119">
        <v>132.80000000000001</v>
      </c>
      <c r="AG117" s="120"/>
      <c r="AH117" s="48">
        <f t="shared" si="35"/>
        <v>135</v>
      </c>
      <c r="AI117" s="49">
        <f t="shared" si="36"/>
        <v>130</v>
      </c>
    </row>
    <row r="118" spans="1:35" x14ac:dyDescent="0.25">
      <c r="A118" s="116" t="s">
        <v>138</v>
      </c>
      <c r="B118" s="76">
        <v>128.19999999999999</v>
      </c>
      <c r="C118" s="76">
        <v>127.4</v>
      </c>
      <c r="D118" s="76">
        <v>123</v>
      </c>
      <c r="E118" s="76">
        <v>123</v>
      </c>
      <c r="F118" s="76">
        <v>123</v>
      </c>
      <c r="G118" s="76">
        <v>123</v>
      </c>
      <c r="H118" s="76">
        <v>123</v>
      </c>
      <c r="I118" s="76">
        <v>131</v>
      </c>
      <c r="J118" s="76">
        <v>129.30000000000001</v>
      </c>
      <c r="K118" s="76">
        <v>128.5</v>
      </c>
      <c r="L118" s="76">
        <v>128.5</v>
      </c>
      <c r="M118" s="76">
        <v>123.4</v>
      </c>
      <c r="N118" s="76">
        <v>118.9</v>
      </c>
      <c r="O118" s="76">
        <v>121.4</v>
      </c>
      <c r="P118" s="76">
        <v>122</v>
      </c>
      <c r="Q118" s="76">
        <v>127.7</v>
      </c>
      <c r="R118" s="76">
        <v>123</v>
      </c>
      <c r="S118" s="76">
        <v>127.7</v>
      </c>
      <c r="T118" s="76">
        <v>127.7</v>
      </c>
      <c r="U118" s="76">
        <v>125</v>
      </c>
      <c r="V118" s="76">
        <v>125</v>
      </c>
      <c r="W118" s="76">
        <v>125</v>
      </c>
      <c r="X118" s="76">
        <v>125</v>
      </c>
      <c r="Y118" s="76">
        <v>130</v>
      </c>
      <c r="Z118" s="76">
        <v>130</v>
      </c>
      <c r="AA118" s="76">
        <v>130</v>
      </c>
      <c r="AB118" s="76">
        <v>121</v>
      </c>
      <c r="AC118" s="76">
        <v>121</v>
      </c>
      <c r="AD118" s="76">
        <v>127.2</v>
      </c>
      <c r="AE118" s="76">
        <v>127.2</v>
      </c>
      <c r="AF118" s="76">
        <v>127.2</v>
      </c>
      <c r="AG118" s="117"/>
      <c r="AH118" s="48">
        <f t="shared" si="35"/>
        <v>131</v>
      </c>
      <c r="AI118" s="49">
        <f t="shared" si="36"/>
        <v>118.9</v>
      </c>
    </row>
    <row r="119" spans="1:35" ht="15.75" thickBot="1" x14ac:dyDescent="0.3">
      <c r="A119" s="116" t="s">
        <v>139</v>
      </c>
      <c r="B119" s="105">
        <v>63.8</v>
      </c>
      <c r="C119" s="105">
        <v>63.7</v>
      </c>
      <c r="D119" s="105">
        <v>64</v>
      </c>
      <c r="E119" s="105">
        <v>64</v>
      </c>
      <c r="F119" s="105">
        <v>64</v>
      </c>
      <c r="G119" s="105">
        <v>64</v>
      </c>
      <c r="H119" s="105">
        <v>63.6</v>
      </c>
      <c r="I119" s="105">
        <v>63.3</v>
      </c>
      <c r="J119" s="105">
        <v>64</v>
      </c>
      <c r="K119" s="105">
        <v>63.6</v>
      </c>
      <c r="L119" s="105">
        <v>63.6</v>
      </c>
      <c r="M119" s="105">
        <v>62</v>
      </c>
      <c r="N119" s="105">
        <v>61.5</v>
      </c>
      <c r="O119" s="105">
        <v>62.1</v>
      </c>
      <c r="P119" s="105">
        <v>62.3</v>
      </c>
      <c r="Q119" s="105">
        <v>63.2</v>
      </c>
      <c r="R119" s="105">
        <v>62.3</v>
      </c>
      <c r="S119" s="105">
        <v>62.3</v>
      </c>
      <c r="T119" s="105">
        <v>62.3</v>
      </c>
      <c r="U119" s="105">
        <v>61.8</v>
      </c>
      <c r="V119" s="105">
        <v>61.8</v>
      </c>
      <c r="W119" s="105">
        <v>63.7</v>
      </c>
      <c r="X119" s="105">
        <v>64.400000000000006</v>
      </c>
      <c r="Y119" s="105">
        <v>62.7</v>
      </c>
      <c r="Z119" s="105">
        <v>63</v>
      </c>
      <c r="AA119" s="105">
        <v>63</v>
      </c>
      <c r="AB119" s="105">
        <v>63</v>
      </c>
      <c r="AC119" s="105">
        <v>63</v>
      </c>
      <c r="AD119" s="105">
        <v>64.099999999999994</v>
      </c>
      <c r="AE119" s="105">
        <v>64.099999999999994</v>
      </c>
      <c r="AF119" s="105">
        <v>64.099999999999994</v>
      </c>
      <c r="AG119" s="121"/>
      <c r="AH119" s="48">
        <f t="shared" si="35"/>
        <v>64.400000000000006</v>
      </c>
      <c r="AI119" s="49">
        <f t="shared" si="36"/>
        <v>61.5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5"/>
        <v>0</v>
      </c>
      <c r="AI120" s="49">
        <f t="shared" si="36"/>
        <v>0</v>
      </c>
    </row>
    <row r="121" spans="1:35" ht="15.75" thickBot="1" x14ac:dyDescent="0.3">
      <c r="A121" s="123" t="s">
        <v>141</v>
      </c>
      <c r="B121" s="124">
        <f t="shared" ref="B121:O121" si="89">SUM(B25,B31,B34:B35,B69,B71:B72,B74,B76,B122:B126,B158,B164,B170,B179,B181,B193,B200,B203:B204,B211,B213,B215,B219:B221,B223:B225,B230,B236:B237,B239:B241,B249,B254)</f>
        <v>72.039999999999992</v>
      </c>
      <c r="C121" s="124">
        <f t="shared" si="89"/>
        <v>66.139999999999986</v>
      </c>
      <c r="D121" s="124">
        <f t="shared" si="89"/>
        <v>47.139999999999986</v>
      </c>
      <c r="E121" s="124">
        <f t="shared" si="89"/>
        <v>68.439999999999984</v>
      </c>
      <c r="F121" s="124">
        <f t="shared" si="89"/>
        <v>64.139999999999986</v>
      </c>
      <c r="G121" s="124">
        <f t="shared" si="89"/>
        <v>60.940000000000012</v>
      </c>
      <c r="H121" s="124">
        <f t="shared" si="89"/>
        <v>75.640000000000015</v>
      </c>
      <c r="I121" s="124">
        <f t="shared" si="89"/>
        <v>83.14</v>
      </c>
      <c r="J121" s="124">
        <f t="shared" si="89"/>
        <v>134.04</v>
      </c>
      <c r="K121" s="124">
        <f t="shared" si="89"/>
        <v>136.94</v>
      </c>
      <c r="L121" s="124">
        <f t="shared" si="89"/>
        <v>142.63999999999999</v>
      </c>
      <c r="M121" s="124">
        <f t="shared" si="89"/>
        <v>169.14000000000001</v>
      </c>
      <c r="N121" s="124">
        <f t="shared" si="89"/>
        <v>176.94</v>
      </c>
      <c r="O121" s="124">
        <f t="shared" si="89"/>
        <v>178.14000000000001</v>
      </c>
      <c r="P121" s="124">
        <v>42</v>
      </c>
      <c r="Q121" s="124">
        <f t="shared" ref="Q121:X121" si="90">SUM(Q25,Q31,Q34:Q35,Q69,Q71:Q72,Q74,Q76,Q122:Q126,Q158,Q164,Q170,Q179,Q181,Q193,Q200,Q203:Q204,Q211,Q213,Q215,Q219:Q221,Q223:Q225,Q230,Q236:Q237,Q239:Q241,Q249,Q254)</f>
        <v>189.04</v>
      </c>
      <c r="R121" s="124">
        <f t="shared" si="90"/>
        <v>198.04</v>
      </c>
      <c r="S121" s="124">
        <f t="shared" si="90"/>
        <v>221.64</v>
      </c>
      <c r="T121" s="124">
        <f t="shared" si="90"/>
        <v>207.94</v>
      </c>
      <c r="U121" s="124">
        <f t="shared" si="90"/>
        <v>212.34000000000003</v>
      </c>
      <c r="V121" s="124">
        <f t="shared" si="90"/>
        <v>220.33999999999997</v>
      </c>
      <c r="W121" s="124">
        <f t="shared" si="90"/>
        <v>222.54000000000002</v>
      </c>
      <c r="X121" s="124">
        <f t="shared" si="90"/>
        <v>229.04</v>
      </c>
      <c r="Y121" s="124">
        <f>SUM(Y23,Y29,Y40:Y41,Y69,Y71:Y72,Y74,Y76,Y122:Y126,Y151,Y157,Y163,Y172,Y174,Y186,Y193,Y196:Y197,Y204,Y206,Y208,Y212:Y214,Y216:Y218,Y223,Y229:Y230,Y232:Y234,Y242,Y247)</f>
        <v>226.50000000000003</v>
      </c>
      <c r="Z121" s="124">
        <f>SUM(Z23,Z29,Z40:Z41,Z69,Z71:Z72,Z74,Z76,Z122:Z126,Z151,Z157,Z163,Z172,Z174,Z186,Z193,Z196:Z197,Z204,Z206,Z208,Z212:Z214,Z216:Z218,Z223,Z229:Z230,Z232:Z234,Z242,Z247)</f>
        <v>209.99999999999997</v>
      </c>
      <c r="AA121" s="124">
        <f t="shared" ref="AA121" si="91">SUM(AA25,AA31,AA34:AA35,AA69,AA71:AA72,AA74,AA76,AA122:AA126,AA158,AA164,AA170,AA179,AA181,AA193,AA200,AA203:AA204,AA211,AA213,AA215,AA219:AA221,AA223:AA225,AA230,AA236:AA237,AA239:AA241,AA249,AA254)</f>
        <v>190.84</v>
      </c>
      <c r="AB121" s="124">
        <f t="shared" ref="AB121:AC121" si="92">SUM(AB25,AB31,AB34:AB35,AB69,AB71:AB72,AB74,AB76,AB122:AB126,AB158,AB164,AB170,AB179,AB181,AB193,AB200,AB203:AB204,AB211,AB213,AB215,AB219:AB221,AB223:AB225,AB230,AB236:AB237,AB239:AB241,AB249,AB254)</f>
        <v>199.94</v>
      </c>
      <c r="AC121" s="124">
        <f t="shared" si="92"/>
        <v>178.44000000000003</v>
      </c>
      <c r="AD121" s="124">
        <f t="shared" ref="AD121:AE121" si="93">SUM(AD25,AD31,AD34:AD35,AD69,AD71:AD72,AD74,AD76,AD122:AD126,AD158,AD164,AD170,AD179,AD181,AD193,AD200,AD203:AD204,AD211,AD213,AD215,AD219:AD221,AD223:AD225,AD230,AD236:AD237,AD239:AD241,AD249,AD254)</f>
        <v>163.33999999999997</v>
      </c>
      <c r="AE121" s="124">
        <f t="shared" si="93"/>
        <v>119.54</v>
      </c>
      <c r="AF121" s="124">
        <f t="shared" ref="AF121" si="94">SUM(AF25,AF31,AF34:AF35,AF69,AF71:AF72,AF74,AF76,AF122:AF126,AF158,AF164,AF170,AF179,AF181,AF193,AF200,AF203:AF204,AF211,AF213,AF215,AF219:AF221,AF223:AF225,AF230,AF236:AF237,AF239:AF241,AF249,AF254)</f>
        <v>119.54</v>
      </c>
      <c r="AG121" s="125"/>
      <c r="AH121" s="48">
        <f t="shared" si="35"/>
        <v>229.04</v>
      </c>
      <c r="AI121" s="49">
        <f t="shared" si="36"/>
        <v>42</v>
      </c>
    </row>
    <row r="122" spans="1:35" x14ac:dyDescent="0.25">
      <c r="A122" s="126" t="s">
        <v>142</v>
      </c>
      <c r="B122" s="127">
        <v>58.9</v>
      </c>
      <c r="C122" s="127">
        <v>61</v>
      </c>
      <c r="D122" s="127">
        <v>47</v>
      </c>
      <c r="E122" s="127">
        <v>55</v>
      </c>
      <c r="F122" s="127">
        <v>53.2</v>
      </c>
      <c r="G122" s="127">
        <v>45.9</v>
      </c>
      <c r="H122" s="127">
        <v>47.6</v>
      </c>
      <c r="I122" s="127">
        <v>36</v>
      </c>
      <c r="J122" s="127">
        <v>47.5</v>
      </c>
      <c r="K122" s="127">
        <v>34.700000000000003</v>
      </c>
      <c r="L122" s="127">
        <v>32.299999999999997</v>
      </c>
      <c r="M122" s="127">
        <v>43.3</v>
      </c>
      <c r="N122" s="127">
        <v>49.5</v>
      </c>
      <c r="O122" s="127">
        <v>27.6</v>
      </c>
      <c r="P122" s="127">
        <v>44.7</v>
      </c>
      <c r="Q122" s="127">
        <v>39</v>
      </c>
      <c r="R122" s="127">
        <v>38</v>
      </c>
      <c r="S122" s="127">
        <v>54.5</v>
      </c>
      <c r="T122" s="127">
        <v>47.9</v>
      </c>
      <c r="U122" s="127">
        <v>52</v>
      </c>
      <c r="V122" s="127">
        <v>55</v>
      </c>
      <c r="W122" s="127">
        <v>59.5</v>
      </c>
      <c r="X122" s="127">
        <v>64</v>
      </c>
      <c r="Y122" s="127">
        <v>73</v>
      </c>
      <c r="Z122" s="127">
        <v>51.3</v>
      </c>
      <c r="AA122" s="127">
        <v>30</v>
      </c>
      <c r="AB122" s="127">
        <v>34.700000000000003</v>
      </c>
      <c r="AC122" s="127">
        <v>32.6</v>
      </c>
      <c r="AD122" s="127">
        <v>41.4</v>
      </c>
      <c r="AE122" s="127">
        <v>42.5</v>
      </c>
      <c r="AF122" s="127">
        <v>42.5</v>
      </c>
      <c r="AG122" s="128">
        <v>75</v>
      </c>
      <c r="AH122" s="48">
        <f t="shared" si="35"/>
        <v>73</v>
      </c>
      <c r="AI122" s="49">
        <f t="shared" si="36"/>
        <v>27.6</v>
      </c>
    </row>
    <row r="123" spans="1:35" x14ac:dyDescent="0.25">
      <c r="A123" s="129" t="s">
        <v>143</v>
      </c>
      <c r="B123" s="130">
        <v>85</v>
      </c>
      <c r="C123" s="130">
        <v>88</v>
      </c>
      <c r="D123" s="130">
        <v>68</v>
      </c>
      <c r="E123" s="130">
        <v>80</v>
      </c>
      <c r="F123" s="130">
        <v>72.8</v>
      </c>
      <c r="G123" s="130">
        <v>66.2</v>
      </c>
      <c r="H123" s="130">
        <v>70.400000000000006</v>
      </c>
      <c r="I123" s="130">
        <v>54.2</v>
      </c>
      <c r="J123" s="130">
        <v>70.400000000000006</v>
      </c>
      <c r="K123" s="130">
        <v>52.1</v>
      </c>
      <c r="L123" s="130">
        <v>45.7</v>
      </c>
      <c r="M123" s="130">
        <v>60.8</v>
      </c>
      <c r="N123" s="130">
        <v>68.5</v>
      </c>
      <c r="O123" s="130">
        <v>37.4</v>
      </c>
      <c r="P123" s="130">
        <v>61.5</v>
      </c>
      <c r="Q123" s="130">
        <v>54.5</v>
      </c>
      <c r="R123" s="130">
        <v>54</v>
      </c>
      <c r="S123" s="130">
        <v>73.400000000000006</v>
      </c>
      <c r="T123" s="130">
        <v>65</v>
      </c>
      <c r="U123" s="130">
        <v>71.7</v>
      </c>
      <c r="V123" s="130">
        <v>75</v>
      </c>
      <c r="W123" s="130">
        <v>86.7</v>
      </c>
      <c r="X123" s="130">
        <v>95.8</v>
      </c>
      <c r="Y123" s="130">
        <v>102.6</v>
      </c>
      <c r="Z123" s="130">
        <v>76.5</v>
      </c>
      <c r="AA123" s="130">
        <v>46.8</v>
      </c>
      <c r="AB123" s="130">
        <v>54.6</v>
      </c>
      <c r="AC123" s="130">
        <v>52.1</v>
      </c>
      <c r="AD123" s="130">
        <v>63.8</v>
      </c>
      <c r="AE123" s="130">
        <v>67.900000000000006</v>
      </c>
      <c r="AF123" s="130">
        <v>67.900000000000006</v>
      </c>
      <c r="AG123" s="128">
        <v>240</v>
      </c>
      <c r="AH123" s="48">
        <f t="shared" si="35"/>
        <v>102.6</v>
      </c>
      <c r="AI123" s="49">
        <f t="shared" si="36"/>
        <v>37.4</v>
      </c>
    </row>
    <row r="124" spans="1:35" x14ac:dyDescent="0.25">
      <c r="A124" s="129" t="s">
        <v>144</v>
      </c>
      <c r="B124" s="130">
        <v>-146</v>
      </c>
      <c r="C124" s="130">
        <v>-155</v>
      </c>
      <c r="D124" s="130">
        <v>-140</v>
      </c>
      <c r="E124" s="130">
        <v>-138</v>
      </c>
      <c r="F124" s="130">
        <v>-136</v>
      </c>
      <c r="G124" s="130">
        <v>-127</v>
      </c>
      <c r="H124" s="130">
        <v>-120</v>
      </c>
      <c r="I124" s="130">
        <v>-90</v>
      </c>
      <c r="J124" s="130">
        <v>-74</v>
      </c>
      <c r="K124" s="130">
        <v>-43</v>
      </c>
      <c r="L124" s="130">
        <v>-37</v>
      </c>
      <c r="M124" s="130">
        <f>-15-18</f>
        <v>-33</v>
      </c>
      <c r="N124" s="130">
        <f>-21.7-24</f>
        <v>-45.7</v>
      </c>
      <c r="O124" s="130">
        <f>-3-4</f>
        <v>-7</v>
      </c>
      <c r="P124" s="130">
        <f>-12.6-15.2</f>
        <v>-27.799999999999997</v>
      </c>
      <c r="Q124" s="130">
        <f>-13-17</f>
        <v>-30</v>
      </c>
      <c r="R124" s="130">
        <v>-43</v>
      </c>
      <c r="S124" s="130">
        <v>-58</v>
      </c>
      <c r="T124" s="130">
        <v>-54</v>
      </c>
      <c r="U124" s="130">
        <v>-54.5</v>
      </c>
      <c r="V124" s="130">
        <v>-52</v>
      </c>
      <c r="W124" s="130">
        <v>-63</v>
      </c>
      <c r="X124" s="130">
        <v>-68</v>
      </c>
      <c r="Y124" s="130">
        <v>-96</v>
      </c>
      <c r="Z124" s="130">
        <v>-79</v>
      </c>
      <c r="AA124" s="130">
        <v>-53</v>
      </c>
      <c r="AB124" s="130">
        <v>-44.9</v>
      </c>
      <c r="AC124" s="130">
        <v>-53.8</v>
      </c>
      <c r="AD124" s="130">
        <v>-77.900000000000006</v>
      </c>
      <c r="AE124" s="130">
        <v>-113</v>
      </c>
      <c r="AF124" s="130">
        <v>-113</v>
      </c>
      <c r="AG124" s="128">
        <v>240</v>
      </c>
      <c r="AH124" s="48">
        <f t="shared" si="35"/>
        <v>-7</v>
      </c>
      <c r="AI124" s="49">
        <f t="shared" si="36"/>
        <v>-155</v>
      </c>
    </row>
    <row r="125" spans="1:35" ht="15.75" thickBot="1" x14ac:dyDescent="0.3">
      <c r="A125" s="129" t="s">
        <v>145</v>
      </c>
      <c r="B125" s="130">
        <v>-10</v>
      </c>
      <c r="C125" s="130">
        <v>-12</v>
      </c>
      <c r="D125" s="130">
        <v>-12</v>
      </c>
      <c r="E125" s="130">
        <v>-12.7</v>
      </c>
      <c r="F125" s="130">
        <v>-10</v>
      </c>
      <c r="G125" s="130">
        <v>-8.3000000000000007</v>
      </c>
      <c r="H125" s="130">
        <v>-6.5</v>
      </c>
      <c r="I125" s="130">
        <v>-1.2</v>
      </c>
      <c r="J125" s="130">
        <v>6</v>
      </c>
      <c r="K125" s="130">
        <v>9</v>
      </c>
      <c r="L125" s="130">
        <v>17.5</v>
      </c>
      <c r="M125" s="130">
        <v>10.9</v>
      </c>
      <c r="N125" s="130">
        <v>10.5</v>
      </c>
      <c r="O125" s="130">
        <v>22.6</v>
      </c>
      <c r="P125" s="130">
        <v>22.9</v>
      </c>
      <c r="Q125" s="130">
        <v>24.9</v>
      </c>
      <c r="R125" s="130">
        <v>19.2</v>
      </c>
      <c r="S125" s="130">
        <v>18.2</v>
      </c>
      <c r="T125" s="130">
        <v>18.7</v>
      </c>
      <c r="U125" s="130">
        <v>12.8</v>
      </c>
      <c r="V125" s="130">
        <v>12</v>
      </c>
      <c r="W125" s="130">
        <v>9</v>
      </c>
      <c r="X125" s="130">
        <v>6.9</v>
      </c>
      <c r="Y125" s="130">
        <v>5.9</v>
      </c>
      <c r="Z125" s="130">
        <v>15.1</v>
      </c>
      <c r="AA125" s="130">
        <v>42.6</v>
      </c>
      <c r="AB125" s="130">
        <v>31.1</v>
      </c>
      <c r="AC125" s="130">
        <v>23.1</v>
      </c>
      <c r="AD125" s="130">
        <v>11.6</v>
      </c>
      <c r="AE125" s="130">
        <v>-2.2999999999999998</v>
      </c>
      <c r="AF125" s="130">
        <v>-2.2999999999999998</v>
      </c>
      <c r="AG125" s="128">
        <v>60</v>
      </c>
      <c r="AH125" s="48">
        <f t="shared" si="35"/>
        <v>42.6</v>
      </c>
      <c r="AI125" s="49">
        <f t="shared" si="36"/>
        <v>-12.7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5"/>
        <v>0</v>
      </c>
      <c r="AI126" s="49">
        <f t="shared" si="36"/>
        <v>0</v>
      </c>
    </row>
    <row r="127" spans="1:35" x14ac:dyDescent="0.25">
      <c r="A127" s="129" t="s">
        <v>147</v>
      </c>
      <c r="B127" s="131">
        <v>77</v>
      </c>
      <c r="C127" s="131">
        <v>76</v>
      </c>
      <c r="D127" s="131">
        <v>80</v>
      </c>
      <c r="E127" s="131">
        <v>73.3</v>
      </c>
      <c r="F127" s="131">
        <v>75</v>
      </c>
      <c r="G127" s="131">
        <v>84.1</v>
      </c>
      <c r="H127" s="131">
        <v>86</v>
      </c>
      <c r="I127" s="131">
        <v>95.9</v>
      </c>
      <c r="J127" s="131">
        <v>83.7</v>
      </c>
      <c r="K127" s="131">
        <v>99.4</v>
      </c>
      <c r="L127" s="131">
        <v>102.6</v>
      </c>
      <c r="M127" s="131">
        <v>100.6</v>
      </c>
      <c r="N127" s="131">
        <v>98.9</v>
      </c>
      <c r="O127" s="131">
        <v>112.9</v>
      </c>
      <c r="P127" s="131">
        <v>106</v>
      </c>
      <c r="Q127" s="131">
        <v>99.8</v>
      </c>
      <c r="R127" s="131">
        <v>98.4</v>
      </c>
      <c r="S127" s="131">
        <v>93.8</v>
      </c>
      <c r="T127" s="131">
        <v>97.7</v>
      </c>
      <c r="U127" s="131">
        <v>97.3</v>
      </c>
      <c r="V127" s="131">
        <v>86</v>
      </c>
      <c r="W127" s="131">
        <v>83.7</v>
      </c>
      <c r="X127" s="131">
        <v>74.8</v>
      </c>
      <c r="Y127" s="131">
        <v>87.7</v>
      </c>
      <c r="Z127" s="131">
        <v>103.7</v>
      </c>
      <c r="AA127" s="131">
        <v>109.9</v>
      </c>
      <c r="AB127" s="131">
        <v>101.4</v>
      </c>
      <c r="AC127" s="131">
        <v>103.3</v>
      </c>
      <c r="AD127" s="131">
        <v>100.7</v>
      </c>
      <c r="AE127" s="131">
        <v>89.2</v>
      </c>
      <c r="AF127" s="131">
        <v>89.2</v>
      </c>
      <c r="AG127" s="132"/>
      <c r="AH127" s="48"/>
      <c r="AI127" s="49"/>
    </row>
    <row r="128" spans="1:35" x14ac:dyDescent="0.25">
      <c r="A128" s="129" t="s">
        <v>148</v>
      </c>
      <c r="B128" s="131">
        <v>38</v>
      </c>
      <c r="C128" s="131">
        <v>40</v>
      </c>
      <c r="D128" s="131">
        <v>55</v>
      </c>
      <c r="E128" s="131">
        <v>52</v>
      </c>
      <c r="F128" s="131">
        <v>50</v>
      </c>
      <c r="G128" s="131">
        <v>49</v>
      </c>
      <c r="H128" s="131">
        <v>43.3</v>
      </c>
      <c r="I128" s="131">
        <v>45.8</v>
      </c>
      <c r="J128" s="131">
        <v>5</v>
      </c>
      <c r="K128" s="131">
        <v>17.3</v>
      </c>
      <c r="L128" s="131">
        <v>13.9</v>
      </c>
      <c r="M128" s="131">
        <v>9.3000000000000007</v>
      </c>
      <c r="N128" s="131">
        <v>12.3</v>
      </c>
      <c r="O128" s="131">
        <v>25.8</v>
      </c>
      <c r="P128" s="131">
        <v>14.4</v>
      </c>
      <c r="Q128" s="131">
        <v>7.6</v>
      </c>
      <c r="R128" s="131">
        <v>9</v>
      </c>
      <c r="S128" s="131">
        <v>-11.7</v>
      </c>
      <c r="T128" s="131">
        <v>-3.1</v>
      </c>
      <c r="U128" s="131">
        <v>-11.8</v>
      </c>
      <c r="V128" s="131">
        <v>-22</v>
      </c>
      <c r="W128" s="131">
        <v>-32</v>
      </c>
      <c r="X128" s="131">
        <v>-44.3</v>
      </c>
      <c r="Y128" s="131">
        <v>-34.200000000000003</v>
      </c>
      <c r="Z128" s="131">
        <v>-21.4</v>
      </c>
      <c r="AA128" s="131">
        <v>-18</v>
      </c>
      <c r="AB128" s="131">
        <v>-9.5</v>
      </c>
      <c r="AC128" s="131">
        <v>1.1000000000000001</v>
      </c>
      <c r="AD128" s="131">
        <v>6.5</v>
      </c>
      <c r="AE128" s="131">
        <v>27.5</v>
      </c>
      <c r="AF128" s="131">
        <v>27.5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67</v>
      </c>
      <c r="C129" s="131">
        <v>64</v>
      </c>
      <c r="D129" s="131">
        <v>70</v>
      </c>
      <c r="E129" s="131">
        <v>66</v>
      </c>
      <c r="F129" s="131">
        <v>65</v>
      </c>
      <c r="G129" s="131">
        <v>68.3</v>
      </c>
      <c r="H129" s="131">
        <v>72.400000000000006</v>
      </c>
      <c r="I129" s="131">
        <v>75</v>
      </c>
      <c r="J129" s="131">
        <v>40.5</v>
      </c>
      <c r="K129" s="131">
        <v>61.2</v>
      </c>
      <c r="L129" s="131">
        <v>64.8</v>
      </c>
      <c r="M129" s="131">
        <v>65.2</v>
      </c>
      <c r="N129" s="131">
        <v>65.099999999999994</v>
      </c>
      <c r="O129" s="131">
        <v>83.3</v>
      </c>
      <c r="P129" s="131">
        <v>74.2</v>
      </c>
      <c r="Q129" s="131">
        <v>70.400000000000006</v>
      </c>
      <c r="R129" s="131">
        <v>68.3</v>
      </c>
      <c r="S129" s="131">
        <v>61.7</v>
      </c>
      <c r="T129" s="131">
        <v>65</v>
      </c>
      <c r="U129" s="131">
        <v>64.5</v>
      </c>
      <c r="V129" s="131">
        <v>50</v>
      </c>
      <c r="W129" s="131">
        <v>49.7</v>
      </c>
      <c r="X129" s="131">
        <v>39.799999999999997</v>
      </c>
      <c r="Y129" s="131">
        <v>67.3</v>
      </c>
      <c r="Z129" s="131">
        <v>83.6</v>
      </c>
      <c r="AA129" s="131">
        <v>71</v>
      </c>
      <c r="AB129" s="131">
        <v>78.900000000000006</v>
      </c>
      <c r="AC129" s="131">
        <v>82.5</v>
      </c>
      <c r="AD129" s="131">
        <v>78.5</v>
      </c>
      <c r="AE129" s="131">
        <v>68.900000000000006</v>
      </c>
      <c r="AF129" s="131">
        <v>68.900000000000006</v>
      </c>
      <c r="AG129" s="128"/>
      <c r="AH129" s="48">
        <f>MAX(B129:AF129)</f>
        <v>83.6</v>
      </c>
      <c r="AI129" s="49">
        <f>MIN(B129:AF129)</f>
        <v>39.799999999999997</v>
      </c>
    </row>
    <row r="130" spans="1:37" x14ac:dyDescent="0.25">
      <c r="A130" s="126" t="s">
        <v>150</v>
      </c>
      <c r="B130" s="131">
        <v>-270</v>
      </c>
      <c r="C130" s="131">
        <v>-273</v>
      </c>
      <c r="D130" s="131">
        <v>-266</v>
      </c>
      <c r="E130" s="131">
        <v>-265</v>
      </c>
      <c r="F130" s="131">
        <v>-267</v>
      </c>
      <c r="G130" s="131">
        <v>-264.60000000000002</v>
      </c>
      <c r="H130" s="131">
        <v>-261.7</v>
      </c>
      <c r="I130" s="131">
        <v>-251.6</v>
      </c>
      <c r="J130" s="131">
        <v>-259</v>
      </c>
      <c r="K130" s="131">
        <v>-244</v>
      </c>
      <c r="L130" s="131">
        <v>-239.9</v>
      </c>
      <c r="M130" s="131">
        <v>-240</v>
      </c>
      <c r="N130" s="131">
        <v>-239</v>
      </c>
      <c r="O130" s="131">
        <v>-222.5</v>
      </c>
      <c r="P130" s="131">
        <v>-227.1</v>
      </c>
      <c r="Q130" s="131">
        <v>-231.8</v>
      </c>
      <c r="R130" s="131">
        <v>-233</v>
      </c>
      <c r="S130" s="131">
        <v>-219</v>
      </c>
      <c r="T130" s="131">
        <v>-223</v>
      </c>
      <c r="U130" s="131">
        <v>-211</v>
      </c>
      <c r="V130" s="131">
        <v>-200</v>
      </c>
      <c r="W130" s="131">
        <v>-185.5</v>
      </c>
      <c r="X130" s="131">
        <v>-156.6</v>
      </c>
      <c r="Y130" s="131">
        <v>-192</v>
      </c>
      <c r="Z130" s="131">
        <v>-236.9</v>
      </c>
      <c r="AA130" s="131">
        <v>-240.8</v>
      </c>
      <c r="AB130" s="131">
        <v>-245.9</v>
      </c>
      <c r="AC130" s="131">
        <v>-248.5</v>
      </c>
      <c r="AD130" s="131">
        <v>-254</v>
      </c>
      <c r="AE130" s="131">
        <v>-265.7</v>
      </c>
      <c r="AF130" s="131">
        <v>-265.7</v>
      </c>
      <c r="AG130" s="128"/>
      <c r="AH130" s="48">
        <f>MAX(B130:AF130)</f>
        <v>-156.6</v>
      </c>
      <c r="AI130" s="49">
        <f>MIN(B130:AF130)</f>
        <v>-273</v>
      </c>
    </row>
    <row r="131" spans="1:37" x14ac:dyDescent="0.25">
      <c r="A131" s="129" t="s">
        <v>151</v>
      </c>
      <c r="B131" s="119">
        <v>4.7</v>
      </c>
      <c r="C131" s="119">
        <v>10</v>
      </c>
      <c r="D131" s="119">
        <v>10</v>
      </c>
      <c r="E131" s="119">
        <v>13.2</v>
      </c>
      <c r="F131" s="119">
        <v>20</v>
      </c>
      <c r="G131" s="119">
        <v>22.5</v>
      </c>
      <c r="H131" s="119">
        <v>24.4</v>
      </c>
      <c r="I131" s="119">
        <v>26.3</v>
      </c>
      <c r="J131" s="119">
        <v>21.7</v>
      </c>
      <c r="K131" s="119">
        <v>19.899999999999999</v>
      </c>
      <c r="L131" s="119">
        <v>1.8</v>
      </c>
      <c r="M131" s="119">
        <v>2.5</v>
      </c>
      <c r="N131" s="119">
        <v>13.3</v>
      </c>
      <c r="O131" s="119">
        <v>12.2</v>
      </c>
      <c r="P131" s="119">
        <v>9.8000000000000007</v>
      </c>
      <c r="Q131" s="119">
        <v>11.9</v>
      </c>
      <c r="R131" s="119">
        <v>2.1</v>
      </c>
      <c r="S131" s="119">
        <v>7.5</v>
      </c>
      <c r="T131" s="119">
        <v>9.1999999999999993</v>
      </c>
      <c r="U131" s="119">
        <v>4.5</v>
      </c>
      <c r="V131" s="119">
        <v>4</v>
      </c>
      <c r="W131" s="119">
        <v>3.6</v>
      </c>
      <c r="X131" s="119">
        <v>4.5999999999999996</v>
      </c>
      <c r="Y131" s="119">
        <v>11.3</v>
      </c>
      <c r="Z131" s="119">
        <v>1.5</v>
      </c>
      <c r="AA131" s="119">
        <v>-2.8</v>
      </c>
      <c r="AB131" s="119">
        <v>1.1000000000000001</v>
      </c>
      <c r="AC131" s="119">
        <v>-3.7</v>
      </c>
      <c r="AD131" s="119">
        <v>-1.9</v>
      </c>
      <c r="AE131" s="119">
        <v>-0.8</v>
      </c>
      <c r="AF131" s="119">
        <v>-0.8</v>
      </c>
      <c r="AG131" s="128"/>
      <c r="AH131" s="48">
        <f>MAX(B131:AF131)</f>
        <v>26.3</v>
      </c>
      <c r="AI131" s="49">
        <f>MIN(B131:AF131)</f>
        <v>-3.7</v>
      </c>
    </row>
    <row r="132" spans="1:37" x14ac:dyDescent="0.25">
      <c r="A132" s="129" t="s">
        <v>152</v>
      </c>
      <c r="B132" s="119">
        <v>76</v>
      </c>
      <c r="C132" s="119">
        <v>68</v>
      </c>
      <c r="D132" s="119">
        <v>63</v>
      </c>
      <c r="E132" s="119">
        <v>36.4</v>
      </c>
      <c r="F132" s="119">
        <v>35.9</v>
      </c>
      <c r="G132" s="119">
        <v>35</v>
      </c>
      <c r="H132" s="119">
        <v>32.700000000000003</v>
      </c>
      <c r="I132" s="119">
        <v>34.9</v>
      </c>
      <c r="J132" s="119">
        <v>39.5</v>
      </c>
      <c r="K132" s="119">
        <v>47.6</v>
      </c>
      <c r="L132" s="119">
        <v>57.2</v>
      </c>
      <c r="M132" s="119">
        <v>58.2</v>
      </c>
      <c r="N132" s="119">
        <v>58.1</v>
      </c>
      <c r="O132" s="119">
        <v>81.2</v>
      </c>
      <c r="P132" s="119"/>
      <c r="Q132" s="119">
        <v>70.400000000000006</v>
      </c>
      <c r="R132" s="119">
        <v>86.5</v>
      </c>
      <c r="S132" s="119">
        <v>83.4</v>
      </c>
      <c r="T132" s="119">
        <v>82.5</v>
      </c>
      <c r="U132" s="119">
        <v>77.7</v>
      </c>
      <c r="V132" s="119">
        <v>70</v>
      </c>
      <c r="W132" s="119">
        <v>33.200000000000003</v>
      </c>
      <c r="X132" s="119">
        <v>39.700000000000003</v>
      </c>
      <c r="Y132" s="119">
        <v>37.5</v>
      </c>
      <c r="Z132" s="119">
        <v>63.7</v>
      </c>
      <c r="AA132" s="119">
        <v>71</v>
      </c>
      <c r="AB132" s="119">
        <v>67.5</v>
      </c>
      <c r="AC132" s="119">
        <v>70.400000000000006</v>
      </c>
      <c r="AD132" s="119">
        <v>73.3</v>
      </c>
      <c r="AE132" s="119">
        <v>80.400000000000006</v>
      </c>
      <c r="AF132" s="119">
        <v>80.400000000000006</v>
      </c>
      <c r="AG132" s="128"/>
      <c r="AH132" s="48">
        <f>MAX(B132:AF132)</f>
        <v>86.5</v>
      </c>
      <c r="AI132" s="49">
        <f>MIN(B132:AF132)</f>
        <v>32.700000000000003</v>
      </c>
    </row>
    <row r="133" spans="1:37" ht="15.75" thickBot="1" x14ac:dyDescent="0.3">
      <c r="A133" s="129" t="s">
        <v>153</v>
      </c>
      <c r="B133" s="119">
        <v>82</v>
      </c>
      <c r="C133" s="119">
        <v>76</v>
      </c>
      <c r="D133" s="119">
        <v>78</v>
      </c>
      <c r="E133" s="119">
        <v>46.5</v>
      </c>
      <c r="F133" s="119">
        <v>47</v>
      </c>
      <c r="G133" s="119">
        <v>48.7</v>
      </c>
      <c r="H133" s="119">
        <v>48</v>
      </c>
      <c r="I133" s="119">
        <v>49.3</v>
      </c>
      <c r="J133" s="119">
        <v>54.2</v>
      </c>
      <c r="K133" s="119">
        <v>61.3</v>
      </c>
      <c r="L133" s="119">
        <v>76.5</v>
      </c>
      <c r="M133" s="119">
        <v>75</v>
      </c>
      <c r="N133" s="119">
        <v>69.099999999999994</v>
      </c>
      <c r="O133" s="119">
        <v>95.3</v>
      </c>
      <c r="P133" s="119"/>
      <c r="Q133" s="119">
        <v>77.099999999999994</v>
      </c>
      <c r="R133" s="119">
        <v>97.3</v>
      </c>
      <c r="S133" s="119">
        <v>89.4</v>
      </c>
      <c r="T133" s="119">
        <v>94.6</v>
      </c>
      <c r="U133" s="119">
        <v>91.3</v>
      </c>
      <c r="V133" s="119">
        <v>89</v>
      </c>
      <c r="W133" s="119">
        <v>66.2</v>
      </c>
      <c r="X133" s="119">
        <v>54.3</v>
      </c>
      <c r="Y133" s="119">
        <v>48.3</v>
      </c>
      <c r="Z133" s="119">
        <v>70.599999999999994</v>
      </c>
      <c r="AA133" s="119">
        <v>80.5</v>
      </c>
      <c r="AB133" s="119">
        <v>78.5</v>
      </c>
      <c r="AC133" s="119">
        <v>81.400000000000006</v>
      </c>
      <c r="AD133" s="119">
        <v>83.9</v>
      </c>
      <c r="AE133" s="119">
        <v>81.400000000000006</v>
      </c>
      <c r="AF133" s="119">
        <v>81.400000000000006</v>
      </c>
      <c r="AG133" s="128"/>
      <c r="AH133" s="48">
        <f>MAX(B133:AF133)</f>
        <v>97.3</v>
      </c>
      <c r="AI133" s="49">
        <f>MIN(B133:AF133)</f>
        <v>46.5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>
        <v>1986.43</v>
      </c>
      <c r="N135" s="137">
        <v>1986.3</v>
      </c>
      <c r="O135" s="137">
        <v>1986.22</v>
      </c>
      <c r="P135" s="137">
        <v>1986.05</v>
      </c>
      <c r="Q135" s="137">
        <v>1985.98</v>
      </c>
      <c r="R135" s="137">
        <v>1985.81</v>
      </c>
      <c r="S135" s="137">
        <v>1985.78</v>
      </c>
      <c r="T135" s="137">
        <v>1985.68</v>
      </c>
      <c r="U135" s="137"/>
      <c r="V135" s="137"/>
      <c r="W135" s="137"/>
      <c r="X135" s="137"/>
      <c r="Y135" s="137"/>
      <c r="Z135" s="137"/>
      <c r="AA135" s="137"/>
      <c r="AB135" s="137">
        <v>1986.25</v>
      </c>
      <c r="AC135" s="137"/>
      <c r="AD135" s="137">
        <v>1986.2</v>
      </c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>
        <v>886.3</v>
      </c>
      <c r="J139" s="140"/>
      <c r="K139" s="140"/>
      <c r="L139" s="140"/>
      <c r="M139" s="140"/>
      <c r="N139" s="140">
        <v>884.9</v>
      </c>
      <c r="O139" s="140"/>
      <c r="P139" s="140">
        <v>883.6</v>
      </c>
      <c r="Q139" s="140">
        <v>882.8</v>
      </c>
      <c r="R139" s="140">
        <v>882.6</v>
      </c>
      <c r="S139" s="140">
        <v>882.5</v>
      </c>
      <c r="T139" s="140">
        <v>882.5</v>
      </c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1485.84</v>
      </c>
      <c r="C140" s="142"/>
      <c r="D140" s="142"/>
      <c r="E140" s="142"/>
      <c r="F140" s="142"/>
      <c r="G140" s="142"/>
      <c r="H140" s="142"/>
      <c r="I140" s="142">
        <v>1485.87</v>
      </c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>
        <v>1485.8</v>
      </c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95">SUM(B142:B246)</f>
        <v>0</v>
      </c>
      <c r="C247" s="161">
        <f t="shared" si="95"/>
        <v>0</v>
      </c>
      <c r="D247" s="161">
        <f t="shared" si="95"/>
        <v>0</v>
      </c>
      <c r="E247" s="161">
        <f t="shared" si="95"/>
        <v>0</v>
      </c>
      <c r="F247" s="161">
        <f t="shared" si="95"/>
        <v>0</v>
      </c>
      <c r="G247" s="161">
        <f t="shared" si="95"/>
        <v>0</v>
      </c>
      <c r="H247" s="161">
        <f t="shared" si="95"/>
        <v>0</v>
      </c>
      <c r="I247" s="161">
        <f t="shared" si="95"/>
        <v>0</v>
      </c>
      <c r="J247" s="161">
        <f t="shared" si="95"/>
        <v>0</v>
      </c>
      <c r="K247" s="161">
        <f t="shared" si="95"/>
        <v>0</v>
      </c>
      <c r="L247" s="161">
        <f t="shared" si="95"/>
        <v>0</v>
      </c>
      <c r="M247" s="161">
        <f t="shared" si="95"/>
        <v>0</v>
      </c>
      <c r="N247" s="161">
        <f t="shared" si="95"/>
        <v>0</v>
      </c>
      <c r="O247" s="161">
        <f t="shared" si="95"/>
        <v>0</v>
      </c>
      <c r="P247" s="161">
        <f t="shared" si="95"/>
        <v>0</v>
      </c>
      <c r="Q247" s="161">
        <f t="shared" si="95"/>
        <v>0</v>
      </c>
      <c r="R247" s="161">
        <f t="shared" si="95"/>
        <v>0</v>
      </c>
      <c r="S247" s="161">
        <f t="shared" si="95"/>
        <v>0</v>
      </c>
      <c r="T247" s="161">
        <f t="shared" si="95"/>
        <v>0</v>
      </c>
      <c r="U247" s="161">
        <f t="shared" si="95"/>
        <v>0</v>
      </c>
      <c r="V247" s="161">
        <f t="shared" si="95"/>
        <v>0</v>
      </c>
      <c r="W247" s="161">
        <f t="shared" si="95"/>
        <v>0</v>
      </c>
      <c r="X247" s="161">
        <f t="shared" si="95"/>
        <v>0</v>
      </c>
      <c r="Y247" s="161">
        <f t="shared" si="95"/>
        <v>0</v>
      </c>
      <c r="Z247" s="161">
        <f t="shared" si="95"/>
        <v>0</v>
      </c>
      <c r="AA247" s="161">
        <f t="shared" si="95"/>
        <v>0</v>
      </c>
      <c r="AB247" s="161">
        <f t="shared" si="95"/>
        <v>0</v>
      </c>
      <c r="AC247" s="161">
        <f t="shared" si="95"/>
        <v>0</v>
      </c>
      <c r="AD247" s="161">
        <f t="shared" si="95"/>
        <v>0</v>
      </c>
      <c r="AE247" s="161">
        <f t="shared" si="95"/>
        <v>0</v>
      </c>
      <c r="AF247" s="162">
        <f t="shared" si="95"/>
        <v>0</v>
      </c>
      <c r="AG247" s="163">
        <f t="shared" si="95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96">AF249</f>
        <v>0.3</v>
      </c>
      <c r="C249" s="166">
        <v>0.3</v>
      </c>
      <c r="D249" s="166">
        <f t="shared" ref="D249:S254" si="97">C249</f>
        <v>0.3</v>
      </c>
      <c r="E249" s="166">
        <f t="shared" si="97"/>
        <v>0.3</v>
      </c>
      <c r="F249" s="166">
        <f t="shared" si="97"/>
        <v>0.3</v>
      </c>
      <c r="G249" s="166">
        <f t="shared" si="97"/>
        <v>0.3</v>
      </c>
      <c r="H249" s="166">
        <f t="shared" si="97"/>
        <v>0.3</v>
      </c>
      <c r="I249" s="166">
        <f t="shared" si="97"/>
        <v>0.3</v>
      </c>
      <c r="J249" s="166">
        <f t="shared" si="97"/>
        <v>0.3</v>
      </c>
      <c r="K249" s="166">
        <f t="shared" si="97"/>
        <v>0.3</v>
      </c>
      <c r="L249" s="166">
        <f t="shared" si="97"/>
        <v>0.3</v>
      </c>
      <c r="M249" s="166">
        <f t="shared" si="97"/>
        <v>0.3</v>
      </c>
      <c r="N249" s="166">
        <f t="shared" si="97"/>
        <v>0.3</v>
      </c>
      <c r="O249" s="166">
        <f t="shared" si="97"/>
        <v>0.3</v>
      </c>
      <c r="P249" s="166">
        <f t="shared" si="97"/>
        <v>0.3</v>
      </c>
      <c r="Q249" s="166">
        <f t="shared" si="97"/>
        <v>0.3</v>
      </c>
      <c r="R249" s="166">
        <f t="shared" si="97"/>
        <v>0.3</v>
      </c>
      <c r="S249" s="166">
        <f t="shared" si="97"/>
        <v>0.3</v>
      </c>
      <c r="T249" s="166">
        <f t="shared" ref="T249:AF254" si="98">S249</f>
        <v>0.3</v>
      </c>
      <c r="U249" s="166">
        <f t="shared" si="98"/>
        <v>0.3</v>
      </c>
      <c r="V249" s="166">
        <f t="shared" si="98"/>
        <v>0.3</v>
      </c>
      <c r="W249" s="166">
        <f t="shared" si="98"/>
        <v>0.3</v>
      </c>
      <c r="X249" s="166">
        <f t="shared" si="98"/>
        <v>0.3</v>
      </c>
      <c r="Y249" s="166">
        <f t="shared" si="98"/>
        <v>0.3</v>
      </c>
      <c r="Z249" s="166">
        <f t="shared" si="98"/>
        <v>0.3</v>
      </c>
      <c r="AA249" s="166">
        <f t="shared" si="98"/>
        <v>0.3</v>
      </c>
      <c r="AB249" s="166">
        <f t="shared" si="98"/>
        <v>0.3</v>
      </c>
      <c r="AC249" s="166">
        <f t="shared" si="98"/>
        <v>0.3</v>
      </c>
      <c r="AD249" s="166">
        <f t="shared" si="98"/>
        <v>0.3</v>
      </c>
      <c r="AE249" s="166">
        <f t="shared" si="98"/>
        <v>0.3</v>
      </c>
      <c r="AF249" s="166">
        <f t="shared" si="98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96"/>
        <v>0.4</v>
      </c>
      <c r="C250" s="152">
        <v>0.4</v>
      </c>
      <c r="D250" s="152">
        <f t="shared" si="97"/>
        <v>0.4</v>
      </c>
      <c r="E250" s="152">
        <f t="shared" si="97"/>
        <v>0.4</v>
      </c>
      <c r="F250" s="152">
        <f t="shared" si="97"/>
        <v>0.4</v>
      </c>
      <c r="G250" s="152">
        <f t="shared" si="97"/>
        <v>0.4</v>
      </c>
      <c r="H250" s="152">
        <f t="shared" si="97"/>
        <v>0.4</v>
      </c>
      <c r="I250" s="152">
        <f t="shared" si="97"/>
        <v>0.4</v>
      </c>
      <c r="J250" s="152">
        <f t="shared" si="97"/>
        <v>0.4</v>
      </c>
      <c r="K250" s="152">
        <f t="shared" si="97"/>
        <v>0.4</v>
      </c>
      <c r="L250" s="152">
        <f t="shared" si="97"/>
        <v>0.4</v>
      </c>
      <c r="M250" s="152">
        <f t="shared" si="97"/>
        <v>0.4</v>
      </c>
      <c r="N250" s="152">
        <f t="shared" si="97"/>
        <v>0.4</v>
      </c>
      <c r="O250" s="152">
        <f t="shared" si="97"/>
        <v>0.4</v>
      </c>
      <c r="P250" s="152">
        <f t="shared" si="97"/>
        <v>0.4</v>
      </c>
      <c r="Q250" s="152">
        <f t="shared" si="97"/>
        <v>0.4</v>
      </c>
      <c r="R250" s="152">
        <f t="shared" si="97"/>
        <v>0.4</v>
      </c>
      <c r="S250" s="152">
        <f t="shared" si="97"/>
        <v>0.4</v>
      </c>
      <c r="T250" s="152">
        <f t="shared" si="98"/>
        <v>0.4</v>
      </c>
      <c r="U250" s="152">
        <f t="shared" si="98"/>
        <v>0.4</v>
      </c>
      <c r="V250" s="152">
        <f t="shared" si="98"/>
        <v>0.4</v>
      </c>
      <c r="W250" s="152">
        <f t="shared" si="98"/>
        <v>0.4</v>
      </c>
      <c r="X250" s="152">
        <f t="shared" si="98"/>
        <v>0.4</v>
      </c>
      <c r="Y250" s="152">
        <f t="shared" si="98"/>
        <v>0.4</v>
      </c>
      <c r="Z250" s="152">
        <f t="shared" si="98"/>
        <v>0.4</v>
      </c>
      <c r="AA250" s="152">
        <f t="shared" si="98"/>
        <v>0.4</v>
      </c>
      <c r="AB250" s="152">
        <f t="shared" si="98"/>
        <v>0.4</v>
      </c>
      <c r="AC250" s="152">
        <f t="shared" si="98"/>
        <v>0.4</v>
      </c>
      <c r="AD250" s="152">
        <f t="shared" si="98"/>
        <v>0.4</v>
      </c>
      <c r="AE250" s="152">
        <f t="shared" si="98"/>
        <v>0.4</v>
      </c>
      <c r="AF250" s="152">
        <f t="shared" si="98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96"/>
        <v>1.5</v>
      </c>
      <c r="C251" s="152">
        <v>1.5</v>
      </c>
      <c r="D251" s="152">
        <f t="shared" si="97"/>
        <v>1.5</v>
      </c>
      <c r="E251" s="152">
        <f t="shared" si="97"/>
        <v>1.5</v>
      </c>
      <c r="F251" s="152">
        <f t="shared" si="97"/>
        <v>1.5</v>
      </c>
      <c r="G251" s="152">
        <f t="shared" si="97"/>
        <v>1.5</v>
      </c>
      <c r="H251" s="152">
        <f t="shared" si="97"/>
        <v>1.5</v>
      </c>
      <c r="I251" s="152">
        <f t="shared" si="97"/>
        <v>1.5</v>
      </c>
      <c r="J251" s="152">
        <f t="shared" si="97"/>
        <v>1.5</v>
      </c>
      <c r="K251" s="152">
        <f t="shared" si="97"/>
        <v>1.5</v>
      </c>
      <c r="L251" s="152">
        <f t="shared" si="97"/>
        <v>1.5</v>
      </c>
      <c r="M251" s="152">
        <f t="shared" si="97"/>
        <v>1.5</v>
      </c>
      <c r="N251" s="152">
        <f t="shared" si="97"/>
        <v>1.5</v>
      </c>
      <c r="O251" s="152">
        <f t="shared" si="97"/>
        <v>1.5</v>
      </c>
      <c r="P251" s="152">
        <f t="shared" si="97"/>
        <v>1.5</v>
      </c>
      <c r="Q251" s="152">
        <f t="shared" si="97"/>
        <v>1.5</v>
      </c>
      <c r="R251" s="152">
        <f t="shared" si="97"/>
        <v>1.5</v>
      </c>
      <c r="S251" s="152">
        <f t="shared" si="97"/>
        <v>1.5</v>
      </c>
      <c r="T251" s="152">
        <f t="shared" si="98"/>
        <v>1.5</v>
      </c>
      <c r="U251" s="152">
        <f t="shared" si="98"/>
        <v>1.5</v>
      </c>
      <c r="V251" s="152">
        <f t="shared" si="98"/>
        <v>1.5</v>
      </c>
      <c r="W251" s="152">
        <f t="shared" si="98"/>
        <v>1.5</v>
      </c>
      <c r="X251" s="152">
        <f t="shared" si="98"/>
        <v>1.5</v>
      </c>
      <c r="Y251" s="152">
        <f t="shared" si="98"/>
        <v>1.5</v>
      </c>
      <c r="Z251" s="152">
        <f t="shared" si="98"/>
        <v>1.5</v>
      </c>
      <c r="AA251" s="152">
        <f t="shared" si="98"/>
        <v>1.5</v>
      </c>
      <c r="AB251" s="152">
        <f t="shared" si="98"/>
        <v>1.5</v>
      </c>
      <c r="AC251" s="152">
        <f t="shared" si="98"/>
        <v>1.5</v>
      </c>
      <c r="AD251" s="152">
        <f t="shared" si="98"/>
        <v>1.5</v>
      </c>
      <c r="AE251" s="152">
        <f t="shared" si="98"/>
        <v>1.5</v>
      </c>
      <c r="AF251" s="152">
        <f t="shared" si="98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96"/>
        <v>0.3</v>
      </c>
      <c r="C252" s="152">
        <v>0.3</v>
      </c>
      <c r="D252" s="152">
        <f t="shared" si="97"/>
        <v>0.3</v>
      </c>
      <c r="E252" s="152">
        <f t="shared" si="97"/>
        <v>0.3</v>
      </c>
      <c r="F252" s="152">
        <f t="shared" si="97"/>
        <v>0.3</v>
      </c>
      <c r="G252" s="152">
        <f t="shared" si="97"/>
        <v>0.3</v>
      </c>
      <c r="H252" s="152">
        <f t="shared" si="97"/>
        <v>0.3</v>
      </c>
      <c r="I252" s="152">
        <f t="shared" si="97"/>
        <v>0.3</v>
      </c>
      <c r="J252" s="152">
        <f t="shared" si="97"/>
        <v>0.3</v>
      </c>
      <c r="K252" s="152">
        <f t="shared" si="97"/>
        <v>0.3</v>
      </c>
      <c r="L252" s="152">
        <f t="shared" si="97"/>
        <v>0.3</v>
      </c>
      <c r="M252" s="152">
        <f t="shared" si="97"/>
        <v>0.3</v>
      </c>
      <c r="N252" s="152">
        <f t="shared" si="97"/>
        <v>0.3</v>
      </c>
      <c r="O252" s="152">
        <f t="shared" si="97"/>
        <v>0.3</v>
      </c>
      <c r="P252" s="152">
        <f t="shared" si="97"/>
        <v>0.3</v>
      </c>
      <c r="Q252" s="152">
        <f t="shared" si="97"/>
        <v>0.3</v>
      </c>
      <c r="R252" s="152">
        <f t="shared" si="97"/>
        <v>0.3</v>
      </c>
      <c r="S252" s="152">
        <f t="shared" si="97"/>
        <v>0.3</v>
      </c>
      <c r="T252" s="152">
        <f t="shared" si="98"/>
        <v>0.3</v>
      </c>
      <c r="U252" s="152">
        <f t="shared" si="98"/>
        <v>0.3</v>
      </c>
      <c r="V252" s="152">
        <f t="shared" si="98"/>
        <v>0.3</v>
      </c>
      <c r="W252" s="152">
        <f t="shared" si="98"/>
        <v>0.3</v>
      </c>
      <c r="X252" s="152">
        <f t="shared" si="98"/>
        <v>0.3</v>
      </c>
      <c r="Y252" s="152">
        <f t="shared" si="98"/>
        <v>0.3</v>
      </c>
      <c r="Z252" s="152">
        <f t="shared" si="98"/>
        <v>0.3</v>
      </c>
      <c r="AA252" s="152">
        <f t="shared" si="98"/>
        <v>0.3</v>
      </c>
      <c r="AB252" s="152">
        <f t="shared" si="98"/>
        <v>0.3</v>
      </c>
      <c r="AC252" s="152">
        <f t="shared" si="98"/>
        <v>0.3</v>
      </c>
      <c r="AD252" s="152">
        <f t="shared" si="98"/>
        <v>0.3</v>
      </c>
      <c r="AE252" s="152">
        <f t="shared" si="98"/>
        <v>0.3</v>
      </c>
      <c r="AF252" s="152">
        <f t="shared" si="98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96"/>
        <v>0.4</v>
      </c>
      <c r="C253" s="152">
        <v>0.4</v>
      </c>
      <c r="D253" s="152">
        <f t="shared" si="97"/>
        <v>0.4</v>
      </c>
      <c r="E253" s="152">
        <f t="shared" si="97"/>
        <v>0.4</v>
      </c>
      <c r="F253" s="152">
        <f t="shared" si="97"/>
        <v>0.4</v>
      </c>
      <c r="G253" s="152">
        <f t="shared" si="97"/>
        <v>0.4</v>
      </c>
      <c r="H253" s="152">
        <f t="shared" si="97"/>
        <v>0.4</v>
      </c>
      <c r="I253" s="152">
        <f t="shared" si="97"/>
        <v>0.4</v>
      </c>
      <c r="J253" s="152">
        <f t="shared" si="97"/>
        <v>0.4</v>
      </c>
      <c r="K253" s="152">
        <f t="shared" si="97"/>
        <v>0.4</v>
      </c>
      <c r="L253" s="152">
        <f t="shared" si="97"/>
        <v>0.4</v>
      </c>
      <c r="M253" s="152">
        <f t="shared" si="97"/>
        <v>0.4</v>
      </c>
      <c r="N253" s="152">
        <f t="shared" si="97"/>
        <v>0.4</v>
      </c>
      <c r="O253" s="152">
        <f t="shared" si="97"/>
        <v>0.4</v>
      </c>
      <c r="P253" s="152">
        <f t="shared" si="97"/>
        <v>0.4</v>
      </c>
      <c r="Q253" s="152">
        <f t="shared" si="97"/>
        <v>0.4</v>
      </c>
      <c r="R253" s="152">
        <f t="shared" si="97"/>
        <v>0.4</v>
      </c>
      <c r="S253" s="152">
        <f t="shared" si="97"/>
        <v>0.4</v>
      </c>
      <c r="T253" s="152">
        <f t="shared" si="98"/>
        <v>0.4</v>
      </c>
      <c r="U253" s="152">
        <f t="shared" si="98"/>
        <v>0.4</v>
      </c>
      <c r="V253" s="152">
        <f t="shared" si="98"/>
        <v>0.4</v>
      </c>
      <c r="W253" s="152">
        <f t="shared" si="98"/>
        <v>0.4</v>
      </c>
      <c r="X253" s="152">
        <f t="shared" si="98"/>
        <v>0.4</v>
      </c>
      <c r="Y253" s="152">
        <f t="shared" si="98"/>
        <v>0.4</v>
      </c>
      <c r="Z253" s="152">
        <f t="shared" si="98"/>
        <v>0.4</v>
      </c>
      <c r="AA253" s="152">
        <f t="shared" si="98"/>
        <v>0.4</v>
      </c>
      <c r="AB253" s="152">
        <f t="shared" si="98"/>
        <v>0.4</v>
      </c>
      <c r="AC253" s="152">
        <f t="shared" si="98"/>
        <v>0.4</v>
      </c>
      <c r="AD253" s="152">
        <f t="shared" si="98"/>
        <v>0.4</v>
      </c>
      <c r="AE253" s="152">
        <f t="shared" si="98"/>
        <v>0.4</v>
      </c>
      <c r="AF253" s="152">
        <f t="shared" si="98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96"/>
        <v>0.64</v>
      </c>
      <c r="C254" s="157">
        <v>0.64</v>
      </c>
      <c r="D254" s="157">
        <f t="shared" si="97"/>
        <v>0.64</v>
      </c>
      <c r="E254" s="157">
        <f t="shared" si="97"/>
        <v>0.64</v>
      </c>
      <c r="F254" s="157">
        <f t="shared" si="97"/>
        <v>0.64</v>
      </c>
      <c r="G254" s="157">
        <f t="shared" si="97"/>
        <v>0.64</v>
      </c>
      <c r="H254" s="157">
        <f t="shared" si="97"/>
        <v>0.64</v>
      </c>
      <c r="I254" s="157">
        <f t="shared" si="97"/>
        <v>0.64</v>
      </c>
      <c r="J254" s="157">
        <f t="shared" si="97"/>
        <v>0.64</v>
      </c>
      <c r="K254" s="157">
        <f t="shared" si="97"/>
        <v>0.64</v>
      </c>
      <c r="L254" s="157">
        <f t="shared" si="97"/>
        <v>0.64</v>
      </c>
      <c r="M254" s="157">
        <f t="shared" si="97"/>
        <v>0.64</v>
      </c>
      <c r="N254" s="157">
        <f t="shared" si="97"/>
        <v>0.64</v>
      </c>
      <c r="O254" s="157">
        <f t="shared" si="97"/>
        <v>0.64</v>
      </c>
      <c r="P254" s="157">
        <f t="shared" si="97"/>
        <v>0.64</v>
      </c>
      <c r="Q254" s="157">
        <f t="shared" si="97"/>
        <v>0.64</v>
      </c>
      <c r="R254" s="157">
        <f t="shared" si="97"/>
        <v>0.64</v>
      </c>
      <c r="S254" s="157">
        <f t="shared" si="97"/>
        <v>0.64</v>
      </c>
      <c r="T254" s="157">
        <f t="shared" si="98"/>
        <v>0.64</v>
      </c>
      <c r="U254" s="157">
        <f t="shared" si="98"/>
        <v>0.64</v>
      </c>
      <c r="V254" s="157">
        <f t="shared" si="98"/>
        <v>0.64</v>
      </c>
      <c r="W254" s="157">
        <f t="shared" si="98"/>
        <v>0.64</v>
      </c>
      <c r="X254" s="157">
        <f t="shared" si="98"/>
        <v>0.64</v>
      </c>
      <c r="Y254" s="157">
        <f t="shared" si="98"/>
        <v>0.64</v>
      </c>
      <c r="Z254" s="157">
        <f t="shared" si="98"/>
        <v>0.64</v>
      </c>
      <c r="AA254" s="157">
        <f t="shared" si="98"/>
        <v>0.64</v>
      </c>
      <c r="AB254" s="157">
        <f t="shared" si="98"/>
        <v>0.64</v>
      </c>
      <c r="AC254" s="157">
        <f t="shared" si="98"/>
        <v>0.64</v>
      </c>
      <c r="AD254" s="157">
        <f t="shared" si="98"/>
        <v>0.64</v>
      </c>
      <c r="AE254" s="157">
        <f t="shared" si="98"/>
        <v>0.64</v>
      </c>
      <c r="AF254" s="157">
        <f t="shared" si="98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99">SUM(B249:B254)</f>
        <v>3.54</v>
      </c>
      <c r="C255" s="161">
        <f t="shared" si="99"/>
        <v>3.54</v>
      </c>
      <c r="D255" s="161">
        <f t="shared" si="99"/>
        <v>3.54</v>
      </c>
      <c r="E255" s="161">
        <f t="shared" si="99"/>
        <v>3.54</v>
      </c>
      <c r="F255" s="161">
        <f t="shared" si="99"/>
        <v>3.54</v>
      </c>
      <c r="G255" s="161">
        <f t="shared" si="99"/>
        <v>3.54</v>
      </c>
      <c r="H255" s="161">
        <f t="shared" si="99"/>
        <v>3.54</v>
      </c>
      <c r="I255" s="161">
        <f t="shared" si="99"/>
        <v>3.54</v>
      </c>
      <c r="J255" s="161">
        <f t="shared" si="99"/>
        <v>3.54</v>
      </c>
      <c r="K255" s="161">
        <f t="shared" si="99"/>
        <v>3.54</v>
      </c>
      <c r="L255" s="161">
        <f t="shared" si="99"/>
        <v>3.54</v>
      </c>
      <c r="M255" s="161">
        <f t="shared" si="99"/>
        <v>3.54</v>
      </c>
      <c r="N255" s="161">
        <f t="shared" si="99"/>
        <v>3.54</v>
      </c>
      <c r="O255" s="161">
        <f t="shared" si="99"/>
        <v>3.54</v>
      </c>
      <c r="P255" s="161">
        <f t="shared" si="99"/>
        <v>3.54</v>
      </c>
      <c r="Q255" s="161">
        <f t="shared" si="99"/>
        <v>3.54</v>
      </c>
      <c r="R255" s="161">
        <f t="shared" si="99"/>
        <v>3.54</v>
      </c>
      <c r="S255" s="161">
        <f t="shared" si="99"/>
        <v>3.54</v>
      </c>
      <c r="T255" s="161">
        <f t="shared" si="99"/>
        <v>3.54</v>
      </c>
      <c r="U255" s="161">
        <f t="shared" si="99"/>
        <v>3.54</v>
      </c>
      <c r="V255" s="161">
        <f t="shared" si="99"/>
        <v>3.54</v>
      </c>
      <c r="W255" s="161">
        <f t="shared" si="99"/>
        <v>3.54</v>
      </c>
      <c r="X255" s="161">
        <f t="shared" si="99"/>
        <v>3.54</v>
      </c>
      <c r="Y255" s="161">
        <f t="shared" si="99"/>
        <v>3.54</v>
      </c>
      <c r="Z255" s="161">
        <f t="shared" si="99"/>
        <v>3.54</v>
      </c>
      <c r="AA255" s="161">
        <f t="shared" si="99"/>
        <v>3.54</v>
      </c>
      <c r="AB255" s="161">
        <f t="shared" si="99"/>
        <v>3.54</v>
      </c>
      <c r="AC255" s="161">
        <f t="shared" si="99"/>
        <v>3.54</v>
      </c>
      <c r="AD255" s="161">
        <f t="shared" si="99"/>
        <v>3.54</v>
      </c>
      <c r="AE255" s="161">
        <f t="shared" si="99"/>
        <v>3.54</v>
      </c>
      <c r="AF255" s="161">
        <f t="shared" si="99"/>
        <v>3.54</v>
      </c>
      <c r="AG255" s="171">
        <f t="shared" si="99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1984.3400000000001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2080/10/30)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774" priority="80">
      <formula>$AH11=0</formula>
    </cfRule>
  </conditionalFormatting>
  <conditionalFormatting sqref="A89">
    <cfRule type="expression" dxfId="773" priority="138">
      <formula>$AH94=0</formula>
    </cfRule>
  </conditionalFormatting>
  <conditionalFormatting sqref="A90:A94">
    <cfRule type="expression" dxfId="772" priority="81">
      <formula>$AH89=0</formula>
    </cfRule>
  </conditionalFormatting>
  <conditionalFormatting sqref="B8">
    <cfRule type="expression" dxfId="771" priority="134">
      <formula>AND(C$9&gt;=14/24,C$9&lt;20/24)</formula>
    </cfRule>
    <cfRule type="expression" dxfId="770" priority="135">
      <formula>AND(C$9&gt;=8/24,C$9&lt;14/24)</formula>
    </cfRule>
    <cfRule type="expression" dxfId="769" priority="136">
      <formula>C$9&lt;8/24</formula>
    </cfRule>
    <cfRule type="expression" dxfId="768" priority="137">
      <formula>C$9&gt;=20/24</formula>
    </cfRule>
  </conditionalFormatting>
  <conditionalFormatting sqref="B11:Z57 AA15:AF57 E62:M64 B62:D71 C66:N77 B72:L77 N72:AF77 B80:AF102 B9:AF10 B104:AF120 B122:AF140 B247:AF247 B249:B255">
    <cfRule type="expression" dxfId="767" priority="41">
      <formula>B$9&gt;=20/24</formula>
    </cfRule>
  </conditionalFormatting>
  <conditionalFormatting sqref="B9:AF10 B11:Z57 AA15:AF57 E62:M64 B62:D71 C66:N77 B72:L77 N72:AF77 B80:AF102 B104:AF120 B122:AF140 B247:AF247 B249:B255">
    <cfRule type="expression" dxfId="766" priority="42">
      <formula>AND(B$9&gt;=14/24,B$9&lt;20/24)</formula>
    </cfRule>
    <cfRule type="expression" dxfId="765" priority="43">
      <formula>AND(B$9&gt;=8/24,B$9&lt;14/24)</formula>
    </cfRule>
    <cfRule type="expression" dxfId="764" priority="44">
      <formula>B$9&lt;8/24</formula>
    </cfRule>
  </conditionalFormatting>
  <conditionalFormatting sqref="B58:AF60">
    <cfRule type="expression" dxfId="763" priority="37">
      <formula>B$9&gt;=20/24</formula>
    </cfRule>
    <cfRule type="expression" dxfId="762" priority="38">
      <formula>AND(B$9&gt;=14/24,B$9&lt;20/24)</formula>
    </cfRule>
    <cfRule type="expression" dxfId="761" priority="39">
      <formula>AND(B$9&gt;=8/24,B$9&lt;14/24)</formula>
    </cfRule>
    <cfRule type="expression" dxfId="760" priority="49">
      <formula>B$9&lt;8/24</formula>
    </cfRule>
  </conditionalFormatting>
  <conditionalFormatting sqref="D249:AF255">
    <cfRule type="expression" dxfId="759" priority="119">
      <formula>D$9&gt;=20/24</formula>
    </cfRule>
    <cfRule type="expression" dxfId="758" priority="120">
      <formula>AND(D$9&gt;=14/24,D$9&lt;20/24)</formula>
    </cfRule>
    <cfRule type="expression" dxfId="757" priority="121">
      <formula>AND(D$9&gt;=8/24,D$9&lt;14/24)</formula>
    </cfRule>
    <cfRule type="expression" dxfId="756" priority="122">
      <formula>D$9&lt;8/24</formula>
    </cfRule>
  </conditionalFormatting>
  <conditionalFormatting sqref="E66:I70 J67:J70 K70">
    <cfRule type="expression" dxfId="755" priority="50">
      <formula>E$9&gt;=20/24</formula>
    </cfRule>
    <cfRule type="expression" dxfId="754" priority="51">
      <formula>AND(E$9&gt;=14/24,E$9&lt;20/24)</formula>
    </cfRule>
    <cfRule type="expression" dxfId="753" priority="52">
      <formula>AND(E$9&gt;=8/24,E$9&lt;14/24)</formula>
    </cfRule>
    <cfRule type="expression" dxfId="752" priority="53">
      <formula>E$9&lt;8/24</formula>
    </cfRule>
  </conditionalFormatting>
  <conditionalFormatting sqref="E71:K71">
    <cfRule type="expression" dxfId="751" priority="45">
      <formula>E$9&gt;=20/24</formula>
    </cfRule>
    <cfRule type="expression" dxfId="750" priority="46">
      <formula>AND(E$9&gt;=14/24,E$9&lt;20/24)</formula>
    </cfRule>
    <cfRule type="expression" dxfId="749" priority="47">
      <formula>AND(E$9&gt;=8/24,E$9&lt;14/24)</formula>
    </cfRule>
    <cfRule type="expression" dxfId="748" priority="48">
      <formula>E$9&lt;8/24</formula>
    </cfRule>
  </conditionalFormatting>
  <conditionalFormatting sqref="E62:AF65">
    <cfRule type="expression" dxfId="747" priority="60">
      <formula>E$9&gt;=20/24</formula>
    </cfRule>
    <cfRule type="expression" dxfId="746" priority="61">
      <formula>AND(E$9&gt;=14/24,E$9&lt;20/24)</formula>
    </cfRule>
    <cfRule type="expression" dxfId="745" priority="62">
      <formula>AND(E$9&gt;=8/24,E$9&lt;14/24)</formula>
    </cfRule>
    <cfRule type="expression" dxfId="744" priority="63">
      <formula>E$9&lt;8/24</formula>
    </cfRule>
  </conditionalFormatting>
  <conditionalFormatting sqref="F66:N68">
    <cfRule type="expression" dxfId="743" priority="72">
      <formula>F$9&gt;=20/24</formula>
    </cfRule>
    <cfRule type="expression" dxfId="742" priority="73">
      <formula>AND(F$9&gt;=14/24,F$9&lt;20/24)</formula>
    </cfRule>
    <cfRule type="expression" dxfId="741" priority="74">
      <formula>AND(F$9&gt;=8/24,F$9&lt;14/24)</formula>
    </cfRule>
    <cfRule type="expression" dxfId="740" priority="75">
      <formula>F$9&lt;8/24</formula>
    </cfRule>
  </conditionalFormatting>
  <conditionalFormatting sqref="L71:AF71">
    <cfRule type="expression" dxfId="739" priority="68">
      <formula>L$9&gt;=20/24</formula>
    </cfRule>
    <cfRule type="expression" dxfId="738" priority="69">
      <formula>AND(L$9&gt;=14/24,L$9&lt;20/24)</formula>
    </cfRule>
    <cfRule type="expression" dxfId="737" priority="70">
      <formula>AND(L$9&gt;=8/24,L$9&lt;14/24)</formula>
    </cfRule>
    <cfRule type="expression" dxfId="736" priority="71">
      <formula>L$9&lt;8/24</formula>
    </cfRule>
  </conditionalFormatting>
  <conditionalFormatting sqref="M8 S8 AB8">
    <cfRule type="expression" dxfId="735" priority="126">
      <formula>AND(N$9&gt;=14/24,N$9&lt;20/24)</formula>
    </cfRule>
    <cfRule type="expression" dxfId="734" priority="127">
      <formula>AND(N$9&gt;=8/24,N$9&lt;14/24)</formula>
    </cfRule>
    <cfRule type="expression" dxfId="733" priority="128">
      <formula>N$9&lt;8/24</formula>
    </cfRule>
  </conditionalFormatting>
  <conditionalFormatting sqref="N66:AF70">
    <cfRule type="expression" dxfId="732" priority="76">
      <formula>N$9&gt;=20/24</formula>
    </cfRule>
    <cfRule type="expression" dxfId="731" priority="77">
      <formula>AND(N$9&gt;=14/24,N$9&lt;20/24)</formula>
    </cfRule>
    <cfRule type="expression" dxfId="730" priority="78">
      <formula>AND(N$9&gt;=8/24,N$9&lt;14/24)</formula>
    </cfRule>
    <cfRule type="expression" dxfId="729" priority="79">
      <formula>N$9&lt;8/24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28" priority="125">
      <formula>N$9&gt;=20/24</formula>
    </cfRule>
  </conditionalFormatting>
  <conditionalFormatting sqref="S8">
    <cfRule type="expression" dxfId="727" priority="112">
      <formula>U$9&gt;=20/24</formula>
    </cfRule>
    <cfRule type="expression" dxfId="726" priority="113">
      <formula>AND(U$9&gt;=14/24,U$9&lt;20/24)</formula>
    </cfRule>
    <cfRule type="expression" dxfId="725" priority="114">
      <formula>AND(U$9&gt;=8/24,U$9&lt;14/24)</formula>
    </cfRule>
    <cfRule type="expression" dxfId="724" priority="115">
      <formula>U$9&lt;8/24</formula>
    </cfRule>
  </conditionalFormatting>
  <conditionalFormatting sqref="T66:AF71">
    <cfRule type="expression" dxfId="723" priority="64">
      <formula>T$9&gt;=20/24</formula>
    </cfRule>
    <cfRule type="expression" dxfId="722" priority="65">
      <formula>AND(T$9&gt;=14/24,T$9&lt;20/24)</formula>
    </cfRule>
    <cfRule type="expression" dxfId="721" priority="66">
      <formula>AND(T$9&gt;=8/24,T$9&lt;14/24)</formula>
    </cfRule>
    <cfRule type="expression" dxfId="720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A15:AA60 AB15:AF83 N31:Z60 B31:M77 B11:Z30 AG61 N61:AA77 AG65 B78:AA83 AG83">
    <cfRule type="expression" dxfId="719" priority="40">
      <formula>B11&gt;$AG11</formula>
    </cfRule>
  </conditionalFormatting>
  <conditionalFormatting sqref="AA11:AF14">
    <cfRule type="expression" dxfId="718" priority="54">
      <formula>AA11&gt;$AG11</formula>
    </cfRule>
    <cfRule type="expression" dxfId="717" priority="55">
      <formula>AA$9&gt;=20/24</formula>
    </cfRule>
    <cfRule type="expression" dxfId="716" priority="56">
      <formula>AND(AA$9&gt;=14/24,AA$9&lt;20/24)</formula>
    </cfRule>
    <cfRule type="expression" dxfId="715" priority="57">
      <formula>AND(AA$9&gt;=8/24,AA$9&lt;14/24)</formula>
    </cfRule>
    <cfRule type="expression" dxfId="714" priority="58">
      <formula>AA$9&lt;8/24</formula>
    </cfRule>
  </conditionalFormatting>
  <conditionalFormatting sqref="AB8">
    <cfRule type="expression" dxfId="713" priority="108">
      <formula>AD$9&gt;=20/24</formula>
    </cfRule>
    <cfRule type="expression" dxfId="712" priority="109">
      <formula>AND(AD$9&gt;=14/24,AD$9&lt;20/24)</formula>
    </cfRule>
    <cfRule type="expression" dxfId="711" priority="110">
      <formula>AND(AD$9&gt;=8/24,AD$9&lt;14/24)</formula>
    </cfRule>
    <cfRule type="expression" dxfId="710" priority="111">
      <formula>AD$9&lt;8/24</formula>
    </cfRule>
  </conditionalFormatting>
  <conditionalFormatting sqref="AG65">
    <cfRule type="expression" dxfId="709" priority="87">
      <formula>AG$9&gt;=20/24</formula>
    </cfRule>
    <cfRule type="expression" dxfId="708" priority="88">
      <formula>AND(AG$9&gt;=14/24,AG$9&lt;20/24)</formula>
    </cfRule>
    <cfRule type="expression" dxfId="707" priority="89">
      <formula>AND(AG$9&gt;=8/24,AG$9&lt;14/24)</formula>
    </cfRule>
    <cfRule type="expression" dxfId="706" priority="90">
      <formula>AG$9&lt;8/24</formula>
    </cfRule>
  </conditionalFormatting>
  <conditionalFormatting sqref="AG78:AG79">
    <cfRule type="expression" dxfId="705" priority="82">
      <formula>AG78&gt;$AG78</formula>
    </cfRule>
  </conditionalFormatting>
  <conditionalFormatting sqref="AG83">
    <cfRule type="expression" dxfId="704" priority="83">
      <formula>AG$9&gt;=20/24</formula>
    </cfRule>
    <cfRule type="expression" dxfId="703" priority="84">
      <formula>AND(AG$9&gt;=14/24,AG$9&lt;20/24)</formula>
    </cfRule>
    <cfRule type="expression" dxfId="702" priority="85">
      <formula>AND(AG$9&gt;=8/24,AG$9&lt;14/24)</formula>
    </cfRule>
    <cfRule type="expression" dxfId="701" priority="86">
      <formula>AG$9&lt;8/24</formula>
    </cfRule>
  </conditionalFormatting>
  <conditionalFormatting sqref="AG100">
    <cfRule type="expression" dxfId="700" priority="104">
      <formula>AG$9&gt;=20/24</formula>
    </cfRule>
    <cfRule type="expression" dxfId="699" priority="105">
      <formula>AND(AG$9&gt;=14/24,AG$9&lt;20/24)</formula>
    </cfRule>
    <cfRule type="expression" dxfId="698" priority="106">
      <formula>AND(AG$9&gt;=8/24,AG$9&lt;14/24)</formula>
    </cfRule>
    <cfRule type="expression" dxfId="69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696" priority="129">
      <formula>AJ$9&gt;=20/24</formula>
    </cfRule>
    <cfRule type="expression" dxfId="695" priority="130">
      <formula>AND(AJ$9&gt;=14/24,AJ$9&lt;20/24)</formula>
    </cfRule>
    <cfRule type="expression" dxfId="694" priority="131">
      <formula>AND(AJ$9&gt;=8/24,AJ$9&lt;14/24)</formula>
    </cfRule>
    <cfRule type="expression" dxfId="693" priority="132">
      <formula>AJ$9&lt;8/24</formula>
    </cfRule>
  </conditionalFormatting>
  <conditionalFormatting sqref="AL86:AN86 AL92:AN92">
    <cfRule type="expression" dxfId="692" priority="97">
      <formula>AL$9&gt;=20/24</formula>
    </cfRule>
    <cfRule type="expression" dxfId="691" priority="98">
      <formula>AND(AL$9&gt;=14/24,AL$9&lt;20/24)</formula>
    </cfRule>
    <cfRule type="expression" dxfId="690" priority="99">
      <formula>AND(AL$9&gt;=8/24,AL$9&lt;14/24)</formula>
    </cfRule>
    <cfRule type="expression" dxfId="689" priority="100">
      <formula>AL$9&lt;8/24</formula>
    </cfRule>
  </conditionalFormatting>
  <conditionalFormatting sqref="AM15:AM21 AN16:AR21">
    <cfRule type="expression" dxfId="688" priority="13">
      <formula>AX$9&gt;=20/24</formula>
    </cfRule>
    <cfRule type="expression" dxfId="687" priority="14">
      <formula>AND(AX$9&gt;=14/24,AX$9&lt;20/24)</formula>
    </cfRule>
    <cfRule type="expression" dxfId="686" priority="15">
      <formula>AND(AX$9&gt;=8/24,AX$9&lt;14/24)</formula>
    </cfRule>
    <cfRule type="expression" dxfId="685" priority="16">
      <formula>AX$9&lt;8/24</formula>
    </cfRule>
  </conditionalFormatting>
  <conditionalFormatting sqref="AN87:AN90">
    <cfRule type="expression" dxfId="684" priority="93">
      <formula>AN$9&gt;=20/24</formula>
    </cfRule>
    <cfRule type="expression" dxfId="683" priority="94">
      <formula>AND(AN$9&gt;=14/24,AN$9&lt;20/24)</formula>
    </cfRule>
    <cfRule type="expression" dxfId="682" priority="95">
      <formula>AND(AN$9&gt;=8/24,AN$9&lt;14/24)</formula>
    </cfRule>
    <cfRule type="expression" dxfId="681" priority="96">
      <formula>AN$9&lt;8/24</formula>
    </cfRule>
  </conditionalFormatting>
  <conditionalFormatting sqref="AN15:AR15">
    <cfRule type="expression" dxfId="680" priority="1">
      <formula>U$9&gt;=20/24</formula>
    </cfRule>
    <cfRule type="expression" dxfId="679" priority="2">
      <formula>AND(U$9&gt;=14/24,U$9&lt;20/24)</formula>
    </cfRule>
    <cfRule type="expression" dxfId="678" priority="3">
      <formula>AND(U$9&gt;=8/24,U$9&lt;14/24)</formula>
    </cfRule>
    <cfRule type="expression" dxfId="677" priority="4">
      <formula>U$9&lt;8/24</formula>
    </cfRule>
  </conditionalFormatting>
  <conditionalFormatting sqref="AS15">
    <cfRule type="expression" dxfId="676" priority="9">
      <formula>AA$9&gt;=20/24</formula>
    </cfRule>
    <cfRule type="expression" dxfId="675" priority="10">
      <formula>AND(AA$9&gt;=14/24,AA$9&lt;20/24)</formula>
    </cfRule>
    <cfRule type="expression" dxfId="674" priority="11">
      <formula>AND(AA$9&gt;=8/24,AA$9&lt;14/24)</formula>
    </cfRule>
    <cfRule type="expression" dxfId="673" priority="12">
      <formula>AA$9&lt;8/24</formula>
    </cfRule>
  </conditionalFormatting>
  <conditionalFormatting sqref="AS16:AS21">
    <cfRule type="expression" dxfId="672" priority="17">
      <formula>BE$9&gt;=20/24</formula>
    </cfRule>
    <cfRule type="expression" dxfId="671" priority="18">
      <formula>AND(BE$9&gt;=14/24,BE$9&lt;20/24)</formula>
    </cfRule>
    <cfRule type="expression" dxfId="670" priority="19">
      <formula>AND(BE$9&gt;=8/24,BE$9&lt;14/24)</formula>
    </cfRule>
    <cfRule type="expression" dxfId="669" priority="20">
      <formula>BE$9&lt;8/24</formula>
    </cfRule>
  </conditionalFormatting>
  <conditionalFormatting sqref="AT15 AX15:BJ15">
    <cfRule type="expression" dxfId="668" priority="21">
      <formula>AC$9&gt;=20/24</formula>
    </cfRule>
    <cfRule type="expression" dxfId="667" priority="22">
      <formula>AND(AC$9&gt;=14/24,AC$9&lt;20/24)</formula>
    </cfRule>
    <cfRule type="expression" dxfId="666" priority="23">
      <formula>AND(AC$9&gt;=8/24,AC$9&lt;14/24)</formula>
    </cfRule>
    <cfRule type="expression" dxfId="665" priority="24">
      <formula>AC$9&lt;8/24</formula>
    </cfRule>
  </conditionalFormatting>
  <conditionalFormatting sqref="AT16:AT21">
    <cfRule type="expression" dxfId="664" priority="25">
      <formula>BG$9&gt;=20/24</formula>
    </cfRule>
    <cfRule type="expression" dxfId="663" priority="26">
      <formula>AND(BG$9&gt;=14/24,BG$9&lt;20/24)</formula>
    </cfRule>
    <cfRule type="expression" dxfId="662" priority="27">
      <formula>AND(BG$9&gt;=8/24,BG$9&lt;14/24)</formula>
    </cfRule>
    <cfRule type="expression" dxfId="661" priority="28">
      <formula>BG$9&lt;8/24</formula>
    </cfRule>
  </conditionalFormatting>
  <conditionalFormatting sqref="AU15:AV15">
    <cfRule type="expression" dxfId="660" priority="29">
      <formula>AE$9&gt;=20/24</formula>
    </cfRule>
    <cfRule type="expression" dxfId="659" priority="30">
      <formula>AND(AE$9&gt;=14/24,AE$9&lt;20/24)</formula>
    </cfRule>
    <cfRule type="expression" dxfId="658" priority="31">
      <formula>AND(AE$9&gt;=8/24,AE$9&lt;14/24)</formula>
    </cfRule>
    <cfRule type="expression" dxfId="657" priority="32">
      <formula>AE$9&lt;8/24</formula>
    </cfRule>
  </conditionalFormatting>
  <conditionalFormatting sqref="AU16:BJ21">
    <cfRule type="expression" dxfId="656" priority="33">
      <formula>BI$9&gt;=20/24</formula>
    </cfRule>
    <cfRule type="expression" dxfId="655" priority="34">
      <formula>AND(BI$9&gt;=14/24,BI$9&lt;20/24)</formula>
    </cfRule>
    <cfRule type="expression" dxfId="654" priority="35">
      <formula>AND(BI$9&gt;=8/24,BI$9&lt;14/24)</formula>
    </cfRule>
    <cfRule type="expression" dxfId="653" priority="36">
      <formula>BI$9&lt;8/24</formula>
    </cfRule>
  </conditionalFormatting>
  <conditionalFormatting sqref="AW15">
    <cfRule type="expression" dxfId="652" priority="5">
      <formula>B$9&gt;=20/24</formula>
    </cfRule>
    <cfRule type="expression" dxfId="651" priority="6">
      <formula>AND(B$9&gt;=14/24,B$9&lt;20/24)</formula>
    </cfRule>
    <cfRule type="expression" dxfId="650" priority="7">
      <formula>AND(B$9&gt;=8/24,B$9&lt;14/24)</formula>
    </cfRule>
    <cfRule type="expression" dxfId="64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7ED5-AF53-4D84-9813-D57FE6B6AD66}">
  <dimension ref="A1:CJ297"/>
  <sheetViews>
    <sheetView zoomScale="93" zoomScaleNormal="93" workbookViewId="0">
      <pane xSplit="1" ySplit="10" topLeftCell="B4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Z62" sqref="Z6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2080/10/31</v>
      </c>
      <c r="C4" s="187"/>
      <c r="D4" s="187"/>
      <c r="E4" s="188" t="str">
        <f ca="1">"2080/"&amp;"10/"&amp;INT(MID(CELL("filename",G6),FIND("]",CELL("filename",G6))+1,200))</f>
        <v>2080/10/31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21.9</v>
      </c>
      <c r="C5" s="30">
        <f t="shared" si="0"/>
        <v>22.4</v>
      </c>
      <c r="D5" s="30">
        <f t="shared" si="0"/>
        <v>20.7</v>
      </c>
      <c r="E5" s="30">
        <f t="shared" si="0"/>
        <v>10.4</v>
      </c>
      <c r="F5" s="30">
        <f t="shared" si="0"/>
        <v>18.899999999999999</v>
      </c>
      <c r="G5" s="30">
        <f t="shared" si="0"/>
        <v>12.2</v>
      </c>
      <c r="H5" s="30">
        <f t="shared" si="0"/>
        <v>8.6</v>
      </c>
      <c r="I5" s="30">
        <f t="shared" si="0"/>
        <v>204.2</v>
      </c>
      <c r="J5" s="30">
        <f t="shared" si="0"/>
        <v>204.9</v>
      </c>
      <c r="K5" s="30">
        <f t="shared" si="0"/>
        <v>235.39999999999998</v>
      </c>
      <c r="L5" s="30">
        <f t="shared" si="0"/>
        <v>219.8</v>
      </c>
      <c r="M5" s="30">
        <f t="shared" si="0"/>
        <v>233</v>
      </c>
      <c r="N5" s="30">
        <f t="shared" si="0"/>
        <v>264.5</v>
      </c>
      <c r="O5" s="30">
        <f t="shared" si="0"/>
        <v>0</v>
      </c>
      <c r="P5" s="30">
        <f t="shared" si="0"/>
        <v>255.6</v>
      </c>
      <c r="Q5" s="30">
        <f t="shared" si="0"/>
        <v>264.10000000000002</v>
      </c>
      <c r="R5" s="30">
        <f t="shared" si="0"/>
        <v>239.7</v>
      </c>
      <c r="S5" s="30">
        <f t="shared" si="0"/>
        <v>233.4</v>
      </c>
      <c r="T5" s="30">
        <f t="shared" si="0"/>
        <v>256.8</v>
      </c>
      <c r="U5" s="30">
        <f t="shared" si="0"/>
        <v>226.8</v>
      </c>
      <c r="V5" s="30">
        <f t="shared" si="0"/>
        <v>226.8</v>
      </c>
      <c r="W5" s="30">
        <f t="shared" si="0"/>
        <v>200.8</v>
      </c>
      <c r="X5" s="30">
        <f t="shared" si="0"/>
        <v>200.8</v>
      </c>
      <c r="Y5" s="30">
        <f t="shared" si="0"/>
        <v>32.1</v>
      </c>
      <c r="Z5" s="30">
        <f t="shared" si="0"/>
        <v>30.9</v>
      </c>
      <c r="AA5" s="30">
        <f t="shared" si="0"/>
        <v>36.799999999999997</v>
      </c>
      <c r="AB5" s="30">
        <f t="shared" si="0"/>
        <v>32.6</v>
      </c>
      <c r="AC5" s="30">
        <f t="shared" si="0"/>
        <v>29.6</v>
      </c>
      <c r="AD5" s="30">
        <f t="shared" si="0"/>
        <v>26.3</v>
      </c>
      <c r="AE5" s="30">
        <f t="shared" si="0"/>
        <v>20.7</v>
      </c>
      <c r="AF5" s="30">
        <f>B95</f>
        <v>25.5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2125MW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e">
        <f>"Base Load="&amp;ROUND(MIN($B$7:$AF$7),0)</f>
        <v>#VALUE!</v>
      </c>
      <c r="B7" s="35">
        <f t="shared" ref="B7:AF7" si="1">B103</f>
        <v>1734.94</v>
      </c>
      <c r="C7" s="35">
        <f t="shared" si="1"/>
        <v>1541.44</v>
      </c>
      <c r="D7" s="35">
        <f t="shared" si="1"/>
        <v>1548.8400000000001</v>
      </c>
      <c r="E7" s="35">
        <f t="shared" si="1"/>
        <v>1489.14</v>
      </c>
      <c r="F7" s="35">
        <f t="shared" si="1"/>
        <v>1512.8399999999997</v>
      </c>
      <c r="G7" s="35">
        <f t="shared" si="1"/>
        <v>1494.5399999999997</v>
      </c>
      <c r="H7" s="35">
        <f t="shared" si="1"/>
        <v>1520.3400000000001</v>
      </c>
      <c r="I7" s="35">
        <f t="shared" si="1"/>
        <v>1527.8399999999997</v>
      </c>
      <c r="J7" s="35">
        <f t="shared" si="1"/>
        <v>1643.6399999999999</v>
      </c>
      <c r="K7" s="35">
        <f t="shared" si="1"/>
        <v>1757.74</v>
      </c>
      <c r="L7" s="35">
        <f t="shared" si="1"/>
        <v>1829.7399999999998</v>
      </c>
      <c r="M7" s="35">
        <f t="shared" si="1"/>
        <v>1711.44</v>
      </c>
      <c r="N7" s="35">
        <f t="shared" si="1"/>
        <v>1821.64</v>
      </c>
      <c r="O7" s="35">
        <f t="shared" si="1"/>
        <v>2015.2399999999998</v>
      </c>
      <c r="P7" s="35" t="e">
        <f t="shared" si="1"/>
        <v>#VALUE!</v>
      </c>
      <c r="Q7" s="35">
        <f t="shared" si="1"/>
        <v>2026.3400000000001</v>
      </c>
      <c r="R7" s="35">
        <f t="shared" si="1"/>
        <v>1965.54</v>
      </c>
      <c r="S7" s="35">
        <f t="shared" si="1"/>
        <v>1940.84</v>
      </c>
      <c r="T7" s="35">
        <f t="shared" si="1"/>
        <v>1959.44</v>
      </c>
      <c r="U7" s="35">
        <f t="shared" si="1"/>
        <v>1846.4399999999998</v>
      </c>
      <c r="V7" s="35">
        <f t="shared" si="1"/>
        <v>1804.04</v>
      </c>
      <c r="W7" s="35">
        <f t="shared" si="1"/>
        <v>1801.1399999999999</v>
      </c>
      <c r="X7" s="35">
        <f t="shared" si="1"/>
        <v>1645.3399999999997</v>
      </c>
      <c r="Y7" s="35">
        <f t="shared" si="1"/>
        <v>1644.5399999999997</v>
      </c>
      <c r="Z7" s="35">
        <f t="shared" si="1"/>
        <v>1638.3399999999997</v>
      </c>
      <c r="AA7" s="35">
        <f t="shared" si="1"/>
        <v>1957.3399999999997</v>
      </c>
      <c r="AB7" s="35">
        <f t="shared" si="1"/>
        <v>1962.3399999999997</v>
      </c>
      <c r="AC7" s="35">
        <f t="shared" si="1"/>
        <v>1897.14</v>
      </c>
      <c r="AD7" s="35">
        <f t="shared" si="1"/>
        <v>1899.1399999999999</v>
      </c>
      <c r="AE7" s="35">
        <f t="shared" si="1"/>
        <v>1835.64</v>
      </c>
      <c r="AF7" s="35">
        <f t="shared" si="1"/>
        <v>1769.65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2116.24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2026.34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21.7</v>
      </c>
      <c r="C11" s="46">
        <v>21.7</v>
      </c>
      <c r="D11" s="46">
        <v>21.7</v>
      </c>
      <c r="E11" s="46">
        <v>21.7</v>
      </c>
      <c r="F11" s="46">
        <v>21.7</v>
      </c>
      <c r="G11" s="46">
        <v>21.7</v>
      </c>
      <c r="H11" s="46">
        <v>21.7</v>
      </c>
      <c r="I11" s="46">
        <v>21.7</v>
      </c>
      <c r="J11" s="46">
        <v>21.7</v>
      </c>
      <c r="K11" s="46">
        <v>21.7</v>
      </c>
      <c r="L11" s="46">
        <v>21.7</v>
      </c>
      <c r="M11" s="46">
        <v>21.7</v>
      </c>
      <c r="N11" s="46">
        <v>21.7</v>
      </c>
      <c r="O11" s="46">
        <v>21.7</v>
      </c>
      <c r="P11" s="46"/>
      <c r="Q11" s="46">
        <v>21.7</v>
      </c>
      <c r="R11" s="46">
        <v>21.7</v>
      </c>
      <c r="S11" s="46">
        <v>21.7</v>
      </c>
      <c r="T11" s="46">
        <v>21.7</v>
      </c>
      <c r="U11" s="46">
        <v>21.7</v>
      </c>
      <c r="V11" s="46">
        <v>21.7</v>
      </c>
      <c r="W11" s="46">
        <v>21.7</v>
      </c>
      <c r="X11" s="46">
        <v>21.7</v>
      </c>
      <c r="Y11" s="46">
        <v>21.7</v>
      </c>
      <c r="Z11" s="46">
        <v>21.7</v>
      </c>
      <c r="AA11" s="46">
        <v>21.7</v>
      </c>
      <c r="AB11" s="46">
        <v>32.700000000000003</v>
      </c>
      <c r="AC11" s="46">
        <v>34.5</v>
      </c>
      <c r="AD11" s="46">
        <v>33.9</v>
      </c>
      <c r="AE11" s="46">
        <v>37.4</v>
      </c>
      <c r="AF11" s="46">
        <v>33.9</v>
      </c>
      <c r="AG11" s="47">
        <v>86</v>
      </c>
      <c r="AH11" s="48">
        <f t="shared" ref="AH11:AH74" si="2">MAX(B11:AF11)</f>
        <v>37.4</v>
      </c>
      <c r="AI11" s="49">
        <f t="shared" ref="AI11:AI74" si="3">MIN(B11:AF11)</f>
        <v>21.7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43</v>
      </c>
      <c r="C12" s="46">
        <v>43</v>
      </c>
      <c r="D12" s="46">
        <v>43</v>
      </c>
      <c r="E12" s="46">
        <v>43</v>
      </c>
      <c r="F12" s="46">
        <v>43</v>
      </c>
      <c r="G12" s="46">
        <v>43</v>
      </c>
      <c r="H12" s="46">
        <v>43</v>
      </c>
      <c r="I12" s="46">
        <v>43</v>
      </c>
      <c r="J12" s="46">
        <v>43</v>
      </c>
      <c r="K12" s="46">
        <v>43</v>
      </c>
      <c r="L12" s="46">
        <v>43</v>
      </c>
      <c r="M12" s="46">
        <v>43</v>
      </c>
      <c r="N12" s="46">
        <v>43</v>
      </c>
      <c r="O12" s="46">
        <v>43</v>
      </c>
      <c r="P12" s="46"/>
      <c r="Q12" s="46">
        <v>43</v>
      </c>
      <c r="R12" s="46">
        <v>43</v>
      </c>
      <c r="S12" s="46">
        <v>43</v>
      </c>
      <c r="T12" s="46">
        <v>43</v>
      </c>
      <c r="U12" s="46">
        <v>43</v>
      </c>
      <c r="V12" s="46">
        <v>43</v>
      </c>
      <c r="W12" s="46">
        <v>43</v>
      </c>
      <c r="X12" s="46">
        <v>43</v>
      </c>
      <c r="Y12" s="46">
        <v>43</v>
      </c>
      <c r="Z12" s="46">
        <v>43</v>
      </c>
      <c r="AA12" s="46">
        <v>43</v>
      </c>
      <c r="AB12" s="46">
        <v>43</v>
      </c>
      <c r="AC12" s="46">
        <v>43</v>
      </c>
      <c r="AD12" s="46">
        <v>43</v>
      </c>
      <c r="AE12" s="46">
        <v>48.1</v>
      </c>
      <c r="AF12" s="46">
        <v>46.1</v>
      </c>
      <c r="AG12" s="50">
        <v>77</v>
      </c>
      <c r="AH12" s="48">
        <f t="shared" si="2"/>
        <v>48.1</v>
      </c>
      <c r="AI12" s="49">
        <f t="shared" si="3"/>
        <v>43</v>
      </c>
      <c r="AK12" s="51"/>
      <c r="AL12" s="52" t="str">
        <f ca="1">MID(CELL("filename",C7),FIND("]",CELL("filename",C7))+1,600)</f>
        <v>31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70.8</v>
      </c>
      <c r="C13" s="46">
        <v>70.8</v>
      </c>
      <c r="D13" s="46">
        <v>70.8</v>
      </c>
      <c r="E13" s="46">
        <v>70.8</v>
      </c>
      <c r="F13" s="46">
        <v>70.8</v>
      </c>
      <c r="G13" s="46">
        <v>70.8</v>
      </c>
      <c r="H13" s="46">
        <v>70.8</v>
      </c>
      <c r="I13" s="46">
        <v>70.8</v>
      </c>
      <c r="J13" s="46">
        <v>70.8</v>
      </c>
      <c r="K13" s="46">
        <v>70.8</v>
      </c>
      <c r="L13" s="46">
        <v>70.8</v>
      </c>
      <c r="M13" s="46">
        <v>0</v>
      </c>
      <c r="N13" s="46">
        <v>0</v>
      </c>
      <c r="O13" s="46">
        <v>0</v>
      </c>
      <c r="P13" s="46"/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70.8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2080/10/31)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41</v>
      </c>
      <c r="C14" s="46">
        <v>41</v>
      </c>
      <c r="D14" s="46">
        <v>41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41</v>
      </c>
      <c r="K14" s="46">
        <v>41</v>
      </c>
      <c r="L14" s="46">
        <v>41</v>
      </c>
      <c r="M14" s="46">
        <v>41</v>
      </c>
      <c r="N14" s="46">
        <v>41</v>
      </c>
      <c r="O14" s="46">
        <v>41</v>
      </c>
      <c r="P14" s="46"/>
      <c r="Q14" s="46">
        <v>41</v>
      </c>
      <c r="R14" s="46">
        <v>41</v>
      </c>
      <c r="S14" s="46">
        <v>41</v>
      </c>
      <c r="T14" s="46">
        <v>41</v>
      </c>
      <c r="U14" s="46">
        <v>41</v>
      </c>
      <c r="V14" s="46">
        <v>41</v>
      </c>
      <c r="W14" s="46">
        <v>41</v>
      </c>
      <c r="X14" s="46">
        <v>41</v>
      </c>
      <c r="Y14" s="46">
        <v>41</v>
      </c>
      <c r="Z14" s="46">
        <v>41</v>
      </c>
      <c r="AA14" s="46">
        <v>41</v>
      </c>
      <c r="AB14" s="46">
        <v>41</v>
      </c>
      <c r="AC14" s="46">
        <v>41</v>
      </c>
      <c r="AD14" s="46">
        <v>41</v>
      </c>
      <c r="AE14" s="46">
        <v>41</v>
      </c>
      <c r="AF14" s="46">
        <v>40.799999999999997</v>
      </c>
      <c r="AG14" s="50">
        <v>71</v>
      </c>
      <c r="AH14" s="48">
        <f t="shared" si="2"/>
        <v>41</v>
      </c>
      <c r="AI14" s="49">
        <f t="shared" si="3"/>
        <v>40.799999999999997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25.5</v>
      </c>
      <c r="C15" s="46">
        <v>25.5</v>
      </c>
      <c r="D15" s="46">
        <v>25.5</v>
      </c>
      <c r="E15" s="46">
        <v>25.5</v>
      </c>
      <c r="F15" s="46">
        <v>25.5</v>
      </c>
      <c r="G15" s="46">
        <v>25.5</v>
      </c>
      <c r="H15" s="46">
        <v>25.5</v>
      </c>
      <c r="I15" s="46">
        <v>25.5</v>
      </c>
      <c r="J15" s="46">
        <v>25.5</v>
      </c>
      <c r="K15" s="46">
        <v>25.5</v>
      </c>
      <c r="L15" s="46">
        <v>25.5</v>
      </c>
      <c r="M15" s="46">
        <v>25.5</v>
      </c>
      <c r="N15" s="46">
        <v>25.5</v>
      </c>
      <c r="O15" s="46">
        <v>25.5</v>
      </c>
      <c r="P15" s="46"/>
      <c r="Q15" s="46">
        <v>25.5</v>
      </c>
      <c r="R15" s="46">
        <v>25.5</v>
      </c>
      <c r="S15" s="46">
        <v>25.5</v>
      </c>
      <c r="T15" s="46">
        <v>25.5</v>
      </c>
      <c r="U15" s="46">
        <v>25.5</v>
      </c>
      <c r="V15" s="46">
        <v>25.5</v>
      </c>
      <c r="W15" s="46">
        <v>25.5</v>
      </c>
      <c r="X15" s="46">
        <v>25.5</v>
      </c>
      <c r="Y15" s="46">
        <v>25.5</v>
      </c>
      <c r="Z15" s="46">
        <v>25.5</v>
      </c>
      <c r="AA15" s="46">
        <v>25.5</v>
      </c>
      <c r="AB15" s="46">
        <v>25.5</v>
      </c>
      <c r="AC15" s="46">
        <v>25.5</v>
      </c>
      <c r="AD15" s="46">
        <v>25.5</v>
      </c>
      <c r="AE15" s="46">
        <v>26</v>
      </c>
      <c r="AF15" s="46">
        <v>26.5</v>
      </c>
      <c r="AG15" s="50">
        <v>54</v>
      </c>
      <c r="AH15" s="48">
        <f t="shared" si="2"/>
        <v>26.5</v>
      </c>
      <c r="AI15" s="49">
        <f t="shared" si="3"/>
        <v>25.5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</v>
      </c>
      <c r="C16" s="46">
        <v>27</v>
      </c>
      <c r="D16" s="46">
        <v>27</v>
      </c>
      <c r="E16" s="46">
        <v>27</v>
      </c>
      <c r="F16" s="46">
        <v>27</v>
      </c>
      <c r="G16" s="46">
        <v>27</v>
      </c>
      <c r="H16" s="46">
        <v>27</v>
      </c>
      <c r="I16" s="46">
        <v>27</v>
      </c>
      <c r="J16" s="46">
        <v>27</v>
      </c>
      <c r="K16" s="46">
        <v>27</v>
      </c>
      <c r="L16" s="46">
        <v>27</v>
      </c>
      <c r="M16" s="46">
        <v>27</v>
      </c>
      <c r="N16" s="46">
        <v>27</v>
      </c>
      <c r="O16" s="46">
        <v>27</v>
      </c>
      <c r="P16" s="46"/>
      <c r="Q16" s="46">
        <v>27</v>
      </c>
      <c r="R16" s="46">
        <v>27</v>
      </c>
      <c r="S16" s="46">
        <v>27</v>
      </c>
      <c r="T16" s="46">
        <v>27</v>
      </c>
      <c r="U16" s="46">
        <v>27</v>
      </c>
      <c r="V16" s="46">
        <v>27</v>
      </c>
      <c r="W16" s="46">
        <v>27</v>
      </c>
      <c r="X16" s="46">
        <v>27</v>
      </c>
      <c r="Y16" s="46">
        <v>27</v>
      </c>
      <c r="Z16" s="46">
        <v>27</v>
      </c>
      <c r="AA16" s="46">
        <v>27</v>
      </c>
      <c r="AB16" s="46">
        <v>27</v>
      </c>
      <c r="AC16" s="46">
        <v>27</v>
      </c>
      <c r="AD16" s="46">
        <v>27</v>
      </c>
      <c r="AE16" s="46">
        <v>27.1</v>
      </c>
      <c r="AF16" s="46">
        <v>27.2</v>
      </c>
      <c r="AG16" s="50">
        <v>54</v>
      </c>
      <c r="AH16" s="48">
        <f t="shared" si="2"/>
        <v>27.2</v>
      </c>
      <c r="AI16" s="49">
        <f t="shared" si="3"/>
        <v>27</v>
      </c>
      <c r="AK16" s="51"/>
      <c r="AL16" s="54" t="s">
        <v>7</v>
      </c>
      <c r="AM16" s="59">
        <f t="shared" ref="AM16:AR16" si="4">B61</f>
        <v>867.19999999999993</v>
      </c>
      <c r="AN16" s="59">
        <f t="shared" si="4"/>
        <v>867.19999999999993</v>
      </c>
      <c r="AO16" s="59">
        <f t="shared" si="4"/>
        <v>867.19999999999993</v>
      </c>
      <c r="AP16" s="59">
        <f t="shared" si="4"/>
        <v>867.19999999999993</v>
      </c>
      <c r="AQ16" s="59">
        <f t="shared" si="4"/>
        <v>760.19999999999993</v>
      </c>
      <c r="AR16" s="59">
        <f t="shared" si="4"/>
        <v>867.19999999999993</v>
      </c>
      <c r="AS16" s="59">
        <f>I61</f>
        <v>867.19999999999993</v>
      </c>
      <c r="AT16" s="59">
        <f>K61</f>
        <v>867.19999999999993</v>
      </c>
      <c r="AU16" s="59">
        <f t="shared" ref="AU16:BD16" si="5">M61</f>
        <v>796.4</v>
      </c>
      <c r="AV16" s="59">
        <f t="shared" si="5"/>
        <v>796.4</v>
      </c>
      <c r="AW16" s="59">
        <f t="shared" si="5"/>
        <v>796.4</v>
      </c>
      <c r="AX16" s="59" t="str">
        <f t="shared" si="5"/>
        <v>e</v>
      </c>
      <c r="AY16" s="59">
        <f t="shared" si="5"/>
        <v>765.40000000000009</v>
      </c>
      <c r="AZ16" s="59">
        <f t="shared" si="5"/>
        <v>790.4</v>
      </c>
      <c r="BA16" s="59">
        <f t="shared" si="5"/>
        <v>790.4</v>
      </c>
      <c r="BB16" s="59">
        <f t="shared" si="5"/>
        <v>790.4</v>
      </c>
      <c r="BC16" s="59">
        <f t="shared" si="5"/>
        <v>790.4</v>
      </c>
      <c r="BD16" s="59">
        <f t="shared" si="5"/>
        <v>790.4</v>
      </c>
      <c r="BE16" s="60">
        <f>X61</f>
        <v>790.4</v>
      </c>
      <c r="BF16" s="60">
        <f>Z61</f>
        <v>790.4</v>
      </c>
      <c r="BG16" s="60">
        <f>AB61</f>
        <v>814.9</v>
      </c>
      <c r="BH16" s="60">
        <f>AD61</f>
        <v>820.09999999999991</v>
      </c>
      <c r="BI16" s="60">
        <f>AE61</f>
        <v>857.19999999999993</v>
      </c>
      <c r="BJ16" s="60">
        <f>AF61</f>
        <v>852.1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24</v>
      </c>
      <c r="C17" s="46">
        <v>24</v>
      </c>
      <c r="D17" s="46">
        <v>24</v>
      </c>
      <c r="E17" s="46">
        <v>24</v>
      </c>
      <c r="F17" s="46">
        <v>24</v>
      </c>
      <c r="G17" s="46">
        <v>24</v>
      </c>
      <c r="H17" s="46">
        <v>24</v>
      </c>
      <c r="I17" s="46">
        <v>24</v>
      </c>
      <c r="J17" s="46">
        <v>24</v>
      </c>
      <c r="K17" s="46">
        <v>24</v>
      </c>
      <c r="L17" s="46">
        <v>24</v>
      </c>
      <c r="M17" s="46">
        <v>24</v>
      </c>
      <c r="N17" s="46">
        <v>24</v>
      </c>
      <c r="O17" s="46">
        <v>24</v>
      </c>
      <c r="P17" s="46"/>
      <c r="Q17" s="46">
        <v>18</v>
      </c>
      <c r="R17" s="46">
        <v>18</v>
      </c>
      <c r="S17" s="46">
        <v>18</v>
      </c>
      <c r="T17" s="46">
        <v>18</v>
      </c>
      <c r="U17" s="46">
        <v>18</v>
      </c>
      <c r="V17" s="46">
        <v>18</v>
      </c>
      <c r="W17" s="46">
        <v>18</v>
      </c>
      <c r="X17" s="46">
        <v>18</v>
      </c>
      <c r="Y17" s="46">
        <v>18</v>
      </c>
      <c r="Z17" s="46">
        <v>18</v>
      </c>
      <c r="AA17" s="46">
        <v>18</v>
      </c>
      <c r="AB17" s="46">
        <v>18</v>
      </c>
      <c r="AC17" s="46">
        <v>18</v>
      </c>
      <c r="AD17" s="46">
        <v>18</v>
      </c>
      <c r="AE17" s="46">
        <v>30</v>
      </c>
      <c r="AF17" s="46">
        <v>29.9</v>
      </c>
      <c r="AG17" s="47">
        <v>52.4</v>
      </c>
      <c r="AH17" s="48">
        <f t="shared" si="2"/>
        <v>30</v>
      </c>
      <c r="AI17" s="49">
        <f t="shared" si="3"/>
        <v>18</v>
      </c>
      <c r="AK17" s="51"/>
      <c r="AL17" s="54" t="s">
        <v>27</v>
      </c>
      <c r="AM17" s="59">
        <f t="shared" ref="AM17:AR17" si="6">B65</f>
        <v>513.70000000000005</v>
      </c>
      <c r="AN17" s="59">
        <f t="shared" si="6"/>
        <v>513.70000000000005</v>
      </c>
      <c r="AO17" s="59">
        <f t="shared" si="6"/>
        <v>513.70000000000005</v>
      </c>
      <c r="AP17" s="59">
        <f t="shared" si="6"/>
        <v>513.70000000000005</v>
      </c>
      <c r="AQ17" s="59">
        <f t="shared" si="6"/>
        <v>514.09999999999991</v>
      </c>
      <c r="AR17" s="59">
        <f t="shared" si="6"/>
        <v>514.09999999999991</v>
      </c>
      <c r="AS17" s="59">
        <f>I65</f>
        <v>511.9</v>
      </c>
      <c r="AT17" s="59">
        <f>K65</f>
        <v>514.09999999999991</v>
      </c>
      <c r="AU17" s="59">
        <f t="shared" ref="AU17:BD17" si="7">M65</f>
        <v>514</v>
      </c>
      <c r="AV17" s="59">
        <f t="shared" si="7"/>
        <v>514</v>
      </c>
      <c r="AW17" s="59">
        <f t="shared" si="7"/>
        <v>514</v>
      </c>
      <c r="AX17" s="59">
        <f t="shared" si="7"/>
        <v>0</v>
      </c>
      <c r="AY17" s="59">
        <f t="shared" si="7"/>
        <v>514</v>
      </c>
      <c r="AZ17" s="59">
        <f t="shared" si="7"/>
        <v>443.7</v>
      </c>
      <c r="BA17" s="59">
        <f t="shared" si="7"/>
        <v>457.7</v>
      </c>
      <c r="BB17" s="59">
        <f t="shared" si="7"/>
        <v>487.7</v>
      </c>
      <c r="BC17" s="59">
        <f t="shared" si="7"/>
        <v>355.4</v>
      </c>
      <c r="BD17" s="59">
        <f t="shared" si="7"/>
        <v>469.3</v>
      </c>
      <c r="BE17" s="60">
        <f>X65</f>
        <v>276.7</v>
      </c>
      <c r="BF17" s="60">
        <f>Z65</f>
        <v>511.7</v>
      </c>
      <c r="BG17" s="60">
        <f>AB65</f>
        <v>512.09999999999991</v>
      </c>
      <c r="BH17" s="60">
        <f>AD65</f>
        <v>511.8</v>
      </c>
      <c r="BI17" s="60">
        <f>AE65</f>
        <v>511.90000000000003</v>
      </c>
      <c r="BJ17" s="60">
        <f>AF65</f>
        <v>514.51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50.5</v>
      </c>
      <c r="C18" s="46">
        <v>50.5</v>
      </c>
      <c r="D18" s="46">
        <v>50.5</v>
      </c>
      <c r="E18" s="46">
        <v>50.5</v>
      </c>
      <c r="F18" s="46">
        <v>50.5</v>
      </c>
      <c r="G18" s="46">
        <v>50.5</v>
      </c>
      <c r="H18" s="46">
        <v>50.5</v>
      </c>
      <c r="I18" s="46">
        <v>50.5</v>
      </c>
      <c r="J18" s="46">
        <v>50.5</v>
      </c>
      <c r="K18" s="46">
        <v>50.5</v>
      </c>
      <c r="L18" s="46">
        <v>50.5</v>
      </c>
      <c r="M18" s="46">
        <v>50.5</v>
      </c>
      <c r="N18" s="46">
        <v>50.5</v>
      </c>
      <c r="O18" s="46">
        <v>50.5</v>
      </c>
      <c r="P18" s="46"/>
      <c r="Q18" s="46">
        <v>50.5</v>
      </c>
      <c r="R18" s="46">
        <v>50.5</v>
      </c>
      <c r="S18" s="46">
        <v>50.5</v>
      </c>
      <c r="T18" s="46">
        <v>50.5</v>
      </c>
      <c r="U18" s="46">
        <v>50.5</v>
      </c>
      <c r="V18" s="46">
        <v>50.5</v>
      </c>
      <c r="W18" s="46">
        <v>50.5</v>
      </c>
      <c r="X18" s="46">
        <v>50.5</v>
      </c>
      <c r="Y18" s="46">
        <v>50.5</v>
      </c>
      <c r="Z18" s="46">
        <v>50.5</v>
      </c>
      <c r="AA18" s="53">
        <v>50.5</v>
      </c>
      <c r="AB18" s="53">
        <v>50.5</v>
      </c>
      <c r="AC18" s="53">
        <v>50.5</v>
      </c>
      <c r="AD18" s="53">
        <v>50.5</v>
      </c>
      <c r="AE18" s="53">
        <v>50.3</v>
      </c>
      <c r="AF18" s="53">
        <v>50.4</v>
      </c>
      <c r="AG18" s="50">
        <v>50</v>
      </c>
      <c r="AH18" s="48">
        <f t="shared" si="2"/>
        <v>50.5</v>
      </c>
      <c r="AI18" s="49">
        <f t="shared" si="3"/>
        <v>50.3</v>
      </c>
      <c r="AK18" s="51"/>
      <c r="AL18" s="54" t="s">
        <v>29</v>
      </c>
      <c r="AM18" s="59">
        <f t="shared" ref="AM18:AR18" si="8">B79</f>
        <v>414.74</v>
      </c>
      <c r="AN18" s="59">
        <f t="shared" si="8"/>
        <v>414.74</v>
      </c>
      <c r="AO18" s="59">
        <f t="shared" si="8"/>
        <v>414.74</v>
      </c>
      <c r="AP18" s="59">
        <f t="shared" si="8"/>
        <v>413.53999999999996</v>
      </c>
      <c r="AQ18" s="59">
        <f t="shared" si="8"/>
        <v>418.14</v>
      </c>
      <c r="AR18" s="59">
        <f t="shared" si="8"/>
        <v>413.34</v>
      </c>
      <c r="AS18" s="59">
        <f>I79</f>
        <v>410.14</v>
      </c>
      <c r="AT18" s="59">
        <f>K79</f>
        <v>413.34</v>
      </c>
      <c r="AU18" s="59">
        <f t="shared" ref="AU18:BD18" si="9">M79</f>
        <v>428.84</v>
      </c>
      <c r="AV18" s="59">
        <f t="shared" si="9"/>
        <v>417.03999999999996</v>
      </c>
      <c r="AW18" s="59">
        <f t="shared" si="9"/>
        <v>420.13999999999993</v>
      </c>
      <c r="AX18" s="59">
        <f t="shared" si="9"/>
        <v>3.54</v>
      </c>
      <c r="AY18" s="59">
        <f t="shared" si="9"/>
        <v>420.13999999999993</v>
      </c>
      <c r="AZ18" s="59">
        <f t="shared" si="9"/>
        <v>435.13999999999993</v>
      </c>
      <c r="BA18" s="59">
        <f t="shared" si="9"/>
        <v>432.03999999999996</v>
      </c>
      <c r="BB18" s="59">
        <f t="shared" si="9"/>
        <v>426.93999999999994</v>
      </c>
      <c r="BC18" s="59">
        <f t="shared" si="9"/>
        <v>422.83999999999992</v>
      </c>
      <c r="BD18" s="59">
        <f t="shared" si="9"/>
        <v>415.64</v>
      </c>
      <c r="BE18" s="60">
        <f>X79</f>
        <v>412.34</v>
      </c>
      <c r="BF18" s="60">
        <f>Z79</f>
        <v>407.13999999999993</v>
      </c>
      <c r="BG18" s="60">
        <f>AB79</f>
        <v>406.73999999999995</v>
      </c>
      <c r="BH18" s="60">
        <f>AD79</f>
        <v>409.23999999999995</v>
      </c>
      <c r="BI18" s="60">
        <f>AE79</f>
        <v>411.34000000000003</v>
      </c>
      <c r="BJ18" s="60">
        <f>AF79</f>
        <v>412.54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41</v>
      </c>
      <c r="C19" s="46">
        <v>41</v>
      </c>
      <c r="D19" s="46">
        <v>41</v>
      </c>
      <c r="E19" s="46">
        <v>41</v>
      </c>
      <c r="F19" s="46">
        <v>41</v>
      </c>
      <c r="G19" s="46">
        <v>41</v>
      </c>
      <c r="H19" s="46">
        <v>41</v>
      </c>
      <c r="I19" s="46">
        <v>41</v>
      </c>
      <c r="J19" s="46">
        <v>41</v>
      </c>
      <c r="K19" s="46">
        <v>41</v>
      </c>
      <c r="L19" s="46">
        <v>41</v>
      </c>
      <c r="M19" s="46">
        <v>41</v>
      </c>
      <c r="N19" s="46">
        <v>41</v>
      </c>
      <c r="O19" s="46">
        <v>41</v>
      </c>
      <c r="P19" s="46"/>
      <c r="Q19" s="46">
        <v>41</v>
      </c>
      <c r="R19" s="46">
        <v>41</v>
      </c>
      <c r="S19" s="46">
        <v>41</v>
      </c>
      <c r="T19" s="46">
        <v>41</v>
      </c>
      <c r="U19" s="46">
        <v>41</v>
      </c>
      <c r="V19" s="46">
        <v>41</v>
      </c>
      <c r="W19" s="46">
        <v>41</v>
      </c>
      <c r="X19" s="46">
        <v>41</v>
      </c>
      <c r="Y19" s="46">
        <v>41</v>
      </c>
      <c r="Z19" s="46">
        <v>41</v>
      </c>
      <c r="AA19" s="46">
        <v>41</v>
      </c>
      <c r="AB19" s="46">
        <v>41</v>
      </c>
      <c r="AC19" s="46">
        <v>41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41</v>
      </c>
      <c r="AK19" s="51"/>
      <c r="AL19" s="54" t="s">
        <v>31</v>
      </c>
      <c r="AM19" s="59">
        <f t="shared" ref="AM19:AR19" si="10">B95</f>
        <v>25.5</v>
      </c>
      <c r="AN19" s="59">
        <f t="shared" si="10"/>
        <v>21.9</v>
      </c>
      <c r="AO19" s="59">
        <f t="shared" si="10"/>
        <v>22.4</v>
      </c>
      <c r="AP19" s="59">
        <f t="shared" si="10"/>
        <v>20.7</v>
      </c>
      <c r="AQ19" s="59">
        <f t="shared" si="10"/>
        <v>10.4</v>
      </c>
      <c r="AR19" s="59">
        <f t="shared" si="10"/>
        <v>18.899999999999999</v>
      </c>
      <c r="AS19" s="59">
        <f>I95</f>
        <v>8.6</v>
      </c>
      <c r="AT19" s="59">
        <f>K95</f>
        <v>204.9</v>
      </c>
      <c r="AU19" s="59">
        <f t="shared" ref="AU19:BD19" si="11">M95</f>
        <v>219.8</v>
      </c>
      <c r="AV19" s="59">
        <f t="shared" si="11"/>
        <v>233</v>
      </c>
      <c r="AW19" s="59">
        <f t="shared" si="11"/>
        <v>264.5</v>
      </c>
      <c r="AX19" s="59">
        <f t="shared" si="11"/>
        <v>0</v>
      </c>
      <c r="AY19" s="59">
        <f t="shared" si="11"/>
        <v>255.6</v>
      </c>
      <c r="AZ19" s="59">
        <f t="shared" si="11"/>
        <v>264.10000000000002</v>
      </c>
      <c r="BA19" s="59">
        <f t="shared" si="11"/>
        <v>239.7</v>
      </c>
      <c r="BB19" s="59">
        <f t="shared" si="11"/>
        <v>233.4</v>
      </c>
      <c r="BC19" s="59">
        <f t="shared" si="11"/>
        <v>256.8</v>
      </c>
      <c r="BD19" s="59">
        <f t="shared" si="11"/>
        <v>226.8</v>
      </c>
      <c r="BE19" s="60">
        <f>X95</f>
        <v>200.8</v>
      </c>
      <c r="BF19" s="60">
        <f>Z95</f>
        <v>32.1</v>
      </c>
      <c r="BG19" s="60">
        <f>AB95</f>
        <v>36.799999999999997</v>
      </c>
      <c r="BH19" s="60">
        <f>AD95</f>
        <v>29.6</v>
      </c>
      <c r="BI19" s="60">
        <f>AE95</f>
        <v>26.3</v>
      </c>
      <c r="BJ19" s="60">
        <f>AF95</f>
        <v>20.7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43.3</v>
      </c>
      <c r="C20" s="46">
        <v>43.3</v>
      </c>
      <c r="D20" s="46">
        <v>43.3</v>
      </c>
      <c r="E20" s="46">
        <v>43.3</v>
      </c>
      <c r="F20" s="46">
        <v>43.3</v>
      </c>
      <c r="G20" s="46">
        <v>43.3</v>
      </c>
      <c r="H20" s="46">
        <v>43.3</v>
      </c>
      <c r="I20" s="46">
        <v>43.3</v>
      </c>
      <c r="J20" s="46">
        <v>43.3</v>
      </c>
      <c r="K20" s="46">
        <v>43.3</v>
      </c>
      <c r="L20" s="46">
        <v>43.3</v>
      </c>
      <c r="M20" s="46">
        <v>43.3</v>
      </c>
      <c r="N20" s="46">
        <v>43.3</v>
      </c>
      <c r="O20" s="46">
        <v>43.3</v>
      </c>
      <c r="P20" s="46"/>
      <c r="Q20" s="46">
        <v>43.3</v>
      </c>
      <c r="R20" s="46">
        <v>43.3</v>
      </c>
      <c r="S20" s="46">
        <v>43.3</v>
      </c>
      <c r="T20" s="46">
        <v>43.3</v>
      </c>
      <c r="U20" s="46">
        <v>43.3</v>
      </c>
      <c r="V20" s="46">
        <v>43.3</v>
      </c>
      <c r="W20" s="46">
        <v>43.3</v>
      </c>
      <c r="X20" s="46">
        <v>43.3</v>
      </c>
      <c r="Y20" s="46">
        <v>43.3</v>
      </c>
      <c r="Z20" s="46">
        <v>43.3</v>
      </c>
      <c r="AA20" s="46">
        <v>43.3</v>
      </c>
      <c r="AB20" s="46">
        <v>43.3</v>
      </c>
      <c r="AC20" s="46">
        <v>43.3</v>
      </c>
      <c r="AD20" s="46">
        <v>43.3</v>
      </c>
      <c r="AE20" s="46">
        <v>47</v>
      </c>
      <c r="AF20" s="46">
        <v>47.1</v>
      </c>
      <c r="AG20" s="50">
        <v>44</v>
      </c>
      <c r="AH20" s="48">
        <f t="shared" si="2"/>
        <v>47.1</v>
      </c>
      <c r="AI20" s="49">
        <f t="shared" si="3"/>
        <v>43.3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13.4</v>
      </c>
      <c r="AV20" s="59">
        <f t="shared" si="13"/>
        <v>21.2</v>
      </c>
      <c r="AW20" s="59">
        <f t="shared" si="13"/>
        <v>21.2</v>
      </c>
      <c r="AX20" s="59">
        <f t="shared" si="13"/>
        <v>0</v>
      </c>
      <c r="AY20" s="59">
        <f t="shared" si="13"/>
        <v>21.2</v>
      </c>
      <c r="AZ20" s="59">
        <f t="shared" si="13"/>
        <v>32.200000000000003</v>
      </c>
      <c r="BA20" s="59">
        <f t="shared" si="13"/>
        <v>21</v>
      </c>
      <c r="BB20" s="59">
        <f t="shared" si="13"/>
        <v>21</v>
      </c>
      <c r="BC20" s="59">
        <f t="shared" si="13"/>
        <v>21</v>
      </c>
      <c r="BD20" s="59">
        <f t="shared" si="13"/>
        <v>15.1</v>
      </c>
      <c r="BE20" s="60">
        <f>X83</f>
        <v>15.1</v>
      </c>
      <c r="BF20" s="60">
        <f>Z83</f>
        <v>15.1</v>
      </c>
      <c r="BG20" s="60">
        <f>AB83</f>
        <v>48.7</v>
      </c>
      <c r="BH20" s="60">
        <f>AD83</f>
        <v>48.400000000000006</v>
      </c>
      <c r="BI20" s="60">
        <f>AE83</f>
        <v>34.9</v>
      </c>
      <c r="BJ20" s="60">
        <f>AF83</f>
        <v>19.8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/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120</v>
      </c>
      <c r="AO21" s="59">
        <f t="shared" si="14"/>
        <v>120</v>
      </c>
      <c r="AP21" s="59">
        <f t="shared" si="14"/>
        <v>120</v>
      </c>
      <c r="AQ21" s="59">
        <f t="shared" si="14"/>
        <v>150</v>
      </c>
      <c r="AR21" s="59">
        <f t="shared" si="14"/>
        <v>120</v>
      </c>
      <c r="AS21" s="59">
        <f>I101</f>
        <v>120</v>
      </c>
      <c r="AT21" s="59">
        <f>K101</f>
        <v>50</v>
      </c>
      <c r="AU21" s="59">
        <f t="shared" ref="AU21:BD21" si="15">M101</f>
        <v>50</v>
      </c>
      <c r="AV21" s="59">
        <f t="shared" si="15"/>
        <v>50</v>
      </c>
      <c r="AW21" s="59">
        <f t="shared" si="15"/>
        <v>100</v>
      </c>
      <c r="AX21" s="59">
        <f t="shared" si="15"/>
        <v>0</v>
      </c>
      <c r="AY21" s="59">
        <f t="shared" si="15"/>
        <v>100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250</v>
      </c>
      <c r="BH21" s="60">
        <f>AD101</f>
        <v>200</v>
      </c>
      <c r="BI21" s="60">
        <f>AE101</f>
        <v>150</v>
      </c>
      <c r="BJ21" s="60">
        <f>AF101</f>
        <v>100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30.7</v>
      </c>
      <c r="C22" s="46">
        <v>30.7</v>
      </c>
      <c r="D22" s="46">
        <v>30.7</v>
      </c>
      <c r="E22" s="46">
        <v>30.7</v>
      </c>
      <c r="F22" s="46">
        <v>30.7</v>
      </c>
      <c r="G22" s="46">
        <v>30.7</v>
      </c>
      <c r="H22" s="46">
        <v>30.7</v>
      </c>
      <c r="I22" s="46">
        <v>30.7</v>
      </c>
      <c r="J22" s="46">
        <v>30.7</v>
      </c>
      <c r="K22" s="46">
        <v>30.7</v>
      </c>
      <c r="L22" s="46">
        <v>30.7</v>
      </c>
      <c r="M22" s="46">
        <v>30.7</v>
      </c>
      <c r="N22" s="46">
        <v>30.7</v>
      </c>
      <c r="O22" s="46">
        <v>30.7</v>
      </c>
      <c r="P22" s="46"/>
      <c r="Q22" s="46">
        <v>30.7</v>
      </c>
      <c r="R22" s="46">
        <v>30.7</v>
      </c>
      <c r="S22" s="46">
        <v>30.7</v>
      </c>
      <c r="T22" s="46">
        <v>30.7</v>
      </c>
      <c r="U22" s="46">
        <v>30.7</v>
      </c>
      <c r="V22" s="46">
        <v>30.7</v>
      </c>
      <c r="W22" s="46">
        <v>30.7</v>
      </c>
      <c r="X22" s="46">
        <v>30.7</v>
      </c>
      <c r="Y22" s="46">
        <v>30.7</v>
      </c>
      <c r="Z22" s="46">
        <v>30.7</v>
      </c>
      <c r="AA22" s="46">
        <v>30.7</v>
      </c>
      <c r="AB22" s="46">
        <v>30.7</v>
      </c>
      <c r="AC22" s="46">
        <v>30.7</v>
      </c>
      <c r="AD22" s="46">
        <v>30.7</v>
      </c>
      <c r="AE22" s="46">
        <v>37.299999999999997</v>
      </c>
      <c r="AF22" s="46">
        <v>38.299999999999997</v>
      </c>
      <c r="AG22" s="50">
        <v>38.46</v>
      </c>
      <c r="AH22" s="48">
        <f t="shared" si="2"/>
        <v>38.299999999999997</v>
      </c>
      <c r="AI22" s="49">
        <f t="shared" si="3"/>
        <v>30.7</v>
      </c>
      <c r="AK22" s="51"/>
      <c r="AL22" s="62" t="s">
        <v>37</v>
      </c>
      <c r="AM22" s="63">
        <f t="shared" ref="AM22:BJ22" si="16">SUM(AM16:AM21)</f>
        <v>1971.14</v>
      </c>
      <c r="AN22" s="63">
        <f t="shared" si="16"/>
        <v>1937.5400000000002</v>
      </c>
      <c r="AO22" s="63">
        <f t="shared" si="16"/>
        <v>1938.0400000000002</v>
      </c>
      <c r="AP22" s="63">
        <f t="shared" si="16"/>
        <v>1935.14</v>
      </c>
      <c r="AQ22" s="63">
        <f t="shared" si="16"/>
        <v>1852.8399999999997</v>
      </c>
      <c r="AR22" s="63">
        <f t="shared" si="16"/>
        <v>1933.5399999999997</v>
      </c>
      <c r="AS22" s="63">
        <f t="shared" si="16"/>
        <v>1917.8399999999997</v>
      </c>
      <c r="AT22" s="63">
        <f t="shared" si="16"/>
        <v>2049.54</v>
      </c>
      <c r="AU22" s="63">
        <f t="shared" si="16"/>
        <v>2022.44</v>
      </c>
      <c r="AV22" s="63">
        <f t="shared" si="16"/>
        <v>2031.64</v>
      </c>
      <c r="AW22" s="63">
        <f t="shared" si="16"/>
        <v>2116.2399999999998</v>
      </c>
      <c r="AX22" s="63">
        <f t="shared" si="16"/>
        <v>3.54</v>
      </c>
      <c r="AY22" s="63">
        <f t="shared" si="16"/>
        <v>2076.34</v>
      </c>
      <c r="AZ22" s="63">
        <f t="shared" si="16"/>
        <v>1965.5399999999997</v>
      </c>
      <c r="BA22" s="63">
        <f t="shared" si="16"/>
        <v>1940.84</v>
      </c>
      <c r="BB22" s="63">
        <f t="shared" si="16"/>
        <v>1959.44</v>
      </c>
      <c r="BC22" s="63">
        <f t="shared" si="16"/>
        <v>1846.4399999999998</v>
      </c>
      <c r="BD22" s="63">
        <f t="shared" si="16"/>
        <v>1917.24</v>
      </c>
      <c r="BE22" s="63">
        <f t="shared" si="16"/>
        <v>1695.3399999999997</v>
      </c>
      <c r="BF22" s="63">
        <f t="shared" si="16"/>
        <v>1756.4399999999996</v>
      </c>
      <c r="BG22" s="63">
        <f t="shared" si="16"/>
        <v>2069.2399999999998</v>
      </c>
      <c r="BH22" s="63">
        <f t="shared" si="16"/>
        <v>2019.1399999999999</v>
      </c>
      <c r="BI22" s="63">
        <f t="shared" si="16"/>
        <v>1991.64</v>
      </c>
      <c r="BJ22" s="63">
        <f t="shared" si="16"/>
        <v>1919.65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/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-236.2</v>
      </c>
      <c r="AN23" s="63">
        <f t="shared" si="17"/>
        <v>-396.1</v>
      </c>
      <c r="AO23" s="63">
        <f t="shared" si="17"/>
        <v>-389.2</v>
      </c>
      <c r="AP23" s="63">
        <f t="shared" si="17"/>
        <v>-446</v>
      </c>
      <c r="AQ23" s="63">
        <f t="shared" si="17"/>
        <v>-340</v>
      </c>
      <c r="AR23" s="63">
        <f t="shared" si="17"/>
        <v>-439</v>
      </c>
      <c r="AS23" s="63">
        <f>I110*-1</f>
        <v>-390</v>
      </c>
      <c r="AT23" s="63">
        <f>K110*-1</f>
        <v>-291.8</v>
      </c>
      <c r="AU23" s="63">
        <f t="shared" ref="AU23:BD23" si="18">M110*-1</f>
        <v>-311</v>
      </c>
      <c r="AV23" s="63">
        <f t="shared" si="18"/>
        <v>-210</v>
      </c>
      <c r="AW23" s="63">
        <f t="shared" si="18"/>
        <v>-101</v>
      </c>
      <c r="AX23" s="63">
        <f t="shared" si="18"/>
        <v>0</v>
      </c>
      <c r="AY23" s="63">
        <f t="shared" si="18"/>
        <v>-50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-113.2</v>
      </c>
      <c r="BE23" s="63">
        <f>X110*-1</f>
        <v>-50</v>
      </c>
      <c r="BF23" s="63">
        <f>Z110*-1</f>
        <v>-118.1</v>
      </c>
      <c r="BG23" s="63">
        <f>AB110*-1</f>
        <v>-106.9</v>
      </c>
      <c r="BH23" s="63">
        <f>AD110*-1</f>
        <v>-120</v>
      </c>
      <c r="BI23" s="63">
        <f>AE110*-1</f>
        <v>-156</v>
      </c>
      <c r="BJ23" s="63">
        <f>AF110*-1</f>
        <v>-150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/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1734.94</v>
      </c>
      <c r="AN24" s="63">
        <f t="shared" si="19"/>
        <v>1541.44</v>
      </c>
      <c r="AO24" s="63">
        <f t="shared" si="19"/>
        <v>1548.8400000000001</v>
      </c>
      <c r="AP24" s="63">
        <f t="shared" si="19"/>
        <v>1489.14</v>
      </c>
      <c r="AQ24" s="63">
        <f t="shared" si="19"/>
        <v>1512.8399999999997</v>
      </c>
      <c r="AR24" s="63">
        <f t="shared" si="19"/>
        <v>1494.5399999999997</v>
      </c>
      <c r="AS24" s="63">
        <f t="shared" si="19"/>
        <v>1527.8399999999997</v>
      </c>
      <c r="AT24" s="63">
        <f t="shared" si="19"/>
        <v>1757.74</v>
      </c>
      <c r="AU24" s="63">
        <f t="shared" si="19"/>
        <v>1711.44</v>
      </c>
      <c r="AV24" s="63">
        <f t="shared" si="19"/>
        <v>1821.64</v>
      </c>
      <c r="AW24" s="63">
        <f t="shared" si="19"/>
        <v>2015.2399999999998</v>
      </c>
      <c r="AX24" s="63">
        <f t="shared" si="19"/>
        <v>3.54</v>
      </c>
      <c r="AY24" s="63">
        <f t="shared" si="19"/>
        <v>2026.3400000000001</v>
      </c>
      <c r="AZ24" s="63">
        <f t="shared" si="19"/>
        <v>1965.5399999999997</v>
      </c>
      <c r="BA24" s="63">
        <f t="shared" si="19"/>
        <v>1940.84</v>
      </c>
      <c r="BB24" s="63">
        <f t="shared" si="19"/>
        <v>1959.44</v>
      </c>
      <c r="BC24" s="63">
        <f t="shared" si="19"/>
        <v>1846.4399999999998</v>
      </c>
      <c r="BD24" s="63">
        <f t="shared" si="19"/>
        <v>1804.04</v>
      </c>
      <c r="BE24" s="63">
        <f t="shared" si="19"/>
        <v>1645.3399999999997</v>
      </c>
      <c r="BF24" s="63">
        <f t="shared" si="19"/>
        <v>1638.3399999999997</v>
      </c>
      <c r="BG24" s="63">
        <f t="shared" si="19"/>
        <v>1962.3399999999997</v>
      </c>
      <c r="BH24" s="63">
        <f t="shared" si="19"/>
        <v>1899.1399999999999</v>
      </c>
      <c r="BI24" s="63">
        <f t="shared" si="19"/>
        <v>1835.64</v>
      </c>
      <c r="BJ24" s="63">
        <f t="shared" si="19"/>
        <v>1769.65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16.899999999999999</v>
      </c>
      <c r="C25" s="46">
        <v>16.899999999999999</v>
      </c>
      <c r="D25" s="46">
        <v>16.899999999999999</v>
      </c>
      <c r="E25" s="46">
        <v>16.899999999999999</v>
      </c>
      <c r="F25" s="46">
        <v>16.899999999999999</v>
      </c>
      <c r="G25" s="46">
        <v>16.899999999999999</v>
      </c>
      <c r="H25" s="46">
        <v>16.899999999999999</v>
      </c>
      <c r="I25" s="46">
        <v>16.899999999999999</v>
      </c>
      <c r="J25" s="46">
        <v>16.899999999999999</v>
      </c>
      <c r="K25" s="46">
        <v>16.899999999999999</v>
      </c>
      <c r="L25" s="46">
        <v>16.899999999999999</v>
      </c>
      <c r="M25" s="46">
        <v>16.899999999999999</v>
      </c>
      <c r="N25" s="46">
        <v>16.899999999999999</v>
      </c>
      <c r="O25" s="46">
        <v>16.899999999999999</v>
      </c>
      <c r="P25" s="46"/>
      <c r="Q25" s="46">
        <v>16.899999999999999</v>
      </c>
      <c r="R25" s="46">
        <v>16.899999999999999</v>
      </c>
      <c r="S25" s="46">
        <v>16.899999999999999</v>
      </c>
      <c r="T25" s="46">
        <v>16.899999999999999</v>
      </c>
      <c r="U25" s="46">
        <v>16.899999999999999</v>
      </c>
      <c r="V25" s="46">
        <v>16.899999999999999</v>
      </c>
      <c r="W25" s="46">
        <v>16.899999999999999</v>
      </c>
      <c r="X25" s="46">
        <v>16.899999999999999</v>
      </c>
      <c r="Y25" s="46">
        <v>16.899999999999999</v>
      </c>
      <c r="Z25" s="46">
        <v>16.899999999999999</v>
      </c>
      <c r="AA25" s="46">
        <v>16.899999999999999</v>
      </c>
      <c r="AB25" s="46">
        <v>16.899999999999999</v>
      </c>
      <c r="AC25" s="46">
        <v>16.899999999999999</v>
      </c>
      <c r="AD25" s="46">
        <v>16.899999999999999</v>
      </c>
      <c r="AE25" s="46">
        <v>15.9</v>
      </c>
      <c r="AF25" s="46">
        <v>15.6</v>
      </c>
      <c r="AG25" s="61">
        <v>30</v>
      </c>
      <c r="AH25" s="48">
        <f t="shared" si="2"/>
        <v>16.899999999999999</v>
      </c>
      <c r="AI25" s="49">
        <f t="shared" si="3"/>
        <v>15.6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18</v>
      </c>
      <c r="C26" s="46">
        <v>18</v>
      </c>
      <c r="D26" s="46">
        <v>18</v>
      </c>
      <c r="E26" s="46">
        <v>18</v>
      </c>
      <c r="F26" s="46">
        <v>18</v>
      </c>
      <c r="G26" s="46">
        <v>18</v>
      </c>
      <c r="H26" s="46">
        <v>18</v>
      </c>
      <c r="I26" s="46">
        <v>18</v>
      </c>
      <c r="J26" s="46">
        <v>18</v>
      </c>
      <c r="K26" s="46">
        <v>18</v>
      </c>
      <c r="L26" s="46">
        <v>18</v>
      </c>
      <c r="M26" s="46">
        <v>18</v>
      </c>
      <c r="N26" s="46">
        <v>18</v>
      </c>
      <c r="O26" s="46">
        <v>18</v>
      </c>
      <c r="P26" s="46"/>
      <c r="Q26" s="46">
        <v>18</v>
      </c>
      <c r="R26" s="46">
        <v>18</v>
      </c>
      <c r="S26" s="46">
        <v>18</v>
      </c>
      <c r="T26" s="46">
        <v>18</v>
      </c>
      <c r="U26" s="46">
        <v>18</v>
      </c>
      <c r="V26" s="46">
        <v>18</v>
      </c>
      <c r="W26" s="46">
        <v>18</v>
      </c>
      <c r="X26" s="46">
        <v>18</v>
      </c>
      <c r="Y26" s="46">
        <v>18</v>
      </c>
      <c r="Z26" s="46">
        <v>18</v>
      </c>
      <c r="AA26" s="46">
        <v>18</v>
      </c>
      <c r="AB26" s="46">
        <v>18</v>
      </c>
      <c r="AC26" s="46">
        <v>18</v>
      </c>
      <c r="AD26" s="46">
        <v>18</v>
      </c>
      <c r="AE26" s="46">
        <v>16.100000000000001</v>
      </c>
      <c r="AF26" s="46">
        <v>17</v>
      </c>
      <c r="AG26" s="50">
        <v>24.2</v>
      </c>
      <c r="AH26" s="48">
        <f t="shared" si="2"/>
        <v>18</v>
      </c>
      <c r="AI26" s="49">
        <f t="shared" si="3"/>
        <v>16.100000000000001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12</v>
      </c>
      <c r="C27" s="46">
        <v>12</v>
      </c>
      <c r="D27" s="46">
        <v>12</v>
      </c>
      <c r="E27" s="46">
        <v>12</v>
      </c>
      <c r="F27" s="46">
        <v>12</v>
      </c>
      <c r="G27" s="46">
        <v>12</v>
      </c>
      <c r="H27" s="46">
        <v>12</v>
      </c>
      <c r="I27" s="46">
        <v>12</v>
      </c>
      <c r="J27" s="46">
        <v>12</v>
      </c>
      <c r="K27" s="46">
        <v>12</v>
      </c>
      <c r="L27" s="46">
        <v>12</v>
      </c>
      <c r="M27" s="46">
        <v>12</v>
      </c>
      <c r="N27" s="46">
        <v>12</v>
      </c>
      <c r="O27" s="46">
        <v>12</v>
      </c>
      <c r="P27" s="46"/>
      <c r="Q27" s="46">
        <v>12</v>
      </c>
      <c r="R27" s="46">
        <v>12</v>
      </c>
      <c r="S27" s="46">
        <v>12</v>
      </c>
      <c r="T27" s="46">
        <v>12</v>
      </c>
      <c r="U27" s="46">
        <v>12</v>
      </c>
      <c r="V27" s="46">
        <v>12</v>
      </c>
      <c r="W27" s="46">
        <v>12</v>
      </c>
      <c r="X27" s="46">
        <v>12</v>
      </c>
      <c r="Y27" s="46">
        <v>12</v>
      </c>
      <c r="Z27" s="46">
        <v>12</v>
      </c>
      <c r="AA27" s="46">
        <v>12</v>
      </c>
      <c r="AB27" s="46">
        <v>12</v>
      </c>
      <c r="AC27" s="46">
        <v>12</v>
      </c>
      <c r="AD27" s="46">
        <v>12</v>
      </c>
      <c r="AE27" s="46">
        <v>14.9</v>
      </c>
      <c r="AF27" s="46">
        <v>13.7</v>
      </c>
      <c r="AG27" s="50">
        <v>28</v>
      </c>
      <c r="AH27" s="48">
        <f t="shared" si="2"/>
        <v>14.9</v>
      </c>
      <c r="AI27" s="49">
        <f t="shared" si="3"/>
        <v>12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16.8</v>
      </c>
      <c r="C28" s="46">
        <v>16.8</v>
      </c>
      <c r="D28" s="46">
        <v>16.8</v>
      </c>
      <c r="E28" s="46">
        <v>16.8</v>
      </c>
      <c r="F28" s="46">
        <v>16.8</v>
      </c>
      <c r="G28" s="46">
        <v>16.8</v>
      </c>
      <c r="H28" s="46">
        <v>16.8</v>
      </c>
      <c r="I28" s="46">
        <v>16.8</v>
      </c>
      <c r="J28" s="46">
        <v>16.8</v>
      </c>
      <c r="K28" s="46">
        <v>16.8</v>
      </c>
      <c r="L28" s="46">
        <v>16.8</v>
      </c>
      <c r="M28" s="46">
        <v>16.8</v>
      </c>
      <c r="N28" s="46">
        <v>16.8</v>
      </c>
      <c r="O28" s="46">
        <v>16.8</v>
      </c>
      <c r="P28" s="46"/>
      <c r="Q28" s="46">
        <v>16.8</v>
      </c>
      <c r="R28" s="46">
        <v>16.8</v>
      </c>
      <c r="S28" s="46">
        <v>16.8</v>
      </c>
      <c r="T28" s="46">
        <v>16.8</v>
      </c>
      <c r="U28" s="46">
        <v>16.8</v>
      </c>
      <c r="V28" s="46">
        <v>16.8</v>
      </c>
      <c r="W28" s="46">
        <v>16.8</v>
      </c>
      <c r="X28" s="46">
        <v>16.8</v>
      </c>
      <c r="Y28" s="46">
        <v>16.8</v>
      </c>
      <c r="Z28" s="46">
        <v>16.8</v>
      </c>
      <c r="AA28" s="46">
        <v>9</v>
      </c>
      <c r="AB28" s="46">
        <v>19.3</v>
      </c>
      <c r="AC28" s="46">
        <v>19.3</v>
      </c>
      <c r="AD28" s="46">
        <v>19.3</v>
      </c>
      <c r="AE28" s="46">
        <v>19.3</v>
      </c>
      <c r="AF28" s="46">
        <v>18.5</v>
      </c>
      <c r="AG28" s="61">
        <v>30</v>
      </c>
      <c r="AH28" s="48">
        <f t="shared" si="2"/>
        <v>19.3</v>
      </c>
      <c r="AI28" s="49">
        <f t="shared" si="3"/>
        <v>9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15</v>
      </c>
      <c r="C29" s="46">
        <v>15</v>
      </c>
      <c r="D29" s="46">
        <v>15</v>
      </c>
      <c r="E29" s="46">
        <v>15</v>
      </c>
      <c r="F29" s="46">
        <v>15</v>
      </c>
      <c r="G29" s="46">
        <v>15</v>
      </c>
      <c r="H29" s="46">
        <v>15</v>
      </c>
      <c r="I29" s="46">
        <v>15</v>
      </c>
      <c r="J29" s="46">
        <v>15</v>
      </c>
      <c r="K29" s="46">
        <v>15</v>
      </c>
      <c r="L29" s="46">
        <v>15</v>
      </c>
      <c r="M29" s="46">
        <v>15</v>
      </c>
      <c r="N29" s="46">
        <v>15</v>
      </c>
      <c r="O29" s="46">
        <v>15</v>
      </c>
      <c r="P29" s="46"/>
      <c r="Q29" s="46">
        <v>15</v>
      </c>
      <c r="R29" s="46">
        <v>15</v>
      </c>
      <c r="S29" s="46">
        <v>15</v>
      </c>
      <c r="T29" s="46">
        <v>15</v>
      </c>
      <c r="U29" s="46">
        <v>15</v>
      </c>
      <c r="V29" s="46">
        <v>15</v>
      </c>
      <c r="W29" s="46">
        <v>15</v>
      </c>
      <c r="X29" s="46">
        <v>15</v>
      </c>
      <c r="Y29" s="46">
        <v>15</v>
      </c>
      <c r="Z29" s="46">
        <v>15</v>
      </c>
      <c r="AA29" s="46">
        <v>15</v>
      </c>
      <c r="AB29" s="46">
        <v>26</v>
      </c>
      <c r="AC29" s="46">
        <v>26</v>
      </c>
      <c r="AD29" s="46">
        <v>26</v>
      </c>
      <c r="AE29" s="46">
        <v>26</v>
      </c>
      <c r="AF29" s="46">
        <v>26</v>
      </c>
      <c r="AG29" s="50">
        <v>25</v>
      </c>
      <c r="AH29" s="48">
        <f t="shared" si="2"/>
        <v>26</v>
      </c>
      <c r="AI29" s="49">
        <f t="shared" si="3"/>
        <v>15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25</v>
      </c>
      <c r="C30" s="46">
        <v>25</v>
      </c>
      <c r="D30" s="46">
        <v>25</v>
      </c>
      <c r="E30" s="46">
        <v>25</v>
      </c>
      <c r="F30" s="46">
        <v>0</v>
      </c>
      <c r="G30" s="46">
        <v>25</v>
      </c>
      <c r="H30" s="46">
        <v>25</v>
      </c>
      <c r="I30" s="46">
        <v>25</v>
      </c>
      <c r="J30" s="46">
        <v>25</v>
      </c>
      <c r="K30" s="46">
        <v>25</v>
      </c>
      <c r="L30" s="46">
        <v>25</v>
      </c>
      <c r="M30" s="46">
        <v>25</v>
      </c>
      <c r="N30" s="46">
        <v>25</v>
      </c>
      <c r="O30" s="46">
        <v>25</v>
      </c>
      <c r="P30" s="46"/>
      <c r="Q30" s="46">
        <v>0</v>
      </c>
      <c r="R30" s="46">
        <v>25</v>
      </c>
      <c r="S30" s="46">
        <v>25</v>
      </c>
      <c r="T30" s="46">
        <v>25</v>
      </c>
      <c r="U30" s="46">
        <v>25</v>
      </c>
      <c r="V30" s="46">
        <v>25</v>
      </c>
      <c r="W30" s="46">
        <v>25</v>
      </c>
      <c r="X30" s="46">
        <v>25</v>
      </c>
      <c r="Y30" s="46">
        <v>25</v>
      </c>
      <c r="Z30" s="46">
        <v>25</v>
      </c>
      <c r="AA30" s="46">
        <v>25</v>
      </c>
      <c r="AB30" s="46">
        <v>25</v>
      </c>
      <c r="AC30" s="46">
        <v>25</v>
      </c>
      <c r="AD30" s="46">
        <v>25</v>
      </c>
      <c r="AE30" s="46">
        <v>25</v>
      </c>
      <c r="AF30" s="46">
        <v>25</v>
      </c>
      <c r="AG30" s="50">
        <v>25</v>
      </c>
      <c r="AH30" s="48">
        <f t="shared" si="2"/>
        <v>25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/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22.8</v>
      </c>
      <c r="C32" s="46">
        <v>22.8</v>
      </c>
      <c r="D32" s="46">
        <v>22.8</v>
      </c>
      <c r="E32" s="46">
        <v>22.8</v>
      </c>
      <c r="F32" s="46">
        <v>22.8</v>
      </c>
      <c r="G32" s="46">
        <v>22.8</v>
      </c>
      <c r="H32" s="46">
        <v>22.8</v>
      </c>
      <c r="I32" s="46">
        <v>22.8</v>
      </c>
      <c r="J32" s="46">
        <v>22.8</v>
      </c>
      <c r="K32" s="46">
        <v>22.8</v>
      </c>
      <c r="L32" s="46">
        <v>22.8</v>
      </c>
      <c r="M32" s="46">
        <v>22.8</v>
      </c>
      <c r="N32" s="46">
        <v>22.8</v>
      </c>
      <c r="O32" s="46">
        <v>22.8</v>
      </c>
      <c r="P32" s="46"/>
      <c r="Q32" s="46">
        <v>22.8</v>
      </c>
      <c r="R32" s="46">
        <v>22.8</v>
      </c>
      <c r="S32" s="46">
        <v>22.8</v>
      </c>
      <c r="T32" s="46">
        <v>22.8</v>
      </c>
      <c r="U32" s="46">
        <v>22.8</v>
      </c>
      <c r="V32" s="46">
        <v>22.8</v>
      </c>
      <c r="W32" s="46">
        <v>22.8</v>
      </c>
      <c r="X32" s="46">
        <v>22.8</v>
      </c>
      <c r="Y32" s="46">
        <v>22.8</v>
      </c>
      <c r="Z32" s="46">
        <v>22.8</v>
      </c>
      <c r="AA32" s="46">
        <v>22.8</v>
      </c>
      <c r="AB32" s="46">
        <v>22.8</v>
      </c>
      <c r="AC32" s="46">
        <v>22.8</v>
      </c>
      <c r="AD32" s="46">
        <v>22.8</v>
      </c>
      <c r="AE32" s="46">
        <v>24</v>
      </c>
      <c r="AF32" s="46">
        <v>24.2</v>
      </c>
      <c r="AG32" s="50">
        <v>25</v>
      </c>
      <c r="AH32" s="48">
        <f t="shared" si="2"/>
        <v>24.2</v>
      </c>
      <c r="AI32" s="49">
        <f t="shared" si="3"/>
        <v>22.8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6.1</v>
      </c>
      <c r="C33" s="46">
        <v>6.1</v>
      </c>
      <c r="D33" s="46">
        <v>6.1</v>
      </c>
      <c r="E33" s="46">
        <v>6.1</v>
      </c>
      <c r="F33" s="46">
        <v>6.1</v>
      </c>
      <c r="G33" s="46">
        <v>6.1</v>
      </c>
      <c r="H33" s="46">
        <v>6.1</v>
      </c>
      <c r="I33" s="46">
        <v>6.1</v>
      </c>
      <c r="J33" s="46">
        <v>6.1</v>
      </c>
      <c r="K33" s="46">
        <v>6.1</v>
      </c>
      <c r="L33" s="46">
        <v>6.1</v>
      </c>
      <c r="M33" s="46">
        <v>6.1</v>
      </c>
      <c r="N33" s="46">
        <v>6.1</v>
      </c>
      <c r="O33" s="46">
        <v>6.1</v>
      </c>
      <c r="P33" s="46"/>
      <c r="Q33" s="46">
        <v>6.1</v>
      </c>
      <c r="R33" s="46">
        <v>6.1</v>
      </c>
      <c r="S33" s="46">
        <v>6.1</v>
      </c>
      <c r="T33" s="46">
        <v>6.1</v>
      </c>
      <c r="U33" s="46">
        <v>6.1</v>
      </c>
      <c r="V33" s="46">
        <v>6.1</v>
      </c>
      <c r="W33" s="46">
        <v>6.1</v>
      </c>
      <c r="X33" s="46">
        <v>6.1</v>
      </c>
      <c r="Y33" s="46">
        <v>6.1</v>
      </c>
      <c r="Z33" s="46">
        <v>6.1</v>
      </c>
      <c r="AA33" s="46">
        <v>6.1</v>
      </c>
      <c r="AB33" s="46">
        <v>6.1</v>
      </c>
      <c r="AC33" s="46">
        <v>6.1</v>
      </c>
      <c r="AD33" s="46">
        <v>6.1</v>
      </c>
      <c r="AE33" s="46">
        <v>10.7</v>
      </c>
      <c r="AF33" s="46">
        <v>10.7</v>
      </c>
      <c r="AG33" s="50">
        <v>23.5</v>
      </c>
      <c r="AH33" s="48">
        <f t="shared" si="2"/>
        <v>10.7</v>
      </c>
      <c r="AI33" s="49">
        <f t="shared" si="3"/>
        <v>6.1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/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/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0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/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8.9</v>
      </c>
      <c r="C37" s="46">
        <v>8.9</v>
      </c>
      <c r="D37" s="46">
        <v>8.9</v>
      </c>
      <c r="E37" s="46">
        <v>8.9</v>
      </c>
      <c r="F37" s="46">
        <v>8.9</v>
      </c>
      <c r="G37" s="46">
        <v>8.9</v>
      </c>
      <c r="H37" s="46">
        <v>8.9</v>
      </c>
      <c r="I37" s="46">
        <v>8.9</v>
      </c>
      <c r="J37" s="46">
        <v>8.9</v>
      </c>
      <c r="K37" s="46">
        <v>8.9</v>
      </c>
      <c r="L37" s="46">
        <v>8.9</v>
      </c>
      <c r="M37" s="46">
        <v>8.9</v>
      </c>
      <c r="N37" s="46">
        <v>8.9</v>
      </c>
      <c r="O37" s="46">
        <v>8.9</v>
      </c>
      <c r="P37" s="46"/>
      <c r="Q37" s="46">
        <v>8.9</v>
      </c>
      <c r="R37" s="46">
        <v>8.9</v>
      </c>
      <c r="S37" s="46">
        <v>8.9</v>
      </c>
      <c r="T37" s="46">
        <v>8.9</v>
      </c>
      <c r="U37" s="46">
        <v>8.9</v>
      </c>
      <c r="V37" s="46">
        <v>8.9</v>
      </c>
      <c r="W37" s="46">
        <v>8.9</v>
      </c>
      <c r="X37" s="46">
        <v>8.9</v>
      </c>
      <c r="Y37" s="46">
        <v>8.9</v>
      </c>
      <c r="Z37" s="46">
        <v>8.9</v>
      </c>
      <c r="AA37" s="46">
        <v>8.9</v>
      </c>
      <c r="AB37" s="46">
        <v>8.9</v>
      </c>
      <c r="AC37" s="46">
        <v>8.9</v>
      </c>
      <c r="AD37" s="46">
        <v>8.9</v>
      </c>
      <c r="AE37" s="46">
        <v>8.9</v>
      </c>
      <c r="AF37" s="46">
        <v>8.9</v>
      </c>
      <c r="AG37" s="50">
        <v>22</v>
      </c>
      <c r="AH37" s="48">
        <f t="shared" si="2"/>
        <v>8.9</v>
      </c>
      <c r="AI37" s="49">
        <f t="shared" si="3"/>
        <v>8.9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</v>
      </c>
      <c r="C38" s="46">
        <v>20</v>
      </c>
      <c r="D38" s="46">
        <v>20</v>
      </c>
      <c r="E38" s="46">
        <v>20</v>
      </c>
      <c r="F38" s="46">
        <v>20</v>
      </c>
      <c r="G38" s="46">
        <v>20</v>
      </c>
      <c r="H38" s="46">
        <v>20</v>
      </c>
      <c r="I38" s="46">
        <v>20</v>
      </c>
      <c r="J38" s="46">
        <v>20</v>
      </c>
      <c r="K38" s="46">
        <v>20</v>
      </c>
      <c r="L38" s="46">
        <v>20</v>
      </c>
      <c r="M38" s="46">
        <v>20</v>
      </c>
      <c r="N38" s="46">
        <v>20</v>
      </c>
      <c r="O38" s="46">
        <v>20</v>
      </c>
      <c r="P38" s="46"/>
      <c r="Q38" s="46">
        <v>20</v>
      </c>
      <c r="R38" s="46">
        <v>20</v>
      </c>
      <c r="S38" s="46">
        <v>20</v>
      </c>
      <c r="T38" s="46">
        <v>20</v>
      </c>
      <c r="U38" s="46">
        <v>20</v>
      </c>
      <c r="V38" s="46">
        <v>20</v>
      </c>
      <c r="W38" s="46">
        <v>20</v>
      </c>
      <c r="X38" s="46">
        <v>20</v>
      </c>
      <c r="Y38" s="46">
        <v>20</v>
      </c>
      <c r="Z38" s="46">
        <v>20</v>
      </c>
      <c r="AA38" s="46">
        <v>20</v>
      </c>
      <c r="AB38" s="46">
        <v>20</v>
      </c>
      <c r="AC38" s="46">
        <v>20</v>
      </c>
      <c r="AD38" s="46">
        <v>20</v>
      </c>
      <c r="AE38" s="46">
        <v>20.3</v>
      </c>
      <c r="AF38" s="46">
        <v>20.399999999999999</v>
      </c>
      <c r="AG38" s="50">
        <v>20</v>
      </c>
      <c r="AH38" s="48">
        <f t="shared" si="2"/>
        <v>20.399999999999999</v>
      </c>
      <c r="AI38" s="49">
        <f t="shared" si="3"/>
        <v>20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/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13.7</v>
      </c>
      <c r="C40" s="46">
        <v>13.7</v>
      </c>
      <c r="D40" s="46">
        <v>13.7</v>
      </c>
      <c r="E40" s="46">
        <v>13.7</v>
      </c>
      <c r="F40" s="46">
        <v>13.7</v>
      </c>
      <c r="G40" s="46">
        <v>13.7</v>
      </c>
      <c r="H40" s="46">
        <v>13.7</v>
      </c>
      <c r="I40" s="46">
        <v>13.7</v>
      </c>
      <c r="J40" s="46">
        <v>13.7</v>
      </c>
      <c r="K40" s="46">
        <v>13.7</v>
      </c>
      <c r="L40" s="46">
        <v>13.7</v>
      </c>
      <c r="M40" s="46">
        <v>13.7</v>
      </c>
      <c r="N40" s="46">
        <v>13.7</v>
      </c>
      <c r="O40" s="46">
        <v>13.7</v>
      </c>
      <c r="P40" s="46"/>
      <c r="Q40" s="46">
        <v>13.7</v>
      </c>
      <c r="R40" s="46">
        <v>13.7</v>
      </c>
      <c r="S40" s="46">
        <v>13.7</v>
      </c>
      <c r="T40" s="46">
        <v>13.7</v>
      </c>
      <c r="U40" s="46">
        <v>13.7</v>
      </c>
      <c r="V40" s="46">
        <v>13.7</v>
      </c>
      <c r="W40" s="46">
        <v>13.7</v>
      </c>
      <c r="X40" s="46">
        <v>13.7</v>
      </c>
      <c r="Y40" s="46">
        <v>13.7</v>
      </c>
      <c r="Z40" s="46">
        <v>13.7</v>
      </c>
      <c r="AA40" s="46">
        <v>13.7</v>
      </c>
      <c r="AB40" s="46">
        <v>13.7</v>
      </c>
      <c r="AC40" s="46">
        <v>13.7</v>
      </c>
      <c r="AD40" s="46">
        <v>13.7</v>
      </c>
      <c r="AE40" s="46">
        <v>13.4</v>
      </c>
      <c r="AF40" s="46">
        <v>13.4</v>
      </c>
      <c r="AG40" s="50">
        <v>18</v>
      </c>
      <c r="AH40" s="48">
        <f t="shared" si="2"/>
        <v>13.7</v>
      </c>
      <c r="AI40" s="49">
        <f t="shared" si="3"/>
        <v>13.4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/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/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/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/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/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 t="s">
        <v>312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 t="s">
        <v>313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 t="s">
        <v>314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 t="s">
        <v>315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5.0999999999999996</v>
      </c>
      <c r="C50" s="46">
        <v>5.0999999999999996</v>
      </c>
      <c r="D50" s="46">
        <v>5.0999999999999996</v>
      </c>
      <c r="E50" s="46">
        <v>5.0999999999999996</v>
      </c>
      <c r="F50" s="46">
        <v>5.0999999999999996</v>
      </c>
      <c r="G50" s="46">
        <v>5.0999999999999996</v>
      </c>
      <c r="H50" s="46">
        <v>5.0999999999999996</v>
      </c>
      <c r="I50" s="46">
        <v>5.0999999999999996</v>
      </c>
      <c r="J50" s="46">
        <v>5.0999999999999996</v>
      </c>
      <c r="K50" s="46">
        <v>5.0999999999999996</v>
      </c>
      <c r="L50" s="46">
        <v>5.0999999999999996</v>
      </c>
      <c r="M50" s="46">
        <v>5.0999999999999996</v>
      </c>
      <c r="N50" s="46">
        <v>5.0999999999999996</v>
      </c>
      <c r="O50" s="46">
        <v>5.0999999999999996</v>
      </c>
      <c r="P50" s="46" t="s">
        <v>317</v>
      </c>
      <c r="Q50" s="46">
        <v>5.0999999999999996</v>
      </c>
      <c r="R50" s="46">
        <v>5.0999999999999996</v>
      </c>
      <c r="S50" s="46">
        <v>5.0999999999999996</v>
      </c>
      <c r="T50" s="46">
        <v>5.0999999999999996</v>
      </c>
      <c r="U50" s="46">
        <v>5.0999999999999996</v>
      </c>
      <c r="V50" s="46">
        <v>5.0999999999999996</v>
      </c>
      <c r="W50" s="46">
        <v>5.0999999999999996</v>
      </c>
      <c r="X50" s="46">
        <v>5.0999999999999996</v>
      </c>
      <c r="Y50" s="46">
        <v>5.0999999999999996</v>
      </c>
      <c r="Z50" s="46">
        <v>5.0999999999999996</v>
      </c>
      <c r="AA50" s="46">
        <v>5.0999999999999996</v>
      </c>
      <c r="AB50" s="46">
        <v>5.0999999999999996</v>
      </c>
      <c r="AC50" s="46">
        <v>5.0999999999999996</v>
      </c>
      <c r="AD50" s="46">
        <v>5.0999999999999996</v>
      </c>
      <c r="AE50" s="46">
        <v>5.0999999999999996</v>
      </c>
      <c r="AF50" s="46">
        <v>5.0999999999999996</v>
      </c>
      <c r="AG50" s="50">
        <v>12</v>
      </c>
      <c r="AH50" s="48">
        <f t="shared" si="2"/>
        <v>5.0999999999999996</v>
      </c>
      <c r="AI50" s="49">
        <f t="shared" si="3"/>
        <v>5.0999999999999996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 t="s">
        <v>313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0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 t="s">
        <v>318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/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 t="s">
        <v>319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 t="s">
        <v>316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 t="s">
        <v>318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 t="s">
        <v>318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 t="s">
        <v>313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80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 t="s">
        <v>312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80</v>
      </c>
      <c r="AK59" s="51"/>
    </row>
    <row r="60" spans="1:88" ht="15.75" thickBot="1" x14ac:dyDescent="0.3">
      <c r="A60" s="69" t="s">
        <v>74</v>
      </c>
      <c r="B60" s="68">
        <v>98.8</v>
      </c>
      <c r="C60" s="68">
        <v>98.8</v>
      </c>
      <c r="D60" s="68">
        <v>98.8</v>
      </c>
      <c r="E60" s="68">
        <f>64.1+43.6</f>
        <v>107.69999999999999</v>
      </c>
      <c r="F60" s="68">
        <f>9.8+23.4</f>
        <v>33.200000000000003</v>
      </c>
      <c r="G60" s="68">
        <f>45.3+67.9</f>
        <v>113.2</v>
      </c>
      <c r="H60" s="68">
        <f>43.5+63.1</f>
        <v>106.6</v>
      </c>
      <c r="I60" s="68">
        <f>43.5+63.2</f>
        <v>106.7</v>
      </c>
      <c r="J60" s="68">
        <f>25+48.1</f>
        <v>73.099999999999994</v>
      </c>
      <c r="K60" s="53">
        <f>38.9+60.9</f>
        <v>99.8</v>
      </c>
      <c r="L60" s="53">
        <f>41.1+63.1</f>
        <v>104.2</v>
      </c>
      <c r="M60" s="53">
        <f>39.6+59.4</f>
        <v>99</v>
      </c>
      <c r="N60" s="53">
        <f>39.6+59.4</f>
        <v>99</v>
      </c>
      <c r="O60" s="53">
        <v>90</v>
      </c>
      <c r="P60" s="53" t="s">
        <v>320</v>
      </c>
      <c r="Q60" s="53">
        <v>90</v>
      </c>
      <c r="R60" s="53">
        <v>90</v>
      </c>
      <c r="S60" s="53">
        <v>90</v>
      </c>
      <c r="T60" s="53">
        <v>90</v>
      </c>
      <c r="U60" s="53">
        <v>96.9</v>
      </c>
      <c r="V60" s="53">
        <v>96.9</v>
      </c>
      <c r="W60" s="53">
        <v>96.9</v>
      </c>
      <c r="X60" s="53">
        <v>96.9</v>
      </c>
      <c r="Y60" s="53">
        <v>96.9</v>
      </c>
      <c r="Z60" s="53">
        <v>86.9</v>
      </c>
      <c r="AA60" s="68">
        <v>92.9</v>
      </c>
      <c r="AB60" s="68">
        <f>52.5+38.6</f>
        <v>91.1</v>
      </c>
      <c r="AC60" s="68">
        <f>55+39.8</f>
        <v>94.8</v>
      </c>
      <c r="AD60" s="68">
        <f>55.9+40.2</f>
        <v>96.1</v>
      </c>
      <c r="AE60" s="68">
        <f>39.9+52.9</f>
        <v>92.8</v>
      </c>
      <c r="AF60" s="68">
        <f>39.7+54.1</f>
        <v>93.800000000000011</v>
      </c>
      <c r="AG60" s="66">
        <v>240</v>
      </c>
      <c r="AH60" s="48">
        <f t="shared" si="2"/>
        <v>113.2</v>
      </c>
      <c r="AI60" s="49">
        <f t="shared" si="3"/>
        <v>33.200000000000003</v>
      </c>
      <c r="AK60" s="51"/>
    </row>
    <row r="61" spans="1:88" ht="15.75" thickBot="1" x14ac:dyDescent="0.3">
      <c r="A61" s="70" t="s">
        <v>75</v>
      </c>
      <c r="B61" s="71">
        <f t="shared" ref="B61:C61" si="20">SUM(B11:B59)</f>
        <v>867.19999999999993</v>
      </c>
      <c r="C61" s="71">
        <f t="shared" si="20"/>
        <v>867.19999999999993</v>
      </c>
      <c r="D61" s="71">
        <f t="shared" ref="D61" si="21">SUM(D11:D59)</f>
        <v>867.19999999999993</v>
      </c>
      <c r="E61" s="71">
        <f t="shared" ref="E61:AG61" si="22">SUM(E11:E59)</f>
        <v>867.19999999999993</v>
      </c>
      <c r="F61" s="71">
        <f t="shared" si="22"/>
        <v>760.19999999999993</v>
      </c>
      <c r="G61" s="71">
        <f t="shared" si="22"/>
        <v>867.19999999999993</v>
      </c>
      <c r="H61" s="71">
        <f t="shared" si="22"/>
        <v>867.19999999999993</v>
      </c>
      <c r="I61" s="71">
        <f t="shared" si="22"/>
        <v>867.19999999999993</v>
      </c>
      <c r="J61" s="71">
        <f t="shared" si="22"/>
        <v>867.19999999999993</v>
      </c>
      <c r="K61" s="71">
        <f t="shared" si="22"/>
        <v>867.19999999999993</v>
      </c>
      <c r="L61" s="71">
        <f t="shared" si="22"/>
        <v>867.19999999999993</v>
      </c>
      <c r="M61" s="71">
        <f t="shared" si="22"/>
        <v>796.4</v>
      </c>
      <c r="N61" s="71">
        <f t="shared" si="22"/>
        <v>796.4</v>
      </c>
      <c r="O61" s="71">
        <f t="shared" si="22"/>
        <v>796.4</v>
      </c>
      <c r="P61" s="71" t="s">
        <v>321</v>
      </c>
      <c r="Q61" s="71">
        <f t="shared" si="22"/>
        <v>765.40000000000009</v>
      </c>
      <c r="R61" s="71">
        <f t="shared" si="22"/>
        <v>790.4</v>
      </c>
      <c r="S61" s="71">
        <f t="shared" ref="S61:T61" si="23">SUM(S11:S59)</f>
        <v>790.4</v>
      </c>
      <c r="T61" s="71">
        <f t="shared" si="23"/>
        <v>790.4</v>
      </c>
      <c r="U61" s="71">
        <f t="shared" ref="U61:V61" si="24">SUM(U11:U59)</f>
        <v>790.4</v>
      </c>
      <c r="V61" s="71">
        <f t="shared" si="24"/>
        <v>790.4</v>
      </c>
      <c r="W61" s="71">
        <f t="shared" ref="W61:X61" si="25">SUM(W11:W59)</f>
        <v>790.4</v>
      </c>
      <c r="X61" s="71">
        <f t="shared" si="25"/>
        <v>790.4</v>
      </c>
      <c r="Y61" s="71">
        <f t="shared" ref="Y61:AA61" si="26">SUM(Y11:Y59)</f>
        <v>790.4</v>
      </c>
      <c r="Z61" s="71">
        <f t="shared" si="26"/>
        <v>790.4</v>
      </c>
      <c r="AA61" s="71">
        <f t="shared" si="26"/>
        <v>782.6</v>
      </c>
      <c r="AB61" s="71">
        <f t="shared" si="22"/>
        <v>814.9</v>
      </c>
      <c r="AC61" s="71">
        <f t="shared" si="22"/>
        <v>816.7</v>
      </c>
      <c r="AD61" s="71">
        <f t="shared" si="22"/>
        <v>820.09999999999991</v>
      </c>
      <c r="AE61" s="71">
        <f t="shared" ref="AE61:AF61" si="27">SUM(AE11:AE59)</f>
        <v>857.19999999999993</v>
      </c>
      <c r="AF61" s="71">
        <f t="shared" si="27"/>
        <v>852.1</v>
      </c>
      <c r="AG61" s="71">
        <f t="shared" si="22"/>
        <v>1466.0300000000002</v>
      </c>
      <c r="AH61" s="48">
        <f t="shared" si="2"/>
        <v>867.19999999999993</v>
      </c>
      <c r="AI61" s="49">
        <f t="shared" si="3"/>
        <v>760.19999999999993</v>
      </c>
      <c r="AK61" s="51"/>
    </row>
    <row r="62" spans="1:88" x14ac:dyDescent="0.25">
      <c r="A62" s="73" t="s">
        <v>76</v>
      </c>
      <c r="B62" s="46">
        <v>460</v>
      </c>
      <c r="C62" s="46">
        <v>460</v>
      </c>
      <c r="D62" s="46">
        <v>460</v>
      </c>
      <c r="E62" s="46">
        <v>460</v>
      </c>
      <c r="F62" s="46">
        <v>460.4</v>
      </c>
      <c r="G62" s="46">
        <v>460.4</v>
      </c>
      <c r="H62" s="46">
        <v>460.6</v>
      </c>
      <c r="I62" s="46">
        <v>458.2</v>
      </c>
      <c r="J62" s="46">
        <v>457.2</v>
      </c>
      <c r="K62" s="46">
        <f>460.4</f>
        <v>460.4</v>
      </c>
      <c r="L62" s="46">
        <v>460.3</v>
      </c>
      <c r="M62" s="46">
        <v>460.3</v>
      </c>
      <c r="N62" s="46">
        <v>460.3</v>
      </c>
      <c r="O62" s="46">
        <v>460.3</v>
      </c>
      <c r="P62" s="74"/>
      <c r="Q62" s="74">
        <v>460.3</v>
      </c>
      <c r="R62" s="74">
        <v>390</v>
      </c>
      <c r="S62" s="74">
        <v>404</v>
      </c>
      <c r="T62" s="74">
        <v>434</v>
      </c>
      <c r="U62" s="74">
        <v>301.7</v>
      </c>
      <c r="V62" s="74">
        <v>415.6</v>
      </c>
      <c r="W62" s="74">
        <v>415.6</v>
      </c>
      <c r="X62" s="74">
        <v>223</v>
      </c>
      <c r="Y62" s="74">
        <v>223</v>
      </c>
      <c r="Z62" s="74">
        <v>458</v>
      </c>
      <c r="AA62" s="46">
        <v>458</v>
      </c>
      <c r="AB62" s="46">
        <v>458.4</v>
      </c>
      <c r="AC62" s="46">
        <v>458.5</v>
      </c>
      <c r="AD62" s="46">
        <v>458.1</v>
      </c>
      <c r="AE62" s="46">
        <v>458.1</v>
      </c>
      <c r="AF62" s="46">
        <v>460.71</v>
      </c>
      <c r="AG62" s="61">
        <v>456</v>
      </c>
      <c r="AH62" s="48">
        <f t="shared" si="2"/>
        <v>460.71</v>
      </c>
      <c r="AI62" s="49">
        <f t="shared" si="3"/>
        <v>223</v>
      </c>
      <c r="AK62" s="51"/>
    </row>
    <row r="63" spans="1:88" x14ac:dyDescent="0.25">
      <c r="A63" s="75" t="s">
        <v>77</v>
      </c>
      <c r="B63" s="76">
        <v>31.2</v>
      </c>
      <c r="C63" s="76">
        <v>31.2</v>
      </c>
      <c r="D63" s="76">
        <v>31.2</v>
      </c>
      <c r="E63" s="76">
        <v>31.2</v>
      </c>
      <c r="F63" s="76">
        <v>31.2</v>
      </c>
      <c r="G63" s="76">
        <v>31.2</v>
      </c>
      <c r="H63" s="76">
        <v>31.2</v>
      </c>
      <c r="I63" s="76">
        <v>31.2</v>
      </c>
      <c r="J63" s="76">
        <v>31.2</v>
      </c>
      <c r="K63" s="76">
        <v>31.2</v>
      </c>
      <c r="L63" s="76">
        <v>31.2</v>
      </c>
      <c r="M63" s="76">
        <v>31.2</v>
      </c>
      <c r="N63" s="76">
        <v>31.2</v>
      </c>
      <c r="O63" s="76">
        <v>31.2</v>
      </c>
      <c r="P63" s="76"/>
      <c r="Q63" s="76">
        <v>31.2</v>
      </c>
      <c r="R63" s="76">
        <v>31.2</v>
      </c>
      <c r="S63" s="76">
        <v>31.2</v>
      </c>
      <c r="T63" s="76">
        <v>31.2</v>
      </c>
      <c r="U63" s="76">
        <v>31.2</v>
      </c>
      <c r="V63" s="76">
        <v>31.2</v>
      </c>
      <c r="W63" s="76">
        <v>31.2</v>
      </c>
      <c r="X63" s="76">
        <v>31.2</v>
      </c>
      <c r="Y63" s="76">
        <v>31.2</v>
      </c>
      <c r="Z63" s="76">
        <v>31.2</v>
      </c>
      <c r="AA63" s="76">
        <v>31.2</v>
      </c>
      <c r="AB63" s="76">
        <v>31.2</v>
      </c>
      <c r="AC63" s="76">
        <v>31.2</v>
      </c>
      <c r="AD63" s="76">
        <v>31.2</v>
      </c>
      <c r="AE63" s="76">
        <v>31.2</v>
      </c>
      <c r="AF63" s="76">
        <v>31.2</v>
      </c>
      <c r="AG63" s="66">
        <v>60</v>
      </c>
      <c r="AH63" s="48">
        <f t="shared" si="2"/>
        <v>31.2</v>
      </c>
      <c r="AI63" s="49">
        <f t="shared" si="3"/>
        <v>31.2</v>
      </c>
      <c r="AK63" s="51"/>
    </row>
    <row r="64" spans="1:88" ht="15.75" thickBot="1" x14ac:dyDescent="0.3">
      <c r="A64" s="77" t="s">
        <v>78</v>
      </c>
      <c r="B64" s="78">
        <v>22.5</v>
      </c>
      <c r="C64" s="78">
        <v>22.5</v>
      </c>
      <c r="D64" s="78">
        <v>22.5</v>
      </c>
      <c r="E64" s="78">
        <v>22.5</v>
      </c>
      <c r="F64" s="78">
        <v>22.5</v>
      </c>
      <c r="G64" s="78">
        <v>22.5</v>
      </c>
      <c r="H64" s="78">
        <v>22.5</v>
      </c>
      <c r="I64" s="78">
        <v>22.5</v>
      </c>
      <c r="J64" s="78">
        <v>22.5</v>
      </c>
      <c r="K64" s="78">
        <v>22.5</v>
      </c>
      <c r="L64" s="78">
        <v>22.5</v>
      </c>
      <c r="M64" s="78">
        <v>22.5</v>
      </c>
      <c r="N64" s="78">
        <v>22.5</v>
      </c>
      <c r="O64" s="78">
        <v>22.5</v>
      </c>
      <c r="P64" s="78"/>
      <c r="Q64" s="78">
        <v>22.5</v>
      </c>
      <c r="R64" s="78">
        <v>22.5</v>
      </c>
      <c r="S64" s="78">
        <v>22.5</v>
      </c>
      <c r="T64" s="78">
        <v>22.5</v>
      </c>
      <c r="U64" s="78">
        <v>22.5</v>
      </c>
      <c r="V64" s="78">
        <v>22.5</v>
      </c>
      <c r="W64" s="78">
        <v>22.5</v>
      </c>
      <c r="X64" s="78">
        <v>22.5</v>
      </c>
      <c r="Y64" s="78">
        <v>22.5</v>
      </c>
      <c r="Z64" s="78">
        <v>22.5</v>
      </c>
      <c r="AA64" s="78">
        <v>22.5</v>
      </c>
      <c r="AB64" s="78">
        <v>22.5</v>
      </c>
      <c r="AC64" s="78">
        <v>22.5</v>
      </c>
      <c r="AD64" s="78">
        <v>22.5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22.5</v>
      </c>
      <c r="AK64" s="51"/>
    </row>
    <row r="65" spans="1:75" ht="15.75" thickBot="1" x14ac:dyDescent="0.3">
      <c r="A65" s="80" t="s">
        <v>79</v>
      </c>
      <c r="B65" s="71">
        <f t="shared" ref="B65:C65" si="28">SUM(B62:B64)</f>
        <v>513.70000000000005</v>
      </c>
      <c r="C65" s="71">
        <f t="shared" si="28"/>
        <v>513.70000000000005</v>
      </c>
      <c r="D65" s="71">
        <f t="shared" ref="D65" si="29">SUM(D62:D64)</f>
        <v>513.70000000000005</v>
      </c>
      <c r="E65" s="71">
        <f t="shared" ref="E65:AG65" si="30">SUM(E62:E64)</f>
        <v>513.70000000000005</v>
      </c>
      <c r="F65" s="71">
        <f t="shared" si="30"/>
        <v>514.09999999999991</v>
      </c>
      <c r="G65" s="71">
        <f t="shared" si="30"/>
        <v>514.09999999999991</v>
      </c>
      <c r="H65" s="71">
        <f t="shared" si="30"/>
        <v>514.29999999999995</v>
      </c>
      <c r="I65" s="71">
        <f t="shared" si="30"/>
        <v>511.9</v>
      </c>
      <c r="J65" s="71">
        <f t="shared" si="30"/>
        <v>510.9</v>
      </c>
      <c r="K65" s="71">
        <f t="shared" si="30"/>
        <v>514.09999999999991</v>
      </c>
      <c r="L65" s="71">
        <f t="shared" si="30"/>
        <v>514</v>
      </c>
      <c r="M65" s="71">
        <f t="shared" si="30"/>
        <v>514</v>
      </c>
      <c r="N65" s="71">
        <f t="shared" si="30"/>
        <v>514</v>
      </c>
      <c r="O65" s="71">
        <f t="shared" si="30"/>
        <v>514</v>
      </c>
      <c r="P65" s="71">
        <f t="shared" si="30"/>
        <v>0</v>
      </c>
      <c r="Q65" s="71">
        <f t="shared" si="30"/>
        <v>514</v>
      </c>
      <c r="R65" s="71">
        <f t="shared" si="30"/>
        <v>443.7</v>
      </c>
      <c r="S65" s="71">
        <f t="shared" ref="S65:T65" si="31">SUM(S62:S64)</f>
        <v>457.7</v>
      </c>
      <c r="T65" s="71">
        <f t="shared" si="31"/>
        <v>487.7</v>
      </c>
      <c r="U65" s="71">
        <f t="shared" ref="U65:V65" si="32">SUM(U62:U64)</f>
        <v>355.4</v>
      </c>
      <c r="V65" s="71">
        <f t="shared" si="32"/>
        <v>469.3</v>
      </c>
      <c r="W65" s="71">
        <f t="shared" ref="W65:X65" si="33">SUM(W62:W64)</f>
        <v>469.3</v>
      </c>
      <c r="X65" s="71">
        <f t="shared" si="33"/>
        <v>276.7</v>
      </c>
      <c r="Y65" s="71">
        <f t="shared" ref="Y65:AA65" si="34">SUM(Y62:Y64)</f>
        <v>276.7</v>
      </c>
      <c r="Z65" s="71">
        <f t="shared" si="34"/>
        <v>511.7</v>
      </c>
      <c r="AA65" s="71">
        <f t="shared" si="34"/>
        <v>511.7</v>
      </c>
      <c r="AB65" s="71">
        <f t="shared" si="30"/>
        <v>512.09999999999991</v>
      </c>
      <c r="AC65" s="71">
        <f t="shared" si="30"/>
        <v>512.20000000000005</v>
      </c>
      <c r="AD65" s="71">
        <f t="shared" si="30"/>
        <v>511.8</v>
      </c>
      <c r="AE65" s="71">
        <f t="shared" ref="AE65:AF65" si="35">SUM(AE62:AE64)</f>
        <v>511.90000000000003</v>
      </c>
      <c r="AF65" s="71">
        <f t="shared" si="35"/>
        <v>514.51</v>
      </c>
      <c r="AG65" s="72">
        <f t="shared" si="30"/>
        <v>538.1</v>
      </c>
      <c r="AH65" s="48">
        <f t="shared" si="2"/>
        <v>514.51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145.80000000000001</v>
      </c>
      <c r="C66" s="46">
        <v>145.80000000000001</v>
      </c>
      <c r="D66" s="46">
        <v>145.80000000000001</v>
      </c>
      <c r="E66" s="46">
        <v>145.69999999999999</v>
      </c>
      <c r="F66" s="46">
        <v>145.1</v>
      </c>
      <c r="G66" s="46">
        <v>148.6</v>
      </c>
      <c r="H66" s="46">
        <v>148.4</v>
      </c>
      <c r="I66" s="46">
        <v>148.4</v>
      </c>
      <c r="J66" s="46">
        <v>145.30000000000001</v>
      </c>
      <c r="K66" s="46">
        <v>145.80000000000001</v>
      </c>
      <c r="L66" s="46">
        <v>145.69999999999999</v>
      </c>
      <c r="M66" s="46">
        <v>145.69999999999999</v>
      </c>
      <c r="N66" s="46">
        <v>145.69999999999999</v>
      </c>
      <c r="O66" s="46">
        <v>145.69999999999999</v>
      </c>
      <c r="P66" s="46"/>
      <c r="Q66" s="46">
        <v>145.69999999999999</v>
      </c>
      <c r="R66" s="46">
        <v>145.69999999999999</v>
      </c>
      <c r="S66" s="46">
        <v>145.69999999999999</v>
      </c>
      <c r="T66" s="46">
        <v>145.69999999999999</v>
      </c>
      <c r="U66" s="46">
        <v>145.69999999999999</v>
      </c>
      <c r="V66" s="46">
        <v>145.69999999999999</v>
      </c>
      <c r="W66" s="46">
        <v>145.69999999999999</v>
      </c>
      <c r="X66" s="46">
        <v>145.69999999999999</v>
      </c>
      <c r="Y66" s="46">
        <v>145.69999999999999</v>
      </c>
      <c r="Z66" s="46">
        <v>145.69999999999999</v>
      </c>
      <c r="AA66" s="46">
        <v>145.69999999999999</v>
      </c>
      <c r="AB66" s="46">
        <v>145.6</v>
      </c>
      <c r="AC66" s="46">
        <v>145.6</v>
      </c>
      <c r="AD66" s="46">
        <v>145.6</v>
      </c>
      <c r="AE66" s="46">
        <v>145.5</v>
      </c>
      <c r="AF66" s="46">
        <v>145.19999999999999</v>
      </c>
      <c r="AG66" s="61">
        <v>144</v>
      </c>
      <c r="AH66" s="48">
        <f t="shared" si="2"/>
        <v>148.6</v>
      </c>
      <c r="AI66" s="49">
        <f t="shared" si="3"/>
        <v>145.1</v>
      </c>
      <c r="AK66" s="51"/>
      <c r="AY66" s="1" t="s">
        <v>86</v>
      </c>
      <c r="AZ66" s="82">
        <f>ROUND(C84,0)</f>
        <v>22</v>
      </c>
      <c r="BA66" s="81">
        <f t="shared" ref="BA66:BD70" si="36">D84</f>
        <v>22.4</v>
      </c>
      <c r="BB66" s="81">
        <f t="shared" si="36"/>
        <v>20.7</v>
      </c>
      <c r="BC66" s="81">
        <f t="shared" si="36"/>
        <v>10.4</v>
      </c>
      <c r="BD66" s="81">
        <f t="shared" si="36"/>
        <v>18.899999999999999</v>
      </c>
      <c r="BE66" s="82">
        <f>I84</f>
        <v>8.6</v>
      </c>
      <c r="BF66" s="82">
        <f>K84</f>
        <v>48.3</v>
      </c>
      <c r="BG66" s="82">
        <f t="shared" ref="BG66:BP70" si="37">M84</f>
        <v>68</v>
      </c>
      <c r="BH66" s="82">
        <f t="shared" si="37"/>
        <v>56.7</v>
      </c>
      <c r="BI66" s="82">
        <f t="shared" si="37"/>
        <v>63.6</v>
      </c>
      <c r="BJ66" s="82">
        <f t="shared" si="37"/>
        <v>0</v>
      </c>
      <c r="BK66" s="82">
        <f t="shared" si="37"/>
        <v>65.099999999999994</v>
      </c>
      <c r="BL66" s="82">
        <f t="shared" si="37"/>
        <v>65.5</v>
      </c>
      <c r="BM66" s="82">
        <f t="shared" si="37"/>
        <v>65.5</v>
      </c>
      <c r="BN66" s="82">
        <f t="shared" si="37"/>
        <v>66.400000000000006</v>
      </c>
      <c r="BO66" s="82">
        <f t="shared" si="37"/>
        <v>67.099999999999994</v>
      </c>
      <c r="BP66" s="82">
        <f t="shared" si="37"/>
        <v>73.2</v>
      </c>
      <c r="BQ66" s="82">
        <f>X84</f>
        <v>51</v>
      </c>
      <c r="BR66" s="82">
        <f>Z84</f>
        <v>32.1</v>
      </c>
      <c r="BS66" s="81">
        <f>AB84</f>
        <v>36.799999999999997</v>
      </c>
      <c r="BT66" s="81">
        <f t="shared" ref="BT66:BV70" si="38">AD84</f>
        <v>29.6</v>
      </c>
      <c r="BU66" s="81">
        <f t="shared" si="38"/>
        <v>26.3</v>
      </c>
      <c r="BV66" s="81">
        <f t="shared" si="38"/>
        <v>20.7</v>
      </c>
      <c r="BW66" s="81">
        <f>B84</f>
        <v>25.5</v>
      </c>
    </row>
    <row r="67" spans="1:75" x14ac:dyDescent="0.25">
      <c r="A67" s="65" t="s">
        <v>81</v>
      </c>
      <c r="B67" s="76">
        <v>71.900000000000006</v>
      </c>
      <c r="C67" s="76">
        <v>71.900000000000006</v>
      </c>
      <c r="D67" s="76">
        <v>71.900000000000006</v>
      </c>
      <c r="E67" s="76">
        <v>69.400000000000006</v>
      </c>
      <c r="F67" s="76">
        <v>69.5</v>
      </c>
      <c r="G67" s="76">
        <v>69.599999999999994</v>
      </c>
      <c r="H67" s="76">
        <v>70</v>
      </c>
      <c r="I67" s="76">
        <v>70</v>
      </c>
      <c r="J67" s="76">
        <v>70.8</v>
      </c>
      <c r="K67" s="76">
        <v>71.099999999999994</v>
      </c>
      <c r="L67" s="76">
        <v>71.599999999999994</v>
      </c>
      <c r="M67" s="76">
        <v>71.599999999999994</v>
      </c>
      <c r="N67" s="76">
        <v>71.599999999999994</v>
      </c>
      <c r="O67" s="76">
        <v>71.599999999999994</v>
      </c>
      <c r="P67" s="76"/>
      <c r="Q67" s="76">
        <v>71.599999999999994</v>
      </c>
      <c r="R67" s="76">
        <v>71.599999999999994</v>
      </c>
      <c r="S67" s="76">
        <v>71.599999999999994</v>
      </c>
      <c r="T67" s="76">
        <v>71.599999999999994</v>
      </c>
      <c r="U67" s="76">
        <v>71.599999999999994</v>
      </c>
      <c r="V67" s="76">
        <v>71.599999999999994</v>
      </c>
      <c r="W67" s="76">
        <v>71.599999999999994</v>
      </c>
      <c r="X67" s="76">
        <v>71.599999999999994</v>
      </c>
      <c r="Y67" s="76">
        <v>71.599999999999994</v>
      </c>
      <c r="Z67" s="76">
        <v>71.599999999999994</v>
      </c>
      <c r="AA67" s="46">
        <v>71.599999999999994</v>
      </c>
      <c r="AB67" s="46">
        <v>68.900000000000006</v>
      </c>
      <c r="AC67" s="46">
        <v>68.900000000000006</v>
      </c>
      <c r="AD67" s="46">
        <v>68.900000000000006</v>
      </c>
      <c r="AE67" s="46">
        <v>69.400000000000006</v>
      </c>
      <c r="AF67" s="46">
        <v>69.599999999999994</v>
      </c>
      <c r="AG67" s="66">
        <v>70</v>
      </c>
      <c r="AH67" s="48">
        <f t="shared" si="2"/>
        <v>71.900000000000006</v>
      </c>
      <c r="AI67" s="49">
        <f t="shared" si="3"/>
        <v>68.900000000000006</v>
      </c>
      <c r="AK67" s="51"/>
      <c r="AY67" s="1" t="s">
        <v>88</v>
      </c>
      <c r="AZ67" s="82">
        <f>ROUND(C85,0)</f>
        <v>0</v>
      </c>
      <c r="BA67" s="81">
        <f t="shared" si="36"/>
        <v>0</v>
      </c>
      <c r="BB67" s="81">
        <f t="shared" si="36"/>
        <v>0</v>
      </c>
      <c r="BC67" s="81">
        <f t="shared" si="36"/>
        <v>0</v>
      </c>
      <c r="BD67" s="81">
        <f t="shared" si="36"/>
        <v>0</v>
      </c>
      <c r="BE67" s="82">
        <f>I85</f>
        <v>0</v>
      </c>
      <c r="BF67" s="82">
        <f>K85</f>
        <v>0</v>
      </c>
      <c r="BG67" s="82">
        <f t="shared" si="37"/>
        <v>0</v>
      </c>
      <c r="BH67" s="82">
        <f t="shared" si="37"/>
        <v>0</v>
      </c>
      <c r="BI67" s="82">
        <f t="shared" si="37"/>
        <v>0</v>
      </c>
      <c r="BJ67" s="82">
        <f t="shared" si="37"/>
        <v>0</v>
      </c>
      <c r="BK67" s="82">
        <f t="shared" si="37"/>
        <v>0</v>
      </c>
      <c r="BL67" s="82">
        <f t="shared" si="37"/>
        <v>0</v>
      </c>
      <c r="BM67" s="82">
        <f t="shared" si="37"/>
        <v>0</v>
      </c>
      <c r="BN67" s="82">
        <f t="shared" si="37"/>
        <v>0</v>
      </c>
      <c r="BO67" s="82">
        <f t="shared" si="37"/>
        <v>0</v>
      </c>
      <c r="BP67" s="82">
        <f t="shared" si="3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8"/>
        <v>0</v>
      </c>
      <c r="BU67" s="81">
        <f t="shared" si="38"/>
        <v>0</v>
      </c>
      <c r="BV67" s="81">
        <f t="shared" si="38"/>
        <v>0</v>
      </c>
      <c r="BW67" s="81">
        <f>B85</f>
        <v>0</v>
      </c>
    </row>
    <row r="68" spans="1:75" x14ac:dyDescent="0.25">
      <c r="A68" s="65" t="s">
        <v>82</v>
      </c>
      <c r="B68" s="76">
        <v>67.400000000000006</v>
      </c>
      <c r="C68" s="76">
        <v>67.400000000000006</v>
      </c>
      <c r="D68" s="76">
        <v>67.400000000000006</v>
      </c>
      <c r="E68" s="76">
        <v>68.7</v>
      </c>
      <c r="F68" s="76">
        <v>67.5</v>
      </c>
      <c r="G68" s="76">
        <v>67.900000000000006</v>
      </c>
      <c r="H68" s="76">
        <v>68.099999999999994</v>
      </c>
      <c r="I68" s="76">
        <v>68.099999999999994</v>
      </c>
      <c r="J68" s="76">
        <v>67.8</v>
      </c>
      <c r="K68" s="76">
        <v>67.400000000000006</v>
      </c>
      <c r="L68" s="76">
        <v>67.099999999999994</v>
      </c>
      <c r="M68" s="76">
        <v>67.099999999999994</v>
      </c>
      <c r="N68" s="76">
        <v>67.099999999999994</v>
      </c>
      <c r="O68" s="76">
        <v>67.099999999999994</v>
      </c>
      <c r="P68" s="76"/>
      <c r="Q68" s="76">
        <v>67.099999999999994</v>
      </c>
      <c r="R68" s="76">
        <v>67.099999999999994</v>
      </c>
      <c r="S68" s="76">
        <v>67.099999999999994</v>
      </c>
      <c r="T68" s="76">
        <v>67.099999999999994</v>
      </c>
      <c r="U68" s="76">
        <v>67.099999999999994</v>
      </c>
      <c r="V68" s="76">
        <v>67.099999999999994</v>
      </c>
      <c r="W68" s="76">
        <v>67.099999999999994</v>
      </c>
      <c r="X68" s="76">
        <v>67.099999999999994</v>
      </c>
      <c r="Y68" s="76">
        <v>67.099999999999994</v>
      </c>
      <c r="Z68" s="76">
        <v>67.099999999999994</v>
      </c>
      <c r="AA68" s="46">
        <v>67.099999999999994</v>
      </c>
      <c r="AB68" s="46">
        <v>69.7</v>
      </c>
      <c r="AC68" s="46">
        <v>69.7</v>
      </c>
      <c r="AD68" s="46">
        <v>69.7</v>
      </c>
      <c r="AE68" s="46">
        <v>69</v>
      </c>
      <c r="AF68" s="46">
        <v>69.400000000000006</v>
      </c>
      <c r="AG68" s="66">
        <v>69</v>
      </c>
      <c r="AH68" s="48">
        <f t="shared" si="2"/>
        <v>69.7</v>
      </c>
      <c r="AI68" s="49">
        <f t="shared" si="3"/>
        <v>67.099999999999994</v>
      </c>
      <c r="AK68" s="51"/>
      <c r="AL68" s="83"/>
      <c r="AO68" s="83"/>
      <c r="AY68" s="1" t="s">
        <v>90</v>
      </c>
      <c r="AZ68" s="82">
        <f>ROUND(C86,0)</f>
        <v>-396</v>
      </c>
      <c r="BA68" s="81">
        <f t="shared" si="36"/>
        <v>-389.2</v>
      </c>
      <c r="BB68" s="81">
        <f t="shared" si="36"/>
        <v>-446</v>
      </c>
      <c r="BC68" s="81">
        <f t="shared" si="36"/>
        <v>-340</v>
      </c>
      <c r="BD68" s="81">
        <f t="shared" si="36"/>
        <v>-439</v>
      </c>
      <c r="BE68" s="82">
        <f>I86</f>
        <v>-390</v>
      </c>
      <c r="BF68" s="82">
        <f>K86</f>
        <v>-291.8</v>
      </c>
      <c r="BG68" s="82">
        <f t="shared" si="37"/>
        <v>-311</v>
      </c>
      <c r="BH68" s="82">
        <f t="shared" si="37"/>
        <v>-210</v>
      </c>
      <c r="BI68" s="82">
        <f t="shared" si="37"/>
        <v>-101</v>
      </c>
      <c r="BJ68" s="82">
        <f t="shared" si="37"/>
        <v>0</v>
      </c>
      <c r="BK68" s="82">
        <f t="shared" si="37"/>
        <v>-50</v>
      </c>
      <c r="BL68" s="82">
        <f t="shared" si="37"/>
        <v>5</v>
      </c>
      <c r="BM68" s="82">
        <f t="shared" si="37"/>
        <v>5</v>
      </c>
      <c r="BN68" s="82">
        <f t="shared" si="37"/>
        <v>5</v>
      </c>
      <c r="BO68" s="82">
        <f t="shared" si="37"/>
        <v>14.8</v>
      </c>
      <c r="BP68" s="82">
        <f t="shared" si="37"/>
        <v>-113.2</v>
      </c>
      <c r="BQ68" s="82">
        <f>X86</f>
        <v>-50</v>
      </c>
      <c r="BR68" s="82">
        <f>Z86</f>
        <v>-118.1</v>
      </c>
      <c r="BS68" s="81">
        <f>AB86</f>
        <v>-106.9</v>
      </c>
      <c r="BT68" s="81">
        <f t="shared" si="38"/>
        <v>-120</v>
      </c>
      <c r="BU68" s="81">
        <f t="shared" si="38"/>
        <v>-156</v>
      </c>
      <c r="BV68" s="81">
        <f t="shared" si="38"/>
        <v>-150</v>
      </c>
      <c r="BW68" s="81">
        <f>B86</f>
        <v>-236.2</v>
      </c>
    </row>
    <row r="69" spans="1:75" s="83" customFormat="1" x14ac:dyDescent="0.25">
      <c r="A69" s="65" t="s">
        <v>83</v>
      </c>
      <c r="B69" s="76">
        <v>60</v>
      </c>
      <c r="C69" s="76">
        <v>60</v>
      </c>
      <c r="D69" s="76">
        <v>60</v>
      </c>
      <c r="E69" s="76">
        <v>60.4</v>
      </c>
      <c r="F69" s="76">
        <v>60.2</v>
      </c>
      <c r="G69" s="76">
        <v>60.2</v>
      </c>
      <c r="H69" s="76">
        <v>60</v>
      </c>
      <c r="I69" s="76">
        <v>60</v>
      </c>
      <c r="J69" s="76">
        <v>60.2</v>
      </c>
      <c r="K69" s="68">
        <v>60.2</v>
      </c>
      <c r="L69" s="68">
        <v>60.2</v>
      </c>
      <c r="M69" s="68">
        <v>60.2</v>
      </c>
      <c r="N69" s="68">
        <v>60.2</v>
      </c>
      <c r="O69" s="68">
        <v>60.2</v>
      </c>
      <c r="P69" s="76"/>
      <c r="Q69" s="76">
        <v>60.2</v>
      </c>
      <c r="R69" s="76">
        <v>60.2</v>
      </c>
      <c r="S69" s="76">
        <v>60.2</v>
      </c>
      <c r="T69" s="76">
        <v>60.2</v>
      </c>
      <c r="U69" s="76">
        <v>60.2</v>
      </c>
      <c r="V69" s="76">
        <v>60.2</v>
      </c>
      <c r="W69" s="76">
        <v>60.2</v>
      </c>
      <c r="X69" s="76">
        <v>60.2</v>
      </c>
      <c r="Y69" s="76">
        <v>60.2</v>
      </c>
      <c r="Z69" s="76">
        <v>60.2</v>
      </c>
      <c r="AA69" s="46">
        <v>60.2</v>
      </c>
      <c r="AB69" s="46">
        <v>60</v>
      </c>
      <c r="AC69" s="46">
        <v>60</v>
      </c>
      <c r="AD69" s="46">
        <v>60</v>
      </c>
      <c r="AE69" s="46">
        <v>59.7</v>
      </c>
      <c r="AF69" s="46">
        <v>60</v>
      </c>
      <c r="AG69" s="66">
        <v>60</v>
      </c>
      <c r="AH69" s="48">
        <f t="shared" si="2"/>
        <v>60.4</v>
      </c>
      <c r="AI69" s="49">
        <f t="shared" si="3"/>
        <v>59.7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I87</f>
        <v>0</v>
      </c>
      <c r="BF69" s="82">
        <f>K87</f>
        <v>25.6</v>
      </c>
      <c r="BG69" s="82">
        <f t="shared" si="37"/>
        <v>48.3</v>
      </c>
      <c r="BH69" s="82">
        <f t="shared" si="37"/>
        <v>45</v>
      </c>
      <c r="BI69" s="82">
        <f t="shared" si="37"/>
        <v>51.9</v>
      </c>
      <c r="BJ69" s="82">
        <f t="shared" si="37"/>
        <v>0</v>
      </c>
      <c r="BK69" s="82">
        <f t="shared" si="37"/>
        <v>53</v>
      </c>
      <c r="BL69" s="82">
        <f t="shared" si="37"/>
        <v>51.5</v>
      </c>
      <c r="BM69" s="82">
        <f t="shared" si="37"/>
        <v>43.7</v>
      </c>
      <c r="BN69" s="82">
        <f t="shared" si="37"/>
        <v>32.9</v>
      </c>
      <c r="BO69" s="82">
        <f t="shared" si="37"/>
        <v>40.6</v>
      </c>
      <c r="BP69" s="82">
        <f t="shared" si="37"/>
        <v>40.5</v>
      </c>
      <c r="BQ69" s="82">
        <f>X87</f>
        <v>40.799999999999997</v>
      </c>
      <c r="BR69" s="82">
        <f>Z87</f>
        <v>0</v>
      </c>
      <c r="BS69" s="81">
        <f>AB87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B87</f>
        <v>0</v>
      </c>
    </row>
    <row r="70" spans="1:75" x14ac:dyDescent="0.25">
      <c r="A70" s="65" t="s">
        <v>84</v>
      </c>
      <c r="B70" s="46">
        <v>14.8</v>
      </c>
      <c r="C70" s="46">
        <v>14.8</v>
      </c>
      <c r="D70" s="46">
        <v>14.8</v>
      </c>
      <c r="E70" s="76">
        <v>14.5</v>
      </c>
      <c r="F70" s="76">
        <v>23.2</v>
      </c>
      <c r="G70" s="76">
        <v>14.4</v>
      </c>
      <c r="H70" s="76">
        <v>14.6</v>
      </c>
      <c r="I70" s="76">
        <v>10</v>
      </c>
      <c r="J70" s="76">
        <v>10</v>
      </c>
      <c r="K70" s="76">
        <v>13.2</v>
      </c>
      <c r="L70" s="68">
        <v>23.3</v>
      </c>
      <c r="M70" s="68">
        <v>23.3</v>
      </c>
      <c r="N70" s="68">
        <v>10</v>
      </c>
      <c r="O70" s="68">
        <v>10</v>
      </c>
      <c r="P70" s="76"/>
      <c r="Q70" s="76">
        <v>10</v>
      </c>
      <c r="R70" s="76">
        <v>23</v>
      </c>
      <c r="S70" s="76">
        <v>22.7</v>
      </c>
      <c r="T70" s="76">
        <v>22.7</v>
      </c>
      <c r="U70" s="76">
        <v>22.7</v>
      </c>
      <c r="V70" s="76">
        <v>14.3</v>
      </c>
      <c r="W70" s="76">
        <v>14.3</v>
      </c>
      <c r="X70" s="76">
        <v>14.3</v>
      </c>
      <c r="Y70" s="76">
        <v>14.3</v>
      </c>
      <c r="Z70" s="76">
        <v>9.9</v>
      </c>
      <c r="AA70" s="46">
        <v>9.9</v>
      </c>
      <c r="AB70" s="46">
        <v>9.9</v>
      </c>
      <c r="AC70" s="46">
        <v>9.9</v>
      </c>
      <c r="AD70" s="46">
        <v>12.4</v>
      </c>
      <c r="AE70" s="46">
        <v>13.1</v>
      </c>
      <c r="AF70" s="46">
        <v>14.2</v>
      </c>
      <c r="AG70" s="66">
        <v>30</v>
      </c>
      <c r="AH70" s="48">
        <f t="shared" si="2"/>
        <v>23.3</v>
      </c>
      <c r="AI70" s="49">
        <f t="shared" si="3"/>
        <v>9.9</v>
      </c>
      <c r="AK70" s="51"/>
      <c r="AY70" s="1" t="s">
        <v>94</v>
      </c>
      <c r="AZ70" s="82">
        <f>ROUND(C88,0)</f>
        <v>0</v>
      </c>
      <c r="BA70" s="81">
        <f t="shared" si="36"/>
        <v>0</v>
      </c>
      <c r="BB70" s="81">
        <f t="shared" si="36"/>
        <v>0</v>
      </c>
      <c r="BC70" s="81">
        <f t="shared" si="36"/>
        <v>0</v>
      </c>
      <c r="BD70" s="81">
        <f t="shared" si="36"/>
        <v>0</v>
      </c>
      <c r="BE70" s="82">
        <f>I88</f>
        <v>0</v>
      </c>
      <c r="BF70" s="82">
        <f>K88</f>
        <v>131</v>
      </c>
      <c r="BG70" s="82">
        <f t="shared" si="37"/>
        <v>103.5</v>
      </c>
      <c r="BH70" s="82">
        <f t="shared" si="37"/>
        <v>131.30000000000001</v>
      </c>
      <c r="BI70" s="82">
        <f t="shared" si="37"/>
        <v>149</v>
      </c>
      <c r="BJ70" s="82">
        <f t="shared" si="37"/>
        <v>0</v>
      </c>
      <c r="BK70" s="82">
        <f t="shared" si="37"/>
        <v>137.5</v>
      </c>
      <c r="BL70" s="82">
        <f t="shared" si="37"/>
        <v>142.1</v>
      </c>
      <c r="BM70" s="82">
        <f t="shared" si="37"/>
        <v>125.5</v>
      </c>
      <c r="BN70" s="82">
        <f t="shared" si="37"/>
        <v>129.1</v>
      </c>
      <c r="BO70" s="82">
        <f t="shared" si="37"/>
        <v>134.30000000000001</v>
      </c>
      <c r="BP70" s="82">
        <f t="shared" si="37"/>
        <v>113.1</v>
      </c>
      <c r="BQ70" s="82">
        <f>X88</f>
        <v>109</v>
      </c>
      <c r="BR70" s="82">
        <f>Z88</f>
        <v>0</v>
      </c>
      <c r="BS70" s="81">
        <f>AB88</f>
        <v>0</v>
      </c>
      <c r="BT70" s="81">
        <f t="shared" si="38"/>
        <v>0</v>
      </c>
      <c r="BU70" s="81">
        <f t="shared" si="38"/>
        <v>0</v>
      </c>
      <c r="BV70" s="81">
        <f t="shared" si="3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0.3</v>
      </c>
      <c r="I71" s="46">
        <v>1</v>
      </c>
      <c r="J71" s="46">
        <v>1</v>
      </c>
      <c r="K71" s="46">
        <v>3</v>
      </c>
      <c r="L71" s="76">
        <v>4.9000000000000004</v>
      </c>
      <c r="M71" s="76">
        <v>8.3000000000000007</v>
      </c>
      <c r="N71" s="76">
        <v>9.8000000000000007</v>
      </c>
      <c r="O71" s="76">
        <v>12.9</v>
      </c>
      <c r="P71" s="76"/>
      <c r="Q71" s="76">
        <v>12.9</v>
      </c>
      <c r="R71" s="76">
        <v>14.9</v>
      </c>
      <c r="S71" s="76">
        <v>12.1</v>
      </c>
      <c r="T71" s="76">
        <v>7</v>
      </c>
      <c r="U71" s="76">
        <v>2.9</v>
      </c>
      <c r="V71" s="76">
        <v>4.0999999999999996</v>
      </c>
      <c r="W71" s="76">
        <v>1.2</v>
      </c>
      <c r="X71" s="76">
        <v>0.8</v>
      </c>
      <c r="Y71" s="76">
        <v>0</v>
      </c>
      <c r="Z71" s="7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9">M94</f>
        <v>0</v>
      </c>
      <c r="BH71" s="82">
        <f t="shared" si="39"/>
        <v>0</v>
      </c>
      <c r="BI71" s="82">
        <f t="shared" si="39"/>
        <v>0</v>
      </c>
      <c r="BJ71" s="82">
        <f t="shared" si="39"/>
        <v>0</v>
      </c>
      <c r="BK71" s="82">
        <f t="shared" si="39"/>
        <v>0</v>
      </c>
      <c r="BL71" s="82">
        <f t="shared" si="39"/>
        <v>0</v>
      </c>
      <c r="BM71" s="82">
        <f t="shared" si="39"/>
        <v>0</v>
      </c>
      <c r="BN71" s="82">
        <f t="shared" si="39"/>
        <v>0</v>
      </c>
      <c r="BO71" s="82">
        <f t="shared" si="39"/>
        <v>0</v>
      </c>
      <c r="BP71" s="82">
        <f t="shared" si="3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14.4</v>
      </c>
      <c r="C72" s="76">
        <v>14.4</v>
      </c>
      <c r="D72" s="76">
        <v>14.4</v>
      </c>
      <c r="E72" s="76">
        <v>14.4</v>
      </c>
      <c r="F72" s="76">
        <v>12.2</v>
      </c>
      <c r="G72" s="76">
        <v>12.2</v>
      </c>
      <c r="H72" s="76">
        <v>12.2</v>
      </c>
      <c r="I72" s="76">
        <v>12.2</v>
      </c>
      <c r="J72" s="76">
        <v>12.2</v>
      </c>
      <c r="K72" s="76">
        <v>12.2</v>
      </c>
      <c r="L72" s="76">
        <v>12.2</v>
      </c>
      <c r="M72" s="76">
        <v>12.2</v>
      </c>
      <c r="N72" s="76">
        <v>12.2</v>
      </c>
      <c r="O72" s="76">
        <v>12.2</v>
      </c>
      <c r="P72" s="76"/>
      <c r="Q72" s="76">
        <v>12.2</v>
      </c>
      <c r="R72" s="76">
        <v>12.2</v>
      </c>
      <c r="S72" s="76">
        <v>12.2</v>
      </c>
      <c r="T72" s="76">
        <v>12.2</v>
      </c>
      <c r="U72" s="76">
        <v>12.2</v>
      </c>
      <c r="V72" s="76">
        <v>12.2</v>
      </c>
      <c r="W72" s="76">
        <v>12.2</v>
      </c>
      <c r="X72" s="76">
        <v>12.2</v>
      </c>
      <c r="Y72" s="76">
        <v>12.2</v>
      </c>
      <c r="Z72" s="76">
        <v>12.2</v>
      </c>
      <c r="AA72" s="76">
        <v>12.2</v>
      </c>
      <c r="AB72" s="76">
        <v>12.2</v>
      </c>
      <c r="AC72" s="76">
        <v>12.2</v>
      </c>
      <c r="AD72" s="76">
        <v>12.2</v>
      </c>
      <c r="AE72" s="76">
        <v>13.1</v>
      </c>
      <c r="AF72" s="76">
        <v>13.1</v>
      </c>
      <c r="AG72" s="66">
        <v>24</v>
      </c>
      <c r="AH72" s="48">
        <f t="shared" si="2"/>
        <v>14.4</v>
      </c>
      <c r="AI72" s="49">
        <f t="shared" si="3"/>
        <v>12.2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/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40">VALUE(AZ66)</f>
        <v>22</v>
      </c>
      <c r="BA73" s="82">
        <f t="shared" si="40"/>
        <v>22.4</v>
      </c>
      <c r="BB73" s="82">
        <f t="shared" si="40"/>
        <v>20.7</v>
      </c>
      <c r="BC73" s="82">
        <f t="shared" si="40"/>
        <v>10.4</v>
      </c>
      <c r="BD73" s="82">
        <f t="shared" si="40"/>
        <v>18.899999999999999</v>
      </c>
      <c r="BE73" s="82">
        <f t="shared" si="40"/>
        <v>8.6</v>
      </c>
      <c r="BF73" s="82">
        <f t="shared" si="40"/>
        <v>48.3</v>
      </c>
      <c r="BG73" s="82">
        <f t="shared" si="40"/>
        <v>68</v>
      </c>
      <c r="BH73" s="82">
        <f t="shared" si="40"/>
        <v>56.7</v>
      </c>
      <c r="BI73" s="82">
        <f t="shared" si="40"/>
        <v>63.6</v>
      </c>
      <c r="BJ73" s="82">
        <f t="shared" si="40"/>
        <v>0</v>
      </c>
      <c r="BK73" s="82">
        <f t="shared" si="40"/>
        <v>65.099999999999994</v>
      </c>
      <c r="BL73" s="82">
        <f t="shared" si="40"/>
        <v>65.5</v>
      </c>
      <c r="BM73" s="82">
        <f t="shared" si="40"/>
        <v>65.5</v>
      </c>
      <c r="BN73" s="82">
        <f t="shared" si="40"/>
        <v>66.400000000000006</v>
      </c>
      <c r="BO73" s="82">
        <f t="shared" si="40"/>
        <v>67.099999999999994</v>
      </c>
      <c r="BP73" s="82">
        <f t="shared" si="40"/>
        <v>73.2</v>
      </c>
      <c r="BQ73" s="82">
        <f t="shared" si="40"/>
        <v>51</v>
      </c>
      <c r="BR73" s="82">
        <f t="shared" si="40"/>
        <v>32.1</v>
      </c>
      <c r="BS73" s="82">
        <f t="shared" si="40"/>
        <v>36.799999999999997</v>
      </c>
      <c r="BT73" s="82">
        <f t="shared" si="40"/>
        <v>29.6</v>
      </c>
      <c r="BU73" s="82">
        <f t="shared" si="40"/>
        <v>26.3</v>
      </c>
      <c r="BV73" s="82">
        <f t="shared" si="40"/>
        <v>20.7</v>
      </c>
      <c r="BW73" s="82">
        <f t="shared" si="40"/>
        <v>25.5</v>
      </c>
    </row>
    <row r="74" spans="1:75" x14ac:dyDescent="0.25">
      <c r="A74" s="65" t="s">
        <v>91</v>
      </c>
      <c r="B74" s="76">
        <v>10</v>
      </c>
      <c r="C74" s="76">
        <v>10</v>
      </c>
      <c r="D74" s="76">
        <v>10</v>
      </c>
      <c r="E74" s="76">
        <v>10</v>
      </c>
      <c r="F74" s="76">
        <v>10</v>
      </c>
      <c r="G74" s="76">
        <v>10</v>
      </c>
      <c r="H74" s="76">
        <v>10</v>
      </c>
      <c r="I74" s="76">
        <v>10</v>
      </c>
      <c r="J74" s="76">
        <v>10</v>
      </c>
      <c r="K74" s="76">
        <v>10</v>
      </c>
      <c r="L74" s="76">
        <v>10</v>
      </c>
      <c r="M74" s="76">
        <v>10</v>
      </c>
      <c r="N74" s="76">
        <v>10</v>
      </c>
      <c r="O74" s="76">
        <v>10</v>
      </c>
      <c r="P74" s="76"/>
      <c r="Q74" s="76">
        <v>10</v>
      </c>
      <c r="R74" s="76">
        <v>10</v>
      </c>
      <c r="S74" s="76">
        <v>10</v>
      </c>
      <c r="T74" s="76">
        <v>10</v>
      </c>
      <c r="U74" s="76">
        <v>10</v>
      </c>
      <c r="V74" s="76">
        <v>10</v>
      </c>
      <c r="W74" s="76">
        <v>10</v>
      </c>
      <c r="X74" s="76">
        <v>10</v>
      </c>
      <c r="Y74" s="76">
        <v>10</v>
      </c>
      <c r="Z74" s="76">
        <v>10</v>
      </c>
      <c r="AA74" s="76">
        <v>10</v>
      </c>
      <c r="AB74" s="76">
        <v>10</v>
      </c>
      <c r="AC74" s="76">
        <v>10</v>
      </c>
      <c r="AD74" s="76">
        <v>10</v>
      </c>
      <c r="AE74" s="76">
        <v>10.5</v>
      </c>
      <c r="AF74" s="76">
        <v>10</v>
      </c>
      <c r="AG74" s="66">
        <v>14.1</v>
      </c>
      <c r="AH74" s="48">
        <f t="shared" si="2"/>
        <v>10.5</v>
      </c>
      <c r="AI74" s="49">
        <f t="shared" si="3"/>
        <v>10</v>
      </c>
      <c r="AK74" s="51"/>
      <c r="AZ74" s="82">
        <f t="shared" si="40"/>
        <v>0</v>
      </c>
      <c r="BA74" s="82">
        <f t="shared" si="40"/>
        <v>0</v>
      </c>
      <c r="BB74" s="82">
        <f t="shared" si="40"/>
        <v>0</v>
      </c>
      <c r="BC74" s="82">
        <f t="shared" si="40"/>
        <v>0</v>
      </c>
      <c r="BD74" s="82">
        <f t="shared" si="40"/>
        <v>0</v>
      </c>
      <c r="BE74" s="82">
        <f t="shared" si="40"/>
        <v>0</v>
      </c>
      <c r="BF74" s="82">
        <f t="shared" si="40"/>
        <v>0</v>
      </c>
      <c r="BG74" s="82">
        <f t="shared" si="40"/>
        <v>0</v>
      </c>
      <c r="BH74" s="82">
        <f t="shared" si="40"/>
        <v>0</v>
      </c>
      <c r="BI74" s="82">
        <f t="shared" si="40"/>
        <v>0</v>
      </c>
      <c r="BJ74" s="82">
        <f t="shared" si="40"/>
        <v>0</v>
      </c>
      <c r="BK74" s="82">
        <f t="shared" si="40"/>
        <v>0</v>
      </c>
      <c r="BL74" s="82">
        <f t="shared" si="40"/>
        <v>0</v>
      </c>
      <c r="BM74" s="82">
        <f t="shared" si="40"/>
        <v>0</v>
      </c>
      <c r="BN74" s="82">
        <f t="shared" si="40"/>
        <v>0</v>
      </c>
      <c r="BO74" s="82">
        <f t="shared" si="40"/>
        <v>0</v>
      </c>
      <c r="BP74" s="82">
        <f t="shared" si="40"/>
        <v>0</v>
      </c>
      <c r="BQ74" s="82">
        <f t="shared" si="40"/>
        <v>0</v>
      </c>
      <c r="BR74" s="82">
        <f t="shared" si="40"/>
        <v>0</v>
      </c>
      <c r="BS74" s="82">
        <f t="shared" si="40"/>
        <v>0</v>
      </c>
      <c r="BT74" s="82">
        <f t="shared" si="40"/>
        <v>0</v>
      </c>
      <c r="BU74" s="82">
        <f t="shared" si="40"/>
        <v>0</v>
      </c>
      <c r="BV74" s="82">
        <f t="shared" si="40"/>
        <v>0</v>
      </c>
      <c r="BW74" s="82">
        <f t="shared" si="40"/>
        <v>0</v>
      </c>
    </row>
    <row r="75" spans="1:75" x14ac:dyDescent="0.25">
      <c r="A75" s="84" t="s">
        <v>93</v>
      </c>
      <c r="B75" s="76">
        <v>13.9</v>
      </c>
      <c r="C75" s="76">
        <v>13.9</v>
      </c>
      <c r="D75" s="76">
        <v>13.9</v>
      </c>
      <c r="E75" s="76">
        <v>13.9</v>
      </c>
      <c r="F75" s="76">
        <v>13.9</v>
      </c>
      <c r="G75" s="76">
        <v>13.9</v>
      </c>
      <c r="H75" s="76">
        <v>13.9</v>
      </c>
      <c r="I75" s="76">
        <v>13.9</v>
      </c>
      <c r="J75" s="76">
        <v>13.9</v>
      </c>
      <c r="K75" s="76">
        <v>13.9</v>
      </c>
      <c r="L75" s="76">
        <v>13.9</v>
      </c>
      <c r="M75" s="76">
        <v>13.9</v>
      </c>
      <c r="N75" s="76">
        <v>13.9</v>
      </c>
      <c r="O75" s="76">
        <v>13.9</v>
      </c>
      <c r="P75" s="76"/>
      <c r="Q75" s="76">
        <v>13.9</v>
      </c>
      <c r="R75" s="76">
        <v>13.9</v>
      </c>
      <c r="S75" s="76">
        <v>13.9</v>
      </c>
      <c r="T75" s="76">
        <v>13.9</v>
      </c>
      <c r="U75" s="76">
        <v>13.9</v>
      </c>
      <c r="V75" s="76">
        <v>13.9</v>
      </c>
      <c r="W75" s="76">
        <v>13.9</v>
      </c>
      <c r="X75" s="76">
        <v>13.9</v>
      </c>
      <c r="Y75" s="76">
        <v>13.9</v>
      </c>
      <c r="Z75" s="76">
        <v>13.9</v>
      </c>
      <c r="AA75" s="76">
        <v>13.9</v>
      </c>
      <c r="AB75" s="76">
        <v>13.9</v>
      </c>
      <c r="AC75" s="76">
        <v>13.9</v>
      </c>
      <c r="AD75" s="76">
        <v>13.9</v>
      </c>
      <c r="AE75" s="76">
        <v>14.5</v>
      </c>
      <c r="AF75" s="76">
        <v>14.5</v>
      </c>
      <c r="AG75" s="66">
        <v>14</v>
      </c>
      <c r="AH75" s="48">
        <f t="shared" ref="AH75:AH126" si="41">MAX(B75:AF75)</f>
        <v>14.5</v>
      </c>
      <c r="AI75" s="49">
        <f t="shared" ref="AI75:AI126" si="42">MIN(B75:AF75)</f>
        <v>13.9</v>
      </c>
      <c r="AK75" s="51"/>
      <c r="AZ75" s="82">
        <f t="shared" si="40"/>
        <v>-396</v>
      </c>
      <c r="BA75" s="82">
        <f t="shared" si="40"/>
        <v>-389.2</v>
      </c>
      <c r="BB75" s="82">
        <f t="shared" si="40"/>
        <v>-446</v>
      </c>
      <c r="BC75" s="82">
        <f t="shared" si="40"/>
        <v>-340</v>
      </c>
      <c r="BD75" s="82">
        <f t="shared" si="40"/>
        <v>-439</v>
      </c>
      <c r="BE75" s="82">
        <f t="shared" si="40"/>
        <v>-390</v>
      </c>
      <c r="BF75" s="82">
        <f t="shared" si="40"/>
        <v>-291.8</v>
      </c>
      <c r="BG75" s="82">
        <f t="shared" si="40"/>
        <v>-311</v>
      </c>
      <c r="BH75" s="82">
        <f t="shared" si="40"/>
        <v>-210</v>
      </c>
      <c r="BI75" s="82">
        <f t="shared" si="40"/>
        <v>-101</v>
      </c>
      <c r="BJ75" s="82">
        <f t="shared" si="40"/>
        <v>0</v>
      </c>
      <c r="BK75" s="82">
        <f t="shared" si="40"/>
        <v>-50</v>
      </c>
      <c r="BL75" s="82">
        <f t="shared" si="40"/>
        <v>5</v>
      </c>
      <c r="BM75" s="82">
        <f t="shared" si="40"/>
        <v>5</v>
      </c>
      <c r="BN75" s="82">
        <f t="shared" si="40"/>
        <v>5</v>
      </c>
      <c r="BO75" s="82">
        <f t="shared" si="40"/>
        <v>14.8</v>
      </c>
      <c r="BP75" s="82">
        <f t="shared" si="40"/>
        <v>-113.2</v>
      </c>
      <c r="BQ75" s="82">
        <f t="shared" si="40"/>
        <v>-50</v>
      </c>
      <c r="BR75" s="82">
        <f t="shared" si="40"/>
        <v>-118.1</v>
      </c>
      <c r="BS75" s="82">
        <f t="shared" si="40"/>
        <v>-106.9</v>
      </c>
      <c r="BT75" s="82">
        <f t="shared" si="40"/>
        <v>-120</v>
      </c>
      <c r="BU75" s="82">
        <f t="shared" si="40"/>
        <v>-156</v>
      </c>
      <c r="BV75" s="82">
        <f t="shared" si="40"/>
        <v>-150</v>
      </c>
      <c r="BW75" s="82">
        <f t="shared" si="40"/>
        <v>-236.2</v>
      </c>
    </row>
    <row r="76" spans="1:75" x14ac:dyDescent="0.25">
      <c r="A76" s="65" t="s">
        <v>95</v>
      </c>
      <c r="B76" s="76">
        <v>6.2</v>
      </c>
      <c r="C76" s="76">
        <v>6.2</v>
      </c>
      <c r="D76" s="76">
        <v>6.2</v>
      </c>
      <c r="E76" s="76">
        <v>6.2</v>
      </c>
      <c r="F76" s="76">
        <v>6.2</v>
      </c>
      <c r="G76" s="76">
        <v>6.2</v>
      </c>
      <c r="H76" s="76">
        <v>6.2</v>
      </c>
      <c r="I76" s="76">
        <v>6.2</v>
      </c>
      <c r="J76" s="76">
        <v>6.2</v>
      </c>
      <c r="K76" s="76">
        <v>6.2</v>
      </c>
      <c r="L76" s="76">
        <v>6.2</v>
      </c>
      <c r="M76" s="76">
        <v>6.2</v>
      </c>
      <c r="N76" s="76">
        <v>6.2</v>
      </c>
      <c r="O76" s="76">
        <v>6.2</v>
      </c>
      <c r="P76" s="76"/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>
        <v>6.2</v>
      </c>
      <c r="AF76" s="76">
        <v>6.2</v>
      </c>
      <c r="AG76" s="66">
        <v>10.050000000000001</v>
      </c>
      <c r="AH76" s="48">
        <f t="shared" si="41"/>
        <v>6.2</v>
      </c>
      <c r="AI76" s="49">
        <f t="shared" si="42"/>
        <v>6.2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25.6</v>
      </c>
      <c r="BG76" s="82">
        <f t="shared" si="40"/>
        <v>48.3</v>
      </c>
      <c r="BH76" s="82">
        <f t="shared" si="40"/>
        <v>45</v>
      </c>
      <c r="BI76" s="82">
        <f t="shared" si="40"/>
        <v>51.9</v>
      </c>
      <c r="BJ76" s="82">
        <f t="shared" si="40"/>
        <v>0</v>
      </c>
      <c r="BK76" s="82">
        <f t="shared" si="40"/>
        <v>53</v>
      </c>
      <c r="BL76" s="82">
        <f t="shared" si="40"/>
        <v>51.5</v>
      </c>
      <c r="BM76" s="82">
        <f t="shared" si="40"/>
        <v>43.7</v>
      </c>
      <c r="BN76" s="82">
        <f t="shared" si="40"/>
        <v>32.9</v>
      </c>
      <c r="BO76" s="82">
        <f t="shared" si="40"/>
        <v>40.6</v>
      </c>
      <c r="BP76" s="82">
        <f t="shared" si="40"/>
        <v>40.5</v>
      </c>
      <c r="BQ76" s="82">
        <f t="shared" si="40"/>
        <v>40.799999999999997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/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41"/>
        <v>3</v>
      </c>
      <c r="AI77" s="49">
        <f t="shared" si="42"/>
        <v>3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0</v>
      </c>
      <c r="BC77" s="82">
        <f t="shared" si="40"/>
        <v>0</v>
      </c>
      <c r="BD77" s="82">
        <f t="shared" si="40"/>
        <v>0</v>
      </c>
      <c r="BE77" s="82">
        <f t="shared" si="40"/>
        <v>0</v>
      </c>
      <c r="BF77" s="82">
        <f t="shared" si="40"/>
        <v>131</v>
      </c>
      <c r="BG77" s="82">
        <f t="shared" si="40"/>
        <v>103.5</v>
      </c>
      <c r="BH77" s="82">
        <f t="shared" si="40"/>
        <v>131.30000000000001</v>
      </c>
      <c r="BI77" s="82">
        <f t="shared" si="40"/>
        <v>149</v>
      </c>
      <c r="BJ77" s="82">
        <f t="shared" si="40"/>
        <v>0</v>
      </c>
      <c r="BK77" s="82">
        <f t="shared" si="40"/>
        <v>137.5</v>
      </c>
      <c r="BL77" s="82">
        <f t="shared" si="40"/>
        <v>142.1</v>
      </c>
      <c r="BM77" s="82">
        <f t="shared" si="40"/>
        <v>125.5</v>
      </c>
      <c r="BN77" s="82">
        <f t="shared" si="40"/>
        <v>129.1</v>
      </c>
      <c r="BO77" s="82">
        <f t="shared" si="40"/>
        <v>134.30000000000001</v>
      </c>
      <c r="BP77" s="82">
        <f t="shared" si="40"/>
        <v>113.1</v>
      </c>
      <c r="BQ77" s="82">
        <f t="shared" si="40"/>
        <v>109</v>
      </c>
      <c r="BR77" s="82">
        <f t="shared" si="40"/>
        <v>0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0</v>
      </c>
      <c r="BW77" s="82">
        <f t="shared" si="4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1"/>
        <v>3.54</v>
      </c>
      <c r="AI78" s="49">
        <f t="shared" si="42"/>
        <v>3.54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0</v>
      </c>
      <c r="BH78" s="82">
        <f t="shared" si="40"/>
        <v>0</v>
      </c>
      <c r="BI78" s="82">
        <f t="shared" si="40"/>
        <v>0</v>
      </c>
      <c r="BJ78" s="82">
        <f t="shared" si="40"/>
        <v>0</v>
      </c>
      <c r="BK78" s="82">
        <f t="shared" si="40"/>
        <v>0</v>
      </c>
      <c r="BL78" s="82">
        <f t="shared" si="40"/>
        <v>0</v>
      </c>
      <c r="BM78" s="82">
        <f t="shared" si="40"/>
        <v>0</v>
      </c>
      <c r="BN78" s="82">
        <f t="shared" si="40"/>
        <v>0</v>
      </c>
      <c r="BO78" s="82">
        <f t="shared" si="40"/>
        <v>0</v>
      </c>
      <c r="BP78" s="82">
        <f t="shared" si="40"/>
        <v>0</v>
      </c>
      <c r="BQ78" s="82">
        <f t="shared" si="40"/>
        <v>0</v>
      </c>
      <c r="BR78" s="82">
        <f t="shared" si="40"/>
        <v>0</v>
      </c>
      <c r="BS78" s="82">
        <f t="shared" si="40"/>
        <v>0</v>
      </c>
      <c r="BT78" s="82">
        <f t="shared" si="40"/>
        <v>0</v>
      </c>
      <c r="BU78" s="82">
        <f t="shared" si="40"/>
        <v>0</v>
      </c>
      <c r="BV78" s="82">
        <f t="shared" si="40"/>
        <v>0</v>
      </c>
      <c r="BW78" s="82">
        <f t="shared" si="40"/>
        <v>0</v>
      </c>
    </row>
    <row r="79" spans="1:75" ht="15.75" thickBot="1" x14ac:dyDescent="0.3">
      <c r="A79" s="87" t="s">
        <v>99</v>
      </c>
      <c r="B79" s="71">
        <f t="shared" ref="B79:C79" si="43">SUM(B66:B78)</f>
        <v>414.74</v>
      </c>
      <c r="C79" s="71">
        <f t="shared" si="43"/>
        <v>414.74</v>
      </c>
      <c r="D79" s="71">
        <f t="shared" ref="D79" si="44">SUM(D66:D78)</f>
        <v>414.74</v>
      </c>
      <c r="E79" s="71">
        <f t="shared" ref="E79:AG79" si="45">SUM(E66:E78)</f>
        <v>413.53999999999996</v>
      </c>
      <c r="F79" s="71">
        <f t="shared" si="45"/>
        <v>418.14</v>
      </c>
      <c r="G79" s="71">
        <f t="shared" si="45"/>
        <v>413.34</v>
      </c>
      <c r="H79" s="71">
        <f t="shared" si="45"/>
        <v>414.04</v>
      </c>
      <c r="I79" s="71">
        <f t="shared" si="45"/>
        <v>410.14</v>
      </c>
      <c r="J79" s="71">
        <f t="shared" si="45"/>
        <v>407.74</v>
      </c>
      <c r="K79" s="71">
        <f t="shared" si="45"/>
        <v>413.34</v>
      </c>
      <c r="L79" s="71">
        <f t="shared" si="45"/>
        <v>425.43999999999994</v>
      </c>
      <c r="M79" s="71">
        <f t="shared" si="45"/>
        <v>428.84</v>
      </c>
      <c r="N79" s="71">
        <f t="shared" si="45"/>
        <v>417.03999999999996</v>
      </c>
      <c r="O79" s="71">
        <f t="shared" si="45"/>
        <v>420.13999999999993</v>
      </c>
      <c r="P79" s="71">
        <f t="shared" si="45"/>
        <v>3.54</v>
      </c>
      <c r="Q79" s="71">
        <f t="shared" si="45"/>
        <v>420.13999999999993</v>
      </c>
      <c r="R79" s="71">
        <f t="shared" si="45"/>
        <v>435.13999999999993</v>
      </c>
      <c r="S79" s="71">
        <f t="shared" ref="S79:T79" si="46">SUM(S66:S78)</f>
        <v>432.03999999999996</v>
      </c>
      <c r="T79" s="71">
        <f t="shared" si="46"/>
        <v>426.93999999999994</v>
      </c>
      <c r="U79" s="71">
        <f t="shared" ref="U79:V79" si="47">SUM(U66:U78)</f>
        <v>422.83999999999992</v>
      </c>
      <c r="V79" s="71">
        <f t="shared" si="47"/>
        <v>415.64</v>
      </c>
      <c r="W79" s="71">
        <f t="shared" ref="W79:X79" si="48">SUM(W66:W78)</f>
        <v>412.73999999999995</v>
      </c>
      <c r="X79" s="71">
        <f t="shared" si="48"/>
        <v>412.34</v>
      </c>
      <c r="Y79" s="71">
        <f t="shared" ref="Y79:AA79" si="49">SUM(Y66:Y78)</f>
        <v>411.53999999999996</v>
      </c>
      <c r="Z79" s="71">
        <f t="shared" si="49"/>
        <v>407.13999999999993</v>
      </c>
      <c r="AA79" s="71">
        <f t="shared" si="49"/>
        <v>407.13999999999993</v>
      </c>
      <c r="AB79" s="71">
        <f t="shared" si="45"/>
        <v>406.73999999999995</v>
      </c>
      <c r="AC79" s="71">
        <f t="shared" si="45"/>
        <v>406.73999999999995</v>
      </c>
      <c r="AD79" s="71">
        <f t="shared" si="45"/>
        <v>409.23999999999995</v>
      </c>
      <c r="AE79" s="71">
        <f t="shared" ref="AE79" si="50">SUM(AE66:AE78)</f>
        <v>411.34000000000003</v>
      </c>
      <c r="AF79" s="71">
        <f t="shared" si="45"/>
        <v>412.54</v>
      </c>
      <c r="AG79" s="72">
        <f t="shared" si="45"/>
        <v>489.91</v>
      </c>
      <c r="AH79" s="48">
        <f t="shared" si="41"/>
        <v>435.13999999999993</v>
      </c>
      <c r="AI79" s="49">
        <f t="shared" si="42"/>
        <v>3.54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30.6</v>
      </c>
      <c r="M80" s="46">
        <v>0</v>
      </c>
      <c r="N80" s="46">
        <v>14.4</v>
      </c>
      <c r="O80" s="46">
        <v>14.4</v>
      </c>
      <c r="P80" s="46"/>
      <c r="Q80" s="46">
        <v>14.4</v>
      </c>
      <c r="R80" s="46">
        <v>20.5</v>
      </c>
      <c r="S80" s="46">
        <v>13.6</v>
      </c>
      <c r="T80" s="46">
        <v>13.6</v>
      </c>
      <c r="U80" s="46">
        <v>13.6</v>
      </c>
      <c r="V80" s="46">
        <v>10</v>
      </c>
      <c r="W80" s="46">
        <v>10</v>
      </c>
      <c r="X80" s="46">
        <v>10</v>
      </c>
      <c r="Y80" s="46">
        <v>10</v>
      </c>
      <c r="Z80" s="46">
        <v>10</v>
      </c>
      <c r="AA80" s="46">
        <v>60.1</v>
      </c>
      <c r="AB80" s="46">
        <v>29.5</v>
      </c>
      <c r="AC80" s="46">
        <v>13.7</v>
      </c>
      <c r="AD80" s="46">
        <v>29.6</v>
      </c>
      <c r="AE80" s="46">
        <v>29.6</v>
      </c>
      <c r="AF80" s="46">
        <v>0</v>
      </c>
      <c r="AG80" s="61">
        <v>60</v>
      </c>
      <c r="AH80" s="48">
        <f t="shared" si="41"/>
        <v>60.1</v>
      </c>
      <c r="AI80" s="49">
        <f t="shared" si="4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1.7</v>
      </c>
      <c r="M81" s="76">
        <v>9.8000000000000007</v>
      </c>
      <c r="N81" s="76">
        <v>5</v>
      </c>
      <c r="O81" s="76">
        <v>5</v>
      </c>
      <c r="P81" s="76"/>
      <c r="Q81" s="76">
        <v>5</v>
      </c>
      <c r="R81" s="76">
        <v>8.6</v>
      </c>
      <c r="S81" s="76">
        <v>5.4</v>
      </c>
      <c r="T81" s="76">
        <v>5.4</v>
      </c>
      <c r="U81" s="76">
        <v>5.4</v>
      </c>
      <c r="V81" s="76">
        <v>3.7</v>
      </c>
      <c r="W81" s="76">
        <v>3.7</v>
      </c>
      <c r="X81" s="76">
        <v>3.7</v>
      </c>
      <c r="Y81" s="76">
        <v>3.7</v>
      </c>
      <c r="Z81" s="76">
        <v>3.7</v>
      </c>
      <c r="AA81" s="76">
        <v>27.3</v>
      </c>
      <c r="AB81" s="76">
        <v>14.1</v>
      </c>
      <c r="AC81" s="76">
        <v>7.5</v>
      </c>
      <c r="AD81" s="76">
        <v>13.8</v>
      </c>
      <c r="AE81" s="76">
        <v>3.9</v>
      </c>
      <c r="AF81" s="76">
        <v>14.5</v>
      </c>
      <c r="AG81" s="66">
        <v>32</v>
      </c>
      <c r="AH81" s="48">
        <f t="shared" si="41"/>
        <v>27.3</v>
      </c>
      <c r="AI81" s="49">
        <f t="shared" si="4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0.9</v>
      </c>
      <c r="M82" s="78">
        <v>3.6</v>
      </c>
      <c r="N82" s="78">
        <v>1.8</v>
      </c>
      <c r="O82" s="78">
        <v>1.8</v>
      </c>
      <c r="P82" s="78"/>
      <c r="Q82" s="78">
        <v>1.8</v>
      </c>
      <c r="R82" s="78">
        <v>3.1</v>
      </c>
      <c r="S82" s="78">
        <v>2</v>
      </c>
      <c r="T82" s="78">
        <v>2</v>
      </c>
      <c r="U82" s="78">
        <v>2</v>
      </c>
      <c r="V82" s="78">
        <v>1.4</v>
      </c>
      <c r="W82" s="78">
        <v>1.4</v>
      </c>
      <c r="X82" s="78">
        <v>1.4</v>
      </c>
      <c r="Y82" s="78">
        <v>1.4</v>
      </c>
      <c r="Z82" s="78">
        <v>1.4</v>
      </c>
      <c r="AA82" s="78">
        <v>10</v>
      </c>
      <c r="AB82" s="78">
        <v>5.0999999999999996</v>
      </c>
      <c r="AC82" s="78">
        <v>2.7</v>
      </c>
      <c r="AD82" s="78">
        <v>5</v>
      </c>
      <c r="AE82" s="78">
        <v>1.4</v>
      </c>
      <c r="AF82" s="78">
        <v>5.3</v>
      </c>
      <c r="AG82" s="79">
        <v>14</v>
      </c>
      <c r="AH82" s="48">
        <f t="shared" si="41"/>
        <v>10</v>
      </c>
      <c r="AI82" s="49">
        <f t="shared" si="42"/>
        <v>0</v>
      </c>
      <c r="AK82" s="51"/>
      <c r="AY82" s="82"/>
      <c r="BF82" s="81"/>
      <c r="BG82" s="82">
        <f t="array" ref="BG82:BL105">TRANSPOSE(AZ66:BW71)</f>
        <v>22</v>
      </c>
      <c r="BH82" s="82">
        <v>0</v>
      </c>
      <c r="BI82" s="82">
        <v>-396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1">B80+B81+B82</f>
        <v>0</v>
      </c>
      <c r="C83" s="71">
        <f t="shared" si="51"/>
        <v>0</v>
      </c>
      <c r="D83" s="71">
        <f t="shared" ref="D83" si="52">D80+D81+D82</f>
        <v>0</v>
      </c>
      <c r="E83" s="71">
        <f t="shared" ref="E83:AF83" si="53">E80+E81+E82</f>
        <v>0</v>
      </c>
      <c r="F83" s="71">
        <f t="shared" si="53"/>
        <v>0</v>
      </c>
      <c r="G83" s="71">
        <f t="shared" si="53"/>
        <v>0</v>
      </c>
      <c r="H83" s="71">
        <f t="shared" si="53"/>
        <v>0</v>
      </c>
      <c r="I83" s="71">
        <f t="shared" si="53"/>
        <v>0</v>
      </c>
      <c r="J83" s="71">
        <f t="shared" si="53"/>
        <v>0</v>
      </c>
      <c r="K83" s="71">
        <v>0</v>
      </c>
      <c r="L83" s="71">
        <f t="shared" si="53"/>
        <v>33.200000000000003</v>
      </c>
      <c r="M83" s="71">
        <f t="shared" si="53"/>
        <v>13.4</v>
      </c>
      <c r="N83" s="71">
        <f t="shared" si="53"/>
        <v>21.2</v>
      </c>
      <c r="O83" s="71">
        <f t="shared" si="53"/>
        <v>21.2</v>
      </c>
      <c r="P83" s="71">
        <f t="shared" si="53"/>
        <v>0</v>
      </c>
      <c r="Q83" s="71">
        <f t="shared" si="53"/>
        <v>21.2</v>
      </c>
      <c r="R83" s="71">
        <f t="shared" si="53"/>
        <v>32.200000000000003</v>
      </c>
      <c r="S83" s="71">
        <f t="shared" ref="S83:T83" si="54">S80+S81+S82</f>
        <v>21</v>
      </c>
      <c r="T83" s="71">
        <f t="shared" si="54"/>
        <v>21</v>
      </c>
      <c r="U83" s="71">
        <f t="shared" ref="U83:V83" si="55">U80+U81+U82</f>
        <v>21</v>
      </c>
      <c r="V83" s="71">
        <f t="shared" si="55"/>
        <v>15.1</v>
      </c>
      <c r="W83" s="71">
        <f t="shared" ref="W83:X83" si="56">W80+W81+W82</f>
        <v>15.1</v>
      </c>
      <c r="X83" s="71">
        <f t="shared" si="56"/>
        <v>15.1</v>
      </c>
      <c r="Y83" s="71">
        <f t="shared" ref="Y83:AA83" si="57">Y80+Y81+Y82</f>
        <v>15.1</v>
      </c>
      <c r="Z83" s="71">
        <f t="shared" si="57"/>
        <v>15.1</v>
      </c>
      <c r="AA83" s="71">
        <f t="shared" si="57"/>
        <v>97.4</v>
      </c>
      <c r="AB83" s="71">
        <f t="shared" si="53"/>
        <v>48.7</v>
      </c>
      <c r="AC83" s="71">
        <f t="shared" si="53"/>
        <v>23.9</v>
      </c>
      <c r="AD83" s="71">
        <f t="shared" si="53"/>
        <v>48.400000000000006</v>
      </c>
      <c r="AE83" s="71">
        <f t="shared" ref="AE83" si="58">AE80+AE81+AE82</f>
        <v>34.9</v>
      </c>
      <c r="AF83" s="71">
        <f t="shared" si="53"/>
        <v>19.8</v>
      </c>
      <c r="AG83" s="72">
        <f>SUM(AG80:AG82)</f>
        <v>106</v>
      </c>
      <c r="AH83" s="48">
        <f t="shared" si="41"/>
        <v>97.4</v>
      </c>
      <c r="AI83" s="49">
        <f t="shared" si="42"/>
        <v>0</v>
      </c>
      <c r="AK83" s="51"/>
      <c r="AY83" s="82"/>
      <c r="BF83" s="81"/>
      <c r="BG83" s="82">
        <v>22.4</v>
      </c>
      <c r="BH83" s="82">
        <v>0</v>
      </c>
      <c r="BI83" s="82">
        <v>-389.2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25.5</v>
      </c>
      <c r="C84" s="46">
        <v>21.9</v>
      </c>
      <c r="D84" s="46">
        <v>22.4</v>
      </c>
      <c r="E84" s="46">
        <v>20.7</v>
      </c>
      <c r="F84" s="46">
        <v>10.4</v>
      </c>
      <c r="G84" s="46">
        <v>18.899999999999999</v>
      </c>
      <c r="H84" s="46">
        <v>12.2</v>
      </c>
      <c r="I84" s="46">
        <v>8.6</v>
      </c>
      <c r="J84" s="46">
        <v>49</v>
      </c>
      <c r="K84" s="46">
        <v>48.3</v>
      </c>
      <c r="L84" s="46">
        <v>51.2</v>
      </c>
      <c r="M84" s="46">
        <v>68</v>
      </c>
      <c r="N84" s="46">
        <v>56.7</v>
      </c>
      <c r="O84" s="46">
        <v>63.6</v>
      </c>
      <c r="P84" s="46"/>
      <c r="Q84" s="46">
        <v>65.099999999999994</v>
      </c>
      <c r="R84" s="46">
        <v>65.5</v>
      </c>
      <c r="S84" s="46">
        <v>65.5</v>
      </c>
      <c r="T84" s="46">
        <v>66.400000000000006</v>
      </c>
      <c r="U84" s="46">
        <v>67.099999999999994</v>
      </c>
      <c r="V84" s="46">
        <v>73.2</v>
      </c>
      <c r="W84" s="46">
        <v>73.2</v>
      </c>
      <c r="X84" s="46">
        <v>51</v>
      </c>
      <c r="Y84" s="46">
        <v>51</v>
      </c>
      <c r="Z84" s="46">
        <v>32.1</v>
      </c>
      <c r="AA84" s="46">
        <v>30.9</v>
      </c>
      <c r="AB84" s="46">
        <v>36.799999999999997</v>
      </c>
      <c r="AC84" s="46">
        <v>32.6</v>
      </c>
      <c r="AD84" s="46">
        <v>29.6</v>
      </c>
      <c r="AE84" s="46">
        <v>26.3</v>
      </c>
      <c r="AF84" s="46">
        <v>20.7</v>
      </c>
      <c r="AG84" s="61"/>
      <c r="AH84" s="48">
        <f t="shared" si="41"/>
        <v>73.2</v>
      </c>
      <c r="AI84" s="49">
        <f t="shared" si="42"/>
        <v>8.6</v>
      </c>
      <c r="AK84" s="51"/>
      <c r="AY84" s="82"/>
      <c r="BF84" s="81"/>
      <c r="BG84" s="82">
        <v>20.7</v>
      </c>
      <c r="BH84" s="82">
        <v>0</v>
      </c>
      <c r="BI84" s="82">
        <v>-446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/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/>
      <c r="AD85" s="76"/>
      <c r="AE85" s="76"/>
      <c r="AF85" s="76"/>
      <c r="AG85" s="66"/>
      <c r="AH85" s="48">
        <f t="shared" si="41"/>
        <v>0</v>
      </c>
      <c r="AI85" s="49">
        <f t="shared" si="42"/>
        <v>0</v>
      </c>
      <c r="AK85" s="51"/>
      <c r="AL85" s="91" t="s">
        <v>111</v>
      </c>
      <c r="AM85" s="91"/>
      <c r="AY85" s="82"/>
      <c r="BF85" s="82"/>
      <c r="BG85" s="82">
        <v>10.4</v>
      </c>
      <c r="BH85" s="82">
        <v>0</v>
      </c>
      <c r="BI85" s="82">
        <v>-340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-236.2</v>
      </c>
      <c r="C86" s="76">
        <v>-396.1</v>
      </c>
      <c r="D86" s="76">
        <v>-389.2</v>
      </c>
      <c r="E86" s="76">
        <v>-446</v>
      </c>
      <c r="F86" s="76">
        <v>-340</v>
      </c>
      <c r="G86" s="76">
        <v>-439</v>
      </c>
      <c r="H86" s="76">
        <v>-407.4</v>
      </c>
      <c r="I86" s="76">
        <v>-390</v>
      </c>
      <c r="J86" s="76">
        <v>-396.4</v>
      </c>
      <c r="K86" s="76">
        <v>-291.8</v>
      </c>
      <c r="L86" s="76">
        <v>-295.5</v>
      </c>
      <c r="M86" s="76">
        <v>-311</v>
      </c>
      <c r="N86" s="76">
        <v>-210</v>
      </c>
      <c r="O86" s="76">
        <v>-101</v>
      </c>
      <c r="P86" s="76"/>
      <c r="Q86" s="76">
        <v>-50</v>
      </c>
      <c r="R86" s="76">
        <v>5</v>
      </c>
      <c r="S86" s="76">
        <v>5</v>
      </c>
      <c r="T86" s="76">
        <v>5</v>
      </c>
      <c r="U86" s="76">
        <v>14.8</v>
      </c>
      <c r="V86" s="76">
        <v>-113.2</v>
      </c>
      <c r="W86" s="76">
        <v>-113.2</v>
      </c>
      <c r="X86" s="76">
        <v>-50</v>
      </c>
      <c r="Y86" s="76">
        <v>-50</v>
      </c>
      <c r="Z86" s="76">
        <v>-118.1</v>
      </c>
      <c r="AA86" s="76">
        <v>-122.4</v>
      </c>
      <c r="AB86" s="76">
        <v>-106.9</v>
      </c>
      <c r="AC86" s="76">
        <v>-95</v>
      </c>
      <c r="AD86" s="76">
        <v>-120</v>
      </c>
      <c r="AE86" s="76">
        <v>-156</v>
      </c>
      <c r="AF86" s="76">
        <v>-150</v>
      </c>
      <c r="AG86" s="88"/>
      <c r="AH86" s="48">
        <f t="shared" si="41"/>
        <v>14.8</v>
      </c>
      <c r="AI86" s="49">
        <f t="shared" si="42"/>
        <v>-446</v>
      </c>
      <c r="AK86" s="92"/>
      <c r="AL86" s="93"/>
      <c r="AM86" s="93"/>
      <c r="AN86" s="94"/>
      <c r="AY86" s="82"/>
      <c r="BF86" s="82"/>
      <c r="BG86" s="82">
        <v>18.899999999999999</v>
      </c>
      <c r="BH86" s="82">
        <v>0</v>
      </c>
      <c r="BI86" s="82">
        <v>-439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>
        <v>0</v>
      </c>
      <c r="C87" s="76">
        <v>0</v>
      </c>
      <c r="D87" s="76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29</v>
      </c>
      <c r="K87" s="89">
        <v>25.6</v>
      </c>
      <c r="L87" s="89">
        <v>44.5</v>
      </c>
      <c r="M87" s="89">
        <v>48.3</v>
      </c>
      <c r="N87" s="89">
        <v>45</v>
      </c>
      <c r="O87" s="89">
        <v>51.9</v>
      </c>
      <c r="P87" s="89"/>
      <c r="Q87" s="89">
        <v>53</v>
      </c>
      <c r="R87" s="89">
        <v>51.5</v>
      </c>
      <c r="S87" s="89">
        <v>43.7</v>
      </c>
      <c r="T87" s="89">
        <v>32.9</v>
      </c>
      <c r="U87" s="89">
        <v>40.6</v>
      </c>
      <c r="V87" s="89">
        <v>40.5</v>
      </c>
      <c r="W87" s="89">
        <v>40.5</v>
      </c>
      <c r="X87" s="89">
        <v>40.799999999999997</v>
      </c>
      <c r="Y87" s="89">
        <v>40.799999999999997</v>
      </c>
      <c r="Z87" s="89">
        <v>0</v>
      </c>
      <c r="AA87" s="89">
        <v>0</v>
      </c>
      <c r="AB87" s="89"/>
      <c r="AC87" s="89"/>
      <c r="AD87" s="89"/>
      <c r="AE87" s="89"/>
      <c r="AF87" s="89"/>
      <c r="AG87" s="88"/>
      <c r="AH87" s="48">
        <f t="shared" si="41"/>
        <v>53</v>
      </c>
      <c r="AI87" s="49">
        <f t="shared" si="42"/>
        <v>0</v>
      </c>
      <c r="AK87" s="95" t="s">
        <v>114</v>
      </c>
      <c r="AL87" s="76"/>
      <c r="AM87" s="89"/>
      <c r="AN87" s="96"/>
      <c r="AY87" s="82"/>
      <c r="BF87" s="82"/>
      <c r="BG87" s="82">
        <v>8.6</v>
      </c>
      <c r="BH87" s="82">
        <v>0</v>
      </c>
      <c r="BI87" s="82">
        <v>-390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126.2</v>
      </c>
      <c r="K88" s="46">
        <v>131</v>
      </c>
      <c r="L88" s="46">
        <v>139.69999999999999</v>
      </c>
      <c r="M88" s="46">
        <v>103.5</v>
      </c>
      <c r="N88" s="46">
        <v>131.30000000000001</v>
      </c>
      <c r="O88" s="46">
        <v>149</v>
      </c>
      <c r="P88" s="46"/>
      <c r="Q88" s="46">
        <v>137.5</v>
      </c>
      <c r="R88" s="46">
        <v>142.1</v>
      </c>
      <c r="S88" s="46">
        <v>125.5</v>
      </c>
      <c r="T88" s="46">
        <v>129.1</v>
      </c>
      <c r="U88" s="46">
        <v>134.30000000000001</v>
      </c>
      <c r="V88" s="46">
        <v>113.1</v>
      </c>
      <c r="W88" s="46">
        <v>113.1</v>
      </c>
      <c r="X88" s="46">
        <v>109</v>
      </c>
      <c r="Y88" s="46">
        <v>109</v>
      </c>
      <c r="Z88" s="46">
        <v>0</v>
      </c>
      <c r="AA88" s="46">
        <v>0</v>
      </c>
      <c r="AB88" s="46"/>
      <c r="AC88" s="46"/>
      <c r="AD88" s="46"/>
      <c r="AE88" s="46"/>
      <c r="AF88" s="46"/>
      <c r="AG88" s="88"/>
      <c r="AH88" s="48">
        <f t="shared" si="41"/>
        <v>149</v>
      </c>
      <c r="AI88" s="49">
        <f t="shared" si="42"/>
        <v>0</v>
      </c>
      <c r="AK88" s="95" t="s">
        <v>116</v>
      </c>
      <c r="AL88" s="89"/>
      <c r="AM88" s="89"/>
      <c r="AN88" s="96"/>
      <c r="AY88" s="82"/>
      <c r="BF88" s="82"/>
      <c r="BG88" s="82">
        <v>48.3</v>
      </c>
      <c r="BH88" s="82">
        <v>0</v>
      </c>
      <c r="BI88" s="82">
        <v>-291.8</v>
      </c>
      <c r="BJ88" s="82">
        <v>25.6</v>
      </c>
      <c r="BK88" s="82">
        <v>131</v>
      </c>
      <c r="BL88" s="82">
        <v>0</v>
      </c>
    </row>
    <row r="89" spans="1:64" ht="15.75" thickBot="1" x14ac:dyDescent="0.3">
      <c r="A89" s="97" t="s">
        <v>117</v>
      </c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/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2"/>
        <v>0</v>
      </c>
      <c r="AK89" s="99"/>
      <c r="AL89" s="46"/>
      <c r="AM89" s="46"/>
      <c r="AN89" s="100"/>
      <c r="AY89" s="82"/>
      <c r="BF89" s="82"/>
      <c r="BG89" s="82">
        <v>68</v>
      </c>
      <c r="BH89" s="82">
        <v>0</v>
      </c>
      <c r="BI89" s="82">
        <v>-311</v>
      </c>
      <c r="BJ89" s="82">
        <v>48.3</v>
      </c>
      <c r="BK89" s="82">
        <v>103.5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1"/>
        <v>0</v>
      </c>
      <c r="AI90" s="49">
        <f t="shared" si="42"/>
        <v>0</v>
      </c>
      <c r="AK90" s="99"/>
      <c r="AL90" s="90"/>
      <c r="AM90" s="102"/>
      <c r="AN90" s="202"/>
      <c r="AY90" s="82"/>
      <c r="BF90" s="82"/>
      <c r="BG90" s="82">
        <v>56.7</v>
      </c>
      <c r="BH90" s="82">
        <v>0</v>
      </c>
      <c r="BI90" s="82">
        <v>-210</v>
      </c>
      <c r="BJ90" s="82">
        <v>45</v>
      </c>
      <c r="BK90" s="82">
        <v>131.30000000000001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1"/>
        <v>0</v>
      </c>
      <c r="AI91" s="49">
        <f t="shared" si="42"/>
        <v>0</v>
      </c>
      <c r="AK91" s="99"/>
      <c r="AL91" s="90"/>
      <c r="AM91" s="90"/>
      <c r="AN91" s="203"/>
      <c r="BF91" s="82"/>
      <c r="BG91" s="82">
        <v>63.6</v>
      </c>
      <c r="BH91" s="82">
        <v>0</v>
      </c>
      <c r="BI91" s="82">
        <v>-101</v>
      </c>
      <c r="BJ91" s="82">
        <v>51.9</v>
      </c>
      <c r="BK91" s="82">
        <v>149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1"/>
        <v>0</v>
      </c>
      <c r="AI92" s="49">
        <f t="shared" si="42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1"/>
        <v>0</v>
      </c>
      <c r="AI93" s="49">
        <f t="shared" si="42"/>
        <v>0</v>
      </c>
      <c r="BF93" s="82"/>
      <c r="BG93" s="82">
        <v>65.099999999999994</v>
      </c>
      <c r="BH93" s="82">
        <v>0</v>
      </c>
      <c r="BI93" s="82">
        <v>-50</v>
      </c>
      <c r="BJ93" s="82">
        <v>53</v>
      </c>
      <c r="BK93" s="82">
        <v>137.5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1"/>
        <v>0</v>
      </c>
      <c r="AI94" s="49">
        <f t="shared" si="42"/>
        <v>0</v>
      </c>
      <c r="BF94" s="82"/>
      <c r="BG94" s="82">
        <v>65.5</v>
      </c>
      <c r="BH94" s="82">
        <v>0</v>
      </c>
      <c r="BI94" s="82">
        <v>5</v>
      </c>
      <c r="BJ94" s="82">
        <v>51.5</v>
      </c>
      <c r="BK94" s="82">
        <v>142.1</v>
      </c>
      <c r="BL94" s="82">
        <v>0</v>
      </c>
    </row>
    <row r="95" spans="1:64" ht="15.75" thickBot="1" x14ac:dyDescent="0.3">
      <c r="A95" s="87" t="s">
        <v>118</v>
      </c>
      <c r="B95" s="71">
        <f t="shared" ref="B95:C95" si="59">SUMIF(B84:B94,"&gt;0")</f>
        <v>25.5</v>
      </c>
      <c r="C95" s="71">
        <f t="shared" si="59"/>
        <v>21.9</v>
      </c>
      <c r="D95" s="71">
        <f t="shared" ref="D95" si="60">SUMIF(D84:D94,"&gt;0")</f>
        <v>22.4</v>
      </c>
      <c r="E95" s="71">
        <f t="shared" ref="E95:AF95" si="61">SUMIF(E84:E94,"&gt;0")</f>
        <v>20.7</v>
      </c>
      <c r="F95" s="71">
        <f t="shared" si="61"/>
        <v>10.4</v>
      </c>
      <c r="G95" s="71">
        <f t="shared" si="61"/>
        <v>18.899999999999999</v>
      </c>
      <c r="H95" s="71">
        <f t="shared" si="61"/>
        <v>12.2</v>
      </c>
      <c r="I95" s="71">
        <f t="shared" si="61"/>
        <v>8.6</v>
      </c>
      <c r="J95" s="71">
        <f t="shared" si="61"/>
        <v>204.2</v>
      </c>
      <c r="K95" s="71">
        <f t="shared" si="61"/>
        <v>204.9</v>
      </c>
      <c r="L95" s="71">
        <f t="shared" si="61"/>
        <v>235.39999999999998</v>
      </c>
      <c r="M95" s="71">
        <f t="shared" si="61"/>
        <v>219.8</v>
      </c>
      <c r="N95" s="71">
        <f t="shared" si="61"/>
        <v>233</v>
      </c>
      <c r="O95" s="71">
        <f t="shared" si="61"/>
        <v>264.5</v>
      </c>
      <c r="P95" s="71">
        <f t="shared" si="61"/>
        <v>0</v>
      </c>
      <c r="Q95" s="71">
        <f t="shared" si="61"/>
        <v>255.6</v>
      </c>
      <c r="R95" s="71">
        <f t="shared" si="61"/>
        <v>264.10000000000002</v>
      </c>
      <c r="S95" s="71">
        <f t="shared" ref="S95:T95" si="62">SUMIF(S84:S94,"&gt;0")</f>
        <v>239.7</v>
      </c>
      <c r="T95" s="71">
        <f t="shared" si="62"/>
        <v>233.4</v>
      </c>
      <c r="U95" s="71">
        <f t="shared" ref="U95:V95" si="63">SUMIF(U84:U94,"&gt;0")</f>
        <v>256.8</v>
      </c>
      <c r="V95" s="71">
        <f t="shared" si="63"/>
        <v>226.8</v>
      </c>
      <c r="W95" s="71">
        <f t="shared" ref="W95:X95" si="64">SUMIF(W84:W94,"&gt;0")</f>
        <v>226.8</v>
      </c>
      <c r="X95" s="71">
        <f t="shared" si="64"/>
        <v>200.8</v>
      </c>
      <c r="Y95" s="71">
        <f t="shared" ref="Y95:AA95" si="65">SUMIF(Y84:Y94,"&gt;0")</f>
        <v>200.8</v>
      </c>
      <c r="Z95" s="71">
        <f t="shared" si="65"/>
        <v>32.1</v>
      </c>
      <c r="AA95" s="71">
        <f t="shared" si="65"/>
        <v>30.9</v>
      </c>
      <c r="AB95" s="71">
        <f t="shared" si="61"/>
        <v>36.799999999999997</v>
      </c>
      <c r="AC95" s="71">
        <f t="shared" si="61"/>
        <v>32.6</v>
      </c>
      <c r="AD95" s="71">
        <f t="shared" si="61"/>
        <v>29.6</v>
      </c>
      <c r="AE95" s="71">
        <f t="shared" si="61"/>
        <v>26.3</v>
      </c>
      <c r="AF95" s="71">
        <f t="shared" si="61"/>
        <v>20.7</v>
      </c>
      <c r="AG95" s="101">
        <f>SUM(AG84:AG94)</f>
        <v>0</v>
      </c>
      <c r="AH95" s="48">
        <f t="shared" si="41"/>
        <v>264.5</v>
      </c>
      <c r="AI95" s="49">
        <f t="shared" si="42"/>
        <v>0</v>
      </c>
      <c r="BF95" s="82"/>
      <c r="BG95" s="82">
        <v>65.5</v>
      </c>
      <c r="BH95" s="82">
        <v>0</v>
      </c>
      <c r="BI95" s="82">
        <v>5</v>
      </c>
      <c r="BJ95" s="82">
        <v>43.7</v>
      </c>
      <c r="BK95" s="82">
        <v>125.5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1"/>
        <v>0</v>
      </c>
      <c r="AI96" s="49">
        <f t="shared" si="42"/>
        <v>0</v>
      </c>
      <c r="BF96" s="82"/>
      <c r="BG96" s="82">
        <v>66.400000000000006</v>
      </c>
      <c r="BH96" s="82">
        <v>0</v>
      </c>
      <c r="BI96" s="82">
        <v>5</v>
      </c>
      <c r="BJ96" s="82">
        <v>32.9</v>
      </c>
      <c r="BK96" s="82">
        <v>129.1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1"/>
        <v>0</v>
      </c>
      <c r="AI97" s="49">
        <f t="shared" si="42"/>
        <v>0</v>
      </c>
      <c r="BF97" s="82"/>
      <c r="BG97" s="82">
        <v>67.099999999999994</v>
      </c>
      <c r="BH97" s="82">
        <v>0</v>
      </c>
      <c r="BI97" s="82">
        <v>14.8</v>
      </c>
      <c r="BJ97" s="82">
        <v>40.6</v>
      </c>
      <c r="BK97" s="82">
        <v>134.30000000000001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1"/>
        <v>0</v>
      </c>
      <c r="AI98" s="49">
        <f t="shared" si="42"/>
        <v>0</v>
      </c>
      <c r="BF98" s="82"/>
      <c r="BG98" s="82">
        <v>73.2</v>
      </c>
      <c r="BH98" s="82">
        <v>0</v>
      </c>
      <c r="BI98" s="82">
        <v>-113.2</v>
      </c>
      <c r="BJ98" s="82">
        <v>40.5</v>
      </c>
      <c r="BK98" s="82">
        <v>113.1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1"/>
        <v>0</v>
      </c>
      <c r="AI99" s="49">
        <f t="shared" si="42"/>
        <v>0</v>
      </c>
      <c r="BF99" s="81"/>
      <c r="BG99" s="82">
        <v>51</v>
      </c>
      <c r="BH99" s="82">
        <v>0</v>
      </c>
      <c r="BI99" s="82">
        <v>-50</v>
      </c>
      <c r="BJ99" s="82">
        <v>40.799999999999997</v>
      </c>
      <c r="BK99" s="82">
        <v>109</v>
      </c>
      <c r="BL99" s="82">
        <v>0</v>
      </c>
    </row>
    <row r="100" spans="1:64" ht="15.75" thickBot="1" x14ac:dyDescent="0.3">
      <c r="A100" s="87" t="s">
        <v>123</v>
      </c>
      <c r="B100" s="108">
        <f t="shared" ref="B100:C100" si="66">B61+B65+B83+B79+B95+B99</f>
        <v>1821.14</v>
      </c>
      <c r="C100" s="108">
        <f t="shared" si="66"/>
        <v>1817.5400000000002</v>
      </c>
      <c r="D100" s="108">
        <f t="shared" ref="D100" si="67">D61+D65+D83+D79+D95+D99</f>
        <v>1818.0400000000002</v>
      </c>
      <c r="E100" s="108">
        <f t="shared" ref="E100:AG100" si="68">E61+E65+E83+E79+E95+E99</f>
        <v>1815.14</v>
      </c>
      <c r="F100" s="108">
        <f t="shared" si="68"/>
        <v>1702.8399999999997</v>
      </c>
      <c r="G100" s="108">
        <f t="shared" si="68"/>
        <v>1813.5399999999997</v>
      </c>
      <c r="H100" s="108">
        <f t="shared" si="68"/>
        <v>1807.74</v>
      </c>
      <c r="I100" s="108">
        <f t="shared" si="68"/>
        <v>1797.8399999999997</v>
      </c>
      <c r="J100" s="108">
        <f t="shared" si="68"/>
        <v>1990.04</v>
      </c>
      <c r="K100" s="108">
        <f t="shared" si="68"/>
        <v>1999.5399999999997</v>
      </c>
      <c r="L100" s="108">
        <f t="shared" si="68"/>
        <v>2075.2399999999998</v>
      </c>
      <c r="M100" s="108">
        <f t="shared" si="68"/>
        <v>1972.44</v>
      </c>
      <c r="N100" s="108">
        <f t="shared" si="68"/>
        <v>1981.64</v>
      </c>
      <c r="O100" s="108">
        <f t="shared" si="68"/>
        <v>2016.24</v>
      </c>
      <c r="P100" s="108" t="e">
        <f t="shared" si="68"/>
        <v>#VALUE!</v>
      </c>
      <c r="Q100" s="108">
        <f t="shared" si="68"/>
        <v>1976.34</v>
      </c>
      <c r="R100" s="108">
        <f t="shared" si="68"/>
        <v>1965.54</v>
      </c>
      <c r="S100" s="108">
        <f t="shared" ref="S100:T100" si="69">S61+S65+S83+S79+S95+S99</f>
        <v>1940.84</v>
      </c>
      <c r="T100" s="108">
        <f t="shared" si="69"/>
        <v>1959.44</v>
      </c>
      <c r="U100" s="108">
        <f t="shared" ref="U100:V100" si="70">U61+U65+U83+U79+U95+U99</f>
        <v>1846.4399999999998</v>
      </c>
      <c r="V100" s="108">
        <f t="shared" si="70"/>
        <v>1917.24</v>
      </c>
      <c r="W100" s="108">
        <f t="shared" ref="W100:X100" si="71">W61+W65+W83+W79+W95+W99</f>
        <v>1914.34</v>
      </c>
      <c r="X100" s="108">
        <f t="shared" si="71"/>
        <v>1695.3399999999997</v>
      </c>
      <c r="Y100" s="108">
        <f t="shared" ref="Y100:AA100" si="72">Y61+Y65+Y83+Y79+Y95+Y99</f>
        <v>1694.5399999999997</v>
      </c>
      <c r="Z100" s="108">
        <f t="shared" si="72"/>
        <v>1756.4399999999996</v>
      </c>
      <c r="AA100" s="108">
        <f t="shared" si="72"/>
        <v>1829.74</v>
      </c>
      <c r="AB100" s="108">
        <f t="shared" si="68"/>
        <v>1819.24</v>
      </c>
      <c r="AC100" s="108">
        <f t="shared" si="68"/>
        <v>1792.14</v>
      </c>
      <c r="AD100" s="108">
        <f t="shared" si="68"/>
        <v>1819.1399999999999</v>
      </c>
      <c r="AE100" s="108">
        <f t="shared" si="68"/>
        <v>1841.64</v>
      </c>
      <c r="AF100" s="108">
        <f t="shared" si="68"/>
        <v>1819.65</v>
      </c>
      <c r="AG100" s="72">
        <f t="shared" si="68"/>
        <v>2655.44</v>
      </c>
      <c r="AH100" s="48" t="e">
        <f t="shared" si="41"/>
        <v>#VALUE!</v>
      </c>
      <c r="AI100" s="49" t="e">
        <f t="shared" si="42"/>
        <v>#VALUE!</v>
      </c>
      <c r="BF100" s="81"/>
      <c r="BG100" s="82">
        <v>32.1</v>
      </c>
      <c r="BH100" s="82">
        <v>0</v>
      </c>
      <c r="BI100" s="82">
        <v>-118.1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120</v>
      </c>
      <c r="D101" s="110">
        <v>120</v>
      </c>
      <c r="E101" s="110">
        <v>120</v>
      </c>
      <c r="F101" s="110">
        <v>150</v>
      </c>
      <c r="G101" s="110">
        <v>120</v>
      </c>
      <c r="H101" s="110">
        <v>120</v>
      </c>
      <c r="I101" s="110">
        <v>120</v>
      </c>
      <c r="J101" s="110">
        <v>50</v>
      </c>
      <c r="K101" s="110">
        <v>50</v>
      </c>
      <c r="L101" s="110">
        <v>50</v>
      </c>
      <c r="M101" s="110">
        <v>50</v>
      </c>
      <c r="N101" s="110">
        <v>50</v>
      </c>
      <c r="O101" s="110">
        <v>100</v>
      </c>
      <c r="P101" s="110"/>
      <c r="Q101" s="110">
        <v>100</v>
      </c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>
        <v>250</v>
      </c>
      <c r="AB101" s="110">
        <v>250</v>
      </c>
      <c r="AC101" s="110">
        <v>200</v>
      </c>
      <c r="AD101" s="110">
        <v>200</v>
      </c>
      <c r="AE101" s="110">
        <v>150</v>
      </c>
      <c r="AF101" s="110">
        <v>100</v>
      </c>
      <c r="AG101" s="101"/>
      <c r="AH101" s="48">
        <f t="shared" si="41"/>
        <v>250</v>
      </c>
      <c r="AI101" s="49">
        <f t="shared" si="42"/>
        <v>50</v>
      </c>
      <c r="BF101" s="81"/>
      <c r="BG101" s="82">
        <v>36.799999999999997</v>
      </c>
      <c r="BH101" s="82">
        <v>0</v>
      </c>
      <c r="BI101" s="82">
        <v>-106.9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C102" si="73">B100+B101</f>
        <v>1971.14</v>
      </c>
      <c r="C102" s="108">
        <f t="shared" si="73"/>
        <v>1937.5400000000002</v>
      </c>
      <c r="D102" s="108">
        <f t="shared" ref="D102" si="74">D100+D101</f>
        <v>1938.0400000000002</v>
      </c>
      <c r="E102" s="108">
        <f t="shared" ref="E102:AF102" si="75">E100+E101</f>
        <v>1935.14</v>
      </c>
      <c r="F102" s="108">
        <f t="shared" si="75"/>
        <v>1852.8399999999997</v>
      </c>
      <c r="G102" s="108">
        <f t="shared" si="75"/>
        <v>1933.5399999999997</v>
      </c>
      <c r="H102" s="108">
        <f t="shared" si="75"/>
        <v>1927.74</v>
      </c>
      <c r="I102" s="108">
        <f t="shared" si="75"/>
        <v>1917.8399999999997</v>
      </c>
      <c r="J102" s="108">
        <f t="shared" si="75"/>
        <v>2040.04</v>
      </c>
      <c r="K102" s="108">
        <f t="shared" si="75"/>
        <v>2049.54</v>
      </c>
      <c r="L102" s="108">
        <f t="shared" si="75"/>
        <v>2125.2399999999998</v>
      </c>
      <c r="M102" s="108">
        <f t="shared" si="75"/>
        <v>2022.44</v>
      </c>
      <c r="N102" s="108">
        <f t="shared" si="75"/>
        <v>2031.64</v>
      </c>
      <c r="O102" s="108">
        <f t="shared" si="75"/>
        <v>2116.2399999999998</v>
      </c>
      <c r="P102" s="108" t="e">
        <f t="shared" si="75"/>
        <v>#VALUE!</v>
      </c>
      <c r="Q102" s="108">
        <f t="shared" si="75"/>
        <v>2076.34</v>
      </c>
      <c r="R102" s="108">
        <f t="shared" si="75"/>
        <v>1965.54</v>
      </c>
      <c r="S102" s="108">
        <f t="shared" ref="S102:T102" si="76">S100+S101</f>
        <v>1940.84</v>
      </c>
      <c r="T102" s="108">
        <f t="shared" si="76"/>
        <v>1959.44</v>
      </c>
      <c r="U102" s="108">
        <f t="shared" ref="U102:V102" si="77">U100+U101</f>
        <v>1846.4399999999998</v>
      </c>
      <c r="V102" s="108">
        <f t="shared" si="77"/>
        <v>1917.24</v>
      </c>
      <c r="W102" s="108">
        <f t="shared" ref="W102:X102" si="78">W100+W101</f>
        <v>1914.34</v>
      </c>
      <c r="X102" s="108">
        <f t="shared" si="78"/>
        <v>1695.3399999999997</v>
      </c>
      <c r="Y102" s="108">
        <f t="shared" ref="Y102:AA102" si="79">Y100+Y101</f>
        <v>1694.5399999999997</v>
      </c>
      <c r="Z102" s="108">
        <f t="shared" si="79"/>
        <v>1756.4399999999996</v>
      </c>
      <c r="AA102" s="108">
        <f t="shared" si="79"/>
        <v>2079.7399999999998</v>
      </c>
      <c r="AB102" s="108">
        <f t="shared" si="75"/>
        <v>2069.2399999999998</v>
      </c>
      <c r="AC102" s="108">
        <f t="shared" si="75"/>
        <v>1992.14</v>
      </c>
      <c r="AD102" s="108">
        <f t="shared" si="75"/>
        <v>2019.1399999999999</v>
      </c>
      <c r="AE102" s="108">
        <f t="shared" si="75"/>
        <v>1991.64</v>
      </c>
      <c r="AF102" s="108">
        <f t="shared" si="75"/>
        <v>1919.65</v>
      </c>
      <c r="AG102" s="101">
        <f>AG99+AG95+AG83+AG79+AG61+AG101</f>
        <v>2117.34</v>
      </c>
      <c r="AH102" s="48" t="e">
        <f t="shared" si="41"/>
        <v>#VALUE!</v>
      </c>
      <c r="AI102" s="49" t="e">
        <f t="shared" si="42"/>
        <v>#VALUE!</v>
      </c>
      <c r="BF102" s="81"/>
      <c r="BG102" s="82">
        <v>29.6</v>
      </c>
      <c r="BH102" s="82">
        <v>0</v>
      </c>
      <c r="BI102" s="82">
        <v>-120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C103" si="80">B102-(B110)</f>
        <v>1734.94</v>
      </c>
      <c r="C103" s="108">
        <f t="shared" si="80"/>
        <v>1541.44</v>
      </c>
      <c r="D103" s="108">
        <f t="shared" ref="D103" si="81">D102-(D110)</f>
        <v>1548.8400000000001</v>
      </c>
      <c r="E103" s="108">
        <f t="shared" ref="E103:AF103" si="82">E102-(E110)</f>
        <v>1489.14</v>
      </c>
      <c r="F103" s="108">
        <f t="shared" si="82"/>
        <v>1512.8399999999997</v>
      </c>
      <c r="G103" s="108">
        <f t="shared" si="82"/>
        <v>1494.5399999999997</v>
      </c>
      <c r="H103" s="108">
        <f t="shared" si="82"/>
        <v>1520.3400000000001</v>
      </c>
      <c r="I103" s="108">
        <f t="shared" si="82"/>
        <v>1527.8399999999997</v>
      </c>
      <c r="J103" s="108">
        <f t="shared" si="82"/>
        <v>1643.6399999999999</v>
      </c>
      <c r="K103" s="108">
        <f t="shared" si="82"/>
        <v>1757.74</v>
      </c>
      <c r="L103" s="108">
        <f t="shared" si="82"/>
        <v>1829.7399999999998</v>
      </c>
      <c r="M103" s="108">
        <f t="shared" si="82"/>
        <v>1711.44</v>
      </c>
      <c r="N103" s="108">
        <f t="shared" si="82"/>
        <v>1821.64</v>
      </c>
      <c r="O103" s="108">
        <f t="shared" si="82"/>
        <v>2015.2399999999998</v>
      </c>
      <c r="P103" s="108" t="e">
        <f t="shared" si="82"/>
        <v>#VALUE!</v>
      </c>
      <c r="Q103" s="108">
        <f t="shared" si="82"/>
        <v>2026.3400000000001</v>
      </c>
      <c r="R103" s="108">
        <f t="shared" si="82"/>
        <v>1965.54</v>
      </c>
      <c r="S103" s="108">
        <f t="shared" ref="S103:T103" si="83">S102-(S110)</f>
        <v>1940.84</v>
      </c>
      <c r="T103" s="108">
        <f t="shared" si="83"/>
        <v>1959.44</v>
      </c>
      <c r="U103" s="108">
        <f t="shared" ref="U103:V103" si="84">U102-(U110)</f>
        <v>1846.4399999999998</v>
      </c>
      <c r="V103" s="108">
        <f t="shared" si="84"/>
        <v>1804.04</v>
      </c>
      <c r="W103" s="108">
        <f t="shared" ref="W103:X103" si="85">W102-(W110)</f>
        <v>1801.1399999999999</v>
      </c>
      <c r="X103" s="108">
        <f t="shared" si="85"/>
        <v>1645.3399999999997</v>
      </c>
      <c r="Y103" s="108">
        <f t="shared" ref="Y103:AA103" si="86">Y102-(Y110)</f>
        <v>1644.5399999999997</v>
      </c>
      <c r="Z103" s="108">
        <f t="shared" si="86"/>
        <v>1638.3399999999997</v>
      </c>
      <c r="AA103" s="108">
        <f t="shared" si="86"/>
        <v>1957.3399999999997</v>
      </c>
      <c r="AB103" s="108">
        <f t="shared" si="82"/>
        <v>1962.3399999999997</v>
      </c>
      <c r="AC103" s="108">
        <f t="shared" si="82"/>
        <v>1897.14</v>
      </c>
      <c r="AD103" s="108">
        <f t="shared" si="82"/>
        <v>1899.1399999999999</v>
      </c>
      <c r="AE103" s="108">
        <f t="shared" si="82"/>
        <v>1835.64</v>
      </c>
      <c r="AF103" s="108">
        <f t="shared" si="82"/>
        <v>1769.65</v>
      </c>
      <c r="AG103" s="101"/>
      <c r="AH103" s="48" t="e">
        <f t="shared" si="41"/>
        <v>#VALUE!</v>
      </c>
      <c r="AI103" s="49" t="e">
        <f t="shared" si="42"/>
        <v>#VALUE!</v>
      </c>
      <c r="BF103" s="81"/>
      <c r="BG103" s="82">
        <v>26.3</v>
      </c>
      <c r="BH103" s="82">
        <v>0</v>
      </c>
      <c r="BI103" s="82">
        <v>-156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C109" si="87">IF(B84&lt;0,B84*-1,0)</f>
        <v>0</v>
      </c>
      <c r="C104" s="89">
        <f t="shared" si="87"/>
        <v>0</v>
      </c>
      <c r="D104" s="89">
        <f t="shared" ref="D104" si="88">IF(D84&lt;0,D84*-1,0)</f>
        <v>0</v>
      </c>
      <c r="E104" s="89">
        <f t="shared" ref="E104:AF109" si="89">IF(E84&lt;0,E84*-1,0)</f>
        <v>0</v>
      </c>
      <c r="F104" s="89">
        <f t="shared" si="89"/>
        <v>0</v>
      </c>
      <c r="G104" s="89">
        <f t="shared" si="89"/>
        <v>0</v>
      </c>
      <c r="H104" s="89">
        <f t="shared" si="89"/>
        <v>0</v>
      </c>
      <c r="I104" s="89">
        <f t="shared" si="89"/>
        <v>0</v>
      </c>
      <c r="J104" s="89">
        <f t="shared" si="89"/>
        <v>0</v>
      </c>
      <c r="K104" s="89">
        <f t="shared" si="89"/>
        <v>0</v>
      </c>
      <c r="L104" s="89">
        <f t="shared" si="89"/>
        <v>0</v>
      </c>
      <c r="M104" s="89">
        <f t="shared" si="89"/>
        <v>0</v>
      </c>
      <c r="N104" s="89">
        <f t="shared" si="89"/>
        <v>0</v>
      </c>
      <c r="O104" s="89">
        <f t="shared" si="89"/>
        <v>0</v>
      </c>
      <c r="P104" s="89">
        <f t="shared" si="89"/>
        <v>0</v>
      </c>
      <c r="Q104" s="89">
        <f t="shared" si="89"/>
        <v>0</v>
      </c>
      <c r="R104" s="89">
        <f t="shared" si="89"/>
        <v>0</v>
      </c>
      <c r="S104" s="89">
        <f t="shared" ref="S104:T104" si="90">IF(S84&lt;0,S84*-1,0)</f>
        <v>0</v>
      </c>
      <c r="T104" s="89">
        <f t="shared" si="90"/>
        <v>0</v>
      </c>
      <c r="U104" s="89">
        <f t="shared" ref="U104:V104" si="91">IF(U84&lt;0,U84*-1,0)</f>
        <v>0</v>
      </c>
      <c r="V104" s="89">
        <f t="shared" si="91"/>
        <v>0</v>
      </c>
      <c r="W104" s="89">
        <f t="shared" ref="W104:X104" si="92">IF(W84&lt;0,W84*-1,0)</f>
        <v>0</v>
      </c>
      <c r="X104" s="89">
        <f t="shared" si="92"/>
        <v>0</v>
      </c>
      <c r="Y104" s="89">
        <f t="shared" ref="Y104:AA109" si="93">IF(Y84&lt;0,Y84*-1,0)</f>
        <v>0</v>
      </c>
      <c r="Z104" s="89">
        <f t="shared" si="93"/>
        <v>0</v>
      </c>
      <c r="AA104" s="89">
        <f t="shared" si="93"/>
        <v>0</v>
      </c>
      <c r="AB104" s="89">
        <f t="shared" si="89"/>
        <v>0</v>
      </c>
      <c r="AC104" s="89">
        <f t="shared" si="89"/>
        <v>0</v>
      </c>
      <c r="AD104" s="89">
        <f t="shared" si="89"/>
        <v>0</v>
      </c>
      <c r="AE104" s="89">
        <f t="shared" si="89"/>
        <v>0</v>
      </c>
      <c r="AF104" s="89">
        <f t="shared" si="89"/>
        <v>0</v>
      </c>
      <c r="AG104" s="61"/>
      <c r="AH104" s="48">
        <f t="shared" si="41"/>
        <v>0</v>
      </c>
      <c r="AI104" s="49">
        <f t="shared" si="42"/>
        <v>0</v>
      </c>
      <c r="BG104" s="82">
        <v>20.7</v>
      </c>
      <c r="BH104" s="82">
        <v>0</v>
      </c>
      <c r="BI104" s="82">
        <v>-150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7"/>
        <v>0</v>
      </c>
      <c r="C105" s="89">
        <f t="shared" si="87"/>
        <v>0</v>
      </c>
      <c r="D105" s="89">
        <f t="shared" ref="D105" si="94">IF(D85&lt;0,D85*-1,0)</f>
        <v>0</v>
      </c>
      <c r="E105" s="89">
        <f t="shared" ref="E105:Q105" si="95">IF(E85&lt;0,E85*-1,0)</f>
        <v>0</v>
      </c>
      <c r="F105" s="89">
        <f t="shared" si="95"/>
        <v>0</v>
      </c>
      <c r="G105" s="89">
        <f t="shared" si="95"/>
        <v>0</v>
      </c>
      <c r="H105" s="89">
        <f t="shared" si="95"/>
        <v>0</v>
      </c>
      <c r="I105" s="89">
        <f t="shared" si="95"/>
        <v>0</v>
      </c>
      <c r="J105" s="89">
        <f t="shared" si="95"/>
        <v>0</v>
      </c>
      <c r="K105" s="89">
        <f t="shared" si="95"/>
        <v>0</v>
      </c>
      <c r="L105" s="89">
        <f t="shared" si="95"/>
        <v>0</v>
      </c>
      <c r="M105" s="89">
        <f t="shared" si="95"/>
        <v>0</v>
      </c>
      <c r="N105" s="89">
        <f t="shared" si="95"/>
        <v>0</v>
      </c>
      <c r="O105" s="89">
        <f t="shared" si="95"/>
        <v>0</v>
      </c>
      <c r="P105" s="89">
        <f t="shared" si="95"/>
        <v>0</v>
      </c>
      <c r="Q105" s="89">
        <f t="shared" si="95"/>
        <v>0</v>
      </c>
      <c r="R105" s="89">
        <f t="shared" si="89"/>
        <v>0</v>
      </c>
      <c r="S105" s="89">
        <f t="shared" ref="S105:T105" si="96">IF(S85&lt;0,S85*-1,0)</f>
        <v>0</v>
      </c>
      <c r="T105" s="89">
        <f t="shared" si="96"/>
        <v>0</v>
      </c>
      <c r="U105" s="89">
        <f t="shared" ref="U105:V105" si="97">IF(U85&lt;0,U85*-1,0)</f>
        <v>0</v>
      </c>
      <c r="V105" s="89">
        <f t="shared" si="97"/>
        <v>0</v>
      </c>
      <c r="W105" s="89">
        <f t="shared" ref="W105:X105" si="98">IF(W85&lt;0,W85*-1,0)</f>
        <v>0</v>
      </c>
      <c r="X105" s="89">
        <f t="shared" si="98"/>
        <v>0</v>
      </c>
      <c r="Y105" s="89">
        <f t="shared" ref="Y105:Z105" si="99">IF(Y85&lt;0,Y85*-1,0)</f>
        <v>0</v>
      </c>
      <c r="Z105" s="89">
        <f t="shared" si="99"/>
        <v>0</v>
      </c>
      <c r="AA105" s="89">
        <f t="shared" si="93"/>
        <v>0</v>
      </c>
      <c r="AB105" s="89">
        <f t="shared" si="89"/>
        <v>0</v>
      </c>
      <c r="AC105" s="89">
        <f t="shared" si="89"/>
        <v>0</v>
      </c>
      <c r="AD105" s="89">
        <f t="shared" si="89"/>
        <v>0</v>
      </c>
      <c r="AE105" s="89">
        <f t="shared" si="89"/>
        <v>0</v>
      </c>
      <c r="AF105" s="89">
        <f t="shared" si="89"/>
        <v>0</v>
      </c>
      <c r="AG105" s="66"/>
      <c r="AH105" s="48">
        <f t="shared" si="41"/>
        <v>0</v>
      </c>
      <c r="AI105" s="49">
        <f t="shared" si="42"/>
        <v>0</v>
      </c>
      <c r="AK105" s="51"/>
      <c r="BG105" s="82">
        <v>25.5</v>
      </c>
      <c r="BH105" s="82">
        <v>0</v>
      </c>
      <c r="BI105" s="82">
        <v>-236.2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7"/>
        <v>236.2</v>
      </c>
      <c r="C106" s="89">
        <f t="shared" si="87"/>
        <v>396.1</v>
      </c>
      <c r="D106" s="89">
        <f t="shared" ref="D106" si="100">IF(D86&lt;0,D86*-1,0)</f>
        <v>389.2</v>
      </c>
      <c r="E106" s="89">
        <f t="shared" si="89"/>
        <v>446</v>
      </c>
      <c r="F106" s="89">
        <f t="shared" si="89"/>
        <v>340</v>
      </c>
      <c r="G106" s="89">
        <f t="shared" si="89"/>
        <v>439</v>
      </c>
      <c r="H106" s="89">
        <f t="shared" si="89"/>
        <v>407.4</v>
      </c>
      <c r="I106" s="89">
        <f t="shared" si="89"/>
        <v>390</v>
      </c>
      <c r="J106" s="89">
        <f t="shared" si="89"/>
        <v>396.4</v>
      </c>
      <c r="K106" s="89">
        <f t="shared" si="89"/>
        <v>291.8</v>
      </c>
      <c r="L106" s="89">
        <f t="shared" si="89"/>
        <v>295.5</v>
      </c>
      <c r="M106" s="89">
        <f t="shared" si="89"/>
        <v>311</v>
      </c>
      <c r="N106" s="89">
        <f t="shared" si="89"/>
        <v>210</v>
      </c>
      <c r="O106" s="89">
        <f t="shared" si="89"/>
        <v>101</v>
      </c>
      <c r="P106" s="89">
        <f t="shared" si="89"/>
        <v>0</v>
      </c>
      <c r="Q106" s="89">
        <f t="shared" si="89"/>
        <v>50</v>
      </c>
      <c r="R106" s="89">
        <f t="shared" si="89"/>
        <v>0</v>
      </c>
      <c r="S106" s="89">
        <f t="shared" ref="S106:T106" si="101">IF(S86&lt;0,S86*-1,0)</f>
        <v>0</v>
      </c>
      <c r="T106" s="89">
        <f t="shared" si="101"/>
        <v>0</v>
      </c>
      <c r="U106" s="89">
        <f t="shared" ref="U106:V106" si="102">IF(U86&lt;0,U86*-1,0)</f>
        <v>0</v>
      </c>
      <c r="V106" s="89">
        <f t="shared" si="102"/>
        <v>113.2</v>
      </c>
      <c r="W106" s="89">
        <f t="shared" ref="W106:X106" si="103">IF(W86&lt;0,W86*-1,0)</f>
        <v>113.2</v>
      </c>
      <c r="X106" s="89">
        <f t="shared" si="103"/>
        <v>50</v>
      </c>
      <c r="Y106" s="89">
        <f t="shared" ref="Y106:Z106" si="104">IF(Y86&lt;0,Y86*-1,0)</f>
        <v>50</v>
      </c>
      <c r="Z106" s="89">
        <f t="shared" si="104"/>
        <v>118.1</v>
      </c>
      <c r="AA106" s="89">
        <f t="shared" si="93"/>
        <v>122.4</v>
      </c>
      <c r="AB106" s="89">
        <f t="shared" si="89"/>
        <v>106.9</v>
      </c>
      <c r="AC106" s="89">
        <f t="shared" si="89"/>
        <v>95</v>
      </c>
      <c r="AD106" s="89">
        <f t="shared" si="89"/>
        <v>120</v>
      </c>
      <c r="AE106" s="89">
        <f t="shared" si="89"/>
        <v>156</v>
      </c>
      <c r="AF106" s="89">
        <f t="shared" si="89"/>
        <v>150</v>
      </c>
      <c r="AG106" s="111"/>
      <c r="AH106" s="48">
        <f t="shared" si="41"/>
        <v>446</v>
      </c>
      <c r="AI106" s="49">
        <f t="shared" si="42"/>
        <v>0</v>
      </c>
    </row>
    <row r="107" spans="1:64" x14ac:dyDescent="0.25">
      <c r="A107" s="97" t="s">
        <v>107</v>
      </c>
      <c r="B107" s="89">
        <f t="shared" si="87"/>
        <v>0</v>
      </c>
      <c r="C107" s="89">
        <f t="shared" si="87"/>
        <v>0</v>
      </c>
      <c r="D107" s="89">
        <f t="shared" ref="D107" si="105">IF(D87&lt;0,D87*-1,0)</f>
        <v>0</v>
      </c>
      <c r="E107" s="89">
        <f t="shared" si="89"/>
        <v>0</v>
      </c>
      <c r="F107" s="89">
        <f t="shared" si="89"/>
        <v>0</v>
      </c>
      <c r="G107" s="89">
        <f t="shared" si="89"/>
        <v>0</v>
      </c>
      <c r="H107" s="89">
        <f t="shared" si="89"/>
        <v>0</v>
      </c>
      <c r="I107" s="89">
        <f t="shared" si="89"/>
        <v>0</v>
      </c>
      <c r="J107" s="89">
        <f t="shared" si="89"/>
        <v>0</v>
      </c>
      <c r="K107" s="89">
        <f t="shared" si="89"/>
        <v>0</v>
      </c>
      <c r="L107" s="89">
        <f t="shared" si="89"/>
        <v>0</v>
      </c>
      <c r="M107" s="89">
        <f t="shared" si="89"/>
        <v>0</v>
      </c>
      <c r="N107" s="89">
        <f t="shared" si="89"/>
        <v>0</v>
      </c>
      <c r="O107" s="89">
        <f t="shared" si="89"/>
        <v>0</v>
      </c>
      <c r="P107" s="89">
        <f t="shared" si="89"/>
        <v>0</v>
      </c>
      <c r="Q107" s="89">
        <f t="shared" si="89"/>
        <v>0</v>
      </c>
      <c r="R107" s="89">
        <f t="shared" si="89"/>
        <v>0</v>
      </c>
      <c r="S107" s="89">
        <f t="shared" ref="S107:T107" si="106">IF(S87&lt;0,S87*-1,0)</f>
        <v>0</v>
      </c>
      <c r="T107" s="89">
        <f t="shared" si="106"/>
        <v>0</v>
      </c>
      <c r="U107" s="89">
        <f t="shared" ref="U107:V107" si="107">IF(U87&lt;0,U87*-1,0)</f>
        <v>0</v>
      </c>
      <c r="V107" s="89">
        <f t="shared" si="107"/>
        <v>0</v>
      </c>
      <c r="W107" s="89">
        <f t="shared" ref="W107:X107" si="108">IF(W87&lt;0,W87*-1,0)</f>
        <v>0</v>
      </c>
      <c r="X107" s="89">
        <f t="shared" si="108"/>
        <v>0</v>
      </c>
      <c r="Y107" s="89">
        <f t="shared" ref="Y107:Z107" si="109">IF(Y87&lt;0,Y87*-1,0)</f>
        <v>0</v>
      </c>
      <c r="Z107" s="89">
        <f t="shared" si="109"/>
        <v>0</v>
      </c>
      <c r="AA107" s="89">
        <f t="shared" si="93"/>
        <v>0</v>
      </c>
      <c r="AB107" s="89">
        <f t="shared" si="89"/>
        <v>0</v>
      </c>
      <c r="AC107" s="89">
        <f t="shared" si="89"/>
        <v>0</v>
      </c>
      <c r="AD107" s="89">
        <f t="shared" si="89"/>
        <v>0</v>
      </c>
      <c r="AE107" s="89">
        <f t="shared" si="89"/>
        <v>0</v>
      </c>
      <c r="AF107" s="89">
        <f t="shared" si="89"/>
        <v>0</v>
      </c>
      <c r="AG107" s="111"/>
      <c r="AH107" s="48">
        <f t="shared" si="41"/>
        <v>0</v>
      </c>
      <c r="AI107" s="49">
        <f t="shared" si="42"/>
        <v>0</v>
      </c>
    </row>
    <row r="108" spans="1:64" x14ac:dyDescent="0.25">
      <c r="A108" s="97" t="s">
        <v>108</v>
      </c>
      <c r="B108" s="89">
        <f t="shared" si="87"/>
        <v>0</v>
      </c>
      <c r="C108" s="89">
        <f t="shared" si="87"/>
        <v>0</v>
      </c>
      <c r="D108" s="89">
        <f t="shared" ref="D108" si="110">IF(D88&lt;0,D88*-1,0)</f>
        <v>0</v>
      </c>
      <c r="E108" s="89">
        <f t="shared" si="89"/>
        <v>0</v>
      </c>
      <c r="F108" s="89">
        <f t="shared" si="89"/>
        <v>0</v>
      </c>
      <c r="G108" s="89">
        <f t="shared" si="89"/>
        <v>0</v>
      </c>
      <c r="H108" s="89">
        <f t="shared" si="89"/>
        <v>0</v>
      </c>
      <c r="I108" s="89">
        <f t="shared" si="89"/>
        <v>0</v>
      </c>
      <c r="J108" s="89">
        <f t="shared" si="89"/>
        <v>0</v>
      </c>
      <c r="K108" s="89">
        <f t="shared" si="89"/>
        <v>0</v>
      </c>
      <c r="L108" s="89">
        <f t="shared" si="89"/>
        <v>0</v>
      </c>
      <c r="M108" s="89">
        <f t="shared" si="89"/>
        <v>0</v>
      </c>
      <c r="N108" s="89">
        <f t="shared" si="89"/>
        <v>0</v>
      </c>
      <c r="O108" s="89">
        <f t="shared" si="89"/>
        <v>0</v>
      </c>
      <c r="P108" s="89">
        <f t="shared" si="89"/>
        <v>0</v>
      </c>
      <c r="Q108" s="89">
        <f t="shared" si="89"/>
        <v>0</v>
      </c>
      <c r="R108" s="89">
        <f t="shared" si="89"/>
        <v>0</v>
      </c>
      <c r="S108" s="89">
        <f t="shared" ref="S108:T108" si="111">IF(S88&lt;0,S88*-1,0)</f>
        <v>0</v>
      </c>
      <c r="T108" s="89">
        <f t="shared" si="111"/>
        <v>0</v>
      </c>
      <c r="U108" s="89">
        <f t="shared" ref="U108:V108" si="112">IF(U88&lt;0,U88*-1,0)</f>
        <v>0</v>
      </c>
      <c r="V108" s="89">
        <f t="shared" si="112"/>
        <v>0</v>
      </c>
      <c r="W108" s="89">
        <f t="shared" ref="W108:X108" si="113">IF(W88&lt;0,W88*-1,0)</f>
        <v>0</v>
      </c>
      <c r="X108" s="89">
        <f t="shared" si="113"/>
        <v>0</v>
      </c>
      <c r="Y108" s="89">
        <f t="shared" ref="Y108:Z108" si="114">IF(Y88&lt;0,Y88*-1,0)</f>
        <v>0</v>
      </c>
      <c r="Z108" s="89">
        <f t="shared" si="114"/>
        <v>0</v>
      </c>
      <c r="AA108" s="89">
        <f t="shared" si="93"/>
        <v>0</v>
      </c>
      <c r="AB108" s="89">
        <f t="shared" si="89"/>
        <v>0</v>
      </c>
      <c r="AC108" s="89">
        <f t="shared" si="89"/>
        <v>0</v>
      </c>
      <c r="AD108" s="89">
        <f t="shared" si="89"/>
        <v>0</v>
      </c>
      <c r="AE108" s="89">
        <f t="shared" si="89"/>
        <v>0</v>
      </c>
      <c r="AF108" s="89">
        <f t="shared" si="89"/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si="87"/>
        <v>0</v>
      </c>
      <c r="C109" s="89">
        <f t="shared" si="87"/>
        <v>0</v>
      </c>
      <c r="D109" s="89">
        <f t="shared" ref="D109" si="115">IF(D89&lt;0,D89*-1,0)</f>
        <v>0</v>
      </c>
      <c r="E109" s="89">
        <f t="shared" si="89"/>
        <v>0</v>
      </c>
      <c r="F109" s="89">
        <f t="shared" si="89"/>
        <v>0</v>
      </c>
      <c r="G109" s="89">
        <f t="shared" si="89"/>
        <v>0</v>
      </c>
      <c r="H109" s="89">
        <f t="shared" si="89"/>
        <v>0</v>
      </c>
      <c r="I109" s="89">
        <f t="shared" si="89"/>
        <v>0</v>
      </c>
      <c r="J109" s="89">
        <f t="shared" si="89"/>
        <v>0</v>
      </c>
      <c r="K109" s="89">
        <f t="shared" si="89"/>
        <v>0</v>
      </c>
      <c r="L109" s="89">
        <f t="shared" si="89"/>
        <v>0</v>
      </c>
      <c r="M109" s="89">
        <f t="shared" si="89"/>
        <v>0</v>
      </c>
      <c r="N109" s="89">
        <f t="shared" si="89"/>
        <v>0</v>
      </c>
      <c r="O109" s="89">
        <f t="shared" si="89"/>
        <v>0</v>
      </c>
      <c r="P109" s="89">
        <f t="shared" si="89"/>
        <v>0</v>
      </c>
      <c r="Q109" s="89">
        <f t="shared" si="89"/>
        <v>0</v>
      </c>
      <c r="R109" s="89">
        <f t="shared" si="89"/>
        <v>0</v>
      </c>
      <c r="S109" s="89">
        <f t="shared" ref="S109:T109" si="116">IF(S89&lt;0,S89*-1,0)</f>
        <v>0</v>
      </c>
      <c r="T109" s="89">
        <f t="shared" si="116"/>
        <v>0</v>
      </c>
      <c r="U109" s="89">
        <f t="shared" ref="U109:V109" si="117">IF(U89&lt;0,U89*-1,0)</f>
        <v>0</v>
      </c>
      <c r="V109" s="89">
        <f t="shared" si="117"/>
        <v>0</v>
      </c>
      <c r="W109" s="89">
        <f t="shared" ref="W109:X109" si="118">IF(W89&lt;0,W89*-1,0)</f>
        <v>0</v>
      </c>
      <c r="X109" s="89">
        <f t="shared" si="118"/>
        <v>0</v>
      </c>
      <c r="Y109" s="89">
        <f t="shared" ref="Y109:Z109" si="119">IF(Y89&lt;0,Y89*-1,0)</f>
        <v>0</v>
      </c>
      <c r="Z109" s="89">
        <f t="shared" si="119"/>
        <v>0</v>
      </c>
      <c r="AA109" s="89">
        <f t="shared" si="93"/>
        <v>0</v>
      </c>
      <c r="AB109" s="89">
        <f t="shared" si="89"/>
        <v>0</v>
      </c>
      <c r="AC109" s="89">
        <f t="shared" si="89"/>
        <v>0</v>
      </c>
      <c r="AD109" s="89">
        <f t="shared" si="89"/>
        <v>0</v>
      </c>
      <c r="AE109" s="89">
        <f t="shared" si="89"/>
        <v>0</v>
      </c>
      <c r="AF109" s="89">
        <f t="shared" si="89"/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 t="shared" ref="B110:C110" si="120">SUM(B104:B109)</f>
        <v>236.2</v>
      </c>
      <c r="C110" s="71">
        <f t="shared" si="120"/>
        <v>396.1</v>
      </c>
      <c r="D110" s="71">
        <f t="shared" ref="D110" si="121">SUM(D104:D109)</f>
        <v>389.2</v>
      </c>
      <c r="E110" s="71">
        <f t="shared" ref="E110:AF110" si="122">SUM(E104:E109)</f>
        <v>446</v>
      </c>
      <c r="F110" s="71">
        <f t="shared" si="122"/>
        <v>340</v>
      </c>
      <c r="G110" s="71">
        <f t="shared" si="122"/>
        <v>439</v>
      </c>
      <c r="H110" s="71">
        <f t="shared" si="122"/>
        <v>407.4</v>
      </c>
      <c r="I110" s="71">
        <f t="shared" si="122"/>
        <v>390</v>
      </c>
      <c r="J110" s="71">
        <f t="shared" si="122"/>
        <v>396.4</v>
      </c>
      <c r="K110" s="71">
        <f t="shared" si="122"/>
        <v>291.8</v>
      </c>
      <c r="L110" s="71">
        <f t="shared" si="122"/>
        <v>295.5</v>
      </c>
      <c r="M110" s="71">
        <f t="shared" si="122"/>
        <v>311</v>
      </c>
      <c r="N110" s="71">
        <f t="shared" si="122"/>
        <v>210</v>
      </c>
      <c r="O110" s="71">
        <f t="shared" si="122"/>
        <v>101</v>
      </c>
      <c r="P110" s="71">
        <f t="shared" si="122"/>
        <v>0</v>
      </c>
      <c r="Q110" s="71">
        <f t="shared" si="122"/>
        <v>50</v>
      </c>
      <c r="R110" s="71">
        <f t="shared" si="122"/>
        <v>0</v>
      </c>
      <c r="S110" s="71">
        <f t="shared" ref="S110:T110" si="123">SUM(S104:S109)</f>
        <v>0</v>
      </c>
      <c r="T110" s="71">
        <f t="shared" si="123"/>
        <v>0</v>
      </c>
      <c r="U110" s="71">
        <f t="shared" ref="U110:V110" si="124">SUM(U104:U109)</f>
        <v>0</v>
      </c>
      <c r="V110" s="71">
        <f t="shared" si="124"/>
        <v>113.2</v>
      </c>
      <c r="W110" s="71">
        <f t="shared" ref="W110:X110" si="125">SUM(W104:W109)</f>
        <v>113.2</v>
      </c>
      <c r="X110" s="71">
        <f t="shared" si="125"/>
        <v>50</v>
      </c>
      <c r="Y110" s="71">
        <f t="shared" ref="Y110:AA110" si="126">SUM(Y104:Y109)</f>
        <v>50</v>
      </c>
      <c r="Z110" s="71">
        <f t="shared" si="126"/>
        <v>118.1</v>
      </c>
      <c r="AA110" s="71">
        <f t="shared" si="126"/>
        <v>122.4</v>
      </c>
      <c r="AB110" s="71">
        <f t="shared" si="122"/>
        <v>106.9</v>
      </c>
      <c r="AC110" s="71">
        <f t="shared" si="122"/>
        <v>95</v>
      </c>
      <c r="AD110" s="71">
        <f t="shared" si="122"/>
        <v>120</v>
      </c>
      <c r="AE110" s="71">
        <f t="shared" si="122"/>
        <v>156</v>
      </c>
      <c r="AF110" s="71">
        <f t="shared" si="122"/>
        <v>150</v>
      </c>
      <c r="AG110" s="101"/>
      <c r="AH110" s="48">
        <f t="shared" si="41"/>
        <v>446</v>
      </c>
      <c r="AI110" s="49">
        <f t="shared" si="42"/>
        <v>0</v>
      </c>
    </row>
    <row r="111" spans="1:64" ht="15.75" thickBot="1" x14ac:dyDescent="0.3">
      <c r="A111" s="87" t="s">
        <v>131</v>
      </c>
      <c r="B111" s="71">
        <f t="shared" ref="B111:C111" si="127">B95-B110</f>
        <v>-210.7</v>
      </c>
      <c r="C111" s="71">
        <f t="shared" si="127"/>
        <v>-374.20000000000005</v>
      </c>
      <c r="D111" s="71">
        <f t="shared" ref="D111" si="128">D95-D110</f>
        <v>-366.8</v>
      </c>
      <c r="E111" s="71">
        <f t="shared" ref="E111:AF111" si="129">E95-E110</f>
        <v>-425.3</v>
      </c>
      <c r="F111" s="71">
        <f t="shared" si="129"/>
        <v>-329.6</v>
      </c>
      <c r="G111" s="71">
        <f t="shared" si="129"/>
        <v>-420.1</v>
      </c>
      <c r="H111" s="71">
        <f t="shared" si="129"/>
        <v>-395.2</v>
      </c>
      <c r="I111" s="71">
        <f t="shared" si="129"/>
        <v>-381.4</v>
      </c>
      <c r="J111" s="71">
        <f t="shared" si="129"/>
        <v>-192.2</v>
      </c>
      <c r="K111" s="71">
        <f t="shared" si="129"/>
        <v>-86.9</v>
      </c>
      <c r="L111" s="71">
        <f t="shared" si="129"/>
        <v>-60.100000000000023</v>
      </c>
      <c r="M111" s="71">
        <f t="shared" si="129"/>
        <v>-91.199999999999989</v>
      </c>
      <c r="N111" s="71">
        <f t="shared" si="129"/>
        <v>23</v>
      </c>
      <c r="O111" s="71">
        <f t="shared" si="129"/>
        <v>163.5</v>
      </c>
      <c r="P111" s="71">
        <f t="shared" si="129"/>
        <v>0</v>
      </c>
      <c r="Q111" s="71">
        <f t="shared" si="129"/>
        <v>205.6</v>
      </c>
      <c r="R111" s="71">
        <f t="shared" si="129"/>
        <v>264.10000000000002</v>
      </c>
      <c r="S111" s="71">
        <f t="shared" ref="S111:T111" si="130">S95-S110</f>
        <v>239.7</v>
      </c>
      <c r="T111" s="71">
        <f t="shared" si="130"/>
        <v>233.4</v>
      </c>
      <c r="U111" s="71">
        <f t="shared" ref="U111:V111" si="131">U95-U110</f>
        <v>256.8</v>
      </c>
      <c r="V111" s="71">
        <f t="shared" si="131"/>
        <v>113.60000000000001</v>
      </c>
      <c r="W111" s="71">
        <f t="shared" ref="W111:X111" si="132">W95-W110</f>
        <v>113.60000000000001</v>
      </c>
      <c r="X111" s="71">
        <f t="shared" si="132"/>
        <v>150.80000000000001</v>
      </c>
      <c r="Y111" s="71">
        <f t="shared" ref="Y111:AA111" si="133">Y95-Y110</f>
        <v>150.80000000000001</v>
      </c>
      <c r="Z111" s="71">
        <f t="shared" si="133"/>
        <v>-86</v>
      </c>
      <c r="AA111" s="71">
        <f t="shared" si="133"/>
        <v>-91.5</v>
      </c>
      <c r="AB111" s="71">
        <f t="shared" si="129"/>
        <v>-70.100000000000009</v>
      </c>
      <c r="AC111" s="71">
        <f t="shared" si="129"/>
        <v>-62.4</v>
      </c>
      <c r="AD111" s="71">
        <f t="shared" si="129"/>
        <v>-90.4</v>
      </c>
      <c r="AE111" s="71">
        <f t="shared" si="129"/>
        <v>-129.69999999999999</v>
      </c>
      <c r="AF111" s="71">
        <f t="shared" si="129"/>
        <v>-129.30000000000001</v>
      </c>
      <c r="AG111" s="101"/>
      <c r="AH111" s="48">
        <f t="shared" si="41"/>
        <v>264.10000000000002</v>
      </c>
      <c r="AI111" s="49">
        <f t="shared" si="42"/>
        <v>-425.3</v>
      </c>
    </row>
    <row r="112" spans="1:64" x14ac:dyDescent="0.25">
      <c r="A112" s="113" t="s">
        <v>132</v>
      </c>
      <c r="B112" s="114">
        <v>50.01</v>
      </c>
      <c r="C112" s="114">
        <v>49.98</v>
      </c>
      <c r="D112" s="114">
        <v>49.97</v>
      </c>
      <c r="E112" s="114">
        <v>50.037999999999997</v>
      </c>
      <c r="F112" s="114">
        <v>49.978999999999999</v>
      </c>
      <c r="G112" s="114">
        <v>50.030999999999999</v>
      </c>
      <c r="H112" s="114">
        <v>50.008000000000003</v>
      </c>
      <c r="I112" s="114">
        <v>50</v>
      </c>
      <c r="J112" s="114">
        <v>50.015000000000001</v>
      </c>
      <c r="K112" s="114">
        <v>50.024000000000001</v>
      </c>
      <c r="L112" s="114">
        <v>49.963999999999999</v>
      </c>
      <c r="M112" s="114">
        <v>50.085000000000001</v>
      </c>
      <c r="N112" s="114">
        <v>50.057000000000002</v>
      </c>
      <c r="O112" s="114">
        <v>50.067</v>
      </c>
      <c r="P112" s="114"/>
      <c r="Q112" s="114">
        <v>49.933</v>
      </c>
      <c r="R112" s="114">
        <v>49.98</v>
      </c>
      <c r="S112" s="114">
        <v>50.015000000000001</v>
      </c>
      <c r="T112" s="114">
        <v>50.01</v>
      </c>
      <c r="U112" s="114">
        <v>50.05</v>
      </c>
      <c r="V112" s="114">
        <v>50.03</v>
      </c>
      <c r="W112" s="114">
        <v>50.06</v>
      </c>
      <c r="X112" s="114">
        <v>49.97</v>
      </c>
      <c r="Y112" s="114">
        <v>49.94</v>
      </c>
      <c r="Z112" s="114">
        <v>49.96</v>
      </c>
      <c r="AA112" s="114">
        <v>49.99</v>
      </c>
      <c r="AB112" s="114">
        <v>50.027999999999999</v>
      </c>
      <c r="AC112" s="114">
        <v>50.026000000000003</v>
      </c>
      <c r="AD112" s="114">
        <v>49.942999999999998</v>
      </c>
      <c r="AE112" s="114">
        <v>50.012</v>
      </c>
      <c r="AF112" s="114">
        <v>49.99</v>
      </c>
      <c r="AG112" s="115"/>
      <c r="AH112" s="48">
        <f t="shared" si="41"/>
        <v>50.085000000000001</v>
      </c>
      <c r="AI112" s="49">
        <f t="shared" si="42"/>
        <v>49.933</v>
      </c>
    </row>
    <row r="113" spans="1:35" x14ac:dyDescent="0.25">
      <c r="A113" s="116" t="s">
        <v>133</v>
      </c>
      <c r="B113" s="76">
        <v>122.5</v>
      </c>
      <c r="C113" s="76">
        <v>120.4</v>
      </c>
      <c r="D113" s="76">
        <v>120.4</v>
      </c>
      <c r="E113" s="76">
        <v>120.5</v>
      </c>
      <c r="F113" s="76">
        <v>122.8</v>
      </c>
      <c r="G113" s="76">
        <v>122.6</v>
      </c>
      <c r="H113" s="76">
        <v>122.6</v>
      </c>
      <c r="I113" s="76">
        <v>121.3</v>
      </c>
      <c r="J113" s="76">
        <v>125.7</v>
      </c>
      <c r="K113" s="76">
        <v>125.5</v>
      </c>
      <c r="L113" s="76">
        <v>126.1</v>
      </c>
      <c r="M113" s="76">
        <v>123.7</v>
      </c>
      <c r="N113" s="76">
        <v>122.1</v>
      </c>
      <c r="O113" s="76"/>
      <c r="P113" s="76"/>
      <c r="Q113" s="76">
        <v>120.3</v>
      </c>
      <c r="R113" s="76">
        <v>121</v>
      </c>
      <c r="S113" s="76">
        <v>120.5</v>
      </c>
      <c r="T113" s="76">
        <v>120.8</v>
      </c>
      <c r="U113" s="76">
        <v>121.2</v>
      </c>
      <c r="V113" s="76">
        <v>122.5</v>
      </c>
      <c r="W113" s="76">
        <v>123.5</v>
      </c>
      <c r="X113" s="76">
        <v>124.9</v>
      </c>
      <c r="Y113" s="76">
        <v>121</v>
      </c>
      <c r="Z113" s="76">
        <v>120.2</v>
      </c>
      <c r="AA113" s="76">
        <v>123.9</v>
      </c>
      <c r="AB113" s="76">
        <v>124.5</v>
      </c>
      <c r="AC113" s="76">
        <v>123.1</v>
      </c>
      <c r="AD113" s="76">
        <v>124</v>
      </c>
      <c r="AE113" s="76">
        <v>122.3</v>
      </c>
      <c r="AF113" s="76">
        <v>120</v>
      </c>
      <c r="AG113" s="117"/>
      <c r="AH113" s="48">
        <f t="shared" si="41"/>
        <v>126.1</v>
      </c>
      <c r="AI113" s="49">
        <f t="shared" si="42"/>
        <v>120</v>
      </c>
    </row>
    <row r="114" spans="1:35" x14ac:dyDescent="0.25">
      <c r="A114" s="116" t="s">
        <v>134</v>
      </c>
      <c r="B114" s="76">
        <v>127.9</v>
      </c>
      <c r="C114" s="76">
        <v>126.6</v>
      </c>
      <c r="D114" s="76">
        <v>126.6</v>
      </c>
      <c r="E114" s="76">
        <v>127.2</v>
      </c>
      <c r="F114" s="76">
        <v>128.1</v>
      </c>
      <c r="G114" s="76">
        <v>127.8</v>
      </c>
      <c r="H114" s="76">
        <v>127.5</v>
      </c>
      <c r="I114" s="76">
        <v>126.1</v>
      </c>
      <c r="J114" s="76">
        <v>127.8</v>
      </c>
      <c r="K114" s="76">
        <v>127.6</v>
      </c>
      <c r="L114" s="76">
        <v>127.4</v>
      </c>
      <c r="M114" s="76">
        <v>125.8</v>
      </c>
      <c r="N114" s="76">
        <v>124.5</v>
      </c>
      <c r="O114" s="76"/>
      <c r="P114" s="76"/>
      <c r="Q114" s="76">
        <v>123.1</v>
      </c>
      <c r="R114" s="76">
        <v>124</v>
      </c>
      <c r="S114" s="76">
        <v>62</v>
      </c>
      <c r="T114" s="76">
        <v>124.2</v>
      </c>
      <c r="U114" s="76">
        <v>124.2</v>
      </c>
      <c r="V114" s="76">
        <v>125.7</v>
      </c>
      <c r="W114" s="76">
        <v>126.5</v>
      </c>
      <c r="X114" s="76">
        <v>127.4</v>
      </c>
      <c r="Y114" s="76">
        <v>125.3</v>
      </c>
      <c r="Z114" s="76">
        <v>124.4</v>
      </c>
      <c r="AA114" s="76">
        <v>127.1</v>
      </c>
      <c r="AB114" s="76">
        <v>127.8</v>
      </c>
      <c r="AC114" s="76">
        <v>126.8</v>
      </c>
      <c r="AD114" s="76">
        <v>127.7</v>
      </c>
      <c r="AE114" s="76">
        <v>127</v>
      </c>
      <c r="AF114" s="76">
        <v>125.8</v>
      </c>
      <c r="AG114" s="117"/>
      <c r="AH114" s="48">
        <f t="shared" si="41"/>
        <v>128.1</v>
      </c>
      <c r="AI114" s="49">
        <f t="shared" si="42"/>
        <v>62</v>
      </c>
    </row>
    <row r="115" spans="1:35" x14ac:dyDescent="0.25">
      <c r="A115" s="116" t="s">
        <v>135</v>
      </c>
      <c r="B115" s="76">
        <v>128</v>
      </c>
      <c r="C115" s="76">
        <v>133.80000000000001</v>
      </c>
      <c r="D115" s="76">
        <v>133.80000000000001</v>
      </c>
      <c r="E115" s="76">
        <v>129.5</v>
      </c>
      <c r="F115" s="76">
        <v>128</v>
      </c>
      <c r="G115" s="76">
        <v>129.19999999999999</v>
      </c>
      <c r="H115" s="76">
        <v>129.19999999999999</v>
      </c>
      <c r="I115" s="76">
        <v>131</v>
      </c>
      <c r="J115" s="76">
        <v>128.9</v>
      </c>
      <c r="K115" s="76">
        <v>125.4</v>
      </c>
      <c r="L115" s="76">
        <v>129.69999999999999</v>
      </c>
      <c r="M115" s="76">
        <v>127.5</v>
      </c>
      <c r="N115" s="76">
        <v>131.30000000000001</v>
      </c>
      <c r="O115" s="76"/>
      <c r="P115" s="76"/>
      <c r="Q115" s="76">
        <v>125.3</v>
      </c>
      <c r="R115" s="76">
        <v>126.1</v>
      </c>
      <c r="S115" s="76">
        <v>125.1</v>
      </c>
      <c r="T115" s="76">
        <v>123.8</v>
      </c>
      <c r="U115" s="76">
        <v>126.2</v>
      </c>
      <c r="V115" s="76">
        <v>128</v>
      </c>
      <c r="W115" s="76">
        <v>127.5</v>
      </c>
      <c r="X115" s="76">
        <v>131</v>
      </c>
      <c r="Y115" s="76">
        <v>131</v>
      </c>
      <c r="Z115" s="76">
        <v>126</v>
      </c>
      <c r="AA115" s="76">
        <v>128.19999999999999</v>
      </c>
      <c r="AB115" s="76">
        <v>128.4</v>
      </c>
      <c r="AC115" s="76">
        <v>128.19999999999999</v>
      </c>
      <c r="AD115" s="76">
        <v>127.1</v>
      </c>
      <c r="AE115" s="76">
        <v>124.4</v>
      </c>
      <c r="AF115" s="76">
        <v>124.8</v>
      </c>
      <c r="AG115" s="117"/>
      <c r="AH115" s="48">
        <f t="shared" si="41"/>
        <v>133.80000000000001</v>
      </c>
      <c r="AI115" s="49">
        <f t="shared" si="42"/>
        <v>123.8</v>
      </c>
    </row>
    <row r="116" spans="1:35" x14ac:dyDescent="0.25">
      <c r="A116" s="118" t="s">
        <v>136</v>
      </c>
      <c r="B116" s="76">
        <v>129.19999999999999</v>
      </c>
      <c r="C116" s="76">
        <v>133.69999999999999</v>
      </c>
      <c r="D116" s="76">
        <v>133.69999999999999</v>
      </c>
      <c r="E116" s="76">
        <v>131.1</v>
      </c>
      <c r="F116" s="76">
        <v>125.4</v>
      </c>
      <c r="G116" s="76">
        <v>129</v>
      </c>
      <c r="H116" s="76">
        <v>128.9</v>
      </c>
      <c r="I116" s="76">
        <v>130.9</v>
      </c>
      <c r="J116" s="76">
        <v>129.19999999999999</v>
      </c>
      <c r="K116" s="76">
        <v>127.7</v>
      </c>
      <c r="L116" s="76">
        <v>131.4</v>
      </c>
      <c r="M116" s="76">
        <v>130</v>
      </c>
      <c r="N116" s="76">
        <v>131.9</v>
      </c>
      <c r="O116" s="76"/>
      <c r="P116" s="76"/>
      <c r="Q116" s="76">
        <v>126.1</v>
      </c>
      <c r="R116" s="76">
        <v>127.3</v>
      </c>
      <c r="S116" s="76">
        <v>126.3</v>
      </c>
      <c r="T116" s="76">
        <v>125.4</v>
      </c>
      <c r="U116" s="76">
        <v>126.7</v>
      </c>
      <c r="V116" s="76">
        <v>128.19999999999999</v>
      </c>
      <c r="W116" s="76">
        <v>128.5</v>
      </c>
      <c r="X116" s="76">
        <v>130.69999999999999</v>
      </c>
      <c r="Y116" s="76">
        <v>131.80000000000001</v>
      </c>
      <c r="Z116" s="76">
        <v>125.9</v>
      </c>
      <c r="AA116" s="76">
        <v>126.6</v>
      </c>
      <c r="AB116" s="76">
        <v>127.9</v>
      </c>
      <c r="AC116" s="76">
        <v>128.4</v>
      </c>
      <c r="AD116" s="76">
        <v>127.6</v>
      </c>
      <c r="AE116" s="76">
        <v>125.5</v>
      </c>
      <c r="AF116" s="76">
        <v>126.8</v>
      </c>
      <c r="AG116" s="117"/>
      <c r="AH116" s="48">
        <f t="shared" si="41"/>
        <v>133.69999999999999</v>
      </c>
      <c r="AI116" s="49">
        <f t="shared" si="42"/>
        <v>125.4</v>
      </c>
    </row>
    <row r="117" spans="1:35" x14ac:dyDescent="0.25">
      <c r="A117" s="118" t="s">
        <v>137</v>
      </c>
      <c r="B117" s="119">
        <v>135</v>
      </c>
      <c r="C117" s="119">
        <v>132.69999999999999</v>
      </c>
      <c r="D117" s="119">
        <v>132.69999999999999</v>
      </c>
      <c r="E117" s="119">
        <v>134.5</v>
      </c>
      <c r="F117" s="119">
        <v>134.4</v>
      </c>
      <c r="G117" s="119">
        <v>133.69999999999999</v>
      </c>
      <c r="H117" s="119">
        <v>132.80000000000001</v>
      </c>
      <c r="I117" s="119">
        <v>132.30000000000001</v>
      </c>
      <c r="J117" s="119">
        <v>131.6</v>
      </c>
      <c r="K117" s="119">
        <v>132.19999999999999</v>
      </c>
      <c r="L117" s="119">
        <v>131.5</v>
      </c>
      <c r="M117" s="119">
        <v>134.19999999999999</v>
      </c>
      <c r="N117" s="119">
        <v>130.5</v>
      </c>
      <c r="O117" s="119"/>
      <c r="P117" s="119"/>
      <c r="Q117" s="119">
        <v>131.80000000000001</v>
      </c>
      <c r="R117" s="119">
        <v>134</v>
      </c>
      <c r="S117" s="119">
        <v>136.69999999999999</v>
      </c>
      <c r="T117" s="119">
        <v>134.1</v>
      </c>
      <c r="U117" s="119">
        <v>131.30000000000001</v>
      </c>
      <c r="V117" s="119">
        <v>135.4</v>
      </c>
      <c r="W117" s="119">
        <v>134.30000000000001</v>
      </c>
      <c r="X117" s="119">
        <v>133.6</v>
      </c>
      <c r="Y117" s="119">
        <v>130.9</v>
      </c>
      <c r="Z117" s="119">
        <v>132.80000000000001</v>
      </c>
      <c r="AA117" s="119">
        <v>132.30000000000001</v>
      </c>
      <c r="AB117" s="119">
        <v>134.5</v>
      </c>
      <c r="AC117" s="119">
        <v>132</v>
      </c>
      <c r="AD117" s="119">
        <v>136.5</v>
      </c>
      <c r="AE117" s="119">
        <v>130</v>
      </c>
      <c r="AF117" s="119">
        <v>132</v>
      </c>
      <c r="AG117" s="120"/>
      <c r="AH117" s="48">
        <f t="shared" si="41"/>
        <v>136.69999999999999</v>
      </c>
      <c r="AI117" s="49">
        <f t="shared" si="42"/>
        <v>130</v>
      </c>
    </row>
    <row r="118" spans="1:35" x14ac:dyDescent="0.25">
      <c r="A118" s="116" t="s">
        <v>138</v>
      </c>
      <c r="B118" s="76">
        <v>132.80000000000001</v>
      </c>
      <c r="C118" s="76">
        <v>128.4</v>
      </c>
      <c r="D118" s="76">
        <v>128.4</v>
      </c>
      <c r="E118" s="76">
        <v>131.1</v>
      </c>
      <c r="F118" s="76">
        <v>129.80000000000001</v>
      </c>
      <c r="G118" s="76">
        <v>128.69999999999999</v>
      </c>
      <c r="H118" s="76">
        <v>128.5</v>
      </c>
      <c r="I118" s="76">
        <v>129.9</v>
      </c>
      <c r="J118" s="76">
        <v>128.80000000000001</v>
      </c>
      <c r="K118" s="76">
        <v>127</v>
      </c>
      <c r="L118" s="76">
        <v>127.5</v>
      </c>
      <c r="M118" s="76">
        <v>127.7</v>
      </c>
      <c r="N118" s="76">
        <v>127</v>
      </c>
      <c r="O118" s="76"/>
      <c r="P118" s="76"/>
      <c r="Q118" s="76">
        <v>121.3</v>
      </c>
      <c r="R118" s="76">
        <v>126</v>
      </c>
      <c r="S118" s="76">
        <v>132.19999999999999</v>
      </c>
      <c r="T118" s="76">
        <v>125.8</v>
      </c>
      <c r="U118" s="76">
        <v>126.1</v>
      </c>
      <c r="V118" s="76">
        <v>131.19999999999999</v>
      </c>
      <c r="W118" s="76">
        <v>129.6</v>
      </c>
      <c r="X118" s="76">
        <v>127</v>
      </c>
      <c r="Y118" s="76">
        <v>121.3</v>
      </c>
      <c r="Z118" s="76">
        <v>125.9</v>
      </c>
      <c r="AA118" s="76">
        <v>122.6</v>
      </c>
      <c r="AB118" s="76">
        <v>127.4</v>
      </c>
      <c r="AC118" s="76">
        <v>131.19999999999999</v>
      </c>
      <c r="AD118" s="76">
        <v>128.1</v>
      </c>
      <c r="AE118" s="76">
        <v>120.5</v>
      </c>
      <c r="AF118" s="76">
        <v>122.7</v>
      </c>
      <c r="AG118" s="117"/>
      <c r="AH118" s="48">
        <f t="shared" si="41"/>
        <v>132.80000000000001</v>
      </c>
      <c r="AI118" s="49">
        <f t="shared" si="42"/>
        <v>120.5</v>
      </c>
    </row>
    <row r="119" spans="1:35" ht="15.75" thickBot="1" x14ac:dyDescent="0.3">
      <c r="A119" s="116" t="s">
        <v>139</v>
      </c>
      <c r="B119" s="105">
        <v>64.900000000000006</v>
      </c>
      <c r="C119" s="105">
        <v>64.2</v>
      </c>
      <c r="D119" s="105">
        <v>64.2</v>
      </c>
      <c r="E119" s="105">
        <v>64.599999999999994</v>
      </c>
      <c r="F119" s="105">
        <v>65.099999999999994</v>
      </c>
      <c r="G119" s="105">
        <v>65.2</v>
      </c>
      <c r="H119" s="105">
        <v>64.7</v>
      </c>
      <c r="I119" s="105">
        <v>63.8</v>
      </c>
      <c r="J119" s="105">
        <v>64.5</v>
      </c>
      <c r="K119" s="105">
        <v>64.2</v>
      </c>
      <c r="L119" s="105">
        <v>64.5</v>
      </c>
      <c r="M119" s="105">
        <v>63.2</v>
      </c>
      <c r="N119" s="105">
        <v>62.3</v>
      </c>
      <c r="O119" s="105"/>
      <c r="P119" s="105"/>
      <c r="Q119" s="105">
        <v>61.3</v>
      </c>
      <c r="R119" s="105">
        <v>61.8</v>
      </c>
      <c r="S119" s="105">
        <v>62</v>
      </c>
      <c r="T119" s="105">
        <v>61.8</v>
      </c>
      <c r="U119" s="105">
        <v>62</v>
      </c>
      <c r="V119" s="105">
        <v>62.8</v>
      </c>
      <c r="W119" s="105">
        <v>63.3</v>
      </c>
      <c r="X119" s="105">
        <v>63.9</v>
      </c>
      <c r="Y119" s="105">
        <v>62.9</v>
      </c>
      <c r="Z119" s="105">
        <v>62.4</v>
      </c>
      <c r="AA119" s="105">
        <v>64</v>
      </c>
      <c r="AB119" s="105">
        <v>64.5</v>
      </c>
      <c r="AC119" s="105">
        <v>63.4</v>
      </c>
      <c r="AD119" s="105">
        <v>63.9</v>
      </c>
      <c r="AE119" s="105">
        <v>63.8</v>
      </c>
      <c r="AF119" s="105">
        <v>62.9</v>
      </c>
      <c r="AG119" s="121"/>
      <c r="AH119" s="48">
        <f t="shared" si="41"/>
        <v>65.2</v>
      </c>
      <c r="AI119" s="49">
        <f t="shared" si="42"/>
        <v>61.3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:C121" si="134">SUM(B25,B31,B34:B35,B69,B71:B72,B74,B76,B122:B126,B158,B164,B170,B179,B181,B193,B200,B203:B204,B211,B213,B215,B219:B221,B223:B225,B230,B236:B237,B239:B241,B249,B254)</f>
        <v>103.03999999999999</v>
      </c>
      <c r="C121" s="124">
        <f t="shared" si="134"/>
        <v>89.24</v>
      </c>
      <c r="D121" s="124">
        <f t="shared" ref="D121" si="135">SUM(D25,D31,D34:D35,D69,D71:D72,D74,D76,D122:D126,D158,D164,D170,D179,D181,D193,D200,D203:D204,D211,D213,D215,D219:D221,D223:D225,D230,D236:D237,D239:D241,D249,D254)</f>
        <v>89.24</v>
      </c>
      <c r="E121" s="124">
        <f t="shared" ref="E121:O121" si="136">SUM(E25,E31,E34:E35,E69,E71:E72,E74,E76,E122:E126,E158,E164,E170,E179,E181,E193,E200,E203:E204,E211,E213,E215,E219:E221,E223:E225,E230,E236:E237,E239:E241,E249,E254)</f>
        <v>84.440000000000026</v>
      </c>
      <c r="F121" s="124">
        <f t="shared" si="136"/>
        <v>118.34</v>
      </c>
      <c r="G121" s="124">
        <f t="shared" si="136"/>
        <v>128.43999999999997</v>
      </c>
      <c r="H121" s="124">
        <f t="shared" si="136"/>
        <v>137.14000000000004</v>
      </c>
      <c r="I121" s="124">
        <f t="shared" si="136"/>
        <v>116.04000000000002</v>
      </c>
      <c r="J121" s="124">
        <f t="shared" si="136"/>
        <v>166.54000000000002</v>
      </c>
      <c r="K121" s="124">
        <f t="shared" si="136"/>
        <v>170.33999999999997</v>
      </c>
      <c r="L121" s="124">
        <f t="shared" si="136"/>
        <v>191.74</v>
      </c>
      <c r="M121" s="124">
        <f t="shared" si="136"/>
        <v>204.44</v>
      </c>
      <c r="N121" s="124">
        <f t="shared" si="136"/>
        <v>193.73999999999998</v>
      </c>
      <c r="O121" s="124">
        <f t="shared" si="136"/>
        <v>135.33999999999997</v>
      </c>
      <c r="P121" s="124">
        <v>42</v>
      </c>
      <c r="Q121" s="124">
        <f t="shared" ref="Q121:R121" si="137">SUM(Q25,Q31,Q34:Q35,Q69,Q71:Q72,Q74,Q76,Q122:Q126,Q158,Q164,Q170,Q179,Q181,Q193,Q200,Q203:Q204,Q211,Q213,Q215,Q219:Q221,Q223:Q225,Q230,Q236:Q237,Q239:Q241,Q249,Q254)</f>
        <v>206.03999999999996</v>
      </c>
      <c r="R121" s="124">
        <f t="shared" si="137"/>
        <v>215.33999999999997</v>
      </c>
      <c r="S121" s="124">
        <f t="shared" ref="S121:T121" si="138">SUM(S25,S31,S34:S35,S69,S71:S72,S74,S76,S122:S126,S158,S164,S170,S179,S181,S193,S200,S203:S204,S211,S213,S215,S219:S221,S223:S225,S230,S236:S237,S239:S241,S249,S254)</f>
        <v>194.14</v>
      </c>
      <c r="T121" s="124">
        <f t="shared" si="138"/>
        <v>193.64000000000001</v>
      </c>
      <c r="U121" s="124">
        <f t="shared" ref="U121:V121" si="139">SUM(U25,U31,U34:U35,U69,U71:U72,U74,U76,U122:U126,U158,U164,U170,U179,U181,U193,U200,U203:U204,U211,U213,U215,U219:U221,U223:U225,U230,U236:U237,U239:U241,U249,U254)</f>
        <v>215.84</v>
      </c>
      <c r="V121" s="124">
        <f t="shared" si="139"/>
        <v>212.74</v>
      </c>
      <c r="W121" s="124">
        <f t="shared" ref="W121:X121" si="140">SUM(W25,W31,W34:W35,W69,W71:W72,W74,W76,W122:W126,W158,W164,W170,W179,W181,W193,W200,W203:W204,W211,W213,W215,W219:W221,W223:W225,W230,W236:W237,W239:W241,W249,W254)</f>
        <v>217.53999999999996</v>
      </c>
      <c r="X121" s="124">
        <f t="shared" si="140"/>
        <v>220.24</v>
      </c>
      <c r="Y121" s="124">
        <f t="shared" ref="Y121:AA121" si="141">SUM(Y25,Y31,Y34:Y35,Y69,Y71:Y72,Y74,Y76,Y122:Y126,Y158,Y164,Y170,Y179,Y181,Y193,Y200,Y203:Y204,Y211,Y213,Y215,Y219:Y221,Y223:Y225,Y230,Y236:Y237,Y239:Y241,Y249,Y254)</f>
        <v>189.63999999999996</v>
      </c>
      <c r="Z121" s="124">
        <f t="shared" si="141"/>
        <v>210.24</v>
      </c>
      <c r="AA121" s="124">
        <f t="shared" si="141"/>
        <v>236.54000000000002</v>
      </c>
      <c r="AB121" s="124">
        <f t="shared" ref="AB121:AF121" si="142">SUM(AB25,AB31,AB34:AB35,AB69,AB71:AB72,AB74,AB76,AB122:AB126,AB158,AB164,AB170,AB179,AB181,AB193,AB200,AB203:AB204,AB211,AB213,AB215,AB219:AB221,AB223:AB225,AB230,AB236:AB237,AB239:AB241,AB249,AB254)</f>
        <v>194.34</v>
      </c>
      <c r="AC121" s="124">
        <f t="shared" si="142"/>
        <v>166.74</v>
      </c>
      <c r="AD121" s="124">
        <f t="shared" si="142"/>
        <v>168.54000000000002</v>
      </c>
      <c r="AE121" s="124">
        <f t="shared" si="142"/>
        <v>147.74</v>
      </c>
      <c r="AF121" s="124">
        <f t="shared" si="142"/>
        <v>106.03999999999996</v>
      </c>
      <c r="AG121" s="125"/>
      <c r="AH121" s="48">
        <f t="shared" si="41"/>
        <v>236.54000000000002</v>
      </c>
      <c r="AI121" s="49">
        <f t="shared" si="42"/>
        <v>42</v>
      </c>
    </row>
    <row r="122" spans="1:35" x14ac:dyDescent="0.25">
      <c r="A122" s="126" t="s">
        <v>142</v>
      </c>
      <c r="B122" s="127">
        <v>61.8</v>
      </c>
      <c r="C122" s="127">
        <v>63.8</v>
      </c>
      <c r="D122" s="127">
        <v>63.8</v>
      </c>
      <c r="E122" s="127">
        <v>62.9</v>
      </c>
      <c r="F122" s="127">
        <v>62.5</v>
      </c>
      <c r="G122" s="127">
        <v>62.6</v>
      </c>
      <c r="H122" s="127">
        <v>53.2</v>
      </c>
      <c r="I122" s="127">
        <v>50.9</v>
      </c>
      <c r="J122" s="127">
        <v>49.4</v>
      </c>
      <c r="K122" s="127">
        <v>38.5</v>
      </c>
      <c r="L122" s="127">
        <v>36.1</v>
      </c>
      <c r="M122" s="127">
        <v>50.7</v>
      </c>
      <c r="N122" s="127">
        <v>37</v>
      </c>
      <c r="O122" s="127"/>
      <c r="P122" s="127"/>
      <c r="Q122" s="127">
        <v>32.700000000000003</v>
      </c>
      <c r="R122" s="127">
        <v>29</v>
      </c>
      <c r="S122" s="127">
        <v>27.5</v>
      </c>
      <c r="T122" s="127">
        <v>32.6</v>
      </c>
      <c r="U122" s="127">
        <v>47</v>
      </c>
      <c r="V122" s="127">
        <v>47.7</v>
      </c>
      <c r="W122" s="127">
        <v>59.8</v>
      </c>
      <c r="X122" s="127">
        <v>90</v>
      </c>
      <c r="Y122" s="127">
        <v>55</v>
      </c>
      <c r="Z122" s="127">
        <v>60.4</v>
      </c>
      <c r="AA122" s="127">
        <v>49.5</v>
      </c>
      <c r="AB122" s="127">
        <v>37.299999999999997</v>
      </c>
      <c r="AC122" s="127">
        <v>34.6</v>
      </c>
      <c r="AD122" s="127">
        <v>37.799999999999997</v>
      </c>
      <c r="AE122" s="127">
        <v>49.6</v>
      </c>
      <c r="AF122" s="127">
        <v>52.9</v>
      </c>
      <c r="AG122" s="128">
        <v>75</v>
      </c>
      <c r="AH122" s="48">
        <f t="shared" si="41"/>
        <v>90</v>
      </c>
      <c r="AI122" s="49">
        <f t="shared" si="42"/>
        <v>27.5</v>
      </c>
    </row>
    <row r="123" spans="1:35" x14ac:dyDescent="0.25">
      <c r="A123" s="129" t="s">
        <v>143</v>
      </c>
      <c r="B123" s="130">
        <v>90.2</v>
      </c>
      <c r="C123" s="130">
        <v>92.7</v>
      </c>
      <c r="D123" s="130">
        <v>92.7</v>
      </c>
      <c r="E123" s="130">
        <v>90.3</v>
      </c>
      <c r="F123" s="130">
        <v>89.8</v>
      </c>
      <c r="G123" s="130">
        <v>89.4</v>
      </c>
      <c r="H123" s="130">
        <v>77.8</v>
      </c>
      <c r="I123" s="130">
        <v>72.900000000000006</v>
      </c>
      <c r="J123" s="130">
        <v>69.099999999999994</v>
      </c>
      <c r="K123" s="130">
        <v>61.2</v>
      </c>
      <c r="L123" s="130">
        <v>56.9</v>
      </c>
      <c r="M123" s="130">
        <v>75</v>
      </c>
      <c r="N123" s="130">
        <v>56.4</v>
      </c>
      <c r="O123" s="130"/>
      <c r="P123" s="130"/>
      <c r="Q123" s="130">
        <v>49</v>
      </c>
      <c r="R123" s="130">
        <v>45</v>
      </c>
      <c r="S123" s="130">
        <v>43.1</v>
      </c>
      <c r="T123" s="130">
        <v>48.7</v>
      </c>
      <c r="U123" s="130">
        <v>68.099999999999994</v>
      </c>
      <c r="V123" s="130">
        <v>70.8</v>
      </c>
      <c r="W123" s="130">
        <v>85.4</v>
      </c>
      <c r="X123" s="130">
        <v>62</v>
      </c>
      <c r="Y123" s="130">
        <v>80.900000000000006</v>
      </c>
      <c r="Z123" s="130">
        <v>86.4</v>
      </c>
      <c r="AA123" s="130">
        <v>72.099999999999994</v>
      </c>
      <c r="AB123" s="130">
        <v>58.1</v>
      </c>
      <c r="AC123" s="130">
        <v>53.9</v>
      </c>
      <c r="AD123" s="130">
        <v>59.5</v>
      </c>
      <c r="AE123" s="130">
        <v>76.900000000000006</v>
      </c>
      <c r="AF123" s="130">
        <v>75.8</v>
      </c>
      <c r="AG123" s="128">
        <v>240</v>
      </c>
      <c r="AH123" s="48">
        <f t="shared" si="41"/>
        <v>92.7</v>
      </c>
      <c r="AI123" s="49">
        <f t="shared" si="42"/>
        <v>43.1</v>
      </c>
    </row>
    <row r="124" spans="1:35" x14ac:dyDescent="0.25">
      <c r="A124" s="129" t="s">
        <v>144</v>
      </c>
      <c r="B124" s="130">
        <v>-161.80000000000001</v>
      </c>
      <c r="C124" s="130">
        <v>-176.9</v>
      </c>
      <c r="D124" s="130">
        <v>-176.9</v>
      </c>
      <c r="E124" s="130">
        <f>-86.9-91.1</f>
        <v>-178</v>
      </c>
      <c r="F124" s="130">
        <f>-70.7-74.8</f>
        <v>-145.5</v>
      </c>
      <c r="G124" s="130">
        <f>-66.4-70.7</f>
        <v>-137.10000000000002</v>
      </c>
      <c r="H124" s="130">
        <f>-54.8-57.4</f>
        <v>-112.19999999999999</v>
      </c>
      <c r="I124" s="130">
        <f>-61-64.9</f>
        <v>-125.9</v>
      </c>
      <c r="J124" s="130">
        <f>-38.1-41.6</f>
        <v>-79.7</v>
      </c>
      <c r="K124" s="130">
        <f>-30.2-32.1</f>
        <v>-62.3</v>
      </c>
      <c r="L124" s="130">
        <f>-24.8-28.3</f>
        <v>-53.1</v>
      </c>
      <c r="M124" s="130">
        <v>-62</v>
      </c>
      <c r="N124" s="130">
        <v>-46</v>
      </c>
      <c r="O124" s="130"/>
      <c r="P124" s="130"/>
      <c r="Q124" s="130">
        <v>-34</v>
      </c>
      <c r="R124" s="130">
        <v>-24</v>
      </c>
      <c r="S124" s="130">
        <v>-33.1</v>
      </c>
      <c r="T124" s="130">
        <v>-39</v>
      </c>
      <c r="U124" s="130">
        <v>-47</v>
      </c>
      <c r="V124" s="130">
        <v>-52</v>
      </c>
      <c r="W124" s="130">
        <v>-69</v>
      </c>
      <c r="X124" s="130">
        <v>-73</v>
      </c>
      <c r="Y124" s="130">
        <v>-83.4</v>
      </c>
      <c r="Z124" s="130">
        <v>-77.099999999999994</v>
      </c>
      <c r="AA124" s="130">
        <v>-54.8</v>
      </c>
      <c r="AB124" s="130">
        <f>-23-30</f>
        <v>-53</v>
      </c>
      <c r="AC124" s="130">
        <f>-29-33</f>
        <v>-62</v>
      </c>
      <c r="AD124" s="130">
        <f>-34-40</f>
        <v>-74</v>
      </c>
      <c r="AE124" s="130">
        <f>-54.8-61.9</f>
        <v>-116.69999999999999</v>
      </c>
      <c r="AF124" s="130">
        <f>-64.8-73.2</f>
        <v>-138</v>
      </c>
      <c r="AG124" s="128">
        <v>240</v>
      </c>
      <c r="AH124" s="48">
        <f t="shared" si="41"/>
        <v>-24</v>
      </c>
      <c r="AI124" s="49">
        <f t="shared" si="42"/>
        <v>-178</v>
      </c>
    </row>
    <row r="125" spans="1:35" ht="15.75" thickBot="1" x14ac:dyDescent="0.3">
      <c r="A125" s="129" t="s">
        <v>145</v>
      </c>
      <c r="B125" s="130">
        <v>-11.6</v>
      </c>
      <c r="C125" s="130">
        <v>-14.8</v>
      </c>
      <c r="D125" s="130">
        <v>-14.8</v>
      </c>
      <c r="E125" s="130">
        <v>-15.6</v>
      </c>
      <c r="F125" s="130">
        <v>-10.9</v>
      </c>
      <c r="G125" s="130">
        <v>-8.9</v>
      </c>
      <c r="H125" s="130">
        <v>-4.2</v>
      </c>
      <c r="I125" s="130">
        <v>-5.0999999999999996</v>
      </c>
      <c r="J125" s="130">
        <v>4.3</v>
      </c>
      <c r="K125" s="130">
        <v>7.5</v>
      </c>
      <c r="L125" s="130">
        <v>24.5</v>
      </c>
      <c r="M125" s="130">
        <v>10</v>
      </c>
      <c r="N125" s="130">
        <v>14.1</v>
      </c>
      <c r="O125" s="130"/>
      <c r="P125" s="130"/>
      <c r="Q125" s="130">
        <v>23</v>
      </c>
      <c r="R125" s="130">
        <v>28</v>
      </c>
      <c r="S125" s="130">
        <v>22.1</v>
      </c>
      <c r="T125" s="130">
        <v>21.9</v>
      </c>
      <c r="U125" s="130">
        <v>22.4</v>
      </c>
      <c r="V125" s="130">
        <v>19.7</v>
      </c>
      <c r="W125" s="130">
        <v>17.7</v>
      </c>
      <c r="X125" s="130">
        <v>18</v>
      </c>
      <c r="Y125" s="130">
        <v>14.7</v>
      </c>
      <c r="Z125" s="130">
        <v>18.100000000000001</v>
      </c>
      <c r="AA125" s="130">
        <v>47.3</v>
      </c>
      <c r="AB125" s="130">
        <v>29.7</v>
      </c>
      <c r="AC125" s="130">
        <v>18</v>
      </c>
      <c r="AD125" s="130">
        <v>23</v>
      </c>
      <c r="AE125" s="130">
        <v>15.6</v>
      </c>
      <c r="AF125" s="130">
        <v>-6.5</v>
      </c>
      <c r="AG125" s="128">
        <v>60</v>
      </c>
      <c r="AH125" s="48">
        <f t="shared" si="41"/>
        <v>47.3</v>
      </c>
      <c r="AI125" s="49">
        <f t="shared" si="42"/>
        <v>-15.6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41"/>
        <v>0</v>
      </c>
      <c r="AI126" s="49">
        <f t="shared" si="42"/>
        <v>0</v>
      </c>
    </row>
    <row r="127" spans="1:35" x14ac:dyDescent="0.25">
      <c r="A127" s="129" t="s">
        <v>147</v>
      </c>
      <c r="B127" s="131">
        <v>69.099999999999994</v>
      </c>
      <c r="C127" s="131">
        <v>62.5</v>
      </c>
      <c r="D127" s="131">
        <v>62.5</v>
      </c>
      <c r="E127" s="131">
        <v>63.5</v>
      </c>
      <c r="F127" s="131">
        <v>44</v>
      </c>
      <c r="G127" s="131">
        <v>48.9</v>
      </c>
      <c r="H127" s="131">
        <v>56.6</v>
      </c>
      <c r="I127" s="131">
        <v>80.099999999999994</v>
      </c>
      <c r="J127" s="131">
        <v>77.599999999999994</v>
      </c>
      <c r="K127" s="131">
        <v>86.8</v>
      </c>
      <c r="L127" s="131">
        <v>84.3</v>
      </c>
      <c r="M127" s="131">
        <v>84</v>
      </c>
      <c r="N127" s="131">
        <v>95.1</v>
      </c>
      <c r="O127" s="131"/>
      <c r="P127" s="131"/>
      <c r="Q127" s="131">
        <v>98.5</v>
      </c>
      <c r="R127" s="131">
        <v>101</v>
      </c>
      <c r="S127" s="131">
        <v>94.3</v>
      </c>
      <c r="T127" s="131">
        <v>92.9</v>
      </c>
      <c r="U127" s="131">
        <v>87.2</v>
      </c>
      <c r="V127" s="131">
        <v>85.3</v>
      </c>
      <c r="W127" s="131">
        <v>76.7</v>
      </c>
      <c r="X127" s="131">
        <v>73</v>
      </c>
      <c r="Y127" s="131">
        <v>86.6</v>
      </c>
      <c r="Z127" s="131">
        <v>96.2</v>
      </c>
      <c r="AA127" s="131">
        <v>93.3</v>
      </c>
      <c r="AB127" s="131">
        <v>106.2</v>
      </c>
      <c r="AC127" s="131">
        <v>107</v>
      </c>
      <c r="AD127" s="131">
        <v>97</v>
      </c>
      <c r="AE127" s="131">
        <v>79.2</v>
      </c>
      <c r="AF127" s="131">
        <v>78.7</v>
      </c>
      <c r="AG127" s="132"/>
      <c r="AH127" s="48"/>
      <c r="AI127" s="49"/>
    </row>
    <row r="128" spans="1:35" x14ac:dyDescent="0.25">
      <c r="A128" s="129" t="s">
        <v>148</v>
      </c>
      <c r="B128" s="131">
        <v>22.6</v>
      </c>
      <c r="C128" s="131">
        <v>21.4</v>
      </c>
      <c r="D128" s="131">
        <v>21.4</v>
      </c>
      <c r="E128" s="131">
        <v>24.3</v>
      </c>
      <c r="F128" s="131">
        <v>-9.5</v>
      </c>
      <c r="G128" s="131">
        <v>-10.4</v>
      </c>
      <c r="H128" s="131">
        <v>-11.5</v>
      </c>
      <c r="I128" s="131">
        <v>19.399999999999999</v>
      </c>
      <c r="J128" s="131">
        <v>-9.9</v>
      </c>
      <c r="K128" s="131">
        <v>-10.7</v>
      </c>
      <c r="L128" s="131">
        <v>-21.7</v>
      </c>
      <c r="M128" s="131">
        <v>-21.7</v>
      </c>
      <c r="N128" s="131">
        <v>-3</v>
      </c>
      <c r="O128" s="131"/>
      <c r="P128" s="131"/>
      <c r="Q128" s="131">
        <v>12</v>
      </c>
      <c r="R128" s="131">
        <v>14</v>
      </c>
      <c r="S128" s="131">
        <v>11.9</v>
      </c>
      <c r="T128" s="131">
        <v>10.4</v>
      </c>
      <c r="U128" s="131">
        <v>-9.1999999999999993</v>
      </c>
      <c r="V128" s="131">
        <v>-11.5</v>
      </c>
      <c r="W128" s="131">
        <v>-23.9</v>
      </c>
      <c r="X128" s="131">
        <v>-33</v>
      </c>
      <c r="Y128" s="131">
        <v>-8.4</v>
      </c>
      <c r="Z128" s="131">
        <v>-13.4</v>
      </c>
      <c r="AA128" s="131">
        <v>-18.2</v>
      </c>
      <c r="AB128" s="131">
        <v>6.9</v>
      </c>
      <c r="AC128" s="131">
        <v>17.5</v>
      </c>
      <c r="AD128" s="131">
        <v>12.6</v>
      </c>
      <c r="AE128" s="131">
        <v>10.8</v>
      </c>
      <c r="AF128" s="131">
        <v>25.3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50.6</v>
      </c>
      <c r="C129" s="131">
        <v>53.9</v>
      </c>
      <c r="D129" s="131">
        <v>53.9</v>
      </c>
      <c r="E129" s="131">
        <v>54.8</v>
      </c>
      <c r="F129" s="131">
        <v>67.8</v>
      </c>
      <c r="G129" s="131">
        <v>70</v>
      </c>
      <c r="H129" s="131">
        <v>81.099999999999994</v>
      </c>
      <c r="I129" s="131">
        <v>71.2</v>
      </c>
      <c r="J129" s="131">
        <v>37.6</v>
      </c>
      <c r="K129" s="131">
        <v>45.8</v>
      </c>
      <c r="L129" s="131">
        <v>36.1</v>
      </c>
      <c r="M129" s="131">
        <v>46.1</v>
      </c>
      <c r="N129" s="131">
        <v>60</v>
      </c>
      <c r="O129" s="131"/>
      <c r="P129" s="131"/>
      <c r="Q129" s="131">
        <v>69</v>
      </c>
      <c r="R129" s="131">
        <v>72</v>
      </c>
      <c r="S129" s="131">
        <v>72.900000000000006</v>
      </c>
      <c r="T129" s="131">
        <v>68.900000000000006</v>
      </c>
      <c r="U129" s="131">
        <v>60.8</v>
      </c>
      <c r="V129" s="131">
        <v>55.3</v>
      </c>
      <c r="W129" s="131">
        <v>43.9</v>
      </c>
      <c r="X129" s="131">
        <v>33</v>
      </c>
      <c r="Y129" s="131">
        <v>3.6</v>
      </c>
      <c r="Z129" s="131">
        <v>73.099999999999994</v>
      </c>
      <c r="AA129" s="131">
        <v>63.9</v>
      </c>
      <c r="AB129" s="131">
        <v>72.8</v>
      </c>
      <c r="AC129" s="131">
        <v>76.400000000000006</v>
      </c>
      <c r="AD129" s="131">
        <v>64</v>
      </c>
      <c r="AE129" s="131">
        <v>52</v>
      </c>
      <c r="AF129" s="131">
        <v>56.6</v>
      </c>
      <c r="AG129" s="128"/>
      <c r="AH129" s="48">
        <f>MAX(B129:AF129)</f>
        <v>81.099999999999994</v>
      </c>
      <c r="AI129" s="49">
        <f>MIN(B129:AF129)</f>
        <v>3.6</v>
      </c>
    </row>
    <row r="130" spans="1:37" x14ac:dyDescent="0.25">
      <c r="A130" s="126" t="s">
        <v>150</v>
      </c>
      <c r="B130" s="131">
        <v>-289.3</v>
      </c>
      <c r="C130" s="131">
        <v>-290</v>
      </c>
      <c r="D130" s="131">
        <v>-290</v>
      </c>
      <c r="E130" s="131">
        <v>-287</v>
      </c>
      <c r="F130" s="131">
        <v>-302.10000000000002</v>
      </c>
      <c r="G130" s="131">
        <v>-296</v>
      </c>
      <c r="H130" s="131">
        <v>-288</v>
      </c>
      <c r="I130" s="131">
        <v>-262</v>
      </c>
      <c r="J130" s="131">
        <v>-263.3</v>
      </c>
      <c r="K130" s="131">
        <v>-254.5</v>
      </c>
      <c r="L130" s="131">
        <v>-260.8</v>
      </c>
      <c r="M130" s="131">
        <v>-250</v>
      </c>
      <c r="N130" s="131">
        <v>-240</v>
      </c>
      <c r="O130" s="131"/>
      <c r="P130" s="131"/>
      <c r="Q130" s="131">
        <v>-225</v>
      </c>
      <c r="R130" s="131">
        <v>-200</v>
      </c>
      <c r="S130" s="131">
        <v>-210</v>
      </c>
      <c r="T130" s="131">
        <v>-221</v>
      </c>
      <c r="U130" s="131">
        <v>-178.8</v>
      </c>
      <c r="V130" s="131">
        <v>-219.8</v>
      </c>
      <c r="W130" s="131">
        <v>-180.9</v>
      </c>
      <c r="X130" s="131">
        <v>-166</v>
      </c>
      <c r="Y130" s="131">
        <v>-222.2</v>
      </c>
      <c r="Z130" s="131">
        <v>-222.2</v>
      </c>
      <c r="AA130" s="131">
        <v>-252.8</v>
      </c>
      <c r="AB130" s="131">
        <v>-250.3</v>
      </c>
      <c r="AC130" s="131">
        <v>-250.4</v>
      </c>
      <c r="AD130" s="131">
        <v>-259</v>
      </c>
      <c r="AE130" s="131">
        <v>-272.2</v>
      </c>
      <c r="AF130" s="131">
        <v>-278.10000000000002</v>
      </c>
      <c r="AG130" s="128"/>
      <c r="AH130" s="48">
        <f>MAX(B130:AF130)</f>
        <v>-166</v>
      </c>
      <c r="AI130" s="49">
        <f>MIN(B130:AF130)</f>
        <v>-302.10000000000002</v>
      </c>
    </row>
    <row r="131" spans="1:37" x14ac:dyDescent="0.25">
      <c r="A131" s="129" t="s">
        <v>151</v>
      </c>
      <c r="B131" s="119">
        <v>-19.899999999999999</v>
      </c>
      <c r="C131" s="119">
        <v>6.4</v>
      </c>
      <c r="D131" s="119">
        <v>6.4</v>
      </c>
      <c r="E131" s="119">
        <v>66.5</v>
      </c>
      <c r="F131" s="119">
        <v>-11.1</v>
      </c>
      <c r="G131" s="119">
        <v>61.9</v>
      </c>
      <c r="H131" s="119">
        <v>53.9</v>
      </c>
      <c r="I131" s="119">
        <v>59.3</v>
      </c>
      <c r="J131" s="119">
        <v>16</v>
      </c>
      <c r="K131" s="119">
        <v>36.200000000000003</v>
      </c>
      <c r="L131" s="119">
        <v>36.700000000000003</v>
      </c>
      <c r="M131" s="119">
        <v>33</v>
      </c>
      <c r="N131" s="119">
        <v>30.6</v>
      </c>
      <c r="O131" s="119"/>
      <c r="P131" s="119"/>
      <c r="Q131" s="119">
        <v>-11.3</v>
      </c>
      <c r="R131" s="119">
        <v>25</v>
      </c>
      <c r="S131" s="119"/>
      <c r="T131" s="119">
        <v>-13.4</v>
      </c>
      <c r="U131" s="119">
        <v>22.5</v>
      </c>
      <c r="V131" s="119">
        <v>16.600000000000001</v>
      </c>
      <c r="W131" s="119">
        <v>1.5</v>
      </c>
      <c r="X131" s="119">
        <v>13</v>
      </c>
      <c r="Y131" s="119">
        <v>21.9</v>
      </c>
      <c r="Z131" s="119">
        <v>21.9</v>
      </c>
      <c r="AA131" s="119">
        <v>-0.5</v>
      </c>
      <c r="AB131" s="119">
        <v>-0.5</v>
      </c>
      <c r="AC131" s="119">
        <v>2</v>
      </c>
      <c r="AD131" s="119">
        <v>4.7</v>
      </c>
      <c r="AE131" s="119">
        <v>5.7</v>
      </c>
      <c r="AF131" s="119">
        <v>9.3000000000000007</v>
      </c>
      <c r="AG131" s="128"/>
      <c r="AH131" s="48">
        <f>MAX(B131:AF131)</f>
        <v>66.5</v>
      </c>
      <c r="AI131" s="49">
        <f>MIN(B131:AF131)</f>
        <v>-19.899999999999999</v>
      </c>
    </row>
    <row r="132" spans="1:37" x14ac:dyDescent="0.25">
      <c r="A132" s="129" t="s">
        <v>152</v>
      </c>
      <c r="B132" s="119">
        <v>83.4</v>
      </c>
      <c r="C132" s="119">
        <v>-22.3</v>
      </c>
      <c r="D132" s="119">
        <v>-22.3</v>
      </c>
      <c r="E132" s="119">
        <v>-36.9</v>
      </c>
      <c r="F132" s="119">
        <v>24.5</v>
      </c>
      <c r="G132" s="119">
        <v>-39.9</v>
      </c>
      <c r="H132" s="119">
        <v>-39.299999999999997</v>
      </c>
      <c r="I132" s="119">
        <v>-47.5</v>
      </c>
      <c r="J132" s="119">
        <v>-8.1</v>
      </c>
      <c r="K132" s="119">
        <v>24.8</v>
      </c>
      <c r="L132" s="119">
        <v>28.5</v>
      </c>
      <c r="M132" s="119">
        <v>32</v>
      </c>
      <c r="N132" s="119">
        <v>45</v>
      </c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28"/>
      <c r="AH132" s="48">
        <f>MAX(B132:AF132)</f>
        <v>83.4</v>
      </c>
      <c r="AI132" s="49">
        <f>MIN(B132:AF132)</f>
        <v>-47.5</v>
      </c>
    </row>
    <row r="133" spans="1:37" ht="15.75" thickBot="1" x14ac:dyDescent="0.3">
      <c r="A133" s="129" t="s">
        <v>153</v>
      </c>
      <c r="B133" s="119">
        <v>95.4</v>
      </c>
      <c r="C133" s="119">
        <v>-4.9000000000000004</v>
      </c>
      <c r="D133" s="119">
        <v>-4.9000000000000004</v>
      </c>
      <c r="E133" s="119">
        <v>-20.6</v>
      </c>
      <c r="F133" s="119">
        <v>47.9</v>
      </c>
      <c r="G133" s="119">
        <v>-27.7</v>
      </c>
      <c r="H133" s="119">
        <v>-23.8</v>
      </c>
      <c r="I133" s="119">
        <v>-43.5</v>
      </c>
      <c r="J133" s="119">
        <v>8.8000000000000007</v>
      </c>
      <c r="K133" s="119">
        <v>42.3</v>
      </c>
      <c r="L133" s="119">
        <v>46.3</v>
      </c>
      <c r="M133" s="119">
        <v>50</v>
      </c>
      <c r="N133" s="119">
        <v>57</v>
      </c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28"/>
      <c r="AH133" s="48">
        <f>MAX(B133:AF133)</f>
        <v>95.4</v>
      </c>
      <c r="AI133" s="49">
        <f>MIN(B133:AF133)</f>
        <v>-43.5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>
        <v>1986.35</v>
      </c>
      <c r="N135" s="137"/>
      <c r="O135" s="137"/>
      <c r="P135" s="137"/>
      <c r="Q135" s="137">
        <v>1985.95</v>
      </c>
      <c r="R135" s="137"/>
      <c r="S135" s="137">
        <v>1985.8</v>
      </c>
      <c r="T135" s="137">
        <v>1985.78</v>
      </c>
      <c r="U135" s="137">
        <v>1985.78</v>
      </c>
      <c r="V135" s="137">
        <v>1985.82</v>
      </c>
      <c r="W135" s="137"/>
      <c r="X135" s="137">
        <v>1986.15</v>
      </c>
      <c r="Y135" s="137"/>
      <c r="Z135" s="137">
        <v>1986.43</v>
      </c>
      <c r="AA135" s="137"/>
      <c r="AB135" s="137">
        <v>1986.4</v>
      </c>
      <c r="AC135" s="137"/>
      <c r="AD135" s="137"/>
      <c r="AE135" s="137">
        <v>1986.49</v>
      </c>
      <c r="AF135" s="138">
        <v>1986.6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>
        <v>884.9</v>
      </c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1485.68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0">
        <v>1485.58</v>
      </c>
      <c r="Y140" s="142"/>
      <c r="Z140" s="142"/>
      <c r="AA140" s="142"/>
      <c r="AB140" s="142">
        <v>1485.52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43">SUM(B142:B246)</f>
        <v>0</v>
      </c>
      <c r="C247" s="161">
        <f t="shared" si="143"/>
        <v>0</v>
      </c>
      <c r="D247" s="161">
        <f t="shared" si="143"/>
        <v>0</v>
      </c>
      <c r="E247" s="161">
        <f t="shared" si="143"/>
        <v>0</v>
      </c>
      <c r="F247" s="161">
        <f t="shared" si="143"/>
        <v>0</v>
      </c>
      <c r="G247" s="161">
        <f t="shared" si="143"/>
        <v>0</v>
      </c>
      <c r="H247" s="161">
        <f t="shared" si="143"/>
        <v>0</v>
      </c>
      <c r="I247" s="161">
        <f t="shared" si="143"/>
        <v>0</v>
      </c>
      <c r="J247" s="161">
        <f t="shared" si="143"/>
        <v>0</v>
      </c>
      <c r="K247" s="161">
        <f t="shared" si="143"/>
        <v>0</v>
      </c>
      <c r="L247" s="161">
        <f t="shared" si="143"/>
        <v>0</v>
      </c>
      <c r="M247" s="161">
        <f t="shared" si="143"/>
        <v>0</v>
      </c>
      <c r="N247" s="161">
        <f t="shared" si="143"/>
        <v>0</v>
      </c>
      <c r="O247" s="161">
        <f t="shared" si="143"/>
        <v>0</v>
      </c>
      <c r="P247" s="161">
        <f t="shared" si="143"/>
        <v>0</v>
      </c>
      <c r="Q247" s="161">
        <f t="shared" si="143"/>
        <v>0</v>
      </c>
      <c r="R247" s="161">
        <f t="shared" si="143"/>
        <v>0</v>
      </c>
      <c r="S247" s="161">
        <f t="shared" si="143"/>
        <v>0</v>
      </c>
      <c r="T247" s="161">
        <f t="shared" si="143"/>
        <v>0</v>
      </c>
      <c r="U247" s="161">
        <f t="shared" si="143"/>
        <v>0</v>
      </c>
      <c r="V247" s="161">
        <f t="shared" si="143"/>
        <v>0</v>
      </c>
      <c r="W247" s="161">
        <f t="shared" si="143"/>
        <v>0</v>
      </c>
      <c r="X247" s="161">
        <f t="shared" si="143"/>
        <v>0</v>
      </c>
      <c r="Y247" s="161">
        <f t="shared" si="143"/>
        <v>0</v>
      </c>
      <c r="Z247" s="161">
        <f t="shared" si="143"/>
        <v>0</v>
      </c>
      <c r="AA247" s="161">
        <f t="shared" si="143"/>
        <v>0</v>
      </c>
      <c r="AB247" s="161">
        <f t="shared" si="143"/>
        <v>0</v>
      </c>
      <c r="AC247" s="161">
        <f t="shared" si="143"/>
        <v>0</v>
      </c>
      <c r="AD247" s="161">
        <f t="shared" si="143"/>
        <v>0</v>
      </c>
      <c r="AE247" s="161">
        <f t="shared" si="143"/>
        <v>0</v>
      </c>
      <c r="AF247" s="162">
        <f t="shared" si="143"/>
        <v>0</v>
      </c>
      <c r="AG247" s="163">
        <f t="shared" si="143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44">AF249</f>
        <v>0.3</v>
      </c>
      <c r="C249" s="166">
        <v>0.3</v>
      </c>
      <c r="D249" s="166">
        <f t="shared" ref="D249:S254" si="145">C249</f>
        <v>0.3</v>
      </c>
      <c r="E249" s="166">
        <f t="shared" si="145"/>
        <v>0.3</v>
      </c>
      <c r="F249" s="166">
        <f t="shared" si="145"/>
        <v>0.3</v>
      </c>
      <c r="G249" s="166">
        <f t="shared" si="145"/>
        <v>0.3</v>
      </c>
      <c r="H249" s="166">
        <f t="shared" si="145"/>
        <v>0.3</v>
      </c>
      <c r="I249" s="166">
        <f t="shared" si="145"/>
        <v>0.3</v>
      </c>
      <c r="J249" s="166">
        <f t="shared" si="145"/>
        <v>0.3</v>
      </c>
      <c r="K249" s="166">
        <f t="shared" si="145"/>
        <v>0.3</v>
      </c>
      <c r="L249" s="166">
        <f t="shared" si="145"/>
        <v>0.3</v>
      </c>
      <c r="M249" s="166">
        <f t="shared" si="145"/>
        <v>0.3</v>
      </c>
      <c r="N249" s="166">
        <f t="shared" si="145"/>
        <v>0.3</v>
      </c>
      <c r="O249" s="166">
        <f t="shared" si="145"/>
        <v>0.3</v>
      </c>
      <c r="P249" s="166">
        <f t="shared" si="145"/>
        <v>0.3</v>
      </c>
      <c r="Q249" s="166">
        <f t="shared" si="145"/>
        <v>0.3</v>
      </c>
      <c r="R249" s="166">
        <f t="shared" si="145"/>
        <v>0.3</v>
      </c>
      <c r="S249" s="166">
        <f t="shared" si="145"/>
        <v>0.3</v>
      </c>
      <c r="T249" s="166">
        <f t="shared" ref="T249:AF254" si="146">S249</f>
        <v>0.3</v>
      </c>
      <c r="U249" s="166">
        <f t="shared" si="146"/>
        <v>0.3</v>
      </c>
      <c r="V249" s="166">
        <f t="shared" si="146"/>
        <v>0.3</v>
      </c>
      <c r="W249" s="166">
        <f t="shared" si="146"/>
        <v>0.3</v>
      </c>
      <c r="X249" s="166">
        <f t="shared" si="146"/>
        <v>0.3</v>
      </c>
      <c r="Y249" s="166">
        <f t="shared" si="146"/>
        <v>0.3</v>
      </c>
      <c r="Z249" s="166">
        <f t="shared" si="146"/>
        <v>0.3</v>
      </c>
      <c r="AA249" s="166">
        <f t="shared" si="146"/>
        <v>0.3</v>
      </c>
      <c r="AB249" s="166">
        <f t="shared" si="146"/>
        <v>0.3</v>
      </c>
      <c r="AC249" s="166">
        <f t="shared" si="146"/>
        <v>0.3</v>
      </c>
      <c r="AD249" s="166">
        <f t="shared" si="146"/>
        <v>0.3</v>
      </c>
      <c r="AE249" s="166">
        <f t="shared" si="146"/>
        <v>0.3</v>
      </c>
      <c r="AF249" s="166">
        <f t="shared" si="146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44"/>
        <v>0.4</v>
      </c>
      <c r="C250" s="152">
        <v>0.4</v>
      </c>
      <c r="D250" s="152">
        <f t="shared" si="145"/>
        <v>0.4</v>
      </c>
      <c r="E250" s="152">
        <f t="shared" si="145"/>
        <v>0.4</v>
      </c>
      <c r="F250" s="152">
        <f t="shared" si="145"/>
        <v>0.4</v>
      </c>
      <c r="G250" s="152">
        <f t="shared" si="145"/>
        <v>0.4</v>
      </c>
      <c r="H250" s="152">
        <f t="shared" si="145"/>
        <v>0.4</v>
      </c>
      <c r="I250" s="152">
        <f t="shared" si="145"/>
        <v>0.4</v>
      </c>
      <c r="J250" s="152">
        <f t="shared" si="145"/>
        <v>0.4</v>
      </c>
      <c r="K250" s="152">
        <f t="shared" si="145"/>
        <v>0.4</v>
      </c>
      <c r="L250" s="152">
        <f t="shared" si="145"/>
        <v>0.4</v>
      </c>
      <c r="M250" s="152">
        <f t="shared" si="145"/>
        <v>0.4</v>
      </c>
      <c r="N250" s="152">
        <f t="shared" si="145"/>
        <v>0.4</v>
      </c>
      <c r="O250" s="152">
        <f t="shared" si="145"/>
        <v>0.4</v>
      </c>
      <c r="P250" s="152">
        <f t="shared" si="145"/>
        <v>0.4</v>
      </c>
      <c r="Q250" s="152">
        <f t="shared" si="145"/>
        <v>0.4</v>
      </c>
      <c r="R250" s="152">
        <f t="shared" si="145"/>
        <v>0.4</v>
      </c>
      <c r="S250" s="152">
        <f t="shared" si="145"/>
        <v>0.4</v>
      </c>
      <c r="T250" s="152">
        <f t="shared" si="146"/>
        <v>0.4</v>
      </c>
      <c r="U250" s="152">
        <f t="shared" si="146"/>
        <v>0.4</v>
      </c>
      <c r="V250" s="152">
        <f t="shared" si="146"/>
        <v>0.4</v>
      </c>
      <c r="W250" s="152">
        <f t="shared" si="146"/>
        <v>0.4</v>
      </c>
      <c r="X250" s="152">
        <f t="shared" si="146"/>
        <v>0.4</v>
      </c>
      <c r="Y250" s="152">
        <f t="shared" si="146"/>
        <v>0.4</v>
      </c>
      <c r="Z250" s="152">
        <f t="shared" si="146"/>
        <v>0.4</v>
      </c>
      <c r="AA250" s="152">
        <f t="shared" si="146"/>
        <v>0.4</v>
      </c>
      <c r="AB250" s="152">
        <f t="shared" si="146"/>
        <v>0.4</v>
      </c>
      <c r="AC250" s="152">
        <f t="shared" si="146"/>
        <v>0.4</v>
      </c>
      <c r="AD250" s="152">
        <f t="shared" si="146"/>
        <v>0.4</v>
      </c>
      <c r="AE250" s="152">
        <f t="shared" si="146"/>
        <v>0.4</v>
      </c>
      <c r="AF250" s="152">
        <f t="shared" si="146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44"/>
        <v>1.5</v>
      </c>
      <c r="C251" s="152">
        <v>1.5</v>
      </c>
      <c r="D251" s="152">
        <f t="shared" si="145"/>
        <v>1.5</v>
      </c>
      <c r="E251" s="152">
        <f t="shared" si="145"/>
        <v>1.5</v>
      </c>
      <c r="F251" s="152">
        <f t="shared" si="145"/>
        <v>1.5</v>
      </c>
      <c r="G251" s="152">
        <f t="shared" si="145"/>
        <v>1.5</v>
      </c>
      <c r="H251" s="152">
        <f t="shared" si="145"/>
        <v>1.5</v>
      </c>
      <c r="I251" s="152">
        <f t="shared" si="145"/>
        <v>1.5</v>
      </c>
      <c r="J251" s="152">
        <f t="shared" si="145"/>
        <v>1.5</v>
      </c>
      <c r="K251" s="152">
        <f t="shared" si="145"/>
        <v>1.5</v>
      </c>
      <c r="L251" s="152">
        <f t="shared" si="145"/>
        <v>1.5</v>
      </c>
      <c r="M251" s="152">
        <f t="shared" si="145"/>
        <v>1.5</v>
      </c>
      <c r="N251" s="152">
        <f t="shared" si="145"/>
        <v>1.5</v>
      </c>
      <c r="O251" s="152">
        <f t="shared" si="145"/>
        <v>1.5</v>
      </c>
      <c r="P251" s="152">
        <f t="shared" si="145"/>
        <v>1.5</v>
      </c>
      <c r="Q251" s="152">
        <f t="shared" si="145"/>
        <v>1.5</v>
      </c>
      <c r="R251" s="152">
        <f t="shared" si="145"/>
        <v>1.5</v>
      </c>
      <c r="S251" s="152">
        <f t="shared" si="145"/>
        <v>1.5</v>
      </c>
      <c r="T251" s="152">
        <f t="shared" si="146"/>
        <v>1.5</v>
      </c>
      <c r="U251" s="152">
        <f t="shared" si="146"/>
        <v>1.5</v>
      </c>
      <c r="V251" s="152">
        <f t="shared" si="146"/>
        <v>1.5</v>
      </c>
      <c r="W251" s="152">
        <f t="shared" si="146"/>
        <v>1.5</v>
      </c>
      <c r="X251" s="152">
        <f t="shared" si="146"/>
        <v>1.5</v>
      </c>
      <c r="Y251" s="152">
        <f t="shared" si="146"/>
        <v>1.5</v>
      </c>
      <c r="Z251" s="152">
        <f t="shared" si="146"/>
        <v>1.5</v>
      </c>
      <c r="AA251" s="152">
        <f t="shared" si="146"/>
        <v>1.5</v>
      </c>
      <c r="AB251" s="152">
        <f t="shared" si="146"/>
        <v>1.5</v>
      </c>
      <c r="AC251" s="152">
        <f t="shared" si="146"/>
        <v>1.5</v>
      </c>
      <c r="AD251" s="152">
        <f t="shared" si="146"/>
        <v>1.5</v>
      </c>
      <c r="AE251" s="152">
        <f t="shared" si="146"/>
        <v>1.5</v>
      </c>
      <c r="AF251" s="152">
        <f t="shared" si="146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44"/>
        <v>0.3</v>
      </c>
      <c r="C252" s="152">
        <v>0.3</v>
      </c>
      <c r="D252" s="152">
        <f t="shared" si="145"/>
        <v>0.3</v>
      </c>
      <c r="E252" s="152">
        <f t="shared" si="145"/>
        <v>0.3</v>
      </c>
      <c r="F252" s="152">
        <f t="shared" si="145"/>
        <v>0.3</v>
      </c>
      <c r="G252" s="152">
        <f t="shared" si="145"/>
        <v>0.3</v>
      </c>
      <c r="H252" s="152">
        <f t="shared" si="145"/>
        <v>0.3</v>
      </c>
      <c r="I252" s="152">
        <f t="shared" si="145"/>
        <v>0.3</v>
      </c>
      <c r="J252" s="152">
        <f t="shared" si="145"/>
        <v>0.3</v>
      </c>
      <c r="K252" s="152">
        <f t="shared" si="145"/>
        <v>0.3</v>
      </c>
      <c r="L252" s="152">
        <f t="shared" si="145"/>
        <v>0.3</v>
      </c>
      <c r="M252" s="152">
        <f t="shared" si="145"/>
        <v>0.3</v>
      </c>
      <c r="N252" s="152">
        <f t="shared" si="145"/>
        <v>0.3</v>
      </c>
      <c r="O252" s="152">
        <f t="shared" si="145"/>
        <v>0.3</v>
      </c>
      <c r="P252" s="152">
        <f t="shared" si="145"/>
        <v>0.3</v>
      </c>
      <c r="Q252" s="152">
        <f t="shared" si="145"/>
        <v>0.3</v>
      </c>
      <c r="R252" s="152">
        <f t="shared" si="145"/>
        <v>0.3</v>
      </c>
      <c r="S252" s="152">
        <f t="shared" si="145"/>
        <v>0.3</v>
      </c>
      <c r="T252" s="152">
        <f t="shared" si="146"/>
        <v>0.3</v>
      </c>
      <c r="U252" s="152">
        <f t="shared" si="146"/>
        <v>0.3</v>
      </c>
      <c r="V252" s="152">
        <f t="shared" si="146"/>
        <v>0.3</v>
      </c>
      <c r="W252" s="152">
        <f t="shared" si="146"/>
        <v>0.3</v>
      </c>
      <c r="X252" s="152">
        <f t="shared" si="146"/>
        <v>0.3</v>
      </c>
      <c r="Y252" s="152">
        <f t="shared" si="146"/>
        <v>0.3</v>
      </c>
      <c r="Z252" s="152">
        <f t="shared" si="146"/>
        <v>0.3</v>
      </c>
      <c r="AA252" s="152">
        <f t="shared" si="146"/>
        <v>0.3</v>
      </c>
      <c r="AB252" s="152">
        <f t="shared" si="146"/>
        <v>0.3</v>
      </c>
      <c r="AC252" s="152">
        <f t="shared" si="146"/>
        <v>0.3</v>
      </c>
      <c r="AD252" s="152">
        <f t="shared" si="146"/>
        <v>0.3</v>
      </c>
      <c r="AE252" s="152">
        <f t="shared" si="146"/>
        <v>0.3</v>
      </c>
      <c r="AF252" s="152">
        <f t="shared" si="146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44"/>
        <v>0.4</v>
      </c>
      <c r="C253" s="152">
        <v>0.4</v>
      </c>
      <c r="D253" s="152">
        <f t="shared" si="145"/>
        <v>0.4</v>
      </c>
      <c r="E253" s="152">
        <f t="shared" si="145"/>
        <v>0.4</v>
      </c>
      <c r="F253" s="152">
        <f t="shared" si="145"/>
        <v>0.4</v>
      </c>
      <c r="G253" s="152">
        <f t="shared" si="145"/>
        <v>0.4</v>
      </c>
      <c r="H253" s="152">
        <f t="shared" si="145"/>
        <v>0.4</v>
      </c>
      <c r="I253" s="152">
        <f t="shared" si="145"/>
        <v>0.4</v>
      </c>
      <c r="J253" s="152">
        <f t="shared" si="145"/>
        <v>0.4</v>
      </c>
      <c r="K253" s="152">
        <f t="shared" si="145"/>
        <v>0.4</v>
      </c>
      <c r="L253" s="152">
        <f t="shared" si="145"/>
        <v>0.4</v>
      </c>
      <c r="M253" s="152">
        <f t="shared" si="145"/>
        <v>0.4</v>
      </c>
      <c r="N253" s="152">
        <f t="shared" si="145"/>
        <v>0.4</v>
      </c>
      <c r="O253" s="152">
        <f t="shared" si="145"/>
        <v>0.4</v>
      </c>
      <c r="P253" s="152">
        <f t="shared" si="145"/>
        <v>0.4</v>
      </c>
      <c r="Q253" s="152">
        <f t="shared" si="145"/>
        <v>0.4</v>
      </c>
      <c r="R253" s="152">
        <f t="shared" si="145"/>
        <v>0.4</v>
      </c>
      <c r="S253" s="152">
        <f t="shared" si="145"/>
        <v>0.4</v>
      </c>
      <c r="T253" s="152">
        <f t="shared" si="146"/>
        <v>0.4</v>
      </c>
      <c r="U253" s="152">
        <f t="shared" si="146"/>
        <v>0.4</v>
      </c>
      <c r="V253" s="152">
        <f t="shared" si="146"/>
        <v>0.4</v>
      </c>
      <c r="W253" s="152">
        <f t="shared" si="146"/>
        <v>0.4</v>
      </c>
      <c r="X253" s="152">
        <f t="shared" si="146"/>
        <v>0.4</v>
      </c>
      <c r="Y253" s="152">
        <f t="shared" si="146"/>
        <v>0.4</v>
      </c>
      <c r="Z253" s="152">
        <f t="shared" si="146"/>
        <v>0.4</v>
      </c>
      <c r="AA253" s="152">
        <f t="shared" si="146"/>
        <v>0.4</v>
      </c>
      <c r="AB253" s="152">
        <f t="shared" si="146"/>
        <v>0.4</v>
      </c>
      <c r="AC253" s="152">
        <f t="shared" si="146"/>
        <v>0.4</v>
      </c>
      <c r="AD253" s="152">
        <f t="shared" si="146"/>
        <v>0.4</v>
      </c>
      <c r="AE253" s="152">
        <f t="shared" si="146"/>
        <v>0.4</v>
      </c>
      <c r="AF253" s="152">
        <f t="shared" si="146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44"/>
        <v>0.64</v>
      </c>
      <c r="C254" s="157">
        <v>0.64</v>
      </c>
      <c r="D254" s="157">
        <f t="shared" si="145"/>
        <v>0.64</v>
      </c>
      <c r="E254" s="157">
        <f t="shared" si="145"/>
        <v>0.64</v>
      </c>
      <c r="F254" s="157">
        <f t="shared" si="145"/>
        <v>0.64</v>
      </c>
      <c r="G254" s="157">
        <f t="shared" si="145"/>
        <v>0.64</v>
      </c>
      <c r="H254" s="157">
        <f t="shared" si="145"/>
        <v>0.64</v>
      </c>
      <c r="I254" s="157">
        <f t="shared" si="145"/>
        <v>0.64</v>
      </c>
      <c r="J254" s="157">
        <f t="shared" si="145"/>
        <v>0.64</v>
      </c>
      <c r="K254" s="157">
        <f t="shared" si="145"/>
        <v>0.64</v>
      </c>
      <c r="L254" s="157">
        <f t="shared" si="145"/>
        <v>0.64</v>
      </c>
      <c r="M254" s="157">
        <f t="shared" si="145"/>
        <v>0.64</v>
      </c>
      <c r="N254" s="157">
        <f t="shared" si="145"/>
        <v>0.64</v>
      </c>
      <c r="O254" s="157">
        <f t="shared" si="145"/>
        <v>0.64</v>
      </c>
      <c r="P254" s="157">
        <f t="shared" si="145"/>
        <v>0.64</v>
      </c>
      <c r="Q254" s="157">
        <f t="shared" si="145"/>
        <v>0.64</v>
      </c>
      <c r="R254" s="157">
        <f t="shared" si="145"/>
        <v>0.64</v>
      </c>
      <c r="S254" s="157">
        <f t="shared" si="145"/>
        <v>0.64</v>
      </c>
      <c r="T254" s="157">
        <f t="shared" si="146"/>
        <v>0.64</v>
      </c>
      <c r="U254" s="157">
        <f t="shared" si="146"/>
        <v>0.64</v>
      </c>
      <c r="V254" s="157">
        <f t="shared" si="146"/>
        <v>0.64</v>
      </c>
      <c r="W254" s="157">
        <f t="shared" si="146"/>
        <v>0.64</v>
      </c>
      <c r="X254" s="157">
        <f t="shared" si="146"/>
        <v>0.64</v>
      </c>
      <c r="Y254" s="157">
        <f t="shared" si="146"/>
        <v>0.64</v>
      </c>
      <c r="Z254" s="157">
        <f t="shared" si="146"/>
        <v>0.64</v>
      </c>
      <c r="AA254" s="157">
        <f t="shared" si="146"/>
        <v>0.64</v>
      </c>
      <c r="AB254" s="157">
        <f t="shared" si="146"/>
        <v>0.64</v>
      </c>
      <c r="AC254" s="157">
        <f t="shared" si="146"/>
        <v>0.64</v>
      </c>
      <c r="AD254" s="157">
        <f t="shared" si="146"/>
        <v>0.64</v>
      </c>
      <c r="AE254" s="157">
        <f t="shared" si="146"/>
        <v>0.64</v>
      </c>
      <c r="AF254" s="157">
        <f t="shared" si="146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47">SUM(B249:B254)</f>
        <v>3.54</v>
      </c>
      <c r="C255" s="161">
        <f t="shared" si="147"/>
        <v>3.54</v>
      </c>
      <c r="D255" s="161">
        <f t="shared" si="147"/>
        <v>3.54</v>
      </c>
      <c r="E255" s="161">
        <f t="shared" si="147"/>
        <v>3.54</v>
      </c>
      <c r="F255" s="161">
        <f t="shared" si="147"/>
        <v>3.54</v>
      </c>
      <c r="G255" s="161">
        <f t="shared" si="147"/>
        <v>3.54</v>
      </c>
      <c r="H255" s="161">
        <f t="shared" si="147"/>
        <v>3.54</v>
      </c>
      <c r="I255" s="161">
        <f t="shared" si="147"/>
        <v>3.54</v>
      </c>
      <c r="J255" s="161">
        <f t="shared" si="147"/>
        <v>3.54</v>
      </c>
      <c r="K255" s="161">
        <f t="shared" si="147"/>
        <v>3.54</v>
      </c>
      <c r="L255" s="161">
        <f t="shared" si="147"/>
        <v>3.54</v>
      </c>
      <c r="M255" s="161">
        <f t="shared" si="147"/>
        <v>3.54</v>
      </c>
      <c r="N255" s="161">
        <f t="shared" si="147"/>
        <v>3.54</v>
      </c>
      <c r="O255" s="161">
        <f t="shared" si="147"/>
        <v>3.54</v>
      </c>
      <c r="P255" s="161">
        <f t="shared" si="147"/>
        <v>3.54</v>
      </c>
      <c r="Q255" s="161">
        <f t="shared" si="147"/>
        <v>3.54</v>
      </c>
      <c r="R255" s="161">
        <f t="shared" si="147"/>
        <v>3.54</v>
      </c>
      <c r="S255" s="161">
        <f t="shared" si="147"/>
        <v>3.54</v>
      </c>
      <c r="T255" s="161">
        <f t="shared" si="147"/>
        <v>3.54</v>
      </c>
      <c r="U255" s="161">
        <f t="shared" si="147"/>
        <v>3.54</v>
      </c>
      <c r="V255" s="161">
        <f t="shared" si="147"/>
        <v>3.54</v>
      </c>
      <c r="W255" s="161">
        <f t="shared" si="147"/>
        <v>3.54</v>
      </c>
      <c r="X255" s="161">
        <f t="shared" si="147"/>
        <v>3.54</v>
      </c>
      <c r="Y255" s="161">
        <f t="shared" si="147"/>
        <v>3.54</v>
      </c>
      <c r="Z255" s="161">
        <f t="shared" si="147"/>
        <v>3.54</v>
      </c>
      <c r="AA255" s="161">
        <f t="shared" si="147"/>
        <v>3.54</v>
      </c>
      <c r="AB255" s="161">
        <f t="shared" si="147"/>
        <v>3.54</v>
      </c>
      <c r="AC255" s="161">
        <f t="shared" si="147"/>
        <v>3.54</v>
      </c>
      <c r="AD255" s="161">
        <f t="shared" si="147"/>
        <v>3.54</v>
      </c>
      <c r="AE255" s="161">
        <f t="shared" si="147"/>
        <v>3.54</v>
      </c>
      <c r="AF255" s="161">
        <f t="shared" si="147"/>
        <v>3.54</v>
      </c>
      <c r="AG255" s="171">
        <f t="shared" si="147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2125.2399999999998</v>
      </c>
      <c r="C259" s="174">
        <f>INDEX(G9:N9,1,MATCH(MAX(G102:N102),G102:N102,0))</f>
        <v>0.3125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2080/10/31)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648" priority="80">
      <formula>$AH11=0</formula>
    </cfRule>
  </conditionalFormatting>
  <conditionalFormatting sqref="A89">
    <cfRule type="expression" dxfId="647" priority="138">
      <formula>$AH94=0</formula>
    </cfRule>
  </conditionalFormatting>
  <conditionalFormatting sqref="A90:A94">
    <cfRule type="expression" dxfId="646" priority="81">
      <formula>$AH89=0</formula>
    </cfRule>
  </conditionalFormatting>
  <conditionalFormatting sqref="B8">
    <cfRule type="expression" dxfId="645" priority="134">
      <formula>AND(C$9&gt;=14/24,C$9&lt;20/24)</formula>
    </cfRule>
    <cfRule type="expression" dxfId="644" priority="135">
      <formula>AND(C$9&gt;=8/24,C$9&lt;14/24)</formula>
    </cfRule>
    <cfRule type="expression" dxfId="643" priority="136">
      <formula>C$9&lt;8/24</formula>
    </cfRule>
    <cfRule type="expression" dxfId="642" priority="137">
      <formula>C$9&gt;=20/24</formula>
    </cfRule>
  </conditionalFormatting>
  <conditionalFormatting sqref="B11:O57 P15:Z57 E62:E64 B62:D77 E71:E77 E72:AF77 B80:AF102 B9:AF10 B104:AF120 B122:AF140 B247:AF247 B249:B255">
    <cfRule type="expression" dxfId="641" priority="41">
      <formula>B$9&gt;=20/24</formula>
    </cfRule>
  </conditionalFormatting>
  <conditionalFormatting sqref="B9:AF10 B11:O57 P15:Z57 E62:E64 B62:D77 E71:E77 E72:AF77 B80:AF102 B104:AF120 B122:AF140 B247:AF247 B249:B255">
    <cfRule type="expression" dxfId="640" priority="42">
      <formula>AND(B$9&gt;=14/24,B$9&lt;20/24)</formula>
    </cfRule>
    <cfRule type="expression" dxfId="639" priority="43">
      <formula>AND(B$9&gt;=8/24,B$9&lt;14/24)</formula>
    </cfRule>
    <cfRule type="expression" dxfId="638" priority="44">
      <formula>B$9&lt;8/24</formula>
    </cfRule>
  </conditionalFormatting>
  <conditionalFormatting sqref="B58:AF60">
    <cfRule type="expression" dxfId="637" priority="37">
      <formula>B$9&gt;=20/24</formula>
    </cfRule>
    <cfRule type="expression" dxfId="636" priority="38">
      <formula>AND(B$9&gt;=14/24,B$9&lt;20/24)</formula>
    </cfRule>
    <cfRule type="expression" dxfId="635" priority="39">
      <formula>AND(B$9&gt;=8/24,B$9&lt;14/24)</formula>
    </cfRule>
    <cfRule type="expression" dxfId="634" priority="49">
      <formula>B$9&lt;8/24</formula>
    </cfRule>
  </conditionalFormatting>
  <conditionalFormatting sqref="D249:AF255">
    <cfRule type="expression" dxfId="633" priority="119">
      <formula>D$9&gt;=20/24</formula>
    </cfRule>
    <cfRule type="expression" dxfId="632" priority="120">
      <formula>AND(D$9&gt;=14/24,D$9&lt;20/24)</formula>
    </cfRule>
    <cfRule type="expression" dxfId="631" priority="121">
      <formula>AND(D$9&gt;=8/24,D$9&lt;14/24)</formula>
    </cfRule>
    <cfRule type="expression" dxfId="630" priority="122">
      <formula>D$9&lt;8/24</formula>
    </cfRule>
  </conditionalFormatting>
  <conditionalFormatting sqref="E66:I70 J67:J70 J70:K70">
    <cfRule type="expression" dxfId="629" priority="50">
      <formula>E$9&gt;=20/24</formula>
    </cfRule>
    <cfRule type="expression" dxfId="628" priority="51">
      <formula>AND(E$9&gt;=14/24,E$9&lt;20/24)</formula>
    </cfRule>
    <cfRule type="expression" dxfId="627" priority="52">
      <formula>AND(E$9&gt;=8/24,E$9&lt;14/24)</formula>
    </cfRule>
    <cfRule type="expression" dxfId="626" priority="53">
      <formula>E$9&lt;8/24</formula>
    </cfRule>
  </conditionalFormatting>
  <conditionalFormatting sqref="E11:O60 B11:D83 P15:R60 S15:AF83 AG61 E61:R83 AG65 AG83">
    <cfRule type="expression" dxfId="625" priority="40">
      <formula>B11&gt;$AG11</formula>
    </cfRule>
  </conditionalFormatting>
  <conditionalFormatting sqref="E71:Z71">
    <cfRule type="expression" dxfId="624" priority="45">
      <formula>E$9&gt;=20/24</formula>
    </cfRule>
    <cfRule type="expression" dxfId="623" priority="46">
      <formula>AND(E$9&gt;=14/24,E$9&lt;20/24)</formula>
    </cfRule>
    <cfRule type="expression" dxfId="622" priority="47">
      <formula>AND(E$9&gt;=8/24,E$9&lt;14/24)</formula>
    </cfRule>
    <cfRule type="expression" dxfId="621" priority="48">
      <formula>E$9&lt;8/24</formula>
    </cfRule>
  </conditionalFormatting>
  <conditionalFormatting sqref="E62:AF65">
    <cfRule type="expression" dxfId="620" priority="60">
      <formula>E$9&gt;=20/24</formula>
    </cfRule>
    <cfRule type="expression" dxfId="619" priority="61">
      <formula>AND(E$9&gt;=14/24,E$9&lt;20/24)</formula>
    </cfRule>
    <cfRule type="expression" dxfId="618" priority="62">
      <formula>AND(E$9&gt;=8/24,E$9&lt;14/24)</formula>
    </cfRule>
    <cfRule type="expression" dxfId="617" priority="63">
      <formula>E$9&lt;8/24</formula>
    </cfRule>
  </conditionalFormatting>
  <conditionalFormatting sqref="F66:O68">
    <cfRule type="expression" dxfId="616" priority="72">
      <formula>F$9&gt;=20/24</formula>
    </cfRule>
    <cfRule type="expression" dxfId="615" priority="73">
      <formula>AND(F$9&gt;=14/24,F$9&lt;20/24)</formula>
    </cfRule>
    <cfRule type="expression" dxfId="614" priority="74">
      <formula>AND(F$9&gt;=8/24,F$9&lt;14/24)</formula>
    </cfRule>
    <cfRule type="expression" dxfId="613" priority="75">
      <formula>F$9&lt;8/24</formula>
    </cfRule>
  </conditionalFormatting>
  <conditionalFormatting sqref="M8 S8 AB8">
    <cfRule type="expression" dxfId="612" priority="126">
      <formula>AND(N$9&gt;=14/24,N$9&lt;20/24)</formula>
    </cfRule>
    <cfRule type="expression" dxfId="611" priority="127">
      <formula>AND(N$9&gt;=8/24,N$9&lt;14/24)</formula>
    </cfRule>
    <cfRule type="expression" dxfId="610" priority="128">
      <formula>N$9&lt;8/24</formula>
    </cfRule>
  </conditionalFormatting>
  <conditionalFormatting sqref="M66:Z70">
    <cfRule type="expression" dxfId="609" priority="76">
      <formula>M$9&gt;=20/24</formula>
    </cfRule>
    <cfRule type="expression" dxfId="608" priority="77">
      <formula>AND(M$9&gt;=14/24,M$9&lt;20/24)</formula>
    </cfRule>
    <cfRule type="expression" dxfId="607" priority="78">
      <formula>AND(M$9&gt;=8/24,M$9&lt;14/24)</formula>
    </cfRule>
    <cfRule type="expression" dxfId="606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P11:Z14 AA11:AF57">
    <cfRule type="expression" dxfId="605" priority="55">
      <formula>P$9&gt;=20/24</formula>
    </cfRule>
    <cfRule type="expression" dxfId="604" priority="56">
      <formula>AND(P$9&gt;=14/24,P$9&lt;20/24)</formula>
    </cfRule>
    <cfRule type="expression" dxfId="603" priority="57">
      <formula>AND(P$9&gt;=8/24,P$9&lt;14/24)</formula>
    </cfRule>
    <cfRule type="expression" dxfId="602" priority="58">
      <formula>P$9&lt;8/24</formula>
    </cfRule>
  </conditionalFormatting>
  <conditionalFormatting sqref="P11:AF14">
    <cfRule type="expression" dxfId="601" priority="54">
      <formula>P11&gt;$AG11</formula>
    </cfRule>
  </conditionalFormatting>
  <conditionalFormatting sqref="S8 AB8 M8">
    <cfRule type="expression" dxfId="600" priority="125">
      <formula>N$9&gt;=20/24</formula>
    </cfRule>
  </conditionalFormatting>
  <conditionalFormatting sqref="S8">
    <cfRule type="expression" dxfId="599" priority="112">
      <formula>U$9&gt;=20/24</formula>
    </cfRule>
    <cfRule type="expression" dxfId="598" priority="113">
      <formula>AND(U$9&gt;=14/24,U$9&lt;20/24)</formula>
    </cfRule>
    <cfRule type="expression" dxfId="597" priority="114">
      <formula>AND(U$9&gt;=8/24,U$9&lt;14/24)</formula>
    </cfRule>
    <cfRule type="expression" dxfId="596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A66:AF71">
    <cfRule type="expression" dxfId="595" priority="64">
      <formula>AA$9&gt;=20/24</formula>
    </cfRule>
    <cfRule type="expression" dxfId="594" priority="65">
      <formula>AND(AA$9&gt;=14/24,AA$9&lt;20/24)</formula>
    </cfRule>
    <cfRule type="expression" dxfId="593" priority="66">
      <formula>AND(AA$9&gt;=8/24,AA$9&lt;14/24)</formula>
    </cfRule>
    <cfRule type="expression" dxfId="592" priority="67">
      <formula>AA$9&lt;8/24</formula>
    </cfRule>
  </conditionalFormatting>
  <conditionalFormatting sqref="AB8">
    <cfRule type="expression" dxfId="591" priority="108">
      <formula>AD$9&gt;=20/24</formula>
    </cfRule>
    <cfRule type="expression" dxfId="590" priority="109">
      <formula>AND(AD$9&gt;=14/24,AD$9&lt;20/24)</formula>
    </cfRule>
    <cfRule type="expression" dxfId="589" priority="110">
      <formula>AND(AD$9&gt;=8/24,AD$9&lt;14/24)</formula>
    </cfRule>
    <cfRule type="expression" dxfId="588" priority="111">
      <formula>AD$9&lt;8/24</formula>
    </cfRule>
  </conditionalFormatting>
  <conditionalFormatting sqref="AG65">
    <cfRule type="expression" dxfId="587" priority="87">
      <formula>AG$9&gt;=20/24</formula>
    </cfRule>
    <cfRule type="expression" dxfId="586" priority="88">
      <formula>AND(AG$9&gt;=14/24,AG$9&lt;20/24)</formula>
    </cfRule>
    <cfRule type="expression" dxfId="585" priority="89">
      <formula>AND(AG$9&gt;=8/24,AG$9&lt;14/24)</formula>
    </cfRule>
    <cfRule type="expression" dxfId="584" priority="90">
      <formula>AG$9&lt;8/24</formula>
    </cfRule>
  </conditionalFormatting>
  <conditionalFormatting sqref="AG78:AG79">
    <cfRule type="expression" dxfId="583" priority="82">
      <formula>AG78&gt;$AG78</formula>
    </cfRule>
  </conditionalFormatting>
  <conditionalFormatting sqref="AG83">
    <cfRule type="expression" dxfId="582" priority="83">
      <formula>AG$9&gt;=20/24</formula>
    </cfRule>
    <cfRule type="expression" dxfId="581" priority="84">
      <formula>AND(AG$9&gt;=14/24,AG$9&lt;20/24)</formula>
    </cfRule>
    <cfRule type="expression" dxfId="580" priority="85">
      <formula>AND(AG$9&gt;=8/24,AG$9&lt;14/24)</formula>
    </cfRule>
    <cfRule type="expression" dxfId="579" priority="86">
      <formula>AG$9&lt;8/24</formula>
    </cfRule>
  </conditionalFormatting>
  <conditionalFormatting sqref="AG100">
    <cfRule type="expression" dxfId="578" priority="104">
      <formula>AG$9&gt;=20/24</formula>
    </cfRule>
    <cfRule type="expression" dxfId="577" priority="105">
      <formula>AND(AG$9&gt;=14/24,AG$9&lt;20/24)</formula>
    </cfRule>
    <cfRule type="expression" dxfId="576" priority="106">
      <formula>AND(AG$9&gt;=8/24,AG$9&lt;14/24)</formula>
    </cfRule>
    <cfRule type="expression" dxfId="575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574" priority="129">
      <formula>AJ$9&gt;=20/24</formula>
    </cfRule>
    <cfRule type="expression" dxfId="573" priority="130">
      <formula>AND(AJ$9&gt;=14/24,AJ$9&lt;20/24)</formula>
    </cfRule>
    <cfRule type="expression" dxfId="572" priority="131">
      <formula>AND(AJ$9&gt;=8/24,AJ$9&lt;14/24)</formula>
    </cfRule>
    <cfRule type="expression" dxfId="571" priority="132">
      <formula>AJ$9&lt;8/24</formula>
    </cfRule>
  </conditionalFormatting>
  <conditionalFormatting sqref="AL86:AN86 AL92:AN92">
    <cfRule type="expression" dxfId="570" priority="97">
      <formula>AL$9&gt;=20/24</formula>
    </cfRule>
    <cfRule type="expression" dxfId="569" priority="98">
      <formula>AND(AL$9&gt;=14/24,AL$9&lt;20/24)</formula>
    </cfRule>
    <cfRule type="expression" dxfId="568" priority="99">
      <formula>AND(AL$9&gt;=8/24,AL$9&lt;14/24)</formula>
    </cfRule>
    <cfRule type="expression" dxfId="567" priority="100">
      <formula>AL$9&lt;8/24</formula>
    </cfRule>
  </conditionalFormatting>
  <conditionalFormatting sqref="AM15:AM21 AN16:AR21">
    <cfRule type="expression" dxfId="566" priority="13">
      <formula>AX$9&gt;=20/24</formula>
    </cfRule>
    <cfRule type="expression" dxfId="565" priority="14">
      <formula>AND(AX$9&gt;=14/24,AX$9&lt;20/24)</formula>
    </cfRule>
    <cfRule type="expression" dxfId="564" priority="15">
      <formula>AND(AX$9&gt;=8/24,AX$9&lt;14/24)</formula>
    </cfRule>
    <cfRule type="expression" dxfId="563" priority="16">
      <formula>AX$9&lt;8/24</formula>
    </cfRule>
  </conditionalFormatting>
  <conditionalFormatting sqref="AN87:AN90">
    <cfRule type="expression" dxfId="562" priority="93">
      <formula>AN$9&gt;=20/24</formula>
    </cfRule>
    <cfRule type="expression" dxfId="561" priority="94">
      <formula>AND(AN$9&gt;=14/24,AN$9&lt;20/24)</formula>
    </cfRule>
    <cfRule type="expression" dxfId="560" priority="95">
      <formula>AND(AN$9&gt;=8/24,AN$9&lt;14/24)</formula>
    </cfRule>
    <cfRule type="expression" dxfId="559" priority="96">
      <formula>AN$9&lt;8/24</formula>
    </cfRule>
  </conditionalFormatting>
  <conditionalFormatting sqref="AN15:AR15">
    <cfRule type="expression" dxfId="558" priority="1">
      <formula>U$9&gt;=20/24</formula>
    </cfRule>
    <cfRule type="expression" dxfId="557" priority="2">
      <formula>AND(U$9&gt;=14/24,U$9&lt;20/24)</formula>
    </cfRule>
    <cfRule type="expression" dxfId="556" priority="3">
      <formula>AND(U$9&gt;=8/24,U$9&lt;14/24)</formula>
    </cfRule>
    <cfRule type="expression" dxfId="555" priority="4">
      <formula>U$9&lt;8/24</formula>
    </cfRule>
  </conditionalFormatting>
  <conditionalFormatting sqref="AS15">
    <cfRule type="expression" dxfId="554" priority="9">
      <formula>AA$9&gt;=20/24</formula>
    </cfRule>
    <cfRule type="expression" dxfId="553" priority="10">
      <formula>AND(AA$9&gt;=14/24,AA$9&lt;20/24)</formula>
    </cfRule>
    <cfRule type="expression" dxfId="552" priority="11">
      <formula>AND(AA$9&gt;=8/24,AA$9&lt;14/24)</formula>
    </cfRule>
    <cfRule type="expression" dxfId="551" priority="12">
      <formula>AA$9&lt;8/24</formula>
    </cfRule>
  </conditionalFormatting>
  <conditionalFormatting sqref="AS16:AS21">
    <cfRule type="expression" dxfId="550" priority="17">
      <formula>BE$9&gt;=20/24</formula>
    </cfRule>
    <cfRule type="expression" dxfId="549" priority="18">
      <formula>AND(BE$9&gt;=14/24,BE$9&lt;20/24)</formula>
    </cfRule>
    <cfRule type="expression" dxfId="548" priority="19">
      <formula>AND(BE$9&gt;=8/24,BE$9&lt;14/24)</formula>
    </cfRule>
    <cfRule type="expression" dxfId="547" priority="20">
      <formula>BE$9&lt;8/24</formula>
    </cfRule>
  </conditionalFormatting>
  <conditionalFormatting sqref="AT15 AX15:BJ15">
    <cfRule type="expression" dxfId="546" priority="21">
      <formula>AC$9&gt;=20/24</formula>
    </cfRule>
    <cfRule type="expression" dxfId="545" priority="22">
      <formula>AND(AC$9&gt;=14/24,AC$9&lt;20/24)</formula>
    </cfRule>
    <cfRule type="expression" dxfId="544" priority="23">
      <formula>AND(AC$9&gt;=8/24,AC$9&lt;14/24)</formula>
    </cfRule>
    <cfRule type="expression" dxfId="543" priority="24">
      <formula>AC$9&lt;8/24</formula>
    </cfRule>
  </conditionalFormatting>
  <conditionalFormatting sqref="AT16:AT21">
    <cfRule type="expression" dxfId="542" priority="25">
      <formula>BG$9&gt;=20/24</formula>
    </cfRule>
    <cfRule type="expression" dxfId="541" priority="26">
      <formula>AND(BG$9&gt;=14/24,BG$9&lt;20/24)</formula>
    </cfRule>
    <cfRule type="expression" dxfId="540" priority="27">
      <formula>AND(BG$9&gt;=8/24,BG$9&lt;14/24)</formula>
    </cfRule>
    <cfRule type="expression" dxfId="539" priority="28">
      <formula>BG$9&lt;8/24</formula>
    </cfRule>
  </conditionalFormatting>
  <conditionalFormatting sqref="AU15:AV15">
    <cfRule type="expression" dxfId="538" priority="29">
      <formula>AE$9&gt;=20/24</formula>
    </cfRule>
    <cfRule type="expression" dxfId="537" priority="30">
      <formula>AND(AE$9&gt;=14/24,AE$9&lt;20/24)</formula>
    </cfRule>
    <cfRule type="expression" dxfId="536" priority="31">
      <formula>AND(AE$9&gt;=8/24,AE$9&lt;14/24)</formula>
    </cfRule>
    <cfRule type="expression" dxfId="535" priority="32">
      <formula>AE$9&lt;8/24</formula>
    </cfRule>
  </conditionalFormatting>
  <conditionalFormatting sqref="AU16:BJ21">
    <cfRule type="expression" dxfId="534" priority="33">
      <formula>BI$9&gt;=20/24</formula>
    </cfRule>
    <cfRule type="expression" dxfId="533" priority="34">
      <formula>AND(BI$9&gt;=14/24,BI$9&lt;20/24)</formula>
    </cfRule>
    <cfRule type="expression" dxfId="532" priority="35">
      <formula>AND(BI$9&gt;=8/24,BI$9&lt;14/24)</formula>
    </cfRule>
    <cfRule type="expression" dxfId="531" priority="36">
      <formula>BI$9&lt;8/24</formula>
    </cfRule>
  </conditionalFormatting>
  <conditionalFormatting sqref="AW15">
    <cfRule type="expression" dxfId="530" priority="5">
      <formula>B$9&gt;=20/24</formula>
    </cfRule>
    <cfRule type="expression" dxfId="529" priority="6">
      <formula>AND(B$9&gt;=14/24,B$9&lt;20/24)</formula>
    </cfRule>
    <cfRule type="expression" dxfId="528" priority="7">
      <formula>AND(B$9&gt;=8/24,B$9&lt;14/24)</formula>
    </cfRule>
    <cfRule type="expression" dxfId="527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7DA2-20E5-48CF-B21C-3D5EB321520C}">
  <dimension ref="A1:CJ297"/>
  <sheetViews>
    <sheetView tabSelected="1" zoomScale="106" workbookViewId="0">
      <pane xSplit="1" ySplit="10" topLeftCell="B40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B86" sqref="AB86:AE8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str">
        <f ca="1">"2080/"&amp;"10/"&amp;INT(MID(CELL("filename",D6),FIND("]",CELL("filename",D6))+1,200))</f>
        <v>2080/10/32</v>
      </c>
      <c r="C4" s="187"/>
      <c r="D4" s="187"/>
      <c r="E4" s="188" t="str">
        <f ca="1">"2080/"&amp;"10/"&amp;INT(MID(CELL("filename",G6),FIND("]",CELL("filename",G6))+1,200))</f>
        <v>2080/10/32</v>
      </c>
      <c r="F4" s="188"/>
      <c r="G4" s="188"/>
      <c r="H4" s="188" t="str">
        <f ca="1">TEXT(E4,"dddd")</f>
        <v>2080/10/32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17.899999999999999</v>
      </c>
      <c r="C5" s="30">
        <f t="shared" si="0"/>
        <v>16.899999999999999</v>
      </c>
      <c r="D5" s="30">
        <f t="shared" si="0"/>
        <v>16.2</v>
      </c>
      <c r="E5" s="30">
        <f t="shared" si="0"/>
        <v>16.100000000000001</v>
      </c>
      <c r="F5" s="30">
        <f t="shared" si="0"/>
        <v>13</v>
      </c>
      <c r="G5" s="30">
        <f t="shared" si="0"/>
        <v>8</v>
      </c>
      <c r="H5" s="30">
        <f t="shared" si="0"/>
        <v>12</v>
      </c>
      <c r="I5" s="30">
        <f t="shared" si="0"/>
        <v>39</v>
      </c>
      <c r="J5" s="30">
        <f t="shared" si="0"/>
        <v>50</v>
      </c>
      <c r="K5" s="30">
        <f t="shared" si="0"/>
        <v>50</v>
      </c>
      <c r="L5" s="30">
        <f t="shared" si="0"/>
        <v>219.6</v>
      </c>
      <c r="M5" s="30">
        <f t="shared" si="0"/>
        <v>243.4</v>
      </c>
      <c r="N5" s="30">
        <f t="shared" si="0"/>
        <v>295.5</v>
      </c>
      <c r="O5" s="30">
        <f t="shared" si="0"/>
        <v>256.3</v>
      </c>
      <c r="P5" s="30">
        <f t="shared" si="0"/>
        <v>262</v>
      </c>
      <c r="Q5" s="30">
        <f t="shared" si="0"/>
        <v>258.10000000000002</v>
      </c>
      <c r="R5" s="30">
        <f t="shared" si="0"/>
        <v>252.5</v>
      </c>
      <c r="S5" s="30">
        <f t="shared" si="0"/>
        <v>239.8</v>
      </c>
      <c r="T5" s="30">
        <f t="shared" si="0"/>
        <v>244.3</v>
      </c>
      <c r="U5" s="30">
        <f t="shared" si="0"/>
        <v>250.09999999999997</v>
      </c>
      <c r="V5" s="30">
        <f t="shared" si="0"/>
        <v>223.6</v>
      </c>
      <c r="W5" s="30">
        <f t="shared" si="0"/>
        <v>191.8</v>
      </c>
      <c r="X5" s="30">
        <f t="shared" si="0"/>
        <v>18</v>
      </c>
      <c r="Y5" s="30">
        <f t="shared" si="0"/>
        <v>20.2</v>
      </c>
      <c r="Z5" s="30">
        <f t="shared" si="0"/>
        <v>58</v>
      </c>
      <c r="AA5" s="30">
        <f t="shared" si="0"/>
        <v>58</v>
      </c>
      <c r="AB5" s="30">
        <f t="shared" si="0"/>
        <v>53</v>
      </c>
      <c r="AC5" s="30">
        <f t="shared" si="0"/>
        <v>53</v>
      </c>
      <c r="AD5" s="30">
        <f t="shared" si="0"/>
        <v>35</v>
      </c>
      <c r="AE5" s="30">
        <f t="shared" si="0"/>
        <v>33</v>
      </c>
      <c r="AF5" s="30">
        <f>B95</f>
        <v>16.600000000000001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2059MW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Load=1404</v>
      </c>
      <c r="B7" s="35">
        <f t="shared" ref="B7:AF7" si="1">B103</f>
        <v>1777.25</v>
      </c>
      <c r="C7" s="35">
        <f t="shared" si="1"/>
        <v>1725.25</v>
      </c>
      <c r="D7" s="35">
        <f t="shared" si="1"/>
        <v>1640.95</v>
      </c>
      <c r="E7" s="35">
        <f t="shared" si="1"/>
        <v>1500.45</v>
      </c>
      <c r="F7" s="35">
        <f t="shared" si="1"/>
        <v>1527.6399999999999</v>
      </c>
      <c r="G7" s="35">
        <f t="shared" si="1"/>
        <v>1443.04</v>
      </c>
      <c r="H7" s="35">
        <f t="shared" si="1"/>
        <v>1404.04</v>
      </c>
      <c r="I7" s="35">
        <f t="shared" si="1"/>
        <v>1451.04</v>
      </c>
      <c r="J7" s="35">
        <f t="shared" si="1"/>
        <v>1427.24</v>
      </c>
      <c r="K7" s="35">
        <f t="shared" si="1"/>
        <v>1562.24</v>
      </c>
      <c r="L7" s="35">
        <f t="shared" si="1"/>
        <v>1562.24</v>
      </c>
      <c r="M7" s="35">
        <f t="shared" si="1"/>
        <v>1728.44</v>
      </c>
      <c r="N7" s="35">
        <f t="shared" si="1"/>
        <v>1725.0400000000002</v>
      </c>
      <c r="O7" s="35">
        <f t="shared" si="1"/>
        <v>1899.2399999999998</v>
      </c>
      <c r="P7" s="35">
        <f t="shared" si="1"/>
        <v>1856.2400000000002</v>
      </c>
      <c r="Q7" s="35">
        <f t="shared" si="1"/>
        <v>1875.1399999999999</v>
      </c>
      <c r="R7" s="35">
        <f t="shared" si="1"/>
        <v>1939.3400000000001</v>
      </c>
      <c r="S7" s="35">
        <f t="shared" si="1"/>
        <v>2014.74</v>
      </c>
      <c r="T7" s="35">
        <f t="shared" si="1"/>
        <v>1955.6400000000003</v>
      </c>
      <c r="U7" s="35">
        <f t="shared" si="1"/>
        <v>1968.44</v>
      </c>
      <c r="V7" s="35">
        <f t="shared" si="1"/>
        <v>1796.74</v>
      </c>
      <c r="W7" s="35">
        <f t="shared" si="1"/>
        <v>1734.9399999999998</v>
      </c>
      <c r="X7" s="35">
        <f t="shared" si="1"/>
        <v>1669.24</v>
      </c>
      <c r="Y7" s="35">
        <f t="shared" si="1"/>
        <v>1697.3</v>
      </c>
      <c r="Z7" s="35">
        <f t="shared" si="1"/>
        <v>1735.6</v>
      </c>
      <c r="AA7" s="35">
        <f t="shared" si="1"/>
        <v>1917.94</v>
      </c>
      <c r="AB7" s="35">
        <f t="shared" si="1"/>
        <v>1927.94</v>
      </c>
      <c r="AC7" s="35">
        <f t="shared" si="1"/>
        <v>1914.94</v>
      </c>
      <c r="AD7" s="35">
        <f t="shared" si="1"/>
        <v>1895.8400000000001</v>
      </c>
      <c r="AE7" s="35">
        <f t="shared" si="1"/>
        <v>1809.44</v>
      </c>
      <c r="AF7" s="35">
        <f t="shared" si="1"/>
        <v>1736.44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2163.44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2014.74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32.1</v>
      </c>
      <c r="C11" s="46">
        <v>32.1</v>
      </c>
      <c r="D11" s="46">
        <v>31.3</v>
      </c>
      <c r="E11" s="46">
        <v>36.5</v>
      </c>
      <c r="F11" s="46">
        <v>60</v>
      </c>
      <c r="G11" s="46">
        <v>84</v>
      </c>
      <c r="H11" s="46">
        <v>84</v>
      </c>
      <c r="I11" s="46">
        <v>84</v>
      </c>
      <c r="J11" s="46">
        <v>84</v>
      </c>
      <c r="K11" s="46">
        <v>84</v>
      </c>
      <c r="L11" s="46">
        <v>84</v>
      </c>
      <c r="M11" s="46">
        <v>55.1</v>
      </c>
      <c r="N11" s="46">
        <v>25.2</v>
      </c>
      <c r="O11" s="46">
        <v>40.9</v>
      </c>
      <c r="P11" s="46">
        <v>58.8</v>
      </c>
      <c r="Q11" s="46">
        <v>43.7</v>
      </c>
      <c r="R11" s="46">
        <v>44</v>
      </c>
      <c r="S11" s="46">
        <v>44</v>
      </c>
      <c r="T11" s="46">
        <v>39.200000000000003</v>
      </c>
      <c r="U11" s="46">
        <v>31.9</v>
      </c>
      <c r="V11" s="46">
        <v>33.4</v>
      </c>
      <c r="W11" s="46">
        <v>33.4</v>
      </c>
      <c r="X11" s="46">
        <v>33.4</v>
      </c>
      <c r="Y11" s="46">
        <v>33.4</v>
      </c>
      <c r="Z11" s="46">
        <v>34.299999999999997</v>
      </c>
      <c r="AA11" s="46">
        <v>34.299999999999997</v>
      </c>
      <c r="AB11" s="46">
        <v>34.299999999999997</v>
      </c>
      <c r="AC11" s="46">
        <v>34.299999999999997</v>
      </c>
      <c r="AD11" s="46">
        <v>34.299999999999997</v>
      </c>
      <c r="AE11" s="46">
        <v>34.299999999999997</v>
      </c>
      <c r="AF11" s="46">
        <v>34.299999999999997</v>
      </c>
      <c r="AG11" s="47">
        <v>86</v>
      </c>
      <c r="AH11" s="48">
        <f t="shared" ref="AH11:AH74" si="2">MAX(B11:AF11)</f>
        <v>84</v>
      </c>
      <c r="AI11" s="49">
        <f t="shared" ref="AI11:AI74" si="3">MIN(B11:AF11)</f>
        <v>25.2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43.1</v>
      </c>
      <c r="C12" s="46">
        <v>43.1</v>
      </c>
      <c r="D12" s="46">
        <v>41.2</v>
      </c>
      <c r="E12" s="46">
        <v>41.2</v>
      </c>
      <c r="F12" s="46">
        <v>41.2</v>
      </c>
      <c r="G12" s="46">
        <v>41.2</v>
      </c>
      <c r="H12" s="46">
        <v>41.2</v>
      </c>
      <c r="I12" s="46">
        <v>41.2</v>
      </c>
      <c r="J12" s="46">
        <v>41.2</v>
      </c>
      <c r="K12" s="46">
        <v>41.2</v>
      </c>
      <c r="L12" s="46">
        <v>41.2</v>
      </c>
      <c r="M12" s="46">
        <v>41.2</v>
      </c>
      <c r="N12" s="46">
        <v>41</v>
      </c>
      <c r="O12" s="46">
        <v>41</v>
      </c>
      <c r="P12" s="46">
        <v>41</v>
      </c>
      <c r="Q12" s="46">
        <v>41</v>
      </c>
      <c r="R12" s="46">
        <v>41</v>
      </c>
      <c r="S12" s="46">
        <v>41</v>
      </c>
      <c r="T12" s="46">
        <v>41</v>
      </c>
      <c r="U12" s="46">
        <v>41</v>
      </c>
      <c r="V12" s="46">
        <v>41</v>
      </c>
      <c r="W12" s="46">
        <v>41</v>
      </c>
      <c r="X12" s="46">
        <v>41</v>
      </c>
      <c r="Y12" s="46">
        <v>41</v>
      </c>
      <c r="Z12" s="46">
        <v>51</v>
      </c>
      <c r="AA12" s="46">
        <v>51</v>
      </c>
      <c r="AB12" s="46">
        <v>51</v>
      </c>
      <c r="AC12" s="46">
        <v>51</v>
      </c>
      <c r="AD12" s="46">
        <v>51</v>
      </c>
      <c r="AE12" s="46">
        <v>51</v>
      </c>
      <c r="AF12" s="46">
        <v>51</v>
      </c>
      <c r="AG12" s="50">
        <v>77</v>
      </c>
      <c r="AH12" s="48">
        <f t="shared" si="2"/>
        <v>51</v>
      </c>
      <c r="AI12" s="49">
        <f t="shared" si="3"/>
        <v>41</v>
      </c>
      <c r="AK12" s="51"/>
      <c r="AL12" s="52" t="str">
        <f ca="1">MID(CELL("filename",C7),FIND("]",CELL("filename",C7))+1,600)</f>
        <v>32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str">
        <f ca="1">"Daily Load Curve(Excluding of Export) of Nepal ("&amp;A4&amp;" "&amp;B4&amp;")"</f>
        <v>Daily Load Curve(Excluding of Export) of Nepal (Nepali Date: 2080/10/32)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40.9</v>
      </c>
      <c r="C14" s="46">
        <v>40.9</v>
      </c>
      <c r="D14" s="46">
        <v>40.9</v>
      </c>
      <c r="E14" s="46">
        <v>40.9</v>
      </c>
      <c r="F14" s="46">
        <v>40.9</v>
      </c>
      <c r="G14" s="46">
        <v>40.9</v>
      </c>
      <c r="H14" s="46">
        <v>40.9</v>
      </c>
      <c r="I14" s="46">
        <v>40.9</v>
      </c>
      <c r="J14" s="46">
        <v>40.9</v>
      </c>
      <c r="K14" s="46">
        <v>40.9</v>
      </c>
      <c r="L14" s="46">
        <v>40.9</v>
      </c>
      <c r="M14" s="46">
        <v>40.9</v>
      </c>
      <c r="N14" s="46">
        <v>40.799999999999997</v>
      </c>
      <c r="O14" s="46">
        <v>40.799999999999997</v>
      </c>
      <c r="P14" s="46">
        <v>40.799999999999997</v>
      </c>
      <c r="Q14" s="46">
        <v>40.799999999999997</v>
      </c>
      <c r="R14" s="46">
        <v>40.799999999999997</v>
      </c>
      <c r="S14" s="46">
        <v>40.799999999999997</v>
      </c>
      <c r="T14" s="46">
        <v>40.799999999999997</v>
      </c>
      <c r="U14" s="46">
        <v>40.799999999999997</v>
      </c>
      <c r="V14" s="46">
        <v>40.799999999999997</v>
      </c>
      <c r="W14" s="46">
        <v>40.799999999999997</v>
      </c>
      <c r="X14" s="46">
        <v>40.799999999999997</v>
      </c>
      <c r="Y14" s="46">
        <v>40.799999999999997</v>
      </c>
      <c r="Z14" s="46">
        <v>41</v>
      </c>
      <c r="AA14" s="46">
        <v>41</v>
      </c>
      <c r="AB14" s="46">
        <v>41</v>
      </c>
      <c r="AC14" s="46">
        <v>41</v>
      </c>
      <c r="AD14" s="46">
        <v>41</v>
      </c>
      <c r="AE14" s="46">
        <v>41</v>
      </c>
      <c r="AF14" s="46">
        <v>41</v>
      </c>
      <c r="AG14" s="50">
        <v>71</v>
      </c>
      <c r="AH14" s="48">
        <f t="shared" si="2"/>
        <v>41</v>
      </c>
      <c r="AI14" s="49">
        <f t="shared" si="3"/>
        <v>40.799999999999997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27.1</v>
      </c>
      <c r="C15" s="46">
        <v>34</v>
      </c>
      <c r="D15" s="46">
        <v>27.8</v>
      </c>
      <c r="E15" s="46">
        <v>27.8</v>
      </c>
      <c r="F15" s="46">
        <v>27.8</v>
      </c>
      <c r="G15" s="46">
        <v>27.8</v>
      </c>
      <c r="H15" s="46">
        <v>27.8</v>
      </c>
      <c r="I15" s="46">
        <v>27.8</v>
      </c>
      <c r="J15" s="46">
        <v>27.8</v>
      </c>
      <c r="K15" s="46">
        <v>27.8</v>
      </c>
      <c r="L15" s="46">
        <v>27.8</v>
      </c>
      <c r="M15" s="46">
        <v>27.8</v>
      </c>
      <c r="N15" s="46">
        <v>27.8</v>
      </c>
      <c r="O15" s="46">
        <v>27.8</v>
      </c>
      <c r="P15" s="46">
        <v>27.8</v>
      </c>
      <c r="Q15" s="46">
        <v>27.8</v>
      </c>
      <c r="R15" s="46">
        <v>27.8</v>
      </c>
      <c r="S15" s="46">
        <v>27.8</v>
      </c>
      <c r="T15" s="46">
        <v>27.8</v>
      </c>
      <c r="U15" s="46">
        <v>27.8</v>
      </c>
      <c r="V15" s="46">
        <v>27.8</v>
      </c>
      <c r="W15" s="46">
        <v>27.8</v>
      </c>
      <c r="X15" s="46">
        <v>27.8</v>
      </c>
      <c r="Y15" s="46">
        <v>27.8</v>
      </c>
      <c r="Z15" s="46">
        <v>27.8</v>
      </c>
      <c r="AA15" s="46">
        <v>27.8</v>
      </c>
      <c r="AB15" s="46">
        <v>27.8</v>
      </c>
      <c r="AC15" s="46">
        <v>27.8</v>
      </c>
      <c r="AD15" s="46">
        <v>27.8</v>
      </c>
      <c r="AE15" s="46">
        <v>27.8</v>
      </c>
      <c r="AF15" s="46">
        <v>27.8</v>
      </c>
      <c r="AG15" s="50">
        <v>54</v>
      </c>
      <c r="AH15" s="48">
        <f t="shared" si="2"/>
        <v>34</v>
      </c>
      <c r="AI15" s="49">
        <f t="shared" si="3"/>
        <v>27.1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27.2</v>
      </c>
      <c r="C16" s="46">
        <v>27.1</v>
      </c>
      <c r="D16" s="46">
        <v>27.1</v>
      </c>
      <c r="E16" s="46">
        <v>27.1</v>
      </c>
      <c r="F16" s="46">
        <v>27.1</v>
      </c>
      <c r="G16" s="46">
        <v>27.1</v>
      </c>
      <c r="H16" s="46">
        <v>27.1</v>
      </c>
      <c r="I16" s="46">
        <v>27.1</v>
      </c>
      <c r="J16" s="46">
        <v>27.1</v>
      </c>
      <c r="K16" s="46">
        <v>27.1</v>
      </c>
      <c r="L16" s="46">
        <v>27.1</v>
      </c>
      <c r="M16" s="46">
        <v>27.1</v>
      </c>
      <c r="N16" s="46">
        <v>27.1</v>
      </c>
      <c r="O16" s="46">
        <v>27.1</v>
      </c>
      <c r="P16" s="46">
        <v>27.1</v>
      </c>
      <c r="Q16" s="46">
        <v>27.1</v>
      </c>
      <c r="R16" s="46">
        <v>27.1</v>
      </c>
      <c r="S16" s="46">
        <v>27.1</v>
      </c>
      <c r="T16" s="46">
        <v>27.1</v>
      </c>
      <c r="U16" s="46">
        <v>27.1</v>
      </c>
      <c r="V16" s="46">
        <v>27.1</v>
      </c>
      <c r="W16" s="46">
        <v>27.1</v>
      </c>
      <c r="X16" s="46">
        <v>27.1</v>
      </c>
      <c r="Y16" s="46">
        <v>27.1</v>
      </c>
      <c r="Z16" s="46">
        <v>27.1</v>
      </c>
      <c r="AA16" s="46">
        <v>27.1</v>
      </c>
      <c r="AB16" s="46">
        <v>27.1</v>
      </c>
      <c r="AC16" s="46">
        <v>27.1</v>
      </c>
      <c r="AD16" s="46">
        <v>0</v>
      </c>
      <c r="AE16" s="46">
        <v>0</v>
      </c>
      <c r="AF16" s="46">
        <v>0</v>
      </c>
      <c r="AG16" s="50">
        <v>54</v>
      </c>
      <c r="AH16" s="48">
        <f t="shared" si="2"/>
        <v>27.2</v>
      </c>
      <c r="AI16" s="49">
        <f t="shared" si="3"/>
        <v>0</v>
      </c>
      <c r="AK16" s="51"/>
      <c r="AL16" s="54" t="s">
        <v>7</v>
      </c>
      <c r="AM16" s="59">
        <f t="shared" ref="AM16:AR16" si="4">B61</f>
        <v>842.6</v>
      </c>
      <c r="AN16" s="59">
        <f t="shared" si="4"/>
        <v>848.4</v>
      </c>
      <c r="AO16" s="59">
        <f t="shared" si="4"/>
        <v>850.8</v>
      </c>
      <c r="AP16" s="59">
        <f t="shared" si="4"/>
        <v>856</v>
      </c>
      <c r="AQ16" s="59">
        <f t="shared" si="4"/>
        <v>879.49999999999989</v>
      </c>
      <c r="AR16" s="59">
        <f t="shared" si="4"/>
        <v>931.2</v>
      </c>
      <c r="AS16" s="59">
        <f>I61</f>
        <v>931.2</v>
      </c>
      <c r="AT16" s="59">
        <f>K61</f>
        <v>931.2</v>
      </c>
      <c r="AU16" s="59">
        <f t="shared" ref="AU16:BD16" si="5">M61</f>
        <v>901.8</v>
      </c>
      <c r="AV16" s="59">
        <f t="shared" si="5"/>
        <v>871.6</v>
      </c>
      <c r="AW16" s="59">
        <f t="shared" si="5"/>
        <v>887.3</v>
      </c>
      <c r="AX16" s="59">
        <f t="shared" si="5"/>
        <v>905.2</v>
      </c>
      <c r="AY16" s="59">
        <f t="shared" si="5"/>
        <v>890.1</v>
      </c>
      <c r="AZ16" s="59">
        <f t="shared" si="5"/>
        <v>890.4</v>
      </c>
      <c r="BA16" s="59">
        <f t="shared" si="5"/>
        <v>890.4</v>
      </c>
      <c r="BB16" s="59">
        <f t="shared" si="5"/>
        <v>885.6</v>
      </c>
      <c r="BC16" s="59">
        <f t="shared" si="5"/>
        <v>878.3</v>
      </c>
      <c r="BD16" s="59">
        <f t="shared" si="5"/>
        <v>879.8</v>
      </c>
      <c r="BE16" s="60">
        <f>X61</f>
        <v>879.8</v>
      </c>
      <c r="BF16" s="60">
        <f>Z61</f>
        <v>899.9</v>
      </c>
      <c r="BG16" s="60">
        <f>AB61</f>
        <v>899.9</v>
      </c>
      <c r="BH16" s="60">
        <f>AD61</f>
        <v>872.8</v>
      </c>
      <c r="BI16" s="60">
        <f>AE61</f>
        <v>872.8</v>
      </c>
      <c r="BJ16" s="60">
        <f>AF61</f>
        <v>872.8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27.9</v>
      </c>
      <c r="C17" s="46">
        <v>28</v>
      </c>
      <c r="D17" s="46">
        <v>29</v>
      </c>
      <c r="E17" s="46">
        <v>29</v>
      </c>
      <c r="F17" s="46">
        <v>29</v>
      </c>
      <c r="G17" s="46">
        <v>54.5</v>
      </c>
      <c r="H17" s="46">
        <v>54.5</v>
      </c>
      <c r="I17" s="46">
        <v>54.5</v>
      </c>
      <c r="J17" s="46">
        <v>54.5</v>
      </c>
      <c r="K17" s="46">
        <v>54.5</v>
      </c>
      <c r="L17" s="46">
        <v>54.5</v>
      </c>
      <c r="M17" s="46">
        <v>54.5</v>
      </c>
      <c r="N17" s="46">
        <v>54.5</v>
      </c>
      <c r="O17" s="46">
        <v>54.5</v>
      </c>
      <c r="P17" s="46">
        <v>54.5</v>
      </c>
      <c r="Q17" s="46">
        <v>54.5</v>
      </c>
      <c r="R17" s="46">
        <v>54.5</v>
      </c>
      <c r="S17" s="46">
        <v>54.5</v>
      </c>
      <c r="T17" s="46">
        <v>54.5</v>
      </c>
      <c r="U17" s="46">
        <v>54.5</v>
      </c>
      <c r="V17" s="46">
        <v>54.5</v>
      </c>
      <c r="W17" s="46">
        <v>54.5</v>
      </c>
      <c r="X17" s="46">
        <v>54.5</v>
      </c>
      <c r="Y17" s="46">
        <v>54.5</v>
      </c>
      <c r="Z17" s="46">
        <v>54.5</v>
      </c>
      <c r="AA17" s="46">
        <v>54.5</v>
      </c>
      <c r="AB17" s="46">
        <v>54.5</v>
      </c>
      <c r="AC17" s="46">
        <v>54.5</v>
      </c>
      <c r="AD17" s="46">
        <v>54.5</v>
      </c>
      <c r="AE17" s="46">
        <v>54.5</v>
      </c>
      <c r="AF17" s="46">
        <v>54.5</v>
      </c>
      <c r="AG17" s="47">
        <v>52.4</v>
      </c>
      <c r="AH17" s="48">
        <f t="shared" si="2"/>
        <v>54.5</v>
      </c>
      <c r="AI17" s="49">
        <f t="shared" si="3"/>
        <v>27.9</v>
      </c>
      <c r="AK17" s="51"/>
      <c r="AL17" s="54" t="s">
        <v>27</v>
      </c>
      <c r="AM17" s="59">
        <f t="shared" ref="AM17:AR17" si="6">B65</f>
        <v>514.51</v>
      </c>
      <c r="AN17" s="59">
        <f t="shared" si="6"/>
        <v>514.51</v>
      </c>
      <c r="AO17" s="59">
        <f t="shared" si="6"/>
        <v>514.51</v>
      </c>
      <c r="AP17" s="59">
        <f t="shared" si="6"/>
        <v>514.51</v>
      </c>
      <c r="AQ17" s="59">
        <f t="shared" si="6"/>
        <v>514.1</v>
      </c>
      <c r="AR17" s="59">
        <f t="shared" si="6"/>
        <v>522.9</v>
      </c>
      <c r="AS17" s="59">
        <f>I65</f>
        <v>522.9</v>
      </c>
      <c r="AT17" s="59">
        <f>K65</f>
        <v>522.9</v>
      </c>
      <c r="AU17" s="59">
        <f t="shared" ref="AU17:BD17" si="7">M65</f>
        <v>522.9</v>
      </c>
      <c r="AV17" s="59">
        <f t="shared" si="7"/>
        <v>522.9</v>
      </c>
      <c r="AW17" s="59">
        <f t="shared" si="7"/>
        <v>522.9</v>
      </c>
      <c r="AX17" s="59">
        <f t="shared" si="7"/>
        <v>522.9</v>
      </c>
      <c r="AY17" s="59">
        <f t="shared" si="7"/>
        <v>491.5</v>
      </c>
      <c r="AZ17" s="59">
        <f t="shared" si="7"/>
        <v>490.6</v>
      </c>
      <c r="BA17" s="59">
        <f t="shared" si="7"/>
        <v>491.6</v>
      </c>
      <c r="BB17" s="59">
        <f t="shared" si="7"/>
        <v>486.6</v>
      </c>
      <c r="BC17" s="59">
        <f t="shared" si="7"/>
        <v>486.6</v>
      </c>
      <c r="BD17" s="59">
        <f t="shared" si="7"/>
        <v>357.6</v>
      </c>
      <c r="BE17" s="60">
        <f>X65</f>
        <v>324.60000000000002</v>
      </c>
      <c r="BF17" s="60">
        <f>Z65</f>
        <v>344.6</v>
      </c>
      <c r="BG17" s="60">
        <f>AB65</f>
        <v>494.6</v>
      </c>
      <c r="BH17" s="60">
        <f>AD65</f>
        <v>512.6</v>
      </c>
      <c r="BI17" s="60">
        <f>AE65</f>
        <v>512.6</v>
      </c>
      <c r="BJ17" s="60">
        <f>AF65</f>
        <v>512.6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53">
        <v>50.6</v>
      </c>
      <c r="C18" s="53">
        <v>50.6</v>
      </c>
      <c r="D18" s="53">
        <v>50.7</v>
      </c>
      <c r="E18" s="53">
        <v>50.7</v>
      </c>
      <c r="F18" s="53">
        <v>50.7</v>
      </c>
      <c r="G18" s="53">
        <v>50.7</v>
      </c>
      <c r="H18" s="53">
        <v>50.7</v>
      </c>
      <c r="I18" s="53">
        <v>50.7</v>
      </c>
      <c r="J18" s="53">
        <v>50.7</v>
      </c>
      <c r="K18" s="53">
        <v>50.7</v>
      </c>
      <c r="L18" s="53">
        <v>50.7</v>
      </c>
      <c r="M18" s="53">
        <v>50.7</v>
      </c>
      <c r="N18" s="53">
        <v>50.7</v>
      </c>
      <c r="O18" s="53">
        <v>50.7</v>
      </c>
      <c r="P18" s="53">
        <v>50.7</v>
      </c>
      <c r="Q18" s="53">
        <v>50.7</v>
      </c>
      <c r="R18" s="53">
        <v>50.7</v>
      </c>
      <c r="S18" s="53">
        <v>50.7</v>
      </c>
      <c r="T18" s="53">
        <v>50.7</v>
      </c>
      <c r="U18" s="53">
        <v>50.7</v>
      </c>
      <c r="V18" s="53">
        <v>50.7</v>
      </c>
      <c r="W18" s="53">
        <v>50.7</v>
      </c>
      <c r="X18" s="53">
        <v>50.7</v>
      </c>
      <c r="Y18" s="53">
        <v>50.7</v>
      </c>
      <c r="Z18" s="53">
        <v>50.7</v>
      </c>
      <c r="AA18" s="53">
        <v>50.7</v>
      </c>
      <c r="AB18" s="53">
        <v>50.7</v>
      </c>
      <c r="AC18" s="53">
        <v>50.7</v>
      </c>
      <c r="AD18" s="53">
        <v>50.7</v>
      </c>
      <c r="AE18" s="53">
        <v>50.7</v>
      </c>
      <c r="AF18" s="53">
        <v>50.7</v>
      </c>
      <c r="AG18" s="50">
        <v>50</v>
      </c>
      <c r="AH18" s="48">
        <f t="shared" si="2"/>
        <v>50.7</v>
      </c>
      <c r="AI18" s="49">
        <f t="shared" si="3"/>
        <v>50.6</v>
      </c>
      <c r="AK18" s="51"/>
      <c r="AL18" s="54" t="s">
        <v>29</v>
      </c>
      <c r="AM18" s="59">
        <f t="shared" ref="AM18:AR18" si="8">B79</f>
        <v>412.54</v>
      </c>
      <c r="AN18" s="59">
        <f t="shared" si="8"/>
        <v>413.74000000000007</v>
      </c>
      <c r="AO18" s="59">
        <f t="shared" si="8"/>
        <v>413.74000000000007</v>
      </c>
      <c r="AP18" s="59">
        <f t="shared" si="8"/>
        <v>413.74000000000007</v>
      </c>
      <c r="AQ18" s="59">
        <f t="shared" si="8"/>
        <v>414.94000000000005</v>
      </c>
      <c r="AR18" s="59">
        <f t="shared" si="8"/>
        <v>414.94000000000005</v>
      </c>
      <c r="AS18" s="59">
        <f>I79</f>
        <v>414.94000000000005</v>
      </c>
      <c r="AT18" s="59">
        <f>K79</f>
        <v>424.14000000000004</v>
      </c>
      <c r="AU18" s="59">
        <f t="shared" ref="AU18:BD18" si="9">M79</f>
        <v>415.14000000000004</v>
      </c>
      <c r="AV18" s="59">
        <f t="shared" si="9"/>
        <v>394.14000000000004</v>
      </c>
      <c r="AW18" s="59">
        <f t="shared" si="9"/>
        <v>433.54</v>
      </c>
      <c r="AX18" s="59">
        <f t="shared" si="9"/>
        <v>437.84000000000003</v>
      </c>
      <c r="AY18" s="59">
        <f t="shared" si="9"/>
        <v>437.54</v>
      </c>
      <c r="AZ18" s="59">
        <f t="shared" si="9"/>
        <v>432.24</v>
      </c>
      <c r="BA18" s="59">
        <f t="shared" si="9"/>
        <v>432.24</v>
      </c>
      <c r="BB18" s="59">
        <f t="shared" si="9"/>
        <v>433.53999999999996</v>
      </c>
      <c r="BC18" s="59">
        <f t="shared" si="9"/>
        <v>430.14</v>
      </c>
      <c r="BD18" s="59">
        <f t="shared" si="9"/>
        <v>419.84</v>
      </c>
      <c r="BE18" s="60">
        <f>X79</f>
        <v>393.64</v>
      </c>
      <c r="BF18" s="60">
        <f>Z79</f>
        <v>418.59999999999997</v>
      </c>
      <c r="BG18" s="60">
        <f>AB79</f>
        <v>416.64</v>
      </c>
      <c r="BH18" s="60">
        <f>AD79</f>
        <v>416.64</v>
      </c>
      <c r="BI18" s="60">
        <f>AE79</f>
        <v>408.03999999999996</v>
      </c>
      <c r="BJ18" s="60">
        <f>AF79</f>
        <v>408.03999999999996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45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>
        <v>45</v>
      </c>
      <c r="AF19" s="46">
        <v>45</v>
      </c>
      <c r="AG19" s="50">
        <v>45</v>
      </c>
      <c r="AH19" s="48">
        <f t="shared" si="2"/>
        <v>45</v>
      </c>
      <c r="AI19" s="49">
        <f t="shared" si="3"/>
        <v>45</v>
      </c>
      <c r="AK19" s="51"/>
      <c r="AL19" s="54" t="s">
        <v>31</v>
      </c>
      <c r="AM19" s="59">
        <f t="shared" ref="AM19:AR19" si="10">B95</f>
        <v>16.600000000000001</v>
      </c>
      <c r="AN19" s="59">
        <f t="shared" si="10"/>
        <v>17.899999999999999</v>
      </c>
      <c r="AO19" s="59">
        <f t="shared" si="10"/>
        <v>16.899999999999999</v>
      </c>
      <c r="AP19" s="59">
        <f t="shared" si="10"/>
        <v>16.2</v>
      </c>
      <c r="AQ19" s="59">
        <f t="shared" si="10"/>
        <v>16.100000000000001</v>
      </c>
      <c r="AR19" s="59">
        <f t="shared" si="10"/>
        <v>13</v>
      </c>
      <c r="AS19" s="59">
        <f>I95</f>
        <v>12</v>
      </c>
      <c r="AT19" s="59">
        <f>K95</f>
        <v>50</v>
      </c>
      <c r="AU19" s="59">
        <f t="shared" ref="AU19:BD19" si="11">M95</f>
        <v>219.6</v>
      </c>
      <c r="AV19" s="59">
        <f t="shared" si="11"/>
        <v>243.4</v>
      </c>
      <c r="AW19" s="59">
        <f t="shared" si="11"/>
        <v>295.5</v>
      </c>
      <c r="AX19" s="59">
        <f t="shared" si="11"/>
        <v>256.3</v>
      </c>
      <c r="AY19" s="59">
        <f t="shared" si="11"/>
        <v>262</v>
      </c>
      <c r="AZ19" s="59">
        <f t="shared" si="11"/>
        <v>258.10000000000002</v>
      </c>
      <c r="BA19" s="59">
        <f t="shared" si="11"/>
        <v>252.5</v>
      </c>
      <c r="BB19" s="59">
        <f t="shared" si="11"/>
        <v>239.8</v>
      </c>
      <c r="BC19" s="59">
        <f t="shared" si="11"/>
        <v>244.3</v>
      </c>
      <c r="BD19" s="59">
        <f t="shared" si="11"/>
        <v>250.09999999999997</v>
      </c>
      <c r="BE19" s="60">
        <f>X95</f>
        <v>191.8</v>
      </c>
      <c r="BF19" s="60">
        <f>Z95</f>
        <v>20.2</v>
      </c>
      <c r="BG19" s="60">
        <f>AB95</f>
        <v>58</v>
      </c>
      <c r="BH19" s="60">
        <f>AD95</f>
        <v>53</v>
      </c>
      <c r="BI19" s="60">
        <f>AE95</f>
        <v>35</v>
      </c>
      <c r="BJ19" s="60">
        <f>AF95</f>
        <v>33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47.1</v>
      </c>
      <c r="C20" s="46">
        <v>47.1</v>
      </c>
      <c r="D20" s="46">
        <v>47</v>
      </c>
      <c r="E20" s="46">
        <v>47</v>
      </c>
      <c r="F20" s="46">
        <v>47</v>
      </c>
      <c r="G20" s="46">
        <v>40</v>
      </c>
      <c r="H20" s="46">
        <v>40</v>
      </c>
      <c r="I20" s="46">
        <v>40</v>
      </c>
      <c r="J20" s="46">
        <v>40</v>
      </c>
      <c r="K20" s="46">
        <v>40</v>
      </c>
      <c r="L20" s="46">
        <v>40</v>
      </c>
      <c r="M20" s="46">
        <v>40</v>
      </c>
      <c r="N20" s="46">
        <v>40</v>
      </c>
      <c r="O20" s="46">
        <v>40</v>
      </c>
      <c r="P20" s="46">
        <v>40</v>
      </c>
      <c r="Q20" s="46">
        <v>40</v>
      </c>
      <c r="R20" s="46">
        <v>40</v>
      </c>
      <c r="S20" s="46">
        <v>40</v>
      </c>
      <c r="T20" s="46">
        <v>40</v>
      </c>
      <c r="U20" s="46">
        <v>40</v>
      </c>
      <c r="V20" s="46">
        <v>40</v>
      </c>
      <c r="W20" s="46">
        <v>40</v>
      </c>
      <c r="X20" s="46">
        <v>40</v>
      </c>
      <c r="Y20" s="46">
        <v>40</v>
      </c>
      <c r="Z20" s="46">
        <v>46</v>
      </c>
      <c r="AA20" s="46">
        <v>46</v>
      </c>
      <c r="AB20" s="46">
        <v>46</v>
      </c>
      <c r="AC20" s="46">
        <v>46</v>
      </c>
      <c r="AD20" s="46">
        <v>46</v>
      </c>
      <c r="AE20" s="46">
        <v>46</v>
      </c>
      <c r="AF20" s="46">
        <v>46</v>
      </c>
      <c r="AG20" s="50">
        <v>44</v>
      </c>
      <c r="AH20" s="48">
        <f t="shared" si="2"/>
        <v>47.1</v>
      </c>
      <c r="AI20" s="49">
        <f t="shared" si="3"/>
        <v>40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48.7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16.7</v>
      </c>
      <c r="BB20" s="59">
        <f t="shared" si="13"/>
        <v>14.2</v>
      </c>
      <c r="BC20" s="59">
        <f t="shared" si="13"/>
        <v>14.1</v>
      </c>
      <c r="BD20" s="59">
        <f t="shared" si="13"/>
        <v>14.399999999999999</v>
      </c>
      <c r="BE20" s="60">
        <f>X83</f>
        <v>14.399999999999999</v>
      </c>
      <c r="BF20" s="60">
        <f>Z83</f>
        <v>16.3</v>
      </c>
      <c r="BG20" s="60">
        <f>AB83</f>
        <v>35.799999999999997</v>
      </c>
      <c r="BH20" s="60">
        <f>AD83</f>
        <v>40.799999999999997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100</v>
      </c>
      <c r="AN21" s="59">
        <f t="shared" si="14"/>
        <v>100</v>
      </c>
      <c r="AO21" s="59">
        <f t="shared" si="14"/>
        <v>100</v>
      </c>
      <c r="AP21" s="59">
        <f t="shared" si="14"/>
        <v>100</v>
      </c>
      <c r="AQ21" s="59">
        <f t="shared" si="14"/>
        <v>100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80</v>
      </c>
      <c r="BB21" s="59">
        <f t="shared" si="15"/>
        <v>80</v>
      </c>
      <c r="BC21" s="59">
        <f t="shared" si="15"/>
        <v>80</v>
      </c>
      <c r="BD21" s="59">
        <f t="shared" si="15"/>
        <v>80</v>
      </c>
      <c r="BE21" s="60">
        <f>X101</f>
        <v>80</v>
      </c>
      <c r="BF21" s="60">
        <f>Z101</f>
        <v>150</v>
      </c>
      <c r="BG21" s="60">
        <f>AB101</f>
        <v>150</v>
      </c>
      <c r="BH21" s="60">
        <f>AD101</f>
        <v>150</v>
      </c>
      <c r="BI21" s="60">
        <f>AE101</f>
        <v>151</v>
      </c>
      <c r="BJ21" s="60">
        <f>AF101</f>
        <v>150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37.6</v>
      </c>
      <c r="C22" s="46">
        <v>37.6</v>
      </c>
      <c r="D22" s="46">
        <v>35.299999999999997</v>
      </c>
      <c r="E22" s="46">
        <v>35.299999999999997</v>
      </c>
      <c r="F22" s="46">
        <v>35.299999999999997</v>
      </c>
      <c r="G22" s="46">
        <v>35.299999999999997</v>
      </c>
      <c r="H22" s="46">
        <v>35.299999999999997</v>
      </c>
      <c r="I22" s="46">
        <v>35.299999999999997</v>
      </c>
      <c r="J22" s="46">
        <v>35.299999999999997</v>
      </c>
      <c r="K22" s="46">
        <v>35.299999999999997</v>
      </c>
      <c r="L22" s="46">
        <v>35.299999999999997</v>
      </c>
      <c r="M22" s="46">
        <v>35.299999999999997</v>
      </c>
      <c r="N22" s="46">
        <v>35.299999999999997</v>
      </c>
      <c r="O22" s="46">
        <v>35.299999999999997</v>
      </c>
      <c r="P22" s="46">
        <v>35.299999999999997</v>
      </c>
      <c r="Q22" s="46">
        <v>35.299999999999997</v>
      </c>
      <c r="R22" s="46">
        <v>35.299999999999997</v>
      </c>
      <c r="S22" s="46">
        <v>35.299999999999997</v>
      </c>
      <c r="T22" s="46">
        <v>35.299999999999997</v>
      </c>
      <c r="U22" s="46">
        <v>35.299999999999997</v>
      </c>
      <c r="V22" s="46">
        <v>35.299999999999997</v>
      </c>
      <c r="W22" s="46">
        <v>35.299999999999997</v>
      </c>
      <c r="X22" s="46">
        <v>35.299999999999997</v>
      </c>
      <c r="Y22" s="46">
        <v>35.299999999999997</v>
      </c>
      <c r="Z22" s="46">
        <v>35.299999999999997</v>
      </c>
      <c r="AA22" s="46">
        <v>35.299999999999997</v>
      </c>
      <c r="AB22" s="46">
        <v>35.299999999999997</v>
      </c>
      <c r="AC22" s="46">
        <v>35.299999999999997</v>
      </c>
      <c r="AD22" s="46">
        <v>35.299999999999997</v>
      </c>
      <c r="AE22" s="46">
        <v>35.299999999999997</v>
      </c>
      <c r="AF22" s="46">
        <v>35.299999999999997</v>
      </c>
      <c r="AG22" s="50">
        <v>38.46</v>
      </c>
      <c r="AH22" s="48">
        <f t="shared" si="2"/>
        <v>37.6</v>
      </c>
      <c r="AI22" s="49">
        <f t="shared" si="3"/>
        <v>35.299999999999997</v>
      </c>
      <c r="AK22" s="51"/>
      <c r="AL22" s="62" t="s">
        <v>37</v>
      </c>
      <c r="AM22" s="63">
        <f t="shared" ref="AM22:BJ22" si="16">SUM(AM16:AM21)</f>
        <v>1886.25</v>
      </c>
      <c r="AN22" s="63">
        <f t="shared" si="16"/>
        <v>1943.25</v>
      </c>
      <c r="AO22" s="63">
        <f t="shared" si="16"/>
        <v>1895.95</v>
      </c>
      <c r="AP22" s="63">
        <f t="shared" si="16"/>
        <v>1900.45</v>
      </c>
      <c r="AQ22" s="63">
        <f t="shared" si="16"/>
        <v>1924.6399999999999</v>
      </c>
      <c r="AR22" s="63">
        <f t="shared" si="16"/>
        <v>1882.04</v>
      </c>
      <c r="AS22" s="63">
        <f t="shared" si="16"/>
        <v>1881.04</v>
      </c>
      <c r="AT22" s="63">
        <f t="shared" si="16"/>
        <v>1928.24</v>
      </c>
      <c r="AU22" s="63">
        <f t="shared" si="16"/>
        <v>2059.44</v>
      </c>
      <c r="AV22" s="63">
        <f t="shared" si="16"/>
        <v>2032.0400000000002</v>
      </c>
      <c r="AW22" s="63">
        <f t="shared" si="16"/>
        <v>2139.2399999999998</v>
      </c>
      <c r="AX22" s="63">
        <f t="shared" si="16"/>
        <v>2122.2400000000002</v>
      </c>
      <c r="AY22" s="63">
        <f t="shared" si="16"/>
        <v>2081.14</v>
      </c>
      <c r="AZ22" s="63">
        <f t="shared" si="16"/>
        <v>2071.34</v>
      </c>
      <c r="BA22" s="63">
        <f t="shared" si="16"/>
        <v>2163.4399999999996</v>
      </c>
      <c r="BB22" s="63">
        <f t="shared" si="16"/>
        <v>2139.7399999999998</v>
      </c>
      <c r="BC22" s="63">
        <f t="shared" si="16"/>
        <v>2133.44</v>
      </c>
      <c r="BD22" s="63">
        <f t="shared" si="16"/>
        <v>2001.74</v>
      </c>
      <c r="BE22" s="63">
        <f t="shared" si="16"/>
        <v>1884.24</v>
      </c>
      <c r="BF22" s="63">
        <f t="shared" si="16"/>
        <v>1849.6</v>
      </c>
      <c r="BG22" s="63">
        <f t="shared" si="16"/>
        <v>2054.9399999999996</v>
      </c>
      <c r="BH22" s="63">
        <f t="shared" si="16"/>
        <v>2045.84</v>
      </c>
      <c r="BI22" s="63">
        <f t="shared" si="16"/>
        <v>1979.44</v>
      </c>
      <c r="BJ22" s="63">
        <f t="shared" si="16"/>
        <v>1976.44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>
        <v>22</v>
      </c>
      <c r="AF23" s="46">
        <v>22</v>
      </c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-109</v>
      </c>
      <c r="AN23" s="63">
        <f t="shared" si="17"/>
        <v>-218</v>
      </c>
      <c r="AO23" s="63">
        <f t="shared" si="17"/>
        <v>-255</v>
      </c>
      <c r="AP23" s="63">
        <f t="shared" si="17"/>
        <v>-400</v>
      </c>
      <c r="AQ23" s="63">
        <f t="shared" si="17"/>
        <v>-397</v>
      </c>
      <c r="AR23" s="63">
        <f t="shared" si="17"/>
        <v>-439</v>
      </c>
      <c r="AS23" s="63">
        <f>I110*-1</f>
        <v>-430</v>
      </c>
      <c r="AT23" s="63">
        <f>K110*-1</f>
        <v>-366</v>
      </c>
      <c r="AU23" s="63">
        <f t="shared" ref="AU23:BD23" si="18">M110*-1</f>
        <v>-331</v>
      </c>
      <c r="AV23" s="63">
        <f t="shared" si="18"/>
        <v>-307</v>
      </c>
      <c r="AW23" s="63">
        <f t="shared" si="18"/>
        <v>-240</v>
      </c>
      <c r="AX23" s="63">
        <f t="shared" si="18"/>
        <v>-266</v>
      </c>
      <c r="AY23" s="63">
        <f t="shared" si="18"/>
        <v>-206</v>
      </c>
      <c r="AZ23" s="63">
        <f t="shared" si="18"/>
        <v>-132</v>
      </c>
      <c r="BA23" s="63">
        <f t="shared" si="18"/>
        <v>-148.69999999999999</v>
      </c>
      <c r="BB23" s="63">
        <f t="shared" si="18"/>
        <v>-184.1</v>
      </c>
      <c r="BC23" s="63">
        <f t="shared" si="18"/>
        <v>-165</v>
      </c>
      <c r="BD23" s="63">
        <f t="shared" si="18"/>
        <v>-205</v>
      </c>
      <c r="BE23" s="63">
        <f>X110*-1</f>
        <v>-215</v>
      </c>
      <c r="BF23" s="63">
        <f>Z110*-1</f>
        <v>-114</v>
      </c>
      <c r="BG23" s="63">
        <f>AB110*-1</f>
        <v>-127</v>
      </c>
      <c r="BH23" s="63">
        <f>AD110*-1</f>
        <v>-150</v>
      </c>
      <c r="BI23" s="63">
        <f>AE110*-1</f>
        <v>-170</v>
      </c>
      <c r="BJ23" s="63">
        <f>AF110*-1</f>
        <v>-240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>
        <v>12</v>
      </c>
      <c r="AF24" s="46">
        <v>12</v>
      </c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1777.25</v>
      </c>
      <c r="AN24" s="63">
        <f t="shared" si="19"/>
        <v>1725.25</v>
      </c>
      <c r="AO24" s="63">
        <f t="shared" si="19"/>
        <v>1640.95</v>
      </c>
      <c r="AP24" s="63">
        <f t="shared" si="19"/>
        <v>1500.45</v>
      </c>
      <c r="AQ24" s="63">
        <f t="shared" si="19"/>
        <v>1527.6399999999999</v>
      </c>
      <c r="AR24" s="63">
        <f t="shared" si="19"/>
        <v>1443.04</v>
      </c>
      <c r="AS24" s="63">
        <f t="shared" si="19"/>
        <v>1451.04</v>
      </c>
      <c r="AT24" s="63">
        <f t="shared" si="19"/>
        <v>1562.24</v>
      </c>
      <c r="AU24" s="63">
        <f t="shared" si="19"/>
        <v>1728.44</v>
      </c>
      <c r="AV24" s="63">
        <f t="shared" si="19"/>
        <v>1725.0400000000002</v>
      </c>
      <c r="AW24" s="63">
        <f t="shared" si="19"/>
        <v>1899.2399999999998</v>
      </c>
      <c r="AX24" s="63">
        <f t="shared" si="19"/>
        <v>1856.2400000000002</v>
      </c>
      <c r="AY24" s="63">
        <f t="shared" si="19"/>
        <v>1875.1399999999999</v>
      </c>
      <c r="AZ24" s="63">
        <f t="shared" si="19"/>
        <v>1939.3400000000001</v>
      </c>
      <c r="BA24" s="63">
        <f t="shared" si="19"/>
        <v>2014.7399999999996</v>
      </c>
      <c r="BB24" s="63">
        <f t="shared" si="19"/>
        <v>1955.6399999999999</v>
      </c>
      <c r="BC24" s="63">
        <f t="shared" si="19"/>
        <v>1968.44</v>
      </c>
      <c r="BD24" s="63">
        <f t="shared" si="19"/>
        <v>1796.74</v>
      </c>
      <c r="BE24" s="63">
        <f t="shared" si="19"/>
        <v>1669.24</v>
      </c>
      <c r="BF24" s="63">
        <f t="shared" si="19"/>
        <v>1735.6</v>
      </c>
      <c r="BG24" s="63">
        <f t="shared" si="19"/>
        <v>1927.9399999999996</v>
      </c>
      <c r="BH24" s="63">
        <f t="shared" si="19"/>
        <v>1895.84</v>
      </c>
      <c r="BI24" s="63">
        <f t="shared" si="19"/>
        <v>1809.44</v>
      </c>
      <c r="BJ24" s="63">
        <f t="shared" si="19"/>
        <v>1736.44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15.6</v>
      </c>
      <c r="C25" s="46">
        <v>14.5</v>
      </c>
      <c r="D25" s="46">
        <v>14.5</v>
      </c>
      <c r="E25" s="46">
        <v>14.5</v>
      </c>
      <c r="F25" s="46">
        <v>14.5</v>
      </c>
      <c r="G25" s="46">
        <v>15</v>
      </c>
      <c r="H25" s="46">
        <v>15</v>
      </c>
      <c r="I25" s="46">
        <v>15</v>
      </c>
      <c r="J25" s="46">
        <v>15</v>
      </c>
      <c r="K25" s="46">
        <v>15</v>
      </c>
      <c r="L25" s="46">
        <v>15</v>
      </c>
      <c r="M25" s="46">
        <v>15</v>
      </c>
      <c r="N25" s="46">
        <v>15</v>
      </c>
      <c r="O25" s="46">
        <v>15</v>
      </c>
      <c r="P25" s="46">
        <v>15</v>
      </c>
      <c r="Q25" s="46">
        <v>15</v>
      </c>
      <c r="R25" s="46">
        <v>15</v>
      </c>
      <c r="S25" s="46">
        <v>15</v>
      </c>
      <c r="T25" s="46">
        <v>15</v>
      </c>
      <c r="U25" s="46">
        <v>15</v>
      </c>
      <c r="V25" s="46">
        <v>15</v>
      </c>
      <c r="W25" s="46">
        <v>15</v>
      </c>
      <c r="X25" s="46">
        <v>15</v>
      </c>
      <c r="Y25" s="46">
        <v>16</v>
      </c>
      <c r="Z25" s="46">
        <v>18</v>
      </c>
      <c r="AA25" s="46">
        <v>18</v>
      </c>
      <c r="AB25" s="46">
        <v>18</v>
      </c>
      <c r="AC25" s="46">
        <v>18</v>
      </c>
      <c r="AD25" s="46">
        <v>18</v>
      </c>
      <c r="AE25" s="46">
        <v>18</v>
      </c>
      <c r="AF25" s="46">
        <v>18</v>
      </c>
      <c r="AG25" s="61">
        <v>30</v>
      </c>
      <c r="AH25" s="48">
        <f t="shared" si="2"/>
        <v>18</v>
      </c>
      <c r="AI25" s="49">
        <f t="shared" si="3"/>
        <v>14.5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17.3</v>
      </c>
      <c r="C26" s="46">
        <v>17.3</v>
      </c>
      <c r="D26" s="46">
        <v>16.7</v>
      </c>
      <c r="E26" s="46">
        <v>16.7</v>
      </c>
      <c r="F26" s="46">
        <v>16.7</v>
      </c>
      <c r="G26" s="46">
        <v>16.7</v>
      </c>
      <c r="H26" s="46">
        <v>16.7</v>
      </c>
      <c r="I26" s="46">
        <v>16.7</v>
      </c>
      <c r="J26" s="46">
        <v>16.7</v>
      </c>
      <c r="K26" s="46">
        <v>16.7</v>
      </c>
      <c r="L26" s="46">
        <v>16.7</v>
      </c>
      <c r="M26" s="46">
        <v>16.7</v>
      </c>
      <c r="N26" s="46">
        <v>16.7</v>
      </c>
      <c r="O26" s="46">
        <v>16.7</v>
      </c>
      <c r="P26" s="46">
        <v>16.7</v>
      </c>
      <c r="Q26" s="46">
        <v>16.7</v>
      </c>
      <c r="R26" s="46">
        <v>16.7</v>
      </c>
      <c r="S26" s="46">
        <v>16.7</v>
      </c>
      <c r="T26" s="46">
        <v>16.7</v>
      </c>
      <c r="U26" s="46">
        <v>16.7</v>
      </c>
      <c r="V26" s="46">
        <v>16.7</v>
      </c>
      <c r="W26" s="46">
        <v>16.7</v>
      </c>
      <c r="X26" s="46">
        <v>16.7</v>
      </c>
      <c r="Y26" s="46">
        <v>16.7</v>
      </c>
      <c r="Z26" s="46">
        <v>16.7</v>
      </c>
      <c r="AA26" s="46">
        <v>16.7</v>
      </c>
      <c r="AB26" s="46">
        <v>16.7</v>
      </c>
      <c r="AC26" s="46">
        <v>16.7</v>
      </c>
      <c r="AD26" s="46">
        <v>16.7</v>
      </c>
      <c r="AE26" s="46">
        <v>16.7</v>
      </c>
      <c r="AF26" s="46">
        <v>16.7</v>
      </c>
      <c r="AG26" s="50">
        <v>24.2</v>
      </c>
      <c r="AH26" s="48">
        <f t="shared" si="2"/>
        <v>17.3</v>
      </c>
      <c r="AI26" s="49">
        <f t="shared" si="3"/>
        <v>16.7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14.5</v>
      </c>
      <c r="C27" s="46">
        <v>14.5</v>
      </c>
      <c r="D27" s="46">
        <v>14.5</v>
      </c>
      <c r="E27" s="46">
        <v>14.5</v>
      </c>
      <c r="F27" s="46">
        <v>14.5</v>
      </c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14.5</v>
      </c>
      <c r="R27" s="46">
        <v>14.5</v>
      </c>
      <c r="S27" s="46">
        <v>14.5</v>
      </c>
      <c r="T27" s="46">
        <v>14.5</v>
      </c>
      <c r="U27" s="46">
        <v>14.5</v>
      </c>
      <c r="V27" s="46">
        <v>14.5</v>
      </c>
      <c r="W27" s="46">
        <v>14.5</v>
      </c>
      <c r="X27" s="46">
        <v>14.5</v>
      </c>
      <c r="Y27" s="46">
        <v>14.5</v>
      </c>
      <c r="Z27" s="46">
        <v>14.5</v>
      </c>
      <c r="AA27" s="46">
        <v>14.5</v>
      </c>
      <c r="AB27" s="46">
        <v>14.5</v>
      </c>
      <c r="AC27" s="46">
        <v>14.5</v>
      </c>
      <c r="AD27" s="46">
        <v>14.5</v>
      </c>
      <c r="AE27" s="46">
        <v>14.5</v>
      </c>
      <c r="AF27" s="46">
        <v>14.5</v>
      </c>
      <c r="AG27" s="50">
        <v>28</v>
      </c>
      <c r="AH27" s="48">
        <f t="shared" si="2"/>
        <v>14.5</v>
      </c>
      <c r="AI27" s="49">
        <f t="shared" si="3"/>
        <v>14.5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17.5</v>
      </c>
      <c r="C28" s="46">
        <v>17.5</v>
      </c>
      <c r="D28" s="46">
        <v>18.399999999999999</v>
      </c>
      <c r="E28" s="46">
        <v>18.399999999999999</v>
      </c>
      <c r="F28" s="46">
        <v>18.399999999999999</v>
      </c>
      <c r="G28" s="46">
        <v>27</v>
      </c>
      <c r="H28" s="46">
        <v>27</v>
      </c>
      <c r="I28" s="46">
        <v>27</v>
      </c>
      <c r="J28" s="46">
        <v>27</v>
      </c>
      <c r="K28" s="46">
        <v>27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27</v>
      </c>
      <c r="T28" s="46">
        <v>27</v>
      </c>
      <c r="U28" s="46">
        <v>27</v>
      </c>
      <c r="V28" s="46">
        <v>27</v>
      </c>
      <c r="W28" s="46">
        <v>27</v>
      </c>
      <c r="X28" s="46">
        <v>27</v>
      </c>
      <c r="Y28" s="46">
        <v>27</v>
      </c>
      <c r="Z28" s="46">
        <v>27</v>
      </c>
      <c r="AA28" s="46">
        <v>27</v>
      </c>
      <c r="AB28" s="46">
        <v>27</v>
      </c>
      <c r="AC28" s="46">
        <v>27</v>
      </c>
      <c r="AD28" s="46">
        <v>27</v>
      </c>
      <c r="AE28" s="46">
        <v>27</v>
      </c>
      <c r="AF28" s="46">
        <v>27</v>
      </c>
      <c r="AG28" s="61">
        <v>30</v>
      </c>
      <c r="AH28" s="48">
        <f t="shared" si="2"/>
        <v>27</v>
      </c>
      <c r="AI28" s="49">
        <f t="shared" si="3"/>
        <v>17.5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26.1</v>
      </c>
      <c r="F29" s="46">
        <v>26.1</v>
      </c>
      <c r="G29" s="46">
        <v>26.1</v>
      </c>
      <c r="H29" s="46">
        <v>26.1</v>
      </c>
      <c r="I29" s="46">
        <v>26.1</v>
      </c>
      <c r="J29" s="46">
        <v>26.1</v>
      </c>
      <c r="K29" s="46">
        <v>26.1</v>
      </c>
      <c r="L29" s="46">
        <v>26.1</v>
      </c>
      <c r="M29" s="46">
        <v>26.1</v>
      </c>
      <c r="N29" s="46">
        <v>26.1</v>
      </c>
      <c r="O29" s="46">
        <v>26.1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26.1</v>
      </c>
      <c r="AA29" s="46">
        <v>26.1</v>
      </c>
      <c r="AB29" s="46">
        <v>26.1</v>
      </c>
      <c r="AC29" s="46">
        <v>26.1</v>
      </c>
      <c r="AD29" s="46">
        <v>26.1</v>
      </c>
      <c r="AE29" s="46">
        <v>26.1</v>
      </c>
      <c r="AF29" s="46">
        <v>26.1</v>
      </c>
      <c r="AG29" s="50">
        <v>25</v>
      </c>
      <c r="AH29" s="48">
        <f t="shared" si="2"/>
        <v>26.1</v>
      </c>
      <c r="AI29" s="49">
        <f t="shared" si="3"/>
        <v>26.1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25</v>
      </c>
      <c r="C30" s="46">
        <v>25</v>
      </c>
      <c r="D30" s="46">
        <v>25</v>
      </c>
      <c r="E30" s="46">
        <v>25</v>
      </c>
      <c r="F30" s="46">
        <v>25</v>
      </c>
      <c r="G30" s="46">
        <v>25</v>
      </c>
      <c r="H30" s="46">
        <v>25</v>
      </c>
      <c r="I30" s="46">
        <v>25</v>
      </c>
      <c r="J30" s="46">
        <v>25</v>
      </c>
      <c r="K30" s="46">
        <v>25</v>
      </c>
      <c r="L30" s="46">
        <v>25</v>
      </c>
      <c r="M30" s="46">
        <v>25</v>
      </c>
      <c r="N30" s="46">
        <v>25</v>
      </c>
      <c r="O30" s="46">
        <v>25</v>
      </c>
      <c r="P30" s="46">
        <v>25</v>
      </c>
      <c r="Q30" s="46">
        <v>25</v>
      </c>
      <c r="R30" s="46">
        <v>25</v>
      </c>
      <c r="S30" s="46">
        <v>25</v>
      </c>
      <c r="T30" s="46">
        <v>25</v>
      </c>
      <c r="U30" s="46">
        <v>25</v>
      </c>
      <c r="V30" s="46">
        <v>25</v>
      </c>
      <c r="W30" s="46">
        <v>25</v>
      </c>
      <c r="X30" s="46">
        <v>25</v>
      </c>
      <c r="Y30" s="46">
        <v>25</v>
      </c>
      <c r="Z30" s="46">
        <v>25</v>
      </c>
      <c r="AA30" s="46">
        <v>25</v>
      </c>
      <c r="AB30" s="46">
        <v>25</v>
      </c>
      <c r="AC30" s="46">
        <v>25</v>
      </c>
      <c r="AD30" s="46">
        <v>25</v>
      </c>
      <c r="AE30" s="46">
        <v>25</v>
      </c>
      <c r="AF30" s="46">
        <v>25</v>
      </c>
      <c r="AG30" s="50">
        <v>25</v>
      </c>
      <c r="AH30" s="48">
        <f t="shared" si="2"/>
        <v>25</v>
      </c>
      <c r="AI30" s="49">
        <f t="shared" si="3"/>
        <v>25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>
        <v>7</v>
      </c>
      <c r="AF31" s="46">
        <v>7</v>
      </c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25.8</v>
      </c>
      <c r="C32" s="46">
        <v>25.8</v>
      </c>
      <c r="D32" s="46">
        <v>25.2</v>
      </c>
      <c r="E32" s="46">
        <v>25.2</v>
      </c>
      <c r="F32" s="46">
        <v>25.2</v>
      </c>
      <c r="G32" s="46">
        <v>25.2</v>
      </c>
      <c r="H32" s="46">
        <v>25.2</v>
      </c>
      <c r="I32" s="46">
        <v>25.2</v>
      </c>
      <c r="J32" s="46">
        <v>25.2</v>
      </c>
      <c r="K32" s="46">
        <v>25.2</v>
      </c>
      <c r="L32" s="46">
        <v>25.2</v>
      </c>
      <c r="M32" s="46">
        <v>25.2</v>
      </c>
      <c r="N32" s="46">
        <v>25.2</v>
      </c>
      <c r="O32" s="46">
        <v>25.2</v>
      </c>
      <c r="P32" s="46">
        <v>25.2</v>
      </c>
      <c r="Q32" s="46">
        <v>25.2</v>
      </c>
      <c r="R32" s="46">
        <v>25.2</v>
      </c>
      <c r="S32" s="46">
        <v>25.2</v>
      </c>
      <c r="T32" s="46">
        <v>25.2</v>
      </c>
      <c r="U32" s="46">
        <v>25.2</v>
      </c>
      <c r="V32" s="46">
        <v>25.2</v>
      </c>
      <c r="W32" s="46">
        <v>25.2</v>
      </c>
      <c r="X32" s="46">
        <v>25.2</v>
      </c>
      <c r="Y32" s="46">
        <v>25.2</v>
      </c>
      <c r="Z32" s="46">
        <v>25.2</v>
      </c>
      <c r="AA32" s="46">
        <v>25.2</v>
      </c>
      <c r="AB32" s="46">
        <v>25.2</v>
      </c>
      <c r="AC32" s="46">
        <v>25.2</v>
      </c>
      <c r="AD32" s="46">
        <v>25.2</v>
      </c>
      <c r="AE32" s="46">
        <v>25.2</v>
      </c>
      <c r="AF32" s="46">
        <v>25.2</v>
      </c>
      <c r="AG32" s="50">
        <v>25</v>
      </c>
      <c r="AH32" s="48">
        <f t="shared" si="2"/>
        <v>25.8</v>
      </c>
      <c r="AI32" s="49">
        <f t="shared" si="3"/>
        <v>25.2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10.8</v>
      </c>
      <c r="C33" s="46">
        <v>10.8</v>
      </c>
      <c r="D33" s="46">
        <v>24.4</v>
      </c>
      <c r="E33" s="46">
        <v>24.4</v>
      </c>
      <c r="F33" s="46">
        <v>24.4</v>
      </c>
      <c r="G33" s="46">
        <v>24.5</v>
      </c>
      <c r="H33" s="46">
        <v>24.5</v>
      </c>
      <c r="I33" s="46">
        <v>24.5</v>
      </c>
      <c r="J33" s="46">
        <v>24.5</v>
      </c>
      <c r="K33" s="46">
        <v>24.5</v>
      </c>
      <c r="L33" s="46">
        <v>24.5</v>
      </c>
      <c r="M33" s="46">
        <v>24.5</v>
      </c>
      <c r="N33" s="46">
        <v>24.5</v>
      </c>
      <c r="O33" s="46">
        <v>24.5</v>
      </c>
      <c r="P33" s="46">
        <v>24.5</v>
      </c>
      <c r="Q33" s="46">
        <v>24.5</v>
      </c>
      <c r="R33" s="46">
        <v>24.5</v>
      </c>
      <c r="S33" s="46">
        <v>24.5</v>
      </c>
      <c r="T33" s="46">
        <v>24.5</v>
      </c>
      <c r="U33" s="46">
        <v>24.5</v>
      </c>
      <c r="V33" s="46">
        <v>24.5</v>
      </c>
      <c r="W33" s="46">
        <v>24.5</v>
      </c>
      <c r="X33" s="46">
        <v>24.5</v>
      </c>
      <c r="Y33" s="46">
        <v>24.5</v>
      </c>
      <c r="Z33" s="46">
        <v>24.5</v>
      </c>
      <c r="AA33" s="46">
        <v>24.5</v>
      </c>
      <c r="AB33" s="46">
        <v>24.5</v>
      </c>
      <c r="AC33" s="46">
        <v>24.5</v>
      </c>
      <c r="AD33" s="46">
        <v>24.5</v>
      </c>
      <c r="AE33" s="46">
        <v>24.5</v>
      </c>
      <c r="AF33" s="46">
        <v>24.5</v>
      </c>
      <c r="AG33" s="50">
        <v>23.5</v>
      </c>
      <c r="AH33" s="48">
        <f t="shared" si="2"/>
        <v>24.5</v>
      </c>
      <c r="AI33" s="49">
        <f t="shared" si="3"/>
        <v>10.8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>
        <v>4</v>
      </c>
      <c r="AF34" s="46">
        <v>4</v>
      </c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>
        <v>5</v>
      </c>
      <c r="AF35" s="46">
        <v>5</v>
      </c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>
        <v>8</v>
      </c>
      <c r="AF36" s="46">
        <v>8</v>
      </c>
      <c r="AG36" s="50">
        <v>22</v>
      </c>
      <c r="AH36" s="48">
        <f t="shared" si="2"/>
        <v>8</v>
      </c>
      <c r="AI36" s="49">
        <f t="shared" si="3"/>
        <v>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8.6999999999999993</v>
      </c>
      <c r="C37" s="46">
        <v>8.6999999999999993</v>
      </c>
      <c r="D37" s="46">
        <v>8.1999999999999993</v>
      </c>
      <c r="E37" s="46">
        <v>8.1999999999999993</v>
      </c>
      <c r="F37" s="46">
        <v>8.1999999999999993</v>
      </c>
      <c r="G37" s="46">
        <v>8.1999999999999993</v>
      </c>
      <c r="H37" s="46">
        <v>8.1999999999999993</v>
      </c>
      <c r="I37" s="46">
        <v>8.1999999999999993</v>
      </c>
      <c r="J37" s="46">
        <v>8.1999999999999993</v>
      </c>
      <c r="K37" s="46">
        <v>8.1999999999999993</v>
      </c>
      <c r="L37" s="46">
        <v>8.1999999999999993</v>
      </c>
      <c r="M37" s="46">
        <v>8.1999999999999993</v>
      </c>
      <c r="N37" s="46">
        <v>8.1999999999999993</v>
      </c>
      <c r="O37" s="46">
        <v>8.1999999999999993</v>
      </c>
      <c r="P37" s="46">
        <v>8.1999999999999993</v>
      </c>
      <c r="Q37" s="46">
        <v>8.1999999999999993</v>
      </c>
      <c r="R37" s="46">
        <v>8.1999999999999993</v>
      </c>
      <c r="S37" s="46">
        <v>8.1999999999999993</v>
      </c>
      <c r="T37" s="46">
        <v>8.1999999999999993</v>
      </c>
      <c r="U37" s="46">
        <v>8.1999999999999993</v>
      </c>
      <c r="V37" s="46">
        <v>8.1999999999999993</v>
      </c>
      <c r="W37" s="46">
        <v>8.1999999999999993</v>
      </c>
      <c r="X37" s="46">
        <v>8.1999999999999993</v>
      </c>
      <c r="Y37" s="46">
        <v>8.1999999999999993</v>
      </c>
      <c r="Z37" s="46">
        <v>8.1999999999999993</v>
      </c>
      <c r="AA37" s="46">
        <v>8.1999999999999993</v>
      </c>
      <c r="AB37" s="46">
        <v>8.1999999999999993</v>
      </c>
      <c r="AC37" s="46">
        <v>8.1999999999999993</v>
      </c>
      <c r="AD37" s="46">
        <v>8.1999999999999993</v>
      </c>
      <c r="AE37" s="46">
        <v>8.1999999999999993</v>
      </c>
      <c r="AF37" s="46">
        <v>8.1999999999999993</v>
      </c>
      <c r="AG37" s="50">
        <v>22</v>
      </c>
      <c r="AH37" s="48">
        <f t="shared" si="2"/>
        <v>8.6999999999999993</v>
      </c>
      <c r="AI37" s="49">
        <f t="shared" si="3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20.399999999999999</v>
      </c>
      <c r="C38" s="46">
        <v>20.399999999999999</v>
      </c>
      <c r="D38" s="46">
        <v>20.3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20.3</v>
      </c>
      <c r="V38" s="46">
        <v>20.3</v>
      </c>
      <c r="W38" s="46">
        <v>20.3</v>
      </c>
      <c r="X38" s="46">
        <v>20.3</v>
      </c>
      <c r="Y38" s="46">
        <v>20.3</v>
      </c>
      <c r="Z38" s="46">
        <v>20.3</v>
      </c>
      <c r="AA38" s="46">
        <v>20.3</v>
      </c>
      <c r="AB38" s="46">
        <v>20.3</v>
      </c>
      <c r="AC38" s="46">
        <v>20.3</v>
      </c>
      <c r="AD38" s="46">
        <v>20.3</v>
      </c>
      <c r="AE38" s="46">
        <v>20.3</v>
      </c>
      <c r="AF38" s="46">
        <v>20.3</v>
      </c>
      <c r="AG38" s="50">
        <v>20</v>
      </c>
      <c r="AH38" s="48">
        <f t="shared" si="2"/>
        <v>20.399999999999999</v>
      </c>
      <c r="AI38" s="49">
        <f t="shared" si="3"/>
        <v>20.3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>
        <v>6</v>
      </c>
      <c r="AF39" s="46">
        <v>6</v>
      </c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13.4</v>
      </c>
      <c r="C40" s="46">
        <v>13.4</v>
      </c>
      <c r="D40" s="46">
        <v>13.3</v>
      </c>
      <c r="E40" s="46">
        <v>13.3</v>
      </c>
      <c r="F40" s="46">
        <v>13.3</v>
      </c>
      <c r="G40" s="46">
        <v>13.3</v>
      </c>
      <c r="H40" s="46">
        <v>13.3</v>
      </c>
      <c r="I40" s="46">
        <v>13.3</v>
      </c>
      <c r="J40" s="46">
        <v>13.3</v>
      </c>
      <c r="K40" s="46">
        <v>13.3</v>
      </c>
      <c r="L40" s="46">
        <v>13.3</v>
      </c>
      <c r="M40" s="46">
        <v>13.3</v>
      </c>
      <c r="N40" s="46">
        <v>13.3</v>
      </c>
      <c r="O40" s="46">
        <v>13.3</v>
      </c>
      <c r="P40" s="46">
        <v>13.3</v>
      </c>
      <c r="Q40" s="46">
        <v>13.3</v>
      </c>
      <c r="R40" s="46">
        <v>13.3</v>
      </c>
      <c r="S40" s="46">
        <v>13.3</v>
      </c>
      <c r="T40" s="46">
        <v>13.3</v>
      </c>
      <c r="U40" s="46">
        <v>13.3</v>
      </c>
      <c r="V40" s="46">
        <v>13.3</v>
      </c>
      <c r="W40" s="46">
        <v>13.3</v>
      </c>
      <c r="X40" s="46">
        <v>13.3</v>
      </c>
      <c r="Y40" s="46">
        <v>13.3</v>
      </c>
      <c r="Z40" s="46">
        <v>13.3</v>
      </c>
      <c r="AA40" s="46">
        <v>13.3</v>
      </c>
      <c r="AB40" s="46">
        <v>13.3</v>
      </c>
      <c r="AC40" s="46">
        <v>13.3</v>
      </c>
      <c r="AD40" s="46">
        <v>13.3</v>
      </c>
      <c r="AE40" s="46">
        <v>13.3</v>
      </c>
      <c r="AF40" s="46">
        <v>13.3</v>
      </c>
      <c r="AG40" s="50">
        <v>18</v>
      </c>
      <c r="AH40" s="48">
        <f t="shared" si="2"/>
        <v>13.4</v>
      </c>
      <c r="AI40" s="49">
        <f t="shared" si="3"/>
        <v>13.3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>
        <v>4.8</v>
      </c>
      <c r="AF41" s="46">
        <v>4.8</v>
      </c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>
        <v>4</v>
      </c>
      <c r="AF43" s="46">
        <v>4</v>
      </c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>
        <v>2.2000000000000002</v>
      </c>
      <c r="AF46" s="46">
        <v>2.2000000000000002</v>
      </c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>
        <v>6</v>
      </c>
      <c r="AF47" s="46">
        <v>6</v>
      </c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>
        <v>6</v>
      </c>
      <c r="AF48" s="46">
        <v>6</v>
      </c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>
        <v>6</v>
      </c>
      <c r="AF49" s="46">
        <v>6</v>
      </c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0.5</v>
      </c>
      <c r="C50" s="46">
        <v>0.5</v>
      </c>
      <c r="D50" s="46">
        <v>0.5</v>
      </c>
      <c r="E50" s="46">
        <v>0.5</v>
      </c>
      <c r="F50" s="46">
        <v>0.5</v>
      </c>
      <c r="G50" s="46">
        <v>0.5</v>
      </c>
      <c r="H50" s="46">
        <v>0.5</v>
      </c>
      <c r="I50" s="46">
        <v>0.5</v>
      </c>
      <c r="J50" s="46">
        <v>0.5</v>
      </c>
      <c r="K50" s="46">
        <v>0.5</v>
      </c>
      <c r="L50" s="46">
        <v>0.5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50">
        <v>12</v>
      </c>
      <c r="AH50" s="48">
        <f t="shared" si="2"/>
        <v>0.5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>
        <v>3</v>
      </c>
      <c r="AF51" s="46">
        <v>3</v>
      </c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>
        <v>4</v>
      </c>
      <c r="AF52" s="46">
        <v>4</v>
      </c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>
        <v>6</v>
      </c>
      <c r="AF53" s="46">
        <v>6</v>
      </c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>
        <v>3</v>
      </c>
      <c r="AF54" s="46">
        <v>3</v>
      </c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>
        <v>1.9</v>
      </c>
      <c r="AF56" s="46">
        <v>1.9</v>
      </c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>
        <v>7.5</v>
      </c>
      <c r="AF57" s="46">
        <v>7.5</v>
      </c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f>15.2+35.3</f>
        <v>50.5</v>
      </c>
      <c r="C60" s="68">
        <f>15.5+36.2</f>
        <v>51.7</v>
      </c>
      <c r="D60" s="68">
        <f>6.3+15.3</f>
        <v>21.6</v>
      </c>
      <c r="E60" s="68">
        <f>34.7+14.8</f>
        <v>49.5</v>
      </c>
      <c r="F60" s="68">
        <f>42.9+17</f>
        <v>59.9</v>
      </c>
      <c r="G60" s="68">
        <f>35.5+12.2</f>
        <v>47.7</v>
      </c>
      <c r="H60" s="68">
        <f t="shared" ref="H60:L60" si="20">35.5+12.2</f>
        <v>47.7</v>
      </c>
      <c r="I60" s="68">
        <f t="shared" si="20"/>
        <v>47.7</v>
      </c>
      <c r="J60" s="68">
        <f t="shared" si="20"/>
        <v>47.7</v>
      </c>
      <c r="K60" s="68">
        <f t="shared" si="20"/>
        <v>47.7</v>
      </c>
      <c r="L60" s="68">
        <f t="shared" si="20"/>
        <v>47.7</v>
      </c>
      <c r="M60" s="68">
        <v>92.8</v>
      </c>
      <c r="N60" s="68">
        <v>92.8</v>
      </c>
      <c r="O60" s="68">
        <v>97.8</v>
      </c>
      <c r="P60" s="68">
        <v>101.8</v>
      </c>
      <c r="Q60" s="68">
        <v>125.6</v>
      </c>
      <c r="R60" s="68">
        <v>130.5</v>
      </c>
      <c r="S60" s="68">
        <v>130.5</v>
      </c>
      <c r="T60" s="53">
        <f>104.5+57</f>
        <v>161.5</v>
      </c>
      <c r="U60" s="53">
        <f>16.3+2.5</f>
        <v>18.8</v>
      </c>
      <c r="V60" s="53">
        <f>102.5+60.4</f>
        <v>162.9</v>
      </c>
      <c r="W60" s="53">
        <v>163.30000000000001</v>
      </c>
      <c r="X60" s="53">
        <f>159.3</f>
        <v>159.30000000000001</v>
      </c>
      <c r="Y60" s="68">
        <f>105.3+59.2</f>
        <v>164.5</v>
      </c>
      <c r="Z60" s="68">
        <f t="shared" ref="Z60:AF60" si="21">105+59</f>
        <v>164</v>
      </c>
      <c r="AA60" s="68">
        <f t="shared" si="21"/>
        <v>164</v>
      </c>
      <c r="AB60" s="68">
        <f t="shared" si="21"/>
        <v>164</v>
      </c>
      <c r="AC60" s="68">
        <f t="shared" si="21"/>
        <v>164</v>
      </c>
      <c r="AD60" s="68">
        <f t="shared" si="21"/>
        <v>164</v>
      </c>
      <c r="AE60" s="68">
        <f t="shared" si="21"/>
        <v>164</v>
      </c>
      <c r="AF60" s="68">
        <f t="shared" si="21"/>
        <v>164</v>
      </c>
      <c r="AG60" s="66">
        <v>240</v>
      </c>
      <c r="AH60" s="48">
        <f t="shared" si="2"/>
        <v>164.5</v>
      </c>
      <c r="AI60" s="49">
        <f t="shared" si="3"/>
        <v>18.8</v>
      </c>
      <c r="AK60" s="51"/>
    </row>
    <row r="61" spans="1:88" ht="15.75" thickBot="1" x14ac:dyDescent="0.3">
      <c r="A61" s="70" t="s">
        <v>75</v>
      </c>
      <c r="B61" s="71">
        <f t="shared" ref="B61:C61" si="22">SUM(B11:B59)</f>
        <v>842.6</v>
      </c>
      <c r="C61" s="71">
        <f t="shared" si="22"/>
        <v>848.4</v>
      </c>
      <c r="D61" s="71">
        <f t="shared" ref="D61" si="23">SUM(D11:D59)</f>
        <v>850.8</v>
      </c>
      <c r="E61" s="71">
        <f t="shared" ref="E61:AG61" si="24">SUM(E11:E59)</f>
        <v>856</v>
      </c>
      <c r="F61" s="71">
        <f t="shared" si="24"/>
        <v>879.49999999999989</v>
      </c>
      <c r="G61" s="71">
        <f t="shared" si="24"/>
        <v>931.2</v>
      </c>
      <c r="H61" s="71">
        <f t="shared" si="24"/>
        <v>931.2</v>
      </c>
      <c r="I61" s="71">
        <f t="shared" si="24"/>
        <v>931.2</v>
      </c>
      <c r="J61" s="71">
        <f t="shared" si="24"/>
        <v>931.2</v>
      </c>
      <c r="K61" s="71">
        <f t="shared" si="24"/>
        <v>931.2</v>
      </c>
      <c r="L61" s="71">
        <f t="shared" ref="L61" si="25">SUM(L11:L59)</f>
        <v>931.2</v>
      </c>
      <c r="M61" s="71">
        <f t="shared" si="24"/>
        <v>901.8</v>
      </c>
      <c r="N61" s="71">
        <f t="shared" si="24"/>
        <v>871.6</v>
      </c>
      <c r="O61" s="71">
        <f t="shared" si="24"/>
        <v>887.3</v>
      </c>
      <c r="P61" s="71">
        <f t="shared" si="24"/>
        <v>905.2</v>
      </c>
      <c r="Q61" s="71">
        <f t="shared" si="24"/>
        <v>890.1</v>
      </c>
      <c r="R61" s="71">
        <f t="shared" si="24"/>
        <v>890.4</v>
      </c>
      <c r="S61" s="71">
        <f t="shared" si="24"/>
        <v>890.4</v>
      </c>
      <c r="T61" s="71">
        <f t="shared" si="24"/>
        <v>885.6</v>
      </c>
      <c r="U61" s="71">
        <f t="shared" si="24"/>
        <v>878.3</v>
      </c>
      <c r="V61" s="71">
        <f t="shared" si="24"/>
        <v>879.8</v>
      </c>
      <c r="W61" s="71">
        <f t="shared" si="24"/>
        <v>879.8</v>
      </c>
      <c r="X61" s="71">
        <f t="shared" si="24"/>
        <v>879.8</v>
      </c>
      <c r="Y61" s="71">
        <f t="shared" si="24"/>
        <v>880.8</v>
      </c>
      <c r="Z61" s="71">
        <f t="shared" si="24"/>
        <v>899.9</v>
      </c>
      <c r="AA61" s="71">
        <f t="shared" si="24"/>
        <v>899.9</v>
      </c>
      <c r="AB61" s="71">
        <f t="shared" ref="AB61:AC61" si="26">SUM(AB11:AB59)</f>
        <v>899.9</v>
      </c>
      <c r="AC61" s="71">
        <f t="shared" si="26"/>
        <v>899.9</v>
      </c>
      <c r="AD61" s="71">
        <f t="shared" ref="AD61:AE61" si="27">SUM(AD11:AD59)</f>
        <v>872.8</v>
      </c>
      <c r="AE61" s="71">
        <f t="shared" si="27"/>
        <v>872.8</v>
      </c>
      <c r="AF61" s="71">
        <f t="shared" ref="AF61" si="28">SUM(AF11:AF59)</f>
        <v>872.8</v>
      </c>
      <c r="AG61" s="71">
        <f t="shared" si="24"/>
        <v>1466.0300000000002</v>
      </c>
      <c r="AH61" s="48">
        <f t="shared" si="2"/>
        <v>931.2</v>
      </c>
      <c r="AI61" s="49">
        <f t="shared" si="3"/>
        <v>842.6</v>
      </c>
      <c r="AK61" s="51"/>
    </row>
    <row r="62" spans="1:88" x14ac:dyDescent="0.25">
      <c r="A62" s="73" t="s">
        <v>76</v>
      </c>
      <c r="B62" s="46">
        <v>460.71</v>
      </c>
      <c r="C62" s="46">
        <v>460.71</v>
      </c>
      <c r="D62" s="46">
        <v>460.71</v>
      </c>
      <c r="E62" s="46">
        <v>460.71</v>
      </c>
      <c r="F62" s="46">
        <v>460.3</v>
      </c>
      <c r="G62" s="46">
        <v>460.3</v>
      </c>
      <c r="H62" s="46">
        <v>460.3</v>
      </c>
      <c r="I62" s="46">
        <v>460.3</v>
      </c>
      <c r="J62" s="46">
        <v>460.3</v>
      </c>
      <c r="K62" s="46">
        <v>460.3</v>
      </c>
      <c r="L62" s="46">
        <v>460.3</v>
      </c>
      <c r="M62" s="46">
        <v>460.3</v>
      </c>
      <c r="N62" s="46">
        <v>460.3</v>
      </c>
      <c r="O62" s="46">
        <v>460.3</v>
      </c>
      <c r="P62" s="46">
        <v>460.3</v>
      </c>
      <c r="Q62" s="74">
        <v>428.9</v>
      </c>
      <c r="R62" s="74">
        <v>428</v>
      </c>
      <c r="S62" s="74">
        <v>435</v>
      </c>
      <c r="T62" s="74">
        <v>430</v>
      </c>
      <c r="U62" s="74">
        <v>430</v>
      </c>
      <c r="V62" s="74">
        <v>301</v>
      </c>
      <c r="W62" s="46">
        <v>301.7</v>
      </c>
      <c r="X62" s="46">
        <v>270</v>
      </c>
      <c r="Y62" s="46">
        <v>301</v>
      </c>
      <c r="Z62" s="46">
        <v>290</v>
      </c>
      <c r="AA62" s="46">
        <v>420</v>
      </c>
      <c r="AB62" s="46">
        <v>440</v>
      </c>
      <c r="AC62" s="46">
        <v>440</v>
      </c>
      <c r="AD62" s="46">
        <v>458</v>
      </c>
      <c r="AE62" s="46">
        <v>458</v>
      </c>
      <c r="AF62" s="46">
        <v>458</v>
      </c>
      <c r="AG62" s="61">
        <v>456</v>
      </c>
      <c r="AH62" s="48">
        <f t="shared" si="2"/>
        <v>460.71</v>
      </c>
      <c r="AI62" s="49">
        <f t="shared" si="3"/>
        <v>270</v>
      </c>
      <c r="AK62" s="51"/>
    </row>
    <row r="63" spans="1:88" x14ac:dyDescent="0.25">
      <c r="A63" s="75" t="s">
        <v>77</v>
      </c>
      <c r="B63" s="76">
        <v>31.2</v>
      </c>
      <c r="C63" s="76">
        <v>31.2</v>
      </c>
      <c r="D63" s="76">
        <v>31.2</v>
      </c>
      <c r="E63" s="76">
        <v>31.2</v>
      </c>
      <c r="F63" s="76">
        <v>31.2</v>
      </c>
      <c r="G63" s="76">
        <v>40</v>
      </c>
      <c r="H63" s="76">
        <v>40</v>
      </c>
      <c r="I63" s="76">
        <v>40</v>
      </c>
      <c r="J63" s="76">
        <v>40</v>
      </c>
      <c r="K63" s="76">
        <v>40</v>
      </c>
      <c r="L63" s="76">
        <v>40</v>
      </c>
      <c r="M63" s="76">
        <v>40</v>
      </c>
      <c r="N63" s="76">
        <v>40</v>
      </c>
      <c r="O63" s="76">
        <v>40</v>
      </c>
      <c r="P63" s="76">
        <v>40</v>
      </c>
      <c r="Q63" s="76">
        <v>40</v>
      </c>
      <c r="R63" s="76">
        <v>40</v>
      </c>
      <c r="S63" s="76">
        <v>34</v>
      </c>
      <c r="T63" s="76">
        <v>34</v>
      </c>
      <c r="U63" s="76">
        <v>34</v>
      </c>
      <c r="V63" s="76">
        <v>34</v>
      </c>
      <c r="W63" s="76">
        <v>34</v>
      </c>
      <c r="X63" s="76">
        <v>32</v>
      </c>
      <c r="Y63" s="76">
        <v>32</v>
      </c>
      <c r="Z63" s="76">
        <v>32</v>
      </c>
      <c r="AA63" s="76">
        <v>32</v>
      </c>
      <c r="AB63" s="76">
        <v>32</v>
      </c>
      <c r="AC63" s="76">
        <v>32</v>
      </c>
      <c r="AD63" s="76">
        <v>32</v>
      </c>
      <c r="AE63" s="76">
        <v>32</v>
      </c>
      <c r="AF63" s="76">
        <v>32</v>
      </c>
      <c r="AG63" s="66">
        <v>60</v>
      </c>
      <c r="AH63" s="48">
        <f t="shared" si="2"/>
        <v>40</v>
      </c>
      <c r="AI63" s="49">
        <f t="shared" si="3"/>
        <v>31.2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22.6</v>
      </c>
      <c r="AC64" s="78">
        <v>22.6</v>
      </c>
      <c r="AD64" s="78">
        <v>22.6</v>
      </c>
      <c r="AE64" s="78">
        <v>22.6</v>
      </c>
      <c r="AF64" s="78">
        <v>22.6</v>
      </c>
      <c r="AG64" s="79">
        <v>22.1</v>
      </c>
      <c r="AH64" s="48">
        <f t="shared" si="2"/>
        <v>22.6</v>
      </c>
      <c r="AI64" s="49">
        <f t="shared" si="3"/>
        <v>22.6</v>
      </c>
      <c r="AK64" s="51"/>
    </row>
    <row r="65" spans="1:75" ht="15.75" thickBot="1" x14ac:dyDescent="0.3">
      <c r="A65" s="80" t="s">
        <v>79</v>
      </c>
      <c r="B65" s="71">
        <f t="shared" ref="B65:C65" si="29">SUM(B62:B64)</f>
        <v>514.51</v>
      </c>
      <c r="C65" s="71">
        <f t="shared" si="29"/>
        <v>514.51</v>
      </c>
      <c r="D65" s="71">
        <f t="shared" ref="D65" si="30">SUM(D62:D64)</f>
        <v>514.51</v>
      </c>
      <c r="E65" s="71">
        <f t="shared" ref="E65:AG65" si="31">SUM(E62:E64)</f>
        <v>514.51</v>
      </c>
      <c r="F65" s="71">
        <f t="shared" si="31"/>
        <v>514.1</v>
      </c>
      <c r="G65" s="71">
        <f t="shared" si="31"/>
        <v>522.9</v>
      </c>
      <c r="H65" s="71">
        <f t="shared" si="31"/>
        <v>522.9</v>
      </c>
      <c r="I65" s="71">
        <f t="shared" si="31"/>
        <v>522.9</v>
      </c>
      <c r="J65" s="71">
        <f t="shared" si="31"/>
        <v>522.9</v>
      </c>
      <c r="K65" s="71">
        <f t="shared" si="31"/>
        <v>522.9</v>
      </c>
      <c r="L65" s="71">
        <f t="shared" ref="L65" si="32">SUM(L62:L64)</f>
        <v>522.9</v>
      </c>
      <c r="M65" s="71">
        <f t="shared" si="31"/>
        <v>522.9</v>
      </c>
      <c r="N65" s="71">
        <f t="shared" si="31"/>
        <v>522.9</v>
      </c>
      <c r="O65" s="71">
        <f t="shared" si="31"/>
        <v>522.9</v>
      </c>
      <c r="P65" s="71">
        <f t="shared" si="31"/>
        <v>522.9</v>
      </c>
      <c r="Q65" s="71">
        <f t="shared" si="31"/>
        <v>491.5</v>
      </c>
      <c r="R65" s="71">
        <f t="shared" si="31"/>
        <v>490.6</v>
      </c>
      <c r="S65" s="71">
        <f t="shared" si="31"/>
        <v>491.6</v>
      </c>
      <c r="T65" s="71">
        <f t="shared" si="31"/>
        <v>486.6</v>
      </c>
      <c r="U65" s="71">
        <f>SUM(U62:U64)</f>
        <v>486.6</v>
      </c>
      <c r="V65" s="71">
        <f t="shared" si="31"/>
        <v>357.6</v>
      </c>
      <c r="W65" s="71">
        <f t="shared" si="31"/>
        <v>358.3</v>
      </c>
      <c r="X65" s="71">
        <f t="shared" si="31"/>
        <v>324.60000000000002</v>
      </c>
      <c r="Y65" s="71">
        <f t="shared" si="31"/>
        <v>355.6</v>
      </c>
      <c r="Z65" s="71">
        <f t="shared" si="31"/>
        <v>344.6</v>
      </c>
      <c r="AA65" s="71">
        <f t="shared" si="31"/>
        <v>474.6</v>
      </c>
      <c r="AB65" s="71">
        <f t="shared" ref="AB65:AC65" si="33">SUM(AB62:AB64)</f>
        <v>494.6</v>
      </c>
      <c r="AC65" s="71">
        <f t="shared" si="33"/>
        <v>494.6</v>
      </c>
      <c r="AD65" s="71">
        <f t="shared" ref="AD65:AE65" si="34">SUM(AD62:AD64)</f>
        <v>512.6</v>
      </c>
      <c r="AE65" s="71">
        <f t="shared" si="34"/>
        <v>512.6</v>
      </c>
      <c r="AF65" s="71">
        <f t="shared" ref="AF65" si="35">SUM(AF62:AF64)</f>
        <v>512.6</v>
      </c>
      <c r="AG65" s="72">
        <f t="shared" si="31"/>
        <v>538.1</v>
      </c>
      <c r="AH65" s="48">
        <f t="shared" si="2"/>
        <v>522.9</v>
      </c>
      <c r="AI65" s="49">
        <f t="shared" si="3"/>
        <v>324.60000000000002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145.69999999999999</v>
      </c>
      <c r="C66" s="46">
        <v>145</v>
      </c>
      <c r="D66" s="46">
        <v>145</v>
      </c>
      <c r="E66" s="46">
        <v>145</v>
      </c>
      <c r="F66" s="46">
        <v>145</v>
      </c>
      <c r="G66" s="46">
        <v>145</v>
      </c>
      <c r="H66" s="46">
        <v>145</v>
      </c>
      <c r="I66" s="46">
        <v>145</v>
      </c>
      <c r="J66" s="46">
        <v>145</v>
      </c>
      <c r="K66" s="46">
        <v>145</v>
      </c>
      <c r="L66" s="46">
        <v>145</v>
      </c>
      <c r="M66" s="46">
        <v>145.30000000000001</v>
      </c>
      <c r="N66" s="46">
        <v>145.30000000000001</v>
      </c>
      <c r="O66" s="46">
        <v>145.30000000000001</v>
      </c>
      <c r="P66" s="46">
        <v>145.30000000000001</v>
      </c>
      <c r="Q66" s="46">
        <v>145.30000000000001</v>
      </c>
      <c r="R66" s="46">
        <v>145.30000000000001</v>
      </c>
      <c r="S66" s="46">
        <v>145.30000000000001</v>
      </c>
      <c r="T66" s="46">
        <v>145.5</v>
      </c>
      <c r="U66" s="46">
        <v>145</v>
      </c>
      <c r="V66" s="46">
        <v>145.19999999999999</v>
      </c>
      <c r="W66" s="46">
        <v>145.19999999999999</v>
      </c>
      <c r="X66" s="46">
        <v>145.19999999999999</v>
      </c>
      <c r="Y66" s="46">
        <v>145.19999999999999</v>
      </c>
      <c r="Z66" s="46">
        <v>145.19999999999999</v>
      </c>
      <c r="AA66" s="46">
        <v>145.19999999999999</v>
      </c>
      <c r="AB66" s="46">
        <v>145.19999999999999</v>
      </c>
      <c r="AC66" s="46">
        <v>145.19999999999999</v>
      </c>
      <c r="AD66" s="46">
        <v>145.19999999999999</v>
      </c>
      <c r="AE66" s="46">
        <v>145.19999999999999</v>
      </c>
      <c r="AF66" s="46">
        <v>145.19999999999999</v>
      </c>
      <c r="AG66" s="61">
        <v>144</v>
      </c>
      <c r="AH66" s="48">
        <f t="shared" si="2"/>
        <v>145.69999999999999</v>
      </c>
      <c r="AI66" s="49">
        <f t="shared" si="3"/>
        <v>145</v>
      </c>
      <c r="AK66" s="51"/>
      <c r="AY66" s="1" t="s">
        <v>86</v>
      </c>
      <c r="AZ66" s="82">
        <f>ROUND(C84,0)</f>
        <v>18</v>
      </c>
      <c r="BA66" s="81">
        <f t="shared" ref="BA66:BD70" si="36">D84</f>
        <v>16.899999999999999</v>
      </c>
      <c r="BB66" s="81">
        <f t="shared" si="36"/>
        <v>16.2</v>
      </c>
      <c r="BC66" s="81">
        <f t="shared" si="36"/>
        <v>16.100000000000001</v>
      </c>
      <c r="BD66" s="81">
        <f t="shared" si="36"/>
        <v>13</v>
      </c>
      <c r="BE66" s="82">
        <f>I84</f>
        <v>12</v>
      </c>
      <c r="BF66" s="82">
        <f>K84</f>
        <v>50</v>
      </c>
      <c r="BG66" s="82">
        <f t="shared" ref="BG66:BP70" si="37">M84</f>
        <v>46</v>
      </c>
      <c r="BH66" s="82">
        <f t="shared" si="37"/>
        <v>0</v>
      </c>
      <c r="BI66" s="82">
        <f t="shared" si="37"/>
        <v>65.599999999999994</v>
      </c>
      <c r="BJ66" s="82">
        <f t="shared" si="37"/>
        <v>63.6</v>
      </c>
      <c r="BK66" s="82">
        <f t="shared" si="37"/>
        <v>66</v>
      </c>
      <c r="BL66" s="82">
        <f t="shared" si="37"/>
        <v>65.5</v>
      </c>
      <c r="BM66" s="82">
        <f t="shared" si="37"/>
        <v>63.7</v>
      </c>
      <c r="BN66" s="82">
        <f t="shared" si="37"/>
        <v>64.3</v>
      </c>
      <c r="BO66" s="82">
        <f t="shared" si="37"/>
        <v>56.5</v>
      </c>
      <c r="BP66" s="82">
        <f t="shared" si="37"/>
        <v>66.599999999999994</v>
      </c>
      <c r="BQ66" s="82">
        <f>X84</f>
        <v>53.7</v>
      </c>
      <c r="BR66" s="82">
        <f>Z84</f>
        <v>20.2</v>
      </c>
      <c r="BS66" s="81">
        <f>AB84</f>
        <v>58</v>
      </c>
      <c r="BT66" s="81">
        <f t="shared" ref="BT66:BV70" si="38">AD84</f>
        <v>53</v>
      </c>
      <c r="BU66" s="81">
        <f t="shared" si="38"/>
        <v>35</v>
      </c>
      <c r="BV66" s="81">
        <f t="shared" si="38"/>
        <v>33</v>
      </c>
      <c r="BW66" s="81">
        <f>B84</f>
        <v>16.600000000000001</v>
      </c>
    </row>
    <row r="67" spans="1:75" x14ac:dyDescent="0.25">
      <c r="A67" s="65" t="s">
        <v>81</v>
      </c>
      <c r="B67" s="46">
        <v>69.599999999999994</v>
      </c>
      <c r="C67" s="46">
        <v>70</v>
      </c>
      <c r="D67" s="46">
        <v>70</v>
      </c>
      <c r="E67" s="46">
        <v>70</v>
      </c>
      <c r="F67" s="46">
        <v>70</v>
      </c>
      <c r="G67" s="46">
        <v>70</v>
      </c>
      <c r="H67" s="46">
        <v>70</v>
      </c>
      <c r="I67" s="46">
        <v>70</v>
      </c>
      <c r="J67" s="46">
        <v>70</v>
      </c>
      <c r="K67" s="46">
        <v>70</v>
      </c>
      <c r="L67" s="46">
        <v>70</v>
      </c>
      <c r="M67" s="46">
        <v>70</v>
      </c>
      <c r="N67" s="46">
        <v>70</v>
      </c>
      <c r="O67" s="46">
        <v>70</v>
      </c>
      <c r="P67" s="46">
        <v>70</v>
      </c>
      <c r="Q67" s="46">
        <v>70</v>
      </c>
      <c r="R67" s="46">
        <v>70</v>
      </c>
      <c r="S67" s="46">
        <v>70</v>
      </c>
      <c r="T67" s="76">
        <v>70.400000000000006</v>
      </c>
      <c r="U67" s="76">
        <v>71.7</v>
      </c>
      <c r="V67" s="76">
        <v>71.5</v>
      </c>
      <c r="W67" s="76">
        <v>72.099999999999994</v>
      </c>
      <c r="X67" s="76">
        <v>72.099999999999994</v>
      </c>
      <c r="Y67" s="76">
        <v>72.099999999999994</v>
      </c>
      <c r="Z67" s="76">
        <v>72.099999999999994</v>
      </c>
      <c r="AA67" s="76">
        <v>72.099999999999994</v>
      </c>
      <c r="AB67" s="76">
        <v>72.099999999999994</v>
      </c>
      <c r="AC67" s="76">
        <v>72.099999999999994</v>
      </c>
      <c r="AD67" s="76">
        <v>72.099999999999994</v>
      </c>
      <c r="AE67" s="76">
        <v>72.099999999999994</v>
      </c>
      <c r="AF67" s="76">
        <v>72.099999999999994</v>
      </c>
      <c r="AG67" s="66">
        <v>70</v>
      </c>
      <c r="AH67" s="48">
        <f t="shared" si="2"/>
        <v>72.099999999999994</v>
      </c>
      <c r="AI67" s="49">
        <f t="shared" si="3"/>
        <v>69.599999999999994</v>
      </c>
      <c r="AK67" s="51"/>
      <c r="AY67" s="1" t="s">
        <v>88</v>
      </c>
      <c r="AZ67" s="82">
        <f>ROUND(C85,0)</f>
        <v>0</v>
      </c>
      <c r="BA67" s="81">
        <f t="shared" si="36"/>
        <v>0</v>
      </c>
      <c r="BB67" s="81">
        <f t="shared" si="36"/>
        <v>0</v>
      </c>
      <c r="BC67" s="81">
        <f t="shared" si="36"/>
        <v>0</v>
      </c>
      <c r="BD67" s="81">
        <f t="shared" si="36"/>
        <v>0</v>
      </c>
      <c r="BE67" s="82">
        <f>I85</f>
        <v>0</v>
      </c>
      <c r="BF67" s="82">
        <f>K85</f>
        <v>0</v>
      </c>
      <c r="BG67" s="82">
        <f t="shared" si="37"/>
        <v>0</v>
      </c>
      <c r="BH67" s="82">
        <f t="shared" si="37"/>
        <v>0</v>
      </c>
      <c r="BI67" s="82">
        <f t="shared" si="37"/>
        <v>0</v>
      </c>
      <c r="BJ67" s="82">
        <f t="shared" si="37"/>
        <v>0</v>
      </c>
      <c r="BK67" s="82">
        <f t="shared" si="37"/>
        <v>0</v>
      </c>
      <c r="BL67" s="82">
        <f t="shared" si="37"/>
        <v>0</v>
      </c>
      <c r="BM67" s="82">
        <f t="shared" si="37"/>
        <v>0</v>
      </c>
      <c r="BN67" s="82">
        <f t="shared" si="37"/>
        <v>0</v>
      </c>
      <c r="BO67" s="82">
        <f t="shared" si="37"/>
        <v>0</v>
      </c>
      <c r="BP67" s="82">
        <f t="shared" si="37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8"/>
        <v>0</v>
      </c>
      <c r="BU67" s="81">
        <f t="shared" si="38"/>
        <v>0</v>
      </c>
      <c r="BV67" s="81">
        <f t="shared" si="38"/>
        <v>0</v>
      </c>
      <c r="BW67" s="81">
        <f>B85</f>
        <v>0</v>
      </c>
    </row>
    <row r="68" spans="1:75" x14ac:dyDescent="0.25">
      <c r="A68" s="65" t="s">
        <v>82</v>
      </c>
      <c r="B68" s="46">
        <v>68.099999999999994</v>
      </c>
      <c r="C68" s="46">
        <v>68.599999999999994</v>
      </c>
      <c r="D68" s="46">
        <v>68.599999999999994</v>
      </c>
      <c r="E68" s="46">
        <v>68.599999999999994</v>
      </c>
      <c r="F68" s="46">
        <v>69.8</v>
      </c>
      <c r="G68" s="46">
        <v>69.8</v>
      </c>
      <c r="H68" s="46">
        <v>69.8</v>
      </c>
      <c r="I68" s="46">
        <v>69.8</v>
      </c>
      <c r="J68" s="46">
        <v>69.8</v>
      </c>
      <c r="K68" s="46">
        <v>69.8</v>
      </c>
      <c r="L68" s="46">
        <v>69.8</v>
      </c>
      <c r="M68" s="46">
        <v>69.8</v>
      </c>
      <c r="N68" s="46">
        <v>69.8</v>
      </c>
      <c r="O68" s="46">
        <v>69.8</v>
      </c>
      <c r="P68" s="46">
        <v>69.8</v>
      </c>
      <c r="Q68" s="46">
        <v>69.8</v>
      </c>
      <c r="R68" s="46">
        <v>69.8</v>
      </c>
      <c r="S68" s="46">
        <v>69.8</v>
      </c>
      <c r="T68" s="76">
        <v>69.400000000000006</v>
      </c>
      <c r="U68" s="76">
        <v>69.8</v>
      </c>
      <c r="V68" s="76">
        <v>69.7</v>
      </c>
      <c r="W68" s="76">
        <v>69.7</v>
      </c>
      <c r="X68" s="76">
        <v>69.7</v>
      </c>
      <c r="Y68" s="76">
        <v>69.7</v>
      </c>
      <c r="Z68" s="76">
        <v>69.7</v>
      </c>
      <c r="AA68" s="76">
        <v>69.7</v>
      </c>
      <c r="AB68" s="76">
        <v>69.7</v>
      </c>
      <c r="AC68" s="76">
        <v>69.7</v>
      </c>
      <c r="AD68" s="76">
        <v>69.7</v>
      </c>
      <c r="AE68" s="76">
        <v>69.7</v>
      </c>
      <c r="AF68" s="76">
        <v>69.7</v>
      </c>
      <c r="AG68" s="66">
        <v>69</v>
      </c>
      <c r="AH68" s="48">
        <f t="shared" si="2"/>
        <v>69.8</v>
      </c>
      <c r="AI68" s="49">
        <f t="shared" si="3"/>
        <v>68.099999999999994</v>
      </c>
      <c r="AK68" s="51"/>
      <c r="AL68" s="83"/>
      <c r="AO68" s="83"/>
      <c r="AY68" s="1" t="s">
        <v>90</v>
      </c>
      <c r="AZ68" s="82">
        <f>ROUND(C86,0)</f>
        <v>-218</v>
      </c>
      <c r="BA68" s="81">
        <f t="shared" si="36"/>
        <v>-255</v>
      </c>
      <c r="BB68" s="81">
        <f t="shared" si="36"/>
        <v>-400</v>
      </c>
      <c r="BC68" s="81">
        <f t="shared" si="36"/>
        <v>-397</v>
      </c>
      <c r="BD68" s="81">
        <f t="shared" si="36"/>
        <v>-439</v>
      </c>
      <c r="BE68" s="82">
        <f>I86</f>
        <v>-430</v>
      </c>
      <c r="BF68" s="82">
        <f>K86</f>
        <v>-366</v>
      </c>
      <c r="BG68" s="82">
        <f t="shared" si="37"/>
        <v>-331</v>
      </c>
      <c r="BH68" s="82">
        <f t="shared" si="37"/>
        <v>-307</v>
      </c>
      <c r="BI68" s="82">
        <f t="shared" si="37"/>
        <v>-240</v>
      </c>
      <c r="BJ68" s="82">
        <f t="shared" si="37"/>
        <v>-266</v>
      </c>
      <c r="BK68" s="82">
        <f t="shared" si="37"/>
        <v>-206</v>
      </c>
      <c r="BL68" s="82">
        <f t="shared" si="37"/>
        <v>-132</v>
      </c>
      <c r="BM68" s="82">
        <f t="shared" si="37"/>
        <v>-148.69999999999999</v>
      </c>
      <c r="BN68" s="82">
        <f t="shared" si="37"/>
        <v>-184.1</v>
      </c>
      <c r="BO68" s="82">
        <f t="shared" si="37"/>
        <v>-165</v>
      </c>
      <c r="BP68" s="82">
        <f t="shared" si="37"/>
        <v>-205</v>
      </c>
      <c r="BQ68" s="82">
        <f>X86</f>
        <v>-215</v>
      </c>
      <c r="BR68" s="82">
        <f>Z86</f>
        <v>-114</v>
      </c>
      <c r="BS68" s="81">
        <f>AB86</f>
        <v>-127</v>
      </c>
      <c r="BT68" s="81">
        <f t="shared" si="38"/>
        <v>-150</v>
      </c>
      <c r="BU68" s="81">
        <f t="shared" si="38"/>
        <v>-170</v>
      </c>
      <c r="BV68" s="81">
        <f t="shared" si="38"/>
        <v>-240</v>
      </c>
      <c r="BW68" s="81">
        <f>B86</f>
        <v>-109</v>
      </c>
    </row>
    <row r="69" spans="1:75" s="83" customFormat="1" x14ac:dyDescent="0.25">
      <c r="A69" s="65" t="s">
        <v>83</v>
      </c>
      <c r="B69" s="46">
        <v>60</v>
      </c>
      <c r="C69" s="46">
        <v>59.7</v>
      </c>
      <c r="D69" s="46">
        <v>59.7</v>
      </c>
      <c r="E69" s="46">
        <v>59.7</v>
      </c>
      <c r="F69" s="46">
        <v>59.7</v>
      </c>
      <c r="G69" s="46">
        <v>59.7</v>
      </c>
      <c r="H69" s="46">
        <v>59.7</v>
      </c>
      <c r="I69" s="46">
        <v>59.7</v>
      </c>
      <c r="J69" s="46">
        <v>59.7</v>
      </c>
      <c r="K69" s="46">
        <v>59.7</v>
      </c>
      <c r="L69" s="46">
        <v>59.7</v>
      </c>
      <c r="M69" s="46">
        <v>59.7</v>
      </c>
      <c r="N69" s="46">
        <v>59.7</v>
      </c>
      <c r="O69" s="46">
        <v>59.7</v>
      </c>
      <c r="P69" s="46">
        <v>59.7</v>
      </c>
      <c r="Q69" s="46">
        <v>59.7</v>
      </c>
      <c r="R69" s="46">
        <v>59.7</v>
      </c>
      <c r="S69" s="46">
        <v>59.7</v>
      </c>
      <c r="T69" s="76">
        <v>61.4</v>
      </c>
      <c r="U69" s="76">
        <v>61.4</v>
      </c>
      <c r="V69" s="76">
        <v>57.4</v>
      </c>
      <c r="W69" s="76">
        <v>56.4</v>
      </c>
      <c r="X69" s="76">
        <v>56.4</v>
      </c>
      <c r="Y69" s="76">
        <v>56.4</v>
      </c>
      <c r="Z69" s="76">
        <v>56.4</v>
      </c>
      <c r="AA69" s="76">
        <v>56.4</v>
      </c>
      <c r="AB69" s="76">
        <v>56.4</v>
      </c>
      <c r="AC69" s="76">
        <v>56.4</v>
      </c>
      <c r="AD69" s="76">
        <v>56.4</v>
      </c>
      <c r="AE69" s="76">
        <v>56.4</v>
      </c>
      <c r="AF69" s="76">
        <v>56.4</v>
      </c>
      <c r="AG69" s="66">
        <v>60</v>
      </c>
      <c r="AH69" s="48">
        <f t="shared" si="2"/>
        <v>61.4</v>
      </c>
      <c r="AI69" s="49">
        <f t="shared" si="3"/>
        <v>56.4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6"/>
        <v>0</v>
      </c>
      <c r="BB69" s="81">
        <f t="shared" si="36"/>
        <v>0</v>
      </c>
      <c r="BC69" s="81">
        <f t="shared" si="36"/>
        <v>0</v>
      </c>
      <c r="BD69" s="81">
        <f t="shared" si="36"/>
        <v>0</v>
      </c>
      <c r="BE69" s="82">
        <f>I87</f>
        <v>0</v>
      </c>
      <c r="BF69" s="82">
        <f>K87</f>
        <v>0</v>
      </c>
      <c r="BG69" s="82">
        <f t="shared" si="37"/>
        <v>41.6</v>
      </c>
      <c r="BH69" s="82">
        <f t="shared" si="37"/>
        <v>51.8</v>
      </c>
      <c r="BI69" s="82">
        <f t="shared" si="37"/>
        <v>52.9</v>
      </c>
      <c r="BJ69" s="82">
        <f t="shared" si="37"/>
        <v>51.4</v>
      </c>
      <c r="BK69" s="82">
        <f t="shared" si="37"/>
        <v>50</v>
      </c>
      <c r="BL69" s="82">
        <f t="shared" si="37"/>
        <v>47.3</v>
      </c>
      <c r="BM69" s="82">
        <f t="shared" si="37"/>
        <v>49.9</v>
      </c>
      <c r="BN69" s="82">
        <f t="shared" si="37"/>
        <v>51.6</v>
      </c>
      <c r="BO69" s="82">
        <f t="shared" si="37"/>
        <v>45.7</v>
      </c>
      <c r="BP69" s="82">
        <f t="shared" si="37"/>
        <v>45.8</v>
      </c>
      <c r="BQ69" s="82">
        <f>X87</f>
        <v>25.2</v>
      </c>
      <c r="BR69" s="82">
        <f>Z87</f>
        <v>0</v>
      </c>
      <c r="BS69" s="81">
        <f>AB87</f>
        <v>0</v>
      </c>
      <c r="BT69" s="81">
        <f t="shared" si="38"/>
        <v>0</v>
      </c>
      <c r="BU69" s="81">
        <f t="shared" si="38"/>
        <v>0</v>
      </c>
      <c r="BV69" s="81">
        <f t="shared" si="38"/>
        <v>0</v>
      </c>
      <c r="BW69" s="81">
        <f>B87</f>
        <v>0</v>
      </c>
    </row>
    <row r="70" spans="1:75" x14ac:dyDescent="0.25">
      <c r="A70" s="65" t="s">
        <v>84</v>
      </c>
      <c r="B70" s="46">
        <v>15</v>
      </c>
      <c r="C70" s="46">
        <v>15.1</v>
      </c>
      <c r="D70" s="46">
        <v>15.1</v>
      </c>
      <c r="E70" s="46">
        <v>15.1</v>
      </c>
      <c r="F70" s="46">
        <v>15.1</v>
      </c>
      <c r="G70" s="46">
        <v>15.1</v>
      </c>
      <c r="H70" s="46">
        <v>15.1</v>
      </c>
      <c r="I70" s="46">
        <v>15.1</v>
      </c>
      <c r="J70" s="46">
        <v>23</v>
      </c>
      <c r="K70" s="46">
        <v>23</v>
      </c>
      <c r="L70" s="46">
        <v>23</v>
      </c>
      <c r="M70" s="46">
        <v>23</v>
      </c>
      <c r="N70" s="46">
        <v>0</v>
      </c>
      <c r="O70" s="46">
        <v>23.5</v>
      </c>
      <c r="P70" s="46">
        <v>23</v>
      </c>
      <c r="Q70" s="46">
        <v>23</v>
      </c>
      <c r="R70" s="46">
        <v>23.9</v>
      </c>
      <c r="S70" s="46">
        <v>23.9</v>
      </c>
      <c r="T70" s="76">
        <v>27.9</v>
      </c>
      <c r="U70" s="76">
        <v>27.5</v>
      </c>
      <c r="V70" s="76">
        <v>22.7</v>
      </c>
      <c r="W70" s="76">
        <v>0</v>
      </c>
      <c r="X70" s="76">
        <v>0</v>
      </c>
      <c r="Y70" s="76">
        <v>23</v>
      </c>
      <c r="Z70" s="76">
        <v>23</v>
      </c>
      <c r="AA70" s="76">
        <v>23</v>
      </c>
      <c r="AB70" s="76">
        <v>23</v>
      </c>
      <c r="AC70" s="76">
        <v>23</v>
      </c>
      <c r="AD70" s="76">
        <v>23</v>
      </c>
      <c r="AE70" s="76">
        <v>14.4</v>
      </c>
      <c r="AF70" s="76">
        <v>14.4</v>
      </c>
      <c r="AG70" s="66">
        <v>30</v>
      </c>
      <c r="AH70" s="48">
        <f t="shared" si="2"/>
        <v>27.9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36"/>
        <v>0</v>
      </c>
      <c r="BB70" s="81">
        <f t="shared" si="36"/>
        <v>0</v>
      </c>
      <c r="BC70" s="81">
        <f t="shared" si="36"/>
        <v>0</v>
      </c>
      <c r="BD70" s="81">
        <f t="shared" si="36"/>
        <v>0</v>
      </c>
      <c r="BE70" s="82">
        <f>I88</f>
        <v>0</v>
      </c>
      <c r="BF70" s="82">
        <f>K88</f>
        <v>0</v>
      </c>
      <c r="BG70" s="82">
        <f t="shared" si="37"/>
        <v>132</v>
      </c>
      <c r="BH70" s="82">
        <f t="shared" si="37"/>
        <v>136</v>
      </c>
      <c r="BI70" s="82">
        <f t="shared" si="37"/>
        <v>132</v>
      </c>
      <c r="BJ70" s="82">
        <f t="shared" si="37"/>
        <v>141.30000000000001</v>
      </c>
      <c r="BK70" s="82">
        <f t="shared" si="37"/>
        <v>146</v>
      </c>
      <c r="BL70" s="82">
        <f t="shared" si="37"/>
        <v>145.30000000000001</v>
      </c>
      <c r="BM70" s="82">
        <f t="shared" si="37"/>
        <v>138.9</v>
      </c>
      <c r="BN70" s="82">
        <f t="shared" si="37"/>
        <v>123.9</v>
      </c>
      <c r="BO70" s="82">
        <f t="shared" si="37"/>
        <v>142.1</v>
      </c>
      <c r="BP70" s="82">
        <f t="shared" si="37"/>
        <v>137.69999999999999</v>
      </c>
      <c r="BQ70" s="82">
        <f>X88</f>
        <v>112.9</v>
      </c>
      <c r="BR70" s="82">
        <f>Z88</f>
        <v>0</v>
      </c>
      <c r="BS70" s="81">
        <f>AB88</f>
        <v>0</v>
      </c>
      <c r="BT70" s="81">
        <f t="shared" si="38"/>
        <v>0</v>
      </c>
      <c r="BU70" s="81">
        <f t="shared" si="38"/>
        <v>0</v>
      </c>
      <c r="BV70" s="81">
        <f t="shared" si="38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1.3</v>
      </c>
      <c r="K71" s="46">
        <v>1.3</v>
      </c>
      <c r="L71" s="46">
        <v>1.3</v>
      </c>
      <c r="M71" s="46">
        <v>6.5</v>
      </c>
      <c r="N71" s="46">
        <v>8.5</v>
      </c>
      <c r="O71" s="46">
        <v>10</v>
      </c>
      <c r="P71" s="46">
        <v>14.8</v>
      </c>
      <c r="Q71" s="46">
        <v>14.5</v>
      </c>
      <c r="R71" s="46">
        <v>14.9</v>
      </c>
      <c r="S71" s="46">
        <v>14.9</v>
      </c>
      <c r="T71" s="76">
        <v>8.6999999999999993</v>
      </c>
      <c r="U71" s="76">
        <v>4.5</v>
      </c>
      <c r="V71" s="76">
        <v>3.1</v>
      </c>
      <c r="W71" s="76">
        <v>0.2</v>
      </c>
      <c r="X71" s="46"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66">
        <v>25</v>
      </c>
      <c r="AH71" s="48">
        <f t="shared" si="2"/>
        <v>14.9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9">M94</f>
        <v>0</v>
      </c>
      <c r="BH71" s="82">
        <f t="shared" si="39"/>
        <v>0</v>
      </c>
      <c r="BI71" s="82">
        <f t="shared" si="39"/>
        <v>0</v>
      </c>
      <c r="BJ71" s="82">
        <f t="shared" si="39"/>
        <v>0</v>
      </c>
      <c r="BK71" s="82">
        <f t="shared" si="39"/>
        <v>0</v>
      </c>
      <c r="BL71" s="82">
        <f t="shared" si="39"/>
        <v>0</v>
      </c>
      <c r="BM71" s="82">
        <f t="shared" si="39"/>
        <v>0</v>
      </c>
      <c r="BN71" s="82">
        <f t="shared" si="39"/>
        <v>0</v>
      </c>
      <c r="BO71" s="82">
        <f t="shared" si="39"/>
        <v>0</v>
      </c>
      <c r="BP71" s="82">
        <f t="shared" si="39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13.1</v>
      </c>
      <c r="C72" s="76">
        <v>13.2</v>
      </c>
      <c r="D72" s="76">
        <v>13.2</v>
      </c>
      <c r="E72" s="76">
        <v>13.2</v>
      </c>
      <c r="F72" s="76">
        <v>13.2</v>
      </c>
      <c r="G72" s="76">
        <v>13.2</v>
      </c>
      <c r="H72" s="76">
        <v>13.2</v>
      </c>
      <c r="I72" s="76">
        <v>13.2</v>
      </c>
      <c r="J72" s="76">
        <v>13.2</v>
      </c>
      <c r="K72" s="76">
        <v>13.2</v>
      </c>
      <c r="L72" s="76">
        <v>13.2</v>
      </c>
      <c r="M72" s="76">
        <v>13.2</v>
      </c>
      <c r="N72" s="76">
        <v>13.2</v>
      </c>
      <c r="O72" s="76">
        <v>13.2</v>
      </c>
      <c r="P72" s="76">
        <v>13.2</v>
      </c>
      <c r="Q72" s="76">
        <v>13.2</v>
      </c>
      <c r="R72" s="76">
        <v>12.9</v>
      </c>
      <c r="S72" s="76">
        <v>12.9</v>
      </c>
      <c r="T72" s="76">
        <v>12.9</v>
      </c>
      <c r="U72" s="76">
        <v>12.9</v>
      </c>
      <c r="V72" s="76">
        <v>12.9</v>
      </c>
      <c r="W72" s="76">
        <v>12.9</v>
      </c>
      <c r="X72" s="76">
        <v>12.9</v>
      </c>
      <c r="Y72" s="76">
        <v>12.9</v>
      </c>
      <c r="Z72" s="76">
        <v>12.9</v>
      </c>
      <c r="AA72" s="76">
        <v>12.9</v>
      </c>
      <c r="AB72" s="76">
        <v>12.9</v>
      </c>
      <c r="AC72" s="76">
        <v>12.9</v>
      </c>
      <c r="AD72" s="76">
        <v>12.9</v>
      </c>
      <c r="AE72" s="76">
        <v>12.9</v>
      </c>
      <c r="AF72" s="76">
        <v>12.9</v>
      </c>
      <c r="AG72" s="66">
        <v>24</v>
      </c>
      <c r="AH72" s="48">
        <f t="shared" si="2"/>
        <v>13.2</v>
      </c>
      <c r="AI72" s="49">
        <f t="shared" si="3"/>
        <v>12.9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>
        <v>3.8</v>
      </c>
      <c r="AF73" s="76">
        <v>3.8</v>
      </c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40">VALUE(AZ66)</f>
        <v>18</v>
      </c>
      <c r="BA73" s="82">
        <f t="shared" si="40"/>
        <v>16.899999999999999</v>
      </c>
      <c r="BB73" s="82">
        <f t="shared" si="40"/>
        <v>16.2</v>
      </c>
      <c r="BC73" s="82">
        <f t="shared" si="40"/>
        <v>16.100000000000001</v>
      </c>
      <c r="BD73" s="82">
        <f t="shared" si="40"/>
        <v>13</v>
      </c>
      <c r="BE73" s="82">
        <f t="shared" si="40"/>
        <v>12</v>
      </c>
      <c r="BF73" s="82">
        <f t="shared" si="40"/>
        <v>50</v>
      </c>
      <c r="BG73" s="82">
        <f t="shared" si="40"/>
        <v>46</v>
      </c>
      <c r="BH73" s="82">
        <f t="shared" si="40"/>
        <v>0</v>
      </c>
      <c r="BI73" s="82">
        <f t="shared" si="40"/>
        <v>65.599999999999994</v>
      </c>
      <c r="BJ73" s="82">
        <f t="shared" si="40"/>
        <v>63.6</v>
      </c>
      <c r="BK73" s="82">
        <f t="shared" si="40"/>
        <v>66</v>
      </c>
      <c r="BL73" s="82">
        <f t="shared" si="40"/>
        <v>65.5</v>
      </c>
      <c r="BM73" s="82">
        <f t="shared" si="40"/>
        <v>63.7</v>
      </c>
      <c r="BN73" s="82">
        <f t="shared" si="40"/>
        <v>64.3</v>
      </c>
      <c r="BO73" s="82">
        <f t="shared" si="40"/>
        <v>56.5</v>
      </c>
      <c r="BP73" s="82">
        <f t="shared" si="40"/>
        <v>66.599999999999994</v>
      </c>
      <c r="BQ73" s="82">
        <f t="shared" si="40"/>
        <v>53.7</v>
      </c>
      <c r="BR73" s="82">
        <f t="shared" si="40"/>
        <v>20.2</v>
      </c>
      <c r="BS73" s="82">
        <f t="shared" si="40"/>
        <v>58</v>
      </c>
      <c r="BT73" s="82">
        <f t="shared" si="40"/>
        <v>53</v>
      </c>
      <c r="BU73" s="82">
        <f t="shared" si="40"/>
        <v>35</v>
      </c>
      <c r="BV73" s="82">
        <f t="shared" si="40"/>
        <v>33</v>
      </c>
      <c r="BW73" s="82">
        <f t="shared" si="40"/>
        <v>16.600000000000001</v>
      </c>
    </row>
    <row r="74" spans="1:75" x14ac:dyDescent="0.25">
      <c r="A74" s="65" t="s">
        <v>91</v>
      </c>
      <c r="B74" s="76">
        <v>10</v>
      </c>
      <c r="C74" s="76">
        <v>11.1</v>
      </c>
      <c r="D74" s="76">
        <v>11.1</v>
      </c>
      <c r="E74" s="76">
        <v>11.1</v>
      </c>
      <c r="F74" s="76">
        <v>11.1</v>
      </c>
      <c r="G74" s="76">
        <v>11.1</v>
      </c>
      <c r="H74" s="76">
        <v>11.1</v>
      </c>
      <c r="I74" s="76">
        <v>11.1</v>
      </c>
      <c r="J74" s="76">
        <v>11.1</v>
      </c>
      <c r="K74" s="76">
        <v>11.1</v>
      </c>
      <c r="L74" s="76">
        <v>11.1</v>
      </c>
      <c r="M74" s="76">
        <v>11.1</v>
      </c>
      <c r="N74" s="76">
        <v>11.1</v>
      </c>
      <c r="O74" s="76">
        <v>11.1</v>
      </c>
      <c r="P74" s="76">
        <v>11.1</v>
      </c>
      <c r="Q74" s="76">
        <v>11.1</v>
      </c>
      <c r="R74" s="76">
        <v>11.1</v>
      </c>
      <c r="S74" s="76">
        <v>11.1</v>
      </c>
      <c r="T74" s="76">
        <v>11.1</v>
      </c>
      <c r="U74" s="76">
        <v>11.1</v>
      </c>
      <c r="V74" s="76">
        <v>11.1</v>
      </c>
      <c r="W74" s="76">
        <v>11.1</v>
      </c>
      <c r="X74" s="76">
        <v>11.1</v>
      </c>
      <c r="Y74" s="76">
        <v>11.1</v>
      </c>
      <c r="Z74" s="76">
        <v>11.1</v>
      </c>
      <c r="AA74" s="76">
        <v>11.1</v>
      </c>
      <c r="AB74" s="76">
        <v>11.1</v>
      </c>
      <c r="AC74" s="76">
        <v>11.1</v>
      </c>
      <c r="AD74" s="76">
        <v>11.1</v>
      </c>
      <c r="AE74" s="76">
        <v>11.1</v>
      </c>
      <c r="AF74" s="76">
        <v>11.1</v>
      </c>
      <c r="AG74" s="66">
        <v>14.1</v>
      </c>
      <c r="AH74" s="48">
        <f t="shared" si="2"/>
        <v>11.1</v>
      </c>
      <c r="AI74" s="49">
        <f t="shared" si="3"/>
        <v>10</v>
      </c>
      <c r="AK74" s="51"/>
      <c r="AZ74" s="82">
        <f t="shared" si="40"/>
        <v>0</v>
      </c>
      <c r="BA74" s="82">
        <f t="shared" si="40"/>
        <v>0</v>
      </c>
      <c r="BB74" s="82">
        <f t="shared" si="40"/>
        <v>0</v>
      </c>
      <c r="BC74" s="82">
        <f t="shared" si="40"/>
        <v>0</v>
      </c>
      <c r="BD74" s="82">
        <f t="shared" si="40"/>
        <v>0</v>
      </c>
      <c r="BE74" s="82">
        <f t="shared" si="40"/>
        <v>0</v>
      </c>
      <c r="BF74" s="82">
        <f t="shared" si="40"/>
        <v>0</v>
      </c>
      <c r="BG74" s="82">
        <f t="shared" si="40"/>
        <v>0</v>
      </c>
      <c r="BH74" s="82">
        <f t="shared" si="40"/>
        <v>0</v>
      </c>
      <c r="BI74" s="82">
        <f t="shared" si="40"/>
        <v>0</v>
      </c>
      <c r="BJ74" s="82">
        <f t="shared" si="40"/>
        <v>0</v>
      </c>
      <c r="BK74" s="82">
        <f t="shared" si="40"/>
        <v>0</v>
      </c>
      <c r="BL74" s="82">
        <f t="shared" si="40"/>
        <v>0</v>
      </c>
      <c r="BM74" s="82">
        <f t="shared" si="40"/>
        <v>0</v>
      </c>
      <c r="BN74" s="82">
        <f t="shared" si="40"/>
        <v>0</v>
      </c>
      <c r="BO74" s="82">
        <f t="shared" si="40"/>
        <v>0</v>
      </c>
      <c r="BP74" s="82">
        <f t="shared" si="40"/>
        <v>0</v>
      </c>
      <c r="BQ74" s="82">
        <f t="shared" si="40"/>
        <v>0</v>
      </c>
      <c r="BR74" s="82">
        <f t="shared" si="40"/>
        <v>0</v>
      </c>
      <c r="BS74" s="82">
        <f t="shared" si="40"/>
        <v>0</v>
      </c>
      <c r="BT74" s="82">
        <f t="shared" si="40"/>
        <v>0</v>
      </c>
      <c r="BU74" s="82">
        <f t="shared" si="40"/>
        <v>0</v>
      </c>
      <c r="BV74" s="82">
        <f t="shared" si="40"/>
        <v>0</v>
      </c>
      <c r="BW74" s="82">
        <f t="shared" si="40"/>
        <v>0</v>
      </c>
    </row>
    <row r="75" spans="1:75" x14ac:dyDescent="0.25">
      <c r="A75" s="84" t="s">
        <v>93</v>
      </c>
      <c r="B75" s="76">
        <v>14.5</v>
      </c>
      <c r="C75" s="76">
        <v>14.5</v>
      </c>
      <c r="D75" s="76">
        <v>14.5</v>
      </c>
      <c r="E75" s="76">
        <v>14.5</v>
      </c>
      <c r="F75" s="76">
        <v>14.5</v>
      </c>
      <c r="G75" s="76">
        <v>14.5</v>
      </c>
      <c r="H75" s="76">
        <v>14.5</v>
      </c>
      <c r="I75" s="76">
        <v>14.5</v>
      </c>
      <c r="J75" s="76">
        <v>14.5</v>
      </c>
      <c r="K75" s="76">
        <v>14.5</v>
      </c>
      <c r="L75" s="76">
        <v>14.5</v>
      </c>
      <c r="M75" s="76">
        <v>0</v>
      </c>
      <c r="N75" s="76">
        <v>0</v>
      </c>
      <c r="O75" s="76">
        <v>14.4</v>
      </c>
      <c r="P75" s="76">
        <v>14.4</v>
      </c>
      <c r="Q75" s="76">
        <v>14.4</v>
      </c>
      <c r="R75" s="76">
        <v>8.1</v>
      </c>
      <c r="S75" s="76">
        <v>8.1</v>
      </c>
      <c r="T75" s="76">
        <v>9.6999999999999993</v>
      </c>
      <c r="U75" s="76">
        <v>9.6999999999999993</v>
      </c>
      <c r="V75" s="76">
        <v>9.6999999999999993</v>
      </c>
      <c r="W75" s="76">
        <v>9.6999999999999993</v>
      </c>
      <c r="X75" s="76">
        <v>9.6999999999999993</v>
      </c>
      <c r="Y75" s="76">
        <v>9.6999999999999993</v>
      </c>
      <c r="Z75" s="76">
        <v>9.6999999999999993</v>
      </c>
      <c r="AA75" s="76">
        <v>9.6999999999999993</v>
      </c>
      <c r="AB75" s="76">
        <v>9.6999999999999993</v>
      </c>
      <c r="AC75" s="76">
        <v>9.6999999999999993</v>
      </c>
      <c r="AD75" s="76">
        <v>9.6999999999999993</v>
      </c>
      <c r="AE75" s="76">
        <v>9.6999999999999993</v>
      </c>
      <c r="AF75" s="76">
        <v>9.6999999999999993</v>
      </c>
      <c r="AG75" s="66">
        <v>14</v>
      </c>
      <c r="AH75" s="48">
        <f t="shared" ref="AH75:AH126" si="41">MAX(B75:AF75)</f>
        <v>14.5</v>
      </c>
      <c r="AI75" s="49">
        <f t="shared" ref="AI75:AI126" si="42">MIN(B75:AF75)</f>
        <v>0</v>
      </c>
      <c r="AK75" s="51"/>
      <c r="AZ75" s="82">
        <f t="shared" si="40"/>
        <v>-218</v>
      </c>
      <c r="BA75" s="82">
        <f t="shared" si="40"/>
        <v>-255</v>
      </c>
      <c r="BB75" s="82">
        <f t="shared" si="40"/>
        <v>-400</v>
      </c>
      <c r="BC75" s="82">
        <f t="shared" si="40"/>
        <v>-397</v>
      </c>
      <c r="BD75" s="82">
        <f t="shared" si="40"/>
        <v>-439</v>
      </c>
      <c r="BE75" s="82">
        <f t="shared" si="40"/>
        <v>-430</v>
      </c>
      <c r="BF75" s="82">
        <f t="shared" si="40"/>
        <v>-366</v>
      </c>
      <c r="BG75" s="82">
        <f t="shared" si="40"/>
        <v>-331</v>
      </c>
      <c r="BH75" s="82">
        <f t="shared" si="40"/>
        <v>-307</v>
      </c>
      <c r="BI75" s="82">
        <f t="shared" si="40"/>
        <v>-240</v>
      </c>
      <c r="BJ75" s="82">
        <f t="shared" si="40"/>
        <v>-266</v>
      </c>
      <c r="BK75" s="82">
        <f t="shared" si="40"/>
        <v>-206</v>
      </c>
      <c r="BL75" s="82">
        <f t="shared" si="40"/>
        <v>-132</v>
      </c>
      <c r="BM75" s="82">
        <f t="shared" si="40"/>
        <v>-148.69999999999999</v>
      </c>
      <c r="BN75" s="82">
        <f t="shared" si="40"/>
        <v>-184.1</v>
      </c>
      <c r="BO75" s="82">
        <f t="shared" si="40"/>
        <v>-165</v>
      </c>
      <c r="BP75" s="82">
        <f t="shared" si="40"/>
        <v>-205</v>
      </c>
      <c r="BQ75" s="82">
        <f t="shared" si="40"/>
        <v>-215</v>
      </c>
      <c r="BR75" s="82">
        <f t="shared" si="40"/>
        <v>-114</v>
      </c>
      <c r="BS75" s="82">
        <f t="shared" si="40"/>
        <v>-127</v>
      </c>
      <c r="BT75" s="82">
        <f t="shared" si="40"/>
        <v>-150</v>
      </c>
      <c r="BU75" s="82">
        <f t="shared" si="40"/>
        <v>-170</v>
      </c>
      <c r="BV75" s="82">
        <f t="shared" si="40"/>
        <v>-240</v>
      </c>
      <c r="BW75" s="82">
        <f t="shared" si="40"/>
        <v>-109</v>
      </c>
    </row>
    <row r="76" spans="1:75" x14ac:dyDescent="0.25">
      <c r="A76" s="65" t="s">
        <v>95</v>
      </c>
      <c r="B76" s="76">
        <v>6.2</v>
      </c>
      <c r="C76" s="76">
        <v>6.2</v>
      </c>
      <c r="D76" s="76">
        <v>6.2</v>
      </c>
      <c r="E76" s="76">
        <v>6.2</v>
      </c>
      <c r="F76" s="76">
        <v>6.2</v>
      </c>
      <c r="G76" s="76">
        <v>6.2</v>
      </c>
      <c r="H76" s="76">
        <v>6.2</v>
      </c>
      <c r="I76" s="76">
        <v>6.2</v>
      </c>
      <c r="J76" s="76">
        <v>6.2</v>
      </c>
      <c r="K76" s="76">
        <v>6.2</v>
      </c>
      <c r="L76" s="76">
        <v>6.2</v>
      </c>
      <c r="M76" s="76">
        <v>6.2</v>
      </c>
      <c r="N76" s="76">
        <v>6.2</v>
      </c>
      <c r="O76" s="76">
        <v>6.2</v>
      </c>
      <c r="P76" s="76">
        <v>6.2</v>
      </c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>
        <v>6.2</v>
      </c>
      <c r="AF76" s="76">
        <v>6.2</v>
      </c>
      <c r="AG76" s="66">
        <v>10.050000000000001</v>
      </c>
      <c r="AH76" s="48">
        <f t="shared" si="41"/>
        <v>6.2</v>
      </c>
      <c r="AI76" s="49">
        <f t="shared" si="42"/>
        <v>6.2</v>
      </c>
      <c r="AK76" s="51"/>
      <c r="AZ76" s="82">
        <f t="shared" si="40"/>
        <v>0</v>
      </c>
      <c r="BA76" s="82">
        <f t="shared" si="40"/>
        <v>0</v>
      </c>
      <c r="BB76" s="82">
        <f t="shared" si="40"/>
        <v>0</v>
      </c>
      <c r="BC76" s="82">
        <f t="shared" si="40"/>
        <v>0</v>
      </c>
      <c r="BD76" s="82">
        <f t="shared" si="40"/>
        <v>0</v>
      </c>
      <c r="BE76" s="82">
        <f t="shared" si="40"/>
        <v>0</v>
      </c>
      <c r="BF76" s="82">
        <f t="shared" si="40"/>
        <v>0</v>
      </c>
      <c r="BG76" s="82">
        <f t="shared" si="40"/>
        <v>41.6</v>
      </c>
      <c r="BH76" s="82">
        <f t="shared" si="40"/>
        <v>51.8</v>
      </c>
      <c r="BI76" s="82">
        <f t="shared" si="40"/>
        <v>52.9</v>
      </c>
      <c r="BJ76" s="82">
        <f t="shared" si="40"/>
        <v>51.4</v>
      </c>
      <c r="BK76" s="82">
        <f t="shared" si="40"/>
        <v>50</v>
      </c>
      <c r="BL76" s="82">
        <f t="shared" si="40"/>
        <v>47.3</v>
      </c>
      <c r="BM76" s="82">
        <f t="shared" si="40"/>
        <v>49.9</v>
      </c>
      <c r="BN76" s="82">
        <f t="shared" si="40"/>
        <v>51.6</v>
      </c>
      <c r="BO76" s="82">
        <f t="shared" si="40"/>
        <v>45.7</v>
      </c>
      <c r="BP76" s="82">
        <f t="shared" si="40"/>
        <v>45.8</v>
      </c>
      <c r="BQ76" s="82">
        <f t="shared" si="40"/>
        <v>25.2</v>
      </c>
      <c r="BR76" s="82">
        <f t="shared" si="40"/>
        <v>0</v>
      </c>
      <c r="BS76" s="82">
        <f t="shared" si="40"/>
        <v>0</v>
      </c>
      <c r="BT76" s="82">
        <f t="shared" si="40"/>
        <v>0</v>
      </c>
      <c r="BU76" s="82">
        <f t="shared" si="40"/>
        <v>0</v>
      </c>
      <c r="BV76" s="82">
        <f t="shared" si="40"/>
        <v>0</v>
      </c>
      <c r="BW76" s="82">
        <f t="shared" si="40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>
        <v>3</v>
      </c>
      <c r="AF77" s="76">
        <v>3</v>
      </c>
      <c r="AG77" s="66">
        <v>6.2</v>
      </c>
      <c r="AH77" s="48">
        <f t="shared" si="41"/>
        <v>3</v>
      </c>
      <c r="AI77" s="49">
        <f t="shared" si="42"/>
        <v>3</v>
      </c>
      <c r="AK77" s="51"/>
      <c r="AZ77" s="82">
        <f t="shared" si="40"/>
        <v>0</v>
      </c>
      <c r="BA77" s="82">
        <f t="shared" si="40"/>
        <v>0</v>
      </c>
      <c r="BB77" s="82">
        <f t="shared" si="40"/>
        <v>0</v>
      </c>
      <c r="BC77" s="82">
        <f t="shared" si="40"/>
        <v>0</v>
      </c>
      <c r="BD77" s="82">
        <f t="shared" si="40"/>
        <v>0</v>
      </c>
      <c r="BE77" s="82">
        <f t="shared" si="40"/>
        <v>0</v>
      </c>
      <c r="BF77" s="82">
        <f t="shared" si="40"/>
        <v>0</v>
      </c>
      <c r="BG77" s="82">
        <f t="shared" si="40"/>
        <v>132</v>
      </c>
      <c r="BH77" s="82">
        <f t="shared" si="40"/>
        <v>136</v>
      </c>
      <c r="BI77" s="82">
        <f t="shared" si="40"/>
        <v>132</v>
      </c>
      <c r="BJ77" s="82">
        <f t="shared" si="40"/>
        <v>141.30000000000001</v>
      </c>
      <c r="BK77" s="82">
        <f t="shared" si="40"/>
        <v>146</v>
      </c>
      <c r="BL77" s="82">
        <f t="shared" si="40"/>
        <v>145.30000000000001</v>
      </c>
      <c r="BM77" s="82">
        <f t="shared" si="40"/>
        <v>138.9</v>
      </c>
      <c r="BN77" s="82">
        <f t="shared" si="40"/>
        <v>123.9</v>
      </c>
      <c r="BO77" s="82">
        <f t="shared" si="40"/>
        <v>142.1</v>
      </c>
      <c r="BP77" s="82">
        <f t="shared" si="40"/>
        <v>137.69999999999999</v>
      </c>
      <c r="BQ77" s="82">
        <f t="shared" si="40"/>
        <v>112.9</v>
      </c>
      <c r="BR77" s="82">
        <f t="shared" si="40"/>
        <v>0</v>
      </c>
      <c r="BS77" s="82">
        <f t="shared" si="40"/>
        <v>0</v>
      </c>
      <c r="BT77" s="82">
        <f t="shared" si="40"/>
        <v>0</v>
      </c>
      <c r="BU77" s="82">
        <f t="shared" si="40"/>
        <v>0</v>
      </c>
      <c r="BV77" s="82">
        <f t="shared" si="40"/>
        <v>0</v>
      </c>
      <c r="BW77" s="82">
        <f t="shared" si="40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41"/>
        <v>5.5</v>
      </c>
      <c r="AI78" s="49">
        <f t="shared" si="42"/>
        <v>3.5</v>
      </c>
      <c r="AK78" s="51"/>
      <c r="AZ78" s="82">
        <f t="shared" si="40"/>
        <v>0</v>
      </c>
      <c r="BA78" s="82">
        <f t="shared" si="40"/>
        <v>0</v>
      </c>
      <c r="BB78" s="82">
        <f t="shared" si="40"/>
        <v>0</v>
      </c>
      <c r="BC78" s="82">
        <f t="shared" si="40"/>
        <v>0</v>
      </c>
      <c r="BD78" s="82">
        <f t="shared" si="40"/>
        <v>0</v>
      </c>
      <c r="BE78" s="82">
        <f t="shared" si="40"/>
        <v>0</v>
      </c>
      <c r="BF78" s="82">
        <f t="shared" si="40"/>
        <v>0</v>
      </c>
      <c r="BG78" s="82">
        <f t="shared" si="40"/>
        <v>0</v>
      </c>
      <c r="BH78" s="82">
        <f t="shared" si="40"/>
        <v>0</v>
      </c>
      <c r="BI78" s="82">
        <f t="shared" si="40"/>
        <v>0</v>
      </c>
      <c r="BJ78" s="82">
        <f t="shared" si="40"/>
        <v>0</v>
      </c>
      <c r="BK78" s="82">
        <f t="shared" si="40"/>
        <v>0</v>
      </c>
      <c r="BL78" s="82">
        <f t="shared" si="40"/>
        <v>0</v>
      </c>
      <c r="BM78" s="82">
        <f t="shared" si="40"/>
        <v>0</v>
      </c>
      <c r="BN78" s="82">
        <f t="shared" si="40"/>
        <v>0</v>
      </c>
      <c r="BO78" s="82">
        <f t="shared" si="40"/>
        <v>0</v>
      </c>
      <c r="BP78" s="82">
        <f t="shared" si="40"/>
        <v>0</v>
      </c>
      <c r="BQ78" s="82">
        <f t="shared" si="40"/>
        <v>0</v>
      </c>
      <c r="BR78" s="82">
        <f t="shared" si="40"/>
        <v>0</v>
      </c>
      <c r="BS78" s="82">
        <f t="shared" si="40"/>
        <v>0</v>
      </c>
      <c r="BT78" s="82">
        <f t="shared" si="40"/>
        <v>0</v>
      </c>
      <c r="BU78" s="82">
        <f t="shared" si="40"/>
        <v>0</v>
      </c>
      <c r="BV78" s="82">
        <f t="shared" si="40"/>
        <v>0</v>
      </c>
      <c r="BW78" s="82">
        <f t="shared" si="40"/>
        <v>0</v>
      </c>
    </row>
    <row r="79" spans="1:75" ht="15.75" thickBot="1" x14ac:dyDescent="0.3">
      <c r="A79" s="87" t="s">
        <v>99</v>
      </c>
      <c r="B79" s="71">
        <f t="shared" ref="B79:C79" si="43">SUM(B66:B78)</f>
        <v>412.54</v>
      </c>
      <c r="C79" s="71">
        <f t="shared" si="43"/>
        <v>413.74000000000007</v>
      </c>
      <c r="D79" s="71">
        <f t="shared" ref="D79" si="44">SUM(D66:D78)</f>
        <v>413.74000000000007</v>
      </c>
      <c r="E79" s="71">
        <f t="shared" ref="E79:AG79" si="45">SUM(E66:E78)</f>
        <v>413.74000000000007</v>
      </c>
      <c r="F79" s="71">
        <f t="shared" si="45"/>
        <v>414.94000000000005</v>
      </c>
      <c r="G79" s="71">
        <f t="shared" si="45"/>
        <v>414.94000000000005</v>
      </c>
      <c r="H79" s="71">
        <f t="shared" si="45"/>
        <v>414.94000000000005</v>
      </c>
      <c r="I79" s="71">
        <f t="shared" si="45"/>
        <v>414.94000000000005</v>
      </c>
      <c r="J79" s="71">
        <f t="shared" si="45"/>
        <v>424.14000000000004</v>
      </c>
      <c r="K79" s="71">
        <f t="shared" si="45"/>
        <v>424.14000000000004</v>
      </c>
      <c r="L79" s="71">
        <f t="shared" ref="L79" si="46">SUM(L66:L78)</f>
        <v>424.14000000000004</v>
      </c>
      <c r="M79" s="71">
        <f t="shared" si="45"/>
        <v>415.14000000000004</v>
      </c>
      <c r="N79" s="71">
        <f t="shared" si="45"/>
        <v>394.14000000000004</v>
      </c>
      <c r="O79" s="71">
        <f t="shared" si="45"/>
        <v>433.54</v>
      </c>
      <c r="P79" s="71">
        <f t="shared" si="45"/>
        <v>437.84000000000003</v>
      </c>
      <c r="Q79" s="71">
        <f t="shared" si="45"/>
        <v>437.54</v>
      </c>
      <c r="R79" s="71">
        <f t="shared" si="45"/>
        <v>432.24</v>
      </c>
      <c r="S79" s="71">
        <f t="shared" si="45"/>
        <v>432.24</v>
      </c>
      <c r="T79" s="71">
        <f t="shared" si="45"/>
        <v>433.53999999999996</v>
      </c>
      <c r="U79" s="71">
        <f t="shared" si="45"/>
        <v>430.14</v>
      </c>
      <c r="V79" s="71">
        <f t="shared" si="45"/>
        <v>419.84</v>
      </c>
      <c r="W79" s="71">
        <f t="shared" si="45"/>
        <v>393.84</v>
      </c>
      <c r="X79" s="71">
        <f t="shared" si="45"/>
        <v>393.64</v>
      </c>
      <c r="Y79" s="71">
        <f t="shared" si="45"/>
        <v>416.59999999999997</v>
      </c>
      <c r="Z79" s="71">
        <f t="shared" si="45"/>
        <v>418.59999999999997</v>
      </c>
      <c r="AA79" s="71">
        <f t="shared" si="45"/>
        <v>416.64</v>
      </c>
      <c r="AB79" s="71">
        <f t="shared" ref="AB79:AC79" si="47">SUM(AB66:AB78)</f>
        <v>416.64</v>
      </c>
      <c r="AC79" s="71">
        <f t="shared" si="47"/>
        <v>416.64</v>
      </c>
      <c r="AD79" s="71">
        <f t="shared" ref="AD79:AE79" si="48">SUM(AD66:AD78)</f>
        <v>416.64</v>
      </c>
      <c r="AE79" s="71">
        <f t="shared" si="48"/>
        <v>408.03999999999996</v>
      </c>
      <c r="AF79" s="71">
        <f t="shared" ref="AF79" si="49">SUM(AF66:AF78)</f>
        <v>408.03999999999996</v>
      </c>
      <c r="AG79" s="72">
        <f t="shared" si="45"/>
        <v>489.91</v>
      </c>
      <c r="AH79" s="48">
        <f t="shared" si="41"/>
        <v>437.84000000000003</v>
      </c>
      <c r="AI79" s="49">
        <f t="shared" si="42"/>
        <v>393.64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29.6</v>
      </c>
      <c r="D80" s="46">
        <v>0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>
        <v>10</v>
      </c>
      <c r="T80" s="46">
        <v>10.199999999999999</v>
      </c>
      <c r="U80" s="46">
        <v>10.199999999999999</v>
      </c>
      <c r="V80" s="46">
        <v>10.199999999999999</v>
      </c>
      <c r="W80" s="46">
        <v>10.199999999999999</v>
      </c>
      <c r="X80" s="46">
        <v>10.199999999999999</v>
      </c>
      <c r="Y80" s="46">
        <v>10</v>
      </c>
      <c r="Z80" s="46">
        <v>10</v>
      </c>
      <c r="AA80" s="46">
        <v>20</v>
      </c>
      <c r="AB80" s="46">
        <v>20</v>
      </c>
      <c r="AC80" s="46">
        <v>20</v>
      </c>
      <c r="AD80" s="46">
        <v>30</v>
      </c>
      <c r="AE80" s="46">
        <v>0</v>
      </c>
      <c r="AF80" s="46">
        <v>0</v>
      </c>
      <c r="AG80" s="61">
        <v>60</v>
      </c>
      <c r="AH80" s="48">
        <f t="shared" si="41"/>
        <v>30</v>
      </c>
      <c r="AI80" s="49">
        <f t="shared" si="42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14</v>
      </c>
      <c r="D81" s="76">
        <v>0</v>
      </c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>
        <v>4.9000000000000004</v>
      </c>
      <c r="T81" s="76">
        <v>2.9</v>
      </c>
      <c r="U81" s="76">
        <v>2.9</v>
      </c>
      <c r="V81" s="76">
        <v>3.1</v>
      </c>
      <c r="W81" s="76">
        <v>3.1</v>
      </c>
      <c r="X81" s="76">
        <v>3.1</v>
      </c>
      <c r="Y81" s="76">
        <v>4.5999999999999996</v>
      </c>
      <c r="Z81" s="76">
        <v>4.5999999999999996</v>
      </c>
      <c r="AA81" s="76">
        <v>11.7</v>
      </c>
      <c r="AB81" s="76">
        <v>11.7</v>
      </c>
      <c r="AC81" s="76">
        <v>11.7</v>
      </c>
      <c r="AD81" s="76">
        <v>8</v>
      </c>
      <c r="AE81" s="76">
        <v>0</v>
      </c>
      <c r="AF81" s="76">
        <v>0</v>
      </c>
      <c r="AG81" s="66">
        <v>32</v>
      </c>
      <c r="AH81" s="48">
        <f t="shared" si="41"/>
        <v>14</v>
      </c>
      <c r="AI81" s="49">
        <f t="shared" si="42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5.0999999999999996</v>
      </c>
      <c r="D82" s="78">
        <v>0</v>
      </c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>
        <v>1.8</v>
      </c>
      <c r="T82" s="78">
        <v>1.1000000000000001</v>
      </c>
      <c r="U82" s="78">
        <v>1</v>
      </c>
      <c r="V82" s="78">
        <v>1.1000000000000001</v>
      </c>
      <c r="W82" s="78">
        <v>1.1000000000000001</v>
      </c>
      <c r="X82" s="78">
        <v>1.1000000000000001</v>
      </c>
      <c r="Y82" s="78">
        <v>1.7</v>
      </c>
      <c r="Z82" s="78">
        <v>1.7</v>
      </c>
      <c r="AA82" s="78">
        <v>4.0999999999999996</v>
      </c>
      <c r="AB82" s="78">
        <v>4.0999999999999996</v>
      </c>
      <c r="AC82" s="78">
        <v>4.0999999999999996</v>
      </c>
      <c r="AD82" s="78">
        <v>2.8</v>
      </c>
      <c r="AE82" s="78">
        <v>0</v>
      </c>
      <c r="AF82" s="78">
        <v>0</v>
      </c>
      <c r="AG82" s="79">
        <v>14</v>
      </c>
      <c r="AH82" s="48">
        <f t="shared" si="41"/>
        <v>5.0999999999999996</v>
      </c>
      <c r="AI82" s="49">
        <f t="shared" si="42"/>
        <v>0</v>
      </c>
      <c r="AK82" s="51"/>
      <c r="AY82" s="82"/>
      <c r="BF82" s="81"/>
      <c r="BG82" s="82">
        <f t="array" ref="BG82:BL105">TRANSPOSE(AZ66:BW71)</f>
        <v>18</v>
      </c>
      <c r="BH82" s="82">
        <v>0</v>
      </c>
      <c r="BI82" s="82">
        <v>-218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C83" si="50">B80+B81+B82</f>
        <v>0</v>
      </c>
      <c r="C83" s="71">
        <f t="shared" si="50"/>
        <v>48.7</v>
      </c>
      <c r="D83" s="71">
        <f t="shared" ref="D83" si="51">D80+D81+D82</f>
        <v>0</v>
      </c>
      <c r="E83" s="71">
        <f t="shared" ref="E83:AA83" si="52">E80+E81+E82</f>
        <v>0</v>
      </c>
      <c r="F83" s="71">
        <f t="shared" si="52"/>
        <v>0</v>
      </c>
      <c r="G83" s="71">
        <f t="shared" si="52"/>
        <v>0</v>
      </c>
      <c r="H83" s="71">
        <f t="shared" si="52"/>
        <v>0</v>
      </c>
      <c r="I83" s="71">
        <f t="shared" si="52"/>
        <v>0</v>
      </c>
      <c r="J83" s="71">
        <f t="shared" si="52"/>
        <v>0</v>
      </c>
      <c r="K83" s="71">
        <f t="shared" si="52"/>
        <v>0</v>
      </c>
      <c r="L83" s="71">
        <f t="shared" ref="L83" si="53">L80+L81+L82</f>
        <v>0</v>
      </c>
      <c r="M83" s="71">
        <f t="shared" si="52"/>
        <v>0</v>
      </c>
      <c r="N83" s="71">
        <f t="shared" si="52"/>
        <v>0</v>
      </c>
      <c r="O83" s="71">
        <f t="shared" si="52"/>
        <v>0</v>
      </c>
      <c r="P83" s="71">
        <f t="shared" si="52"/>
        <v>0</v>
      </c>
      <c r="Q83" s="71">
        <f t="shared" si="52"/>
        <v>0</v>
      </c>
      <c r="R83" s="71">
        <f t="shared" si="52"/>
        <v>0</v>
      </c>
      <c r="S83" s="71">
        <f t="shared" si="52"/>
        <v>16.7</v>
      </c>
      <c r="T83" s="71">
        <f t="shared" si="52"/>
        <v>14.2</v>
      </c>
      <c r="U83" s="71">
        <f t="shared" si="52"/>
        <v>14.1</v>
      </c>
      <c r="V83" s="71">
        <f t="shared" si="52"/>
        <v>14.399999999999999</v>
      </c>
      <c r="W83" s="71">
        <f t="shared" si="52"/>
        <v>14.399999999999999</v>
      </c>
      <c r="X83" s="71">
        <f t="shared" si="52"/>
        <v>14.399999999999999</v>
      </c>
      <c r="Y83" s="71">
        <f t="shared" si="52"/>
        <v>16.3</v>
      </c>
      <c r="Z83" s="71">
        <f t="shared" si="52"/>
        <v>16.3</v>
      </c>
      <c r="AA83" s="71">
        <f t="shared" si="52"/>
        <v>35.799999999999997</v>
      </c>
      <c r="AB83" s="71">
        <f t="shared" ref="AB83:AC83" si="54">AB80+AB81+AB82</f>
        <v>35.799999999999997</v>
      </c>
      <c r="AC83" s="71">
        <f t="shared" si="54"/>
        <v>35.799999999999997</v>
      </c>
      <c r="AD83" s="71">
        <f t="shared" ref="AD83:AE83" si="55">AD80+AD81+AD82</f>
        <v>40.799999999999997</v>
      </c>
      <c r="AE83" s="71">
        <f t="shared" si="55"/>
        <v>0</v>
      </c>
      <c r="AF83" s="71">
        <f t="shared" ref="AF83" si="56">AF80+AF81+AF82</f>
        <v>0</v>
      </c>
      <c r="AG83" s="72">
        <f>SUM(AG80:AG82)</f>
        <v>106</v>
      </c>
      <c r="AH83" s="48">
        <f t="shared" si="41"/>
        <v>48.7</v>
      </c>
      <c r="AI83" s="49">
        <f t="shared" si="42"/>
        <v>0</v>
      </c>
      <c r="AK83" s="51"/>
      <c r="AY83" s="82"/>
      <c r="BF83" s="81"/>
      <c r="BG83" s="82">
        <v>16.899999999999999</v>
      </c>
      <c r="BH83" s="82">
        <v>0</v>
      </c>
      <c r="BI83" s="82">
        <v>-255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16.600000000000001</v>
      </c>
      <c r="C84" s="46">
        <v>17.899999999999999</v>
      </c>
      <c r="D84" s="46">
        <v>16.899999999999999</v>
      </c>
      <c r="E84" s="46">
        <v>16.2</v>
      </c>
      <c r="F84" s="46">
        <v>16.100000000000001</v>
      </c>
      <c r="G84" s="46">
        <v>13</v>
      </c>
      <c r="H84" s="46">
        <v>8</v>
      </c>
      <c r="I84" s="46">
        <v>12</v>
      </c>
      <c r="J84" s="46">
        <v>39</v>
      </c>
      <c r="K84" s="46">
        <v>50</v>
      </c>
      <c r="L84" s="46">
        <v>50</v>
      </c>
      <c r="M84" s="46">
        <v>46</v>
      </c>
      <c r="N84" s="46">
        <v>0</v>
      </c>
      <c r="O84" s="46">
        <v>65.599999999999994</v>
      </c>
      <c r="P84" s="46">
        <v>63.6</v>
      </c>
      <c r="Q84" s="46">
        <v>66</v>
      </c>
      <c r="R84" s="46">
        <v>65.5</v>
      </c>
      <c r="S84" s="46">
        <v>63.7</v>
      </c>
      <c r="T84" s="46">
        <v>64.3</v>
      </c>
      <c r="U84" s="46">
        <v>56.5</v>
      </c>
      <c r="V84" s="46">
        <v>66.599999999999994</v>
      </c>
      <c r="W84" s="46">
        <v>53</v>
      </c>
      <c r="X84" s="46">
        <v>53.7</v>
      </c>
      <c r="Y84" s="46">
        <v>18</v>
      </c>
      <c r="Z84" s="46">
        <v>20.2</v>
      </c>
      <c r="AA84" s="46">
        <v>58</v>
      </c>
      <c r="AB84" s="46">
        <v>58</v>
      </c>
      <c r="AC84" s="46">
        <v>53</v>
      </c>
      <c r="AD84" s="46">
        <v>53</v>
      </c>
      <c r="AE84" s="46">
        <v>35</v>
      </c>
      <c r="AF84" s="46">
        <v>33</v>
      </c>
      <c r="AG84" s="61"/>
      <c r="AH84" s="48">
        <f t="shared" si="41"/>
        <v>66.599999999999994</v>
      </c>
      <c r="AI84" s="49">
        <f t="shared" si="42"/>
        <v>0</v>
      </c>
      <c r="AK84" s="51"/>
      <c r="AY84" s="82"/>
      <c r="BF84" s="81"/>
      <c r="BG84" s="82">
        <v>16.2</v>
      </c>
      <c r="BH84" s="82">
        <v>0</v>
      </c>
      <c r="BI84" s="82">
        <v>-400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41"/>
        <v>0</v>
      </c>
      <c r="AI85" s="49">
        <f t="shared" si="42"/>
        <v>0</v>
      </c>
      <c r="AK85" s="51"/>
      <c r="AL85" s="91" t="s">
        <v>111</v>
      </c>
      <c r="AM85" s="91"/>
      <c r="AY85" s="82"/>
      <c r="BF85" s="82"/>
      <c r="BG85" s="82">
        <v>16.100000000000001</v>
      </c>
      <c r="BH85" s="82">
        <v>0</v>
      </c>
      <c r="BI85" s="82">
        <v>-397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-109</v>
      </c>
      <c r="C86" s="76">
        <v>-218</v>
      </c>
      <c r="D86" s="76">
        <v>-255</v>
      </c>
      <c r="E86" s="76">
        <v>-400</v>
      </c>
      <c r="F86" s="76">
        <v>-397</v>
      </c>
      <c r="G86" s="76">
        <v>-439</v>
      </c>
      <c r="H86" s="76">
        <v>-473</v>
      </c>
      <c r="I86" s="76">
        <v>-430</v>
      </c>
      <c r="J86" s="76">
        <v>-490</v>
      </c>
      <c r="K86" s="76">
        <v>-366</v>
      </c>
      <c r="L86" s="76">
        <v>-366</v>
      </c>
      <c r="M86" s="76">
        <v>-331</v>
      </c>
      <c r="N86" s="76">
        <v>-307</v>
      </c>
      <c r="O86" s="76">
        <v>-240</v>
      </c>
      <c r="P86" s="76">
        <v>-266</v>
      </c>
      <c r="Q86" s="76">
        <v>-206</v>
      </c>
      <c r="R86" s="76">
        <v>-132</v>
      </c>
      <c r="S86" s="76">
        <v>-148.69999999999999</v>
      </c>
      <c r="T86" s="76">
        <v>-184.1</v>
      </c>
      <c r="U86" s="76">
        <v>-165</v>
      </c>
      <c r="V86" s="76">
        <v>-205</v>
      </c>
      <c r="W86" s="76">
        <v>-215</v>
      </c>
      <c r="X86" s="76">
        <v>-215</v>
      </c>
      <c r="Y86" s="76">
        <v>-140</v>
      </c>
      <c r="Z86" s="76">
        <v>-114</v>
      </c>
      <c r="AA86" s="76">
        <v>-117</v>
      </c>
      <c r="AB86" s="76">
        <v>-127</v>
      </c>
      <c r="AC86" s="76">
        <v>-135</v>
      </c>
      <c r="AD86" s="76">
        <v>-150</v>
      </c>
      <c r="AE86" s="76">
        <v>-170</v>
      </c>
      <c r="AF86" s="76">
        <v>-240</v>
      </c>
      <c r="AG86" s="88"/>
      <c r="AH86" s="48">
        <f t="shared" si="41"/>
        <v>-109</v>
      </c>
      <c r="AI86" s="49">
        <f t="shared" si="42"/>
        <v>-490</v>
      </c>
      <c r="AK86" s="92"/>
      <c r="AL86" s="93"/>
      <c r="AM86" s="93"/>
      <c r="AN86" s="94"/>
      <c r="AY86" s="82"/>
      <c r="BF86" s="82"/>
      <c r="BG86" s="82">
        <v>13</v>
      </c>
      <c r="BH86" s="82">
        <v>0</v>
      </c>
      <c r="BI86" s="82">
        <v>-439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>
        <v>41.6</v>
      </c>
      <c r="N87" s="89">
        <v>51.8</v>
      </c>
      <c r="O87" s="89">
        <v>52.9</v>
      </c>
      <c r="P87" s="89">
        <v>51.4</v>
      </c>
      <c r="Q87" s="89">
        <v>50</v>
      </c>
      <c r="R87" s="89">
        <v>47.3</v>
      </c>
      <c r="S87" s="89">
        <v>49.9</v>
      </c>
      <c r="T87" s="89">
        <v>51.6</v>
      </c>
      <c r="U87" s="89">
        <v>45.7</v>
      </c>
      <c r="V87" s="89">
        <v>45.8</v>
      </c>
      <c r="W87" s="89">
        <v>48</v>
      </c>
      <c r="X87" s="89">
        <v>25.2</v>
      </c>
      <c r="Y87" s="89">
        <v>0</v>
      </c>
      <c r="Z87" s="89"/>
      <c r="AA87" s="89"/>
      <c r="AB87" s="89"/>
      <c r="AC87" s="89"/>
      <c r="AD87" s="89"/>
      <c r="AE87" s="89"/>
      <c r="AF87" s="89"/>
      <c r="AG87" s="88"/>
      <c r="AH87" s="48">
        <f t="shared" si="41"/>
        <v>52.9</v>
      </c>
      <c r="AI87" s="49">
        <f t="shared" si="42"/>
        <v>0</v>
      </c>
      <c r="AK87" s="95" t="s">
        <v>114</v>
      </c>
      <c r="AL87" s="76"/>
      <c r="AM87" s="89"/>
      <c r="AN87" s="96"/>
      <c r="AY87" s="82"/>
      <c r="BF87" s="82"/>
      <c r="BG87" s="82">
        <v>12</v>
      </c>
      <c r="BH87" s="82">
        <v>0</v>
      </c>
      <c r="BI87" s="82">
        <v>-430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>
        <v>132</v>
      </c>
      <c r="N88" s="46">
        <v>136</v>
      </c>
      <c r="O88" s="46">
        <v>132</v>
      </c>
      <c r="P88" s="46">
        <v>141.30000000000001</v>
      </c>
      <c r="Q88" s="46">
        <v>146</v>
      </c>
      <c r="R88" s="46">
        <v>145.30000000000001</v>
      </c>
      <c r="S88" s="46">
        <v>138.9</v>
      </c>
      <c r="T88" s="46">
        <v>123.9</v>
      </c>
      <c r="U88" s="46">
        <v>142.1</v>
      </c>
      <c r="V88" s="46">
        <v>137.69999999999999</v>
      </c>
      <c r="W88" s="46">
        <v>122.6</v>
      </c>
      <c r="X88" s="46">
        <v>112.9</v>
      </c>
      <c r="Y88" s="46">
        <v>0</v>
      </c>
      <c r="Z88" s="46"/>
      <c r="AA88" s="46"/>
      <c r="AB88" s="46"/>
      <c r="AC88" s="46"/>
      <c r="AD88" s="46"/>
      <c r="AE88" s="46"/>
      <c r="AF88" s="46"/>
      <c r="AG88" s="88"/>
      <c r="AH88" s="48">
        <f t="shared" si="41"/>
        <v>146</v>
      </c>
      <c r="AI88" s="49">
        <f t="shared" si="42"/>
        <v>0</v>
      </c>
      <c r="AK88" s="95" t="s">
        <v>116</v>
      </c>
      <c r="AL88" s="89"/>
      <c r="AM88" s="89"/>
      <c r="AN88" s="96"/>
      <c r="AY88" s="82"/>
      <c r="BF88" s="82"/>
      <c r="BG88" s="82">
        <v>50</v>
      </c>
      <c r="BH88" s="82">
        <v>0</v>
      </c>
      <c r="BI88" s="82">
        <v>-366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>
        <v>55.6</v>
      </c>
      <c r="O89" s="90">
        <v>45</v>
      </c>
      <c r="P89" s="90">
        <v>0</v>
      </c>
      <c r="Q89" s="90">
        <v>0</v>
      </c>
      <c r="R89" s="90">
        <v>0</v>
      </c>
      <c r="S89" s="90">
        <v>0</v>
      </c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55.6</v>
      </c>
      <c r="AI89" s="49">
        <f t="shared" si="42"/>
        <v>0</v>
      </c>
      <c r="AK89" s="99"/>
      <c r="AL89" s="46"/>
      <c r="AM89" s="46"/>
      <c r="AN89" s="100"/>
      <c r="AY89" s="82"/>
      <c r="BF89" s="82"/>
      <c r="BG89" s="82">
        <v>46</v>
      </c>
      <c r="BH89" s="82">
        <v>0</v>
      </c>
      <c r="BI89" s="82">
        <v>-331</v>
      </c>
      <c r="BJ89" s="82">
        <v>41.6</v>
      </c>
      <c r="BK89" s="82">
        <v>132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41"/>
        <v>0</v>
      </c>
      <c r="AI90" s="49">
        <f t="shared" si="42"/>
        <v>0</v>
      </c>
      <c r="AK90" s="99"/>
      <c r="AL90" s="90"/>
      <c r="AM90" s="102"/>
      <c r="AN90" s="202"/>
      <c r="AY90" s="82"/>
      <c r="BF90" s="82"/>
      <c r="BG90" s="82">
        <v>0</v>
      </c>
      <c r="BH90" s="82">
        <v>0</v>
      </c>
      <c r="BI90" s="82">
        <v>-307</v>
      </c>
      <c r="BJ90" s="82">
        <v>51.8</v>
      </c>
      <c r="BK90" s="82">
        <v>136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41"/>
        <v>0</v>
      </c>
      <c r="AI91" s="49">
        <f t="shared" si="42"/>
        <v>0</v>
      </c>
      <c r="AK91" s="99"/>
      <c r="AL91" s="90"/>
      <c r="AM91" s="90"/>
      <c r="AN91" s="203"/>
      <c r="BF91" s="82"/>
      <c r="BG91" s="82">
        <v>65.599999999999994</v>
      </c>
      <c r="BH91" s="82">
        <v>0</v>
      </c>
      <c r="BI91" s="82">
        <v>-240</v>
      </c>
      <c r="BJ91" s="82">
        <v>52.9</v>
      </c>
      <c r="BK91" s="82">
        <v>132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41"/>
        <v>0</v>
      </c>
      <c r="AI92" s="49">
        <f t="shared" si="42"/>
        <v>0</v>
      </c>
      <c r="AK92" s="104"/>
      <c r="AL92" s="105"/>
      <c r="AM92" s="105"/>
      <c r="AN92" s="106"/>
      <c r="BF92" s="82"/>
      <c r="BG92" s="82">
        <v>63.6</v>
      </c>
      <c r="BH92" s="82">
        <v>0</v>
      </c>
      <c r="BI92" s="82">
        <v>-266</v>
      </c>
      <c r="BJ92" s="82">
        <v>51.4</v>
      </c>
      <c r="BK92" s="82">
        <v>141.30000000000001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41"/>
        <v>0</v>
      </c>
      <c r="AI93" s="49">
        <f t="shared" si="42"/>
        <v>0</v>
      </c>
      <c r="BF93" s="82"/>
      <c r="BG93" s="82">
        <v>66</v>
      </c>
      <c r="BH93" s="82">
        <v>0</v>
      </c>
      <c r="BI93" s="82">
        <v>-206</v>
      </c>
      <c r="BJ93" s="82">
        <v>50</v>
      </c>
      <c r="BK93" s="82">
        <v>146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41"/>
        <v>0</v>
      </c>
      <c r="AI94" s="49">
        <f t="shared" si="42"/>
        <v>0</v>
      </c>
      <c r="BF94" s="82"/>
      <c r="BG94" s="82">
        <v>65.5</v>
      </c>
      <c r="BH94" s="82">
        <v>0</v>
      </c>
      <c r="BI94" s="82">
        <v>-132</v>
      </c>
      <c r="BJ94" s="82">
        <v>47.3</v>
      </c>
      <c r="BK94" s="82">
        <v>145.30000000000001</v>
      </c>
      <c r="BL94" s="82">
        <v>0</v>
      </c>
    </row>
    <row r="95" spans="1:64" ht="15.75" thickBot="1" x14ac:dyDescent="0.3">
      <c r="A95" s="87" t="s">
        <v>118</v>
      </c>
      <c r="B95" s="71">
        <f t="shared" ref="B95" si="57">SUMIF(B84:B94,"&gt;0")</f>
        <v>16.600000000000001</v>
      </c>
      <c r="C95" s="71">
        <f>SUMIF(C84:C94,"&gt;0")</f>
        <v>17.899999999999999</v>
      </c>
      <c r="D95" s="71">
        <f t="shared" ref="D95:AA95" si="58">SUMIF(D84:D94,"&gt;0")</f>
        <v>16.899999999999999</v>
      </c>
      <c r="E95" s="71">
        <f t="shared" si="58"/>
        <v>16.2</v>
      </c>
      <c r="F95" s="71">
        <f t="shared" si="58"/>
        <v>16.100000000000001</v>
      </c>
      <c r="G95" s="71">
        <f t="shared" si="58"/>
        <v>13</v>
      </c>
      <c r="H95" s="71">
        <f t="shared" si="58"/>
        <v>8</v>
      </c>
      <c r="I95" s="71">
        <f t="shared" si="58"/>
        <v>12</v>
      </c>
      <c r="J95" s="71">
        <f t="shared" si="58"/>
        <v>39</v>
      </c>
      <c r="K95" s="71">
        <f t="shared" si="58"/>
        <v>50</v>
      </c>
      <c r="L95" s="71">
        <f t="shared" ref="L95" si="59">SUMIF(L84:L94,"&gt;0")</f>
        <v>50</v>
      </c>
      <c r="M95" s="71">
        <f t="shared" si="58"/>
        <v>219.6</v>
      </c>
      <c r="N95" s="71">
        <f t="shared" si="58"/>
        <v>243.4</v>
      </c>
      <c r="O95" s="71">
        <f t="shared" si="58"/>
        <v>295.5</v>
      </c>
      <c r="P95" s="71">
        <f t="shared" si="58"/>
        <v>256.3</v>
      </c>
      <c r="Q95" s="71">
        <f t="shared" si="58"/>
        <v>262</v>
      </c>
      <c r="R95" s="71">
        <f t="shared" si="58"/>
        <v>258.10000000000002</v>
      </c>
      <c r="S95" s="71">
        <f t="shared" si="58"/>
        <v>252.5</v>
      </c>
      <c r="T95" s="71">
        <f t="shared" si="58"/>
        <v>239.8</v>
      </c>
      <c r="U95" s="71">
        <f>SUMIF(U84:U94,"&gt;0")</f>
        <v>244.3</v>
      </c>
      <c r="V95" s="71">
        <f t="shared" si="58"/>
        <v>250.09999999999997</v>
      </c>
      <c r="W95" s="71">
        <f t="shared" si="58"/>
        <v>223.6</v>
      </c>
      <c r="X95" s="71">
        <f t="shared" si="58"/>
        <v>191.8</v>
      </c>
      <c r="Y95" s="71">
        <f t="shared" si="58"/>
        <v>18</v>
      </c>
      <c r="Z95" s="71">
        <f t="shared" si="58"/>
        <v>20.2</v>
      </c>
      <c r="AA95" s="71">
        <f t="shared" si="58"/>
        <v>58</v>
      </c>
      <c r="AB95" s="71">
        <f t="shared" ref="AB95:AC95" si="60">SUMIF(AB84:AB94,"&gt;0")</f>
        <v>58</v>
      </c>
      <c r="AC95" s="71">
        <f t="shared" si="60"/>
        <v>53</v>
      </c>
      <c r="AD95" s="71">
        <f t="shared" ref="AD95:AE95" si="61">SUMIF(AD84:AD94,"&gt;0")</f>
        <v>53</v>
      </c>
      <c r="AE95" s="71">
        <f t="shared" si="61"/>
        <v>35</v>
      </c>
      <c r="AF95" s="71">
        <f t="shared" ref="AF95" si="62">SUMIF(AF84:AF94,"&gt;0")</f>
        <v>33</v>
      </c>
      <c r="AG95" s="101">
        <f>SUM(AG84:AG94)</f>
        <v>0</v>
      </c>
      <c r="AH95" s="48">
        <f t="shared" si="41"/>
        <v>295.5</v>
      </c>
      <c r="AI95" s="49">
        <f t="shared" si="42"/>
        <v>8</v>
      </c>
      <c r="BF95" s="82"/>
      <c r="BG95" s="82">
        <v>63.7</v>
      </c>
      <c r="BH95" s="82">
        <v>0</v>
      </c>
      <c r="BI95" s="82">
        <v>-148.69999999999999</v>
      </c>
      <c r="BJ95" s="82">
        <v>49.9</v>
      </c>
      <c r="BK95" s="82">
        <v>138.9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41"/>
        <v>0</v>
      </c>
      <c r="AI96" s="49">
        <f t="shared" si="42"/>
        <v>0</v>
      </c>
      <c r="BF96" s="82"/>
      <c r="BG96" s="82">
        <v>64.3</v>
      </c>
      <c r="BH96" s="82">
        <v>0</v>
      </c>
      <c r="BI96" s="82">
        <v>-184.1</v>
      </c>
      <c r="BJ96" s="82">
        <v>51.6</v>
      </c>
      <c r="BK96" s="82">
        <v>123.9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41"/>
        <v>0</v>
      </c>
      <c r="AI97" s="49">
        <f t="shared" si="42"/>
        <v>0</v>
      </c>
      <c r="BF97" s="82"/>
      <c r="BG97" s="82">
        <v>56.5</v>
      </c>
      <c r="BH97" s="82">
        <v>0</v>
      </c>
      <c r="BI97" s="82">
        <v>-165</v>
      </c>
      <c r="BJ97" s="82">
        <v>45.7</v>
      </c>
      <c r="BK97" s="82">
        <v>142.1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41"/>
        <v>0</v>
      </c>
      <c r="AI98" s="49">
        <f t="shared" si="42"/>
        <v>0</v>
      </c>
      <c r="BF98" s="82"/>
      <c r="BG98" s="82">
        <v>66.599999999999994</v>
      </c>
      <c r="BH98" s="82">
        <v>0</v>
      </c>
      <c r="BI98" s="82">
        <v>-205</v>
      </c>
      <c r="BJ98" s="82">
        <v>45.8</v>
      </c>
      <c r="BK98" s="82">
        <v>137.69999999999999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41"/>
        <v>0</v>
      </c>
      <c r="AI99" s="49">
        <f t="shared" si="42"/>
        <v>0</v>
      </c>
      <c r="BF99" s="81"/>
      <c r="BG99" s="82">
        <v>53.7</v>
      </c>
      <c r="BH99" s="82">
        <v>0</v>
      </c>
      <c r="BI99" s="82">
        <v>-215</v>
      </c>
      <c r="BJ99" s="82">
        <v>25.2</v>
      </c>
      <c r="BK99" s="82">
        <v>112.9</v>
      </c>
      <c r="BL99" s="82">
        <v>0</v>
      </c>
    </row>
    <row r="100" spans="1:64" ht="15.75" thickBot="1" x14ac:dyDescent="0.3">
      <c r="A100" s="87" t="s">
        <v>123</v>
      </c>
      <c r="B100" s="108">
        <f t="shared" ref="B100" si="63">B61+B65+B83+B79+B95+B99</f>
        <v>1786.25</v>
      </c>
      <c r="C100" s="108">
        <f t="shared" ref="C100:AG100" si="64">C61+C65+C83+C79+C95+C99</f>
        <v>1843.25</v>
      </c>
      <c r="D100" s="108">
        <f t="shared" si="64"/>
        <v>1795.95</v>
      </c>
      <c r="E100" s="108">
        <f t="shared" si="64"/>
        <v>1800.45</v>
      </c>
      <c r="F100" s="108">
        <f t="shared" si="64"/>
        <v>1824.6399999999999</v>
      </c>
      <c r="G100" s="108">
        <f t="shared" si="64"/>
        <v>1882.04</v>
      </c>
      <c r="H100" s="108">
        <f t="shared" si="64"/>
        <v>1877.04</v>
      </c>
      <c r="I100" s="108">
        <f t="shared" si="64"/>
        <v>1881.04</v>
      </c>
      <c r="J100" s="108">
        <f t="shared" si="64"/>
        <v>1917.24</v>
      </c>
      <c r="K100" s="108">
        <f t="shared" si="64"/>
        <v>1928.24</v>
      </c>
      <c r="L100" s="108">
        <f t="shared" ref="L100" si="65">L61+L65+L83+L79+L95+L99</f>
        <v>1928.24</v>
      </c>
      <c r="M100" s="108">
        <f t="shared" si="64"/>
        <v>2059.44</v>
      </c>
      <c r="N100" s="108">
        <f t="shared" si="64"/>
        <v>2032.0400000000002</v>
      </c>
      <c r="O100" s="108">
        <f t="shared" si="64"/>
        <v>2139.2399999999998</v>
      </c>
      <c r="P100" s="108">
        <f t="shared" si="64"/>
        <v>2122.2400000000002</v>
      </c>
      <c r="Q100" s="108">
        <f t="shared" si="64"/>
        <v>2081.14</v>
      </c>
      <c r="R100" s="108">
        <f t="shared" si="64"/>
        <v>2071.34</v>
      </c>
      <c r="S100" s="108">
        <f t="shared" si="64"/>
        <v>2083.44</v>
      </c>
      <c r="T100" s="108">
        <f t="shared" si="64"/>
        <v>2059.7400000000002</v>
      </c>
      <c r="U100" s="108">
        <f t="shared" si="64"/>
        <v>2053.44</v>
      </c>
      <c r="V100" s="108">
        <f t="shared" si="64"/>
        <v>1921.74</v>
      </c>
      <c r="W100" s="108">
        <f t="shared" si="64"/>
        <v>1869.9399999999998</v>
      </c>
      <c r="X100" s="108">
        <f t="shared" si="64"/>
        <v>1804.24</v>
      </c>
      <c r="Y100" s="108">
        <f t="shared" si="64"/>
        <v>1687.3</v>
      </c>
      <c r="Z100" s="108">
        <f t="shared" si="64"/>
        <v>1699.6</v>
      </c>
      <c r="AA100" s="108">
        <f t="shared" si="64"/>
        <v>1884.94</v>
      </c>
      <c r="AB100" s="108">
        <f t="shared" ref="AB100:AC100" si="66">AB61+AB65+AB83+AB79+AB95+AB99</f>
        <v>1904.94</v>
      </c>
      <c r="AC100" s="108">
        <f t="shared" si="66"/>
        <v>1899.94</v>
      </c>
      <c r="AD100" s="108">
        <f t="shared" ref="AD100:AE100" si="67">AD61+AD65+AD83+AD79+AD95+AD99</f>
        <v>1895.8400000000001</v>
      </c>
      <c r="AE100" s="108">
        <f t="shared" si="67"/>
        <v>1828.44</v>
      </c>
      <c r="AF100" s="108">
        <f t="shared" ref="AF100" si="68">AF61+AF65+AF83+AF79+AF95+AF99</f>
        <v>1826.44</v>
      </c>
      <c r="AG100" s="72">
        <f t="shared" si="64"/>
        <v>2655.44</v>
      </c>
      <c r="AH100" s="48">
        <f t="shared" si="41"/>
        <v>2139.2399999999998</v>
      </c>
      <c r="AI100" s="49">
        <f t="shared" si="42"/>
        <v>1687.3</v>
      </c>
      <c r="BF100" s="81"/>
      <c r="BG100" s="82">
        <v>20.2</v>
      </c>
      <c r="BH100" s="82">
        <v>0</v>
      </c>
      <c r="BI100" s="82">
        <v>-114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100</v>
      </c>
      <c r="C101" s="110">
        <v>100</v>
      </c>
      <c r="D101" s="110">
        <v>100</v>
      </c>
      <c r="E101" s="110">
        <v>100</v>
      </c>
      <c r="F101" s="110">
        <v>100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>
        <v>80</v>
      </c>
      <c r="T101" s="110">
        <v>80</v>
      </c>
      <c r="U101" s="110">
        <v>80</v>
      </c>
      <c r="V101" s="110">
        <v>80</v>
      </c>
      <c r="W101" s="110">
        <v>80</v>
      </c>
      <c r="X101" s="110">
        <v>80</v>
      </c>
      <c r="Y101" s="110">
        <v>150</v>
      </c>
      <c r="Z101" s="110">
        <v>150</v>
      </c>
      <c r="AA101" s="110">
        <v>150</v>
      </c>
      <c r="AB101" s="110">
        <v>150</v>
      </c>
      <c r="AC101" s="110">
        <v>150</v>
      </c>
      <c r="AD101" s="110">
        <v>150</v>
      </c>
      <c r="AE101" s="110">
        <v>151</v>
      </c>
      <c r="AF101" s="110">
        <v>150</v>
      </c>
      <c r="AG101" s="101"/>
      <c r="AH101" s="48">
        <f t="shared" si="41"/>
        <v>151</v>
      </c>
      <c r="AI101" s="49">
        <f t="shared" si="42"/>
        <v>80</v>
      </c>
      <c r="BF101" s="81"/>
      <c r="BG101" s="82">
        <v>58</v>
      </c>
      <c r="BH101" s="82">
        <v>0</v>
      </c>
      <c r="BI101" s="82">
        <v>-127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" si="69">B100+B101</f>
        <v>1886.25</v>
      </c>
      <c r="C102" s="108">
        <f t="shared" ref="C102:AA102" si="70">C100+C101</f>
        <v>1943.25</v>
      </c>
      <c r="D102" s="108">
        <f t="shared" si="70"/>
        <v>1895.95</v>
      </c>
      <c r="E102" s="108">
        <f t="shared" si="70"/>
        <v>1900.45</v>
      </c>
      <c r="F102" s="108">
        <f t="shared" si="70"/>
        <v>1924.6399999999999</v>
      </c>
      <c r="G102" s="108">
        <f t="shared" si="70"/>
        <v>1882.04</v>
      </c>
      <c r="H102" s="108">
        <f t="shared" si="70"/>
        <v>1877.04</v>
      </c>
      <c r="I102" s="108">
        <f t="shared" si="70"/>
        <v>1881.04</v>
      </c>
      <c r="J102" s="108">
        <f t="shared" si="70"/>
        <v>1917.24</v>
      </c>
      <c r="K102" s="108">
        <f t="shared" si="70"/>
        <v>1928.24</v>
      </c>
      <c r="L102" s="108">
        <f t="shared" ref="L102" si="71">L100+L101</f>
        <v>1928.24</v>
      </c>
      <c r="M102" s="108">
        <f t="shared" si="70"/>
        <v>2059.44</v>
      </c>
      <c r="N102" s="108">
        <f t="shared" si="70"/>
        <v>2032.0400000000002</v>
      </c>
      <c r="O102" s="108">
        <f t="shared" si="70"/>
        <v>2139.2399999999998</v>
      </c>
      <c r="P102" s="108">
        <f t="shared" si="70"/>
        <v>2122.2400000000002</v>
      </c>
      <c r="Q102" s="108">
        <f t="shared" si="70"/>
        <v>2081.14</v>
      </c>
      <c r="R102" s="108">
        <f t="shared" si="70"/>
        <v>2071.34</v>
      </c>
      <c r="S102" s="108">
        <f t="shared" si="70"/>
        <v>2163.44</v>
      </c>
      <c r="T102" s="108">
        <f t="shared" si="70"/>
        <v>2139.7400000000002</v>
      </c>
      <c r="U102" s="108">
        <f t="shared" si="70"/>
        <v>2133.44</v>
      </c>
      <c r="V102" s="108">
        <f t="shared" si="70"/>
        <v>2001.74</v>
      </c>
      <c r="W102" s="108">
        <f t="shared" si="70"/>
        <v>1949.9399999999998</v>
      </c>
      <c r="X102" s="108">
        <f t="shared" si="70"/>
        <v>1884.24</v>
      </c>
      <c r="Y102" s="108">
        <f t="shared" si="70"/>
        <v>1837.3</v>
      </c>
      <c r="Z102" s="108">
        <f t="shared" si="70"/>
        <v>1849.6</v>
      </c>
      <c r="AA102" s="108">
        <f t="shared" si="70"/>
        <v>2034.94</v>
      </c>
      <c r="AB102" s="108">
        <f t="shared" ref="AB102:AC102" si="72">AB100+AB101</f>
        <v>2054.94</v>
      </c>
      <c r="AC102" s="108">
        <f t="shared" si="72"/>
        <v>2049.94</v>
      </c>
      <c r="AD102" s="108">
        <f t="shared" ref="AD102:AE102" si="73">AD100+AD101</f>
        <v>2045.8400000000001</v>
      </c>
      <c r="AE102" s="108">
        <f t="shared" si="73"/>
        <v>1979.44</v>
      </c>
      <c r="AF102" s="108">
        <f t="shared" ref="AF102" si="74">AF100+AF101</f>
        <v>1976.44</v>
      </c>
      <c r="AG102" s="101">
        <f>AG99+AG95+AG83+AG79+AG61+AG101</f>
        <v>2117.34</v>
      </c>
      <c r="AH102" s="48">
        <f t="shared" si="41"/>
        <v>2163.44</v>
      </c>
      <c r="AI102" s="49">
        <f t="shared" si="42"/>
        <v>1837.3</v>
      </c>
      <c r="BF102" s="81"/>
      <c r="BG102" s="82">
        <v>53</v>
      </c>
      <c r="BH102" s="82">
        <v>0</v>
      </c>
      <c r="BI102" s="82">
        <v>-150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" si="75">B102-(B110)</f>
        <v>1777.25</v>
      </c>
      <c r="C103" s="108">
        <f t="shared" ref="C103:AA103" si="76">C102-(C110)</f>
        <v>1725.25</v>
      </c>
      <c r="D103" s="108">
        <f t="shared" si="76"/>
        <v>1640.95</v>
      </c>
      <c r="E103" s="108">
        <f t="shared" si="76"/>
        <v>1500.45</v>
      </c>
      <c r="F103" s="108">
        <f t="shared" si="76"/>
        <v>1527.6399999999999</v>
      </c>
      <c r="G103" s="108">
        <f t="shared" si="76"/>
        <v>1443.04</v>
      </c>
      <c r="H103" s="108">
        <f t="shared" si="76"/>
        <v>1404.04</v>
      </c>
      <c r="I103" s="108">
        <f t="shared" si="76"/>
        <v>1451.04</v>
      </c>
      <c r="J103" s="108">
        <f t="shared" si="76"/>
        <v>1427.24</v>
      </c>
      <c r="K103" s="108">
        <f t="shared" si="76"/>
        <v>1562.24</v>
      </c>
      <c r="L103" s="108">
        <f t="shared" ref="L103" si="77">L102-(L110)</f>
        <v>1562.24</v>
      </c>
      <c r="M103" s="108">
        <f t="shared" si="76"/>
        <v>1728.44</v>
      </c>
      <c r="N103" s="108">
        <f t="shared" si="76"/>
        <v>1725.0400000000002</v>
      </c>
      <c r="O103" s="108">
        <f t="shared" si="76"/>
        <v>1899.2399999999998</v>
      </c>
      <c r="P103" s="108">
        <f t="shared" si="76"/>
        <v>1856.2400000000002</v>
      </c>
      <c r="Q103" s="108">
        <f t="shared" si="76"/>
        <v>1875.1399999999999</v>
      </c>
      <c r="R103" s="108">
        <f t="shared" si="76"/>
        <v>1939.3400000000001</v>
      </c>
      <c r="S103" s="108">
        <f t="shared" si="76"/>
        <v>2014.74</v>
      </c>
      <c r="T103" s="108">
        <f t="shared" si="76"/>
        <v>1955.6400000000003</v>
      </c>
      <c r="U103" s="108">
        <f t="shared" si="76"/>
        <v>1968.44</v>
      </c>
      <c r="V103" s="108">
        <f t="shared" si="76"/>
        <v>1796.74</v>
      </c>
      <c r="W103" s="108">
        <f t="shared" si="76"/>
        <v>1734.9399999999998</v>
      </c>
      <c r="X103" s="108">
        <f t="shared" si="76"/>
        <v>1669.24</v>
      </c>
      <c r="Y103" s="108">
        <f t="shared" si="76"/>
        <v>1697.3</v>
      </c>
      <c r="Z103" s="108">
        <f t="shared" si="76"/>
        <v>1735.6</v>
      </c>
      <c r="AA103" s="108">
        <f t="shared" si="76"/>
        <v>1917.94</v>
      </c>
      <c r="AB103" s="108">
        <f t="shared" ref="AB103:AC103" si="78">AB102-(AB110)</f>
        <v>1927.94</v>
      </c>
      <c r="AC103" s="108">
        <f t="shared" si="78"/>
        <v>1914.94</v>
      </c>
      <c r="AD103" s="108">
        <f t="shared" ref="AD103:AE103" si="79">AD102-(AD110)</f>
        <v>1895.8400000000001</v>
      </c>
      <c r="AE103" s="108">
        <f t="shared" si="79"/>
        <v>1809.44</v>
      </c>
      <c r="AF103" s="108">
        <f t="shared" ref="AF103" si="80">AF102-(AF110)</f>
        <v>1736.44</v>
      </c>
      <c r="AG103" s="101"/>
      <c r="AH103" s="48">
        <f t="shared" si="41"/>
        <v>2014.74</v>
      </c>
      <c r="AI103" s="49">
        <f t="shared" si="42"/>
        <v>1404.04</v>
      </c>
      <c r="BF103" s="81"/>
      <c r="BG103" s="82">
        <v>35</v>
      </c>
      <c r="BH103" s="82">
        <v>0</v>
      </c>
      <c r="BI103" s="82">
        <v>-170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B109" si="81">IF(B84&lt;0,B84*-1,0)</f>
        <v>0</v>
      </c>
      <c r="C104" s="89">
        <f t="shared" ref="C104:AA109" si="82">IF(C84&lt;0,C84*-1,0)</f>
        <v>0</v>
      </c>
      <c r="D104" s="89">
        <f t="shared" si="82"/>
        <v>0</v>
      </c>
      <c r="E104" s="89">
        <f t="shared" si="82"/>
        <v>0</v>
      </c>
      <c r="F104" s="89">
        <f t="shared" si="82"/>
        <v>0</v>
      </c>
      <c r="G104" s="89">
        <f t="shared" si="82"/>
        <v>0</v>
      </c>
      <c r="H104" s="89">
        <f t="shared" si="82"/>
        <v>0</v>
      </c>
      <c r="I104" s="89">
        <f t="shared" si="82"/>
        <v>0</v>
      </c>
      <c r="J104" s="89">
        <f t="shared" si="82"/>
        <v>0</v>
      </c>
      <c r="K104" s="89">
        <f t="shared" si="82"/>
        <v>0</v>
      </c>
      <c r="L104" s="89">
        <f t="shared" ref="L104" si="83">IF(L84&lt;0,L84*-1,0)</f>
        <v>0</v>
      </c>
      <c r="M104" s="89">
        <f t="shared" si="82"/>
        <v>0</v>
      </c>
      <c r="N104" s="89">
        <f t="shared" si="82"/>
        <v>0</v>
      </c>
      <c r="O104" s="89">
        <f t="shared" si="82"/>
        <v>0</v>
      </c>
      <c r="P104" s="89">
        <f t="shared" si="82"/>
        <v>0</v>
      </c>
      <c r="Q104" s="89">
        <f t="shared" si="82"/>
        <v>0</v>
      </c>
      <c r="R104" s="89">
        <f t="shared" si="82"/>
        <v>0</v>
      </c>
      <c r="S104" s="89">
        <f t="shared" si="82"/>
        <v>0</v>
      </c>
      <c r="T104" s="89">
        <f t="shared" si="82"/>
        <v>0</v>
      </c>
      <c r="U104" s="89">
        <f t="shared" si="82"/>
        <v>0</v>
      </c>
      <c r="V104" s="89">
        <f t="shared" si="82"/>
        <v>0</v>
      </c>
      <c r="W104" s="89">
        <f t="shared" si="82"/>
        <v>0</v>
      </c>
      <c r="X104" s="89">
        <f t="shared" si="82"/>
        <v>0</v>
      </c>
      <c r="Y104" s="89">
        <f t="shared" si="82"/>
        <v>0</v>
      </c>
      <c r="Z104" s="89">
        <f t="shared" si="82"/>
        <v>0</v>
      </c>
      <c r="AA104" s="89">
        <f t="shared" si="82"/>
        <v>0</v>
      </c>
      <c r="AB104" s="89">
        <f t="shared" ref="AB104:AC104" si="84">IF(AB84&lt;0,AB84*-1,0)</f>
        <v>0</v>
      </c>
      <c r="AC104" s="89">
        <f t="shared" si="84"/>
        <v>0</v>
      </c>
      <c r="AD104" s="89">
        <f t="shared" ref="AD104:AE104" si="85">IF(AD84&lt;0,AD84*-1,0)</f>
        <v>0</v>
      </c>
      <c r="AE104" s="89">
        <f t="shared" si="85"/>
        <v>0</v>
      </c>
      <c r="AF104" s="89">
        <f t="shared" ref="AF104" si="86">IF(AF84&lt;0,AF84*-1,0)</f>
        <v>0</v>
      </c>
      <c r="AG104" s="61"/>
      <c r="AH104" s="48">
        <f t="shared" si="41"/>
        <v>0</v>
      </c>
      <c r="AI104" s="49">
        <f t="shared" si="42"/>
        <v>0</v>
      </c>
      <c r="BG104" s="82">
        <v>33</v>
      </c>
      <c r="BH104" s="82">
        <v>0</v>
      </c>
      <c r="BI104" s="82">
        <v>-240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81"/>
        <v>0</v>
      </c>
      <c r="C105" s="89">
        <f t="shared" ref="C105:Q105" si="87">IF(C85&lt;0,C85*-1,0)</f>
        <v>0</v>
      </c>
      <c r="D105" s="89">
        <f t="shared" si="87"/>
        <v>0</v>
      </c>
      <c r="E105" s="89">
        <f t="shared" si="87"/>
        <v>0</v>
      </c>
      <c r="F105" s="89">
        <f t="shared" si="87"/>
        <v>0</v>
      </c>
      <c r="G105" s="89">
        <f t="shared" si="87"/>
        <v>0</v>
      </c>
      <c r="H105" s="89">
        <f t="shared" si="87"/>
        <v>0</v>
      </c>
      <c r="I105" s="89">
        <f t="shared" si="87"/>
        <v>0</v>
      </c>
      <c r="J105" s="89">
        <f t="shared" si="87"/>
        <v>0</v>
      </c>
      <c r="K105" s="89">
        <f t="shared" si="87"/>
        <v>0</v>
      </c>
      <c r="L105" s="89">
        <f t="shared" ref="L105" si="88">IF(L85&lt;0,L85*-1,0)</f>
        <v>0</v>
      </c>
      <c r="M105" s="89">
        <f t="shared" si="87"/>
        <v>0</v>
      </c>
      <c r="N105" s="89">
        <f t="shared" si="87"/>
        <v>0</v>
      </c>
      <c r="O105" s="89">
        <f t="shared" si="87"/>
        <v>0</v>
      </c>
      <c r="P105" s="89">
        <f t="shared" si="87"/>
        <v>0</v>
      </c>
      <c r="Q105" s="89">
        <f t="shared" si="87"/>
        <v>0</v>
      </c>
      <c r="R105" s="89">
        <f t="shared" si="82"/>
        <v>0</v>
      </c>
      <c r="S105" s="89">
        <f t="shared" si="82"/>
        <v>0</v>
      </c>
      <c r="T105" s="89">
        <f t="shared" si="82"/>
        <v>0</v>
      </c>
      <c r="U105" s="89">
        <f t="shared" si="82"/>
        <v>0</v>
      </c>
      <c r="V105" s="89">
        <f t="shared" si="82"/>
        <v>0</v>
      </c>
      <c r="W105" s="89">
        <f t="shared" si="82"/>
        <v>0</v>
      </c>
      <c r="X105" s="89">
        <f t="shared" si="82"/>
        <v>0</v>
      </c>
      <c r="Y105" s="89">
        <f t="shared" si="82"/>
        <v>0</v>
      </c>
      <c r="Z105" s="89">
        <f t="shared" si="82"/>
        <v>0</v>
      </c>
      <c r="AA105" s="89">
        <f t="shared" si="82"/>
        <v>0</v>
      </c>
      <c r="AB105" s="89">
        <f t="shared" ref="AB105:AC105" si="89">IF(AB85&lt;0,AB85*-1,0)</f>
        <v>0</v>
      </c>
      <c r="AC105" s="89">
        <f t="shared" si="89"/>
        <v>0</v>
      </c>
      <c r="AD105" s="89">
        <f t="shared" ref="AD105:AE105" si="90">IF(AD85&lt;0,AD85*-1,0)</f>
        <v>0</v>
      </c>
      <c r="AE105" s="89">
        <f t="shared" si="90"/>
        <v>0</v>
      </c>
      <c r="AF105" s="89">
        <f t="shared" ref="AF105" si="91">IF(AF85&lt;0,AF85*-1,0)</f>
        <v>0</v>
      </c>
      <c r="AG105" s="66"/>
      <c r="AH105" s="48">
        <f t="shared" si="41"/>
        <v>0</v>
      </c>
      <c r="AI105" s="49">
        <f t="shared" si="42"/>
        <v>0</v>
      </c>
      <c r="AK105" s="51"/>
      <c r="BG105" s="82">
        <v>16.600000000000001</v>
      </c>
      <c r="BH105" s="82">
        <v>0</v>
      </c>
      <c r="BI105" s="82">
        <v>-109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81"/>
        <v>109</v>
      </c>
      <c r="C106" s="89">
        <f t="shared" si="82"/>
        <v>218</v>
      </c>
      <c r="D106" s="89">
        <f t="shared" si="82"/>
        <v>255</v>
      </c>
      <c r="E106" s="89">
        <f t="shared" si="82"/>
        <v>400</v>
      </c>
      <c r="F106" s="89">
        <f t="shared" si="82"/>
        <v>397</v>
      </c>
      <c r="G106" s="89">
        <f t="shared" si="82"/>
        <v>439</v>
      </c>
      <c r="H106" s="89">
        <f t="shared" si="82"/>
        <v>473</v>
      </c>
      <c r="I106" s="89">
        <f t="shared" si="82"/>
        <v>430</v>
      </c>
      <c r="J106" s="89">
        <f t="shared" si="82"/>
        <v>490</v>
      </c>
      <c r="K106" s="89">
        <f t="shared" si="82"/>
        <v>366</v>
      </c>
      <c r="L106" s="89">
        <f t="shared" ref="L106" si="92">IF(L86&lt;0,L86*-1,0)</f>
        <v>366</v>
      </c>
      <c r="M106" s="89">
        <f t="shared" si="82"/>
        <v>331</v>
      </c>
      <c r="N106" s="89">
        <f t="shared" si="82"/>
        <v>307</v>
      </c>
      <c r="O106" s="89">
        <f t="shared" si="82"/>
        <v>240</v>
      </c>
      <c r="P106" s="89">
        <f t="shared" si="82"/>
        <v>266</v>
      </c>
      <c r="Q106" s="89">
        <f t="shared" si="82"/>
        <v>206</v>
      </c>
      <c r="R106" s="89">
        <f t="shared" si="82"/>
        <v>132</v>
      </c>
      <c r="S106" s="89">
        <f t="shared" si="82"/>
        <v>148.69999999999999</v>
      </c>
      <c r="T106" s="89">
        <f t="shared" si="82"/>
        <v>184.1</v>
      </c>
      <c r="U106" s="89">
        <f t="shared" si="82"/>
        <v>165</v>
      </c>
      <c r="V106" s="89">
        <f t="shared" si="82"/>
        <v>205</v>
      </c>
      <c r="W106" s="89">
        <f t="shared" si="82"/>
        <v>215</v>
      </c>
      <c r="X106" s="89">
        <f t="shared" si="82"/>
        <v>215</v>
      </c>
      <c r="Y106" s="89">
        <f t="shared" si="82"/>
        <v>140</v>
      </c>
      <c r="Z106" s="89">
        <f t="shared" si="82"/>
        <v>114</v>
      </c>
      <c r="AA106" s="89">
        <f t="shared" si="82"/>
        <v>117</v>
      </c>
      <c r="AB106" s="89">
        <f t="shared" ref="AB106:AF106" si="93">IF(AB86&lt;0,AB86*-1,0)</f>
        <v>127</v>
      </c>
      <c r="AC106" s="89">
        <f t="shared" si="93"/>
        <v>135</v>
      </c>
      <c r="AD106" s="89">
        <f t="shared" si="93"/>
        <v>150</v>
      </c>
      <c r="AE106" s="89">
        <f t="shared" si="93"/>
        <v>170</v>
      </c>
      <c r="AF106" s="89">
        <f t="shared" si="93"/>
        <v>240</v>
      </c>
      <c r="AG106" s="111"/>
      <c r="AH106" s="48">
        <f t="shared" si="41"/>
        <v>490</v>
      </c>
      <c r="AI106" s="49">
        <f t="shared" si="42"/>
        <v>109</v>
      </c>
    </row>
    <row r="107" spans="1:64" x14ac:dyDescent="0.25">
      <c r="A107" s="97" t="s">
        <v>107</v>
      </c>
      <c r="B107" s="89">
        <f t="shared" si="81"/>
        <v>0</v>
      </c>
      <c r="C107" s="89">
        <f t="shared" si="82"/>
        <v>0</v>
      </c>
      <c r="D107" s="89">
        <f t="shared" si="82"/>
        <v>0</v>
      </c>
      <c r="E107" s="89">
        <f t="shared" si="82"/>
        <v>0</v>
      </c>
      <c r="F107" s="89">
        <f t="shared" si="82"/>
        <v>0</v>
      </c>
      <c r="G107" s="89">
        <f t="shared" si="82"/>
        <v>0</v>
      </c>
      <c r="H107" s="89">
        <f t="shared" si="82"/>
        <v>0</v>
      </c>
      <c r="I107" s="89">
        <f t="shared" si="82"/>
        <v>0</v>
      </c>
      <c r="J107" s="89">
        <f t="shared" si="82"/>
        <v>0</v>
      </c>
      <c r="K107" s="89">
        <f t="shared" si="82"/>
        <v>0</v>
      </c>
      <c r="L107" s="89">
        <f t="shared" ref="L107" si="94">IF(L87&lt;0,L87*-1,0)</f>
        <v>0</v>
      </c>
      <c r="M107" s="89">
        <f t="shared" si="82"/>
        <v>0</v>
      </c>
      <c r="N107" s="89">
        <f t="shared" si="82"/>
        <v>0</v>
      </c>
      <c r="O107" s="89">
        <f t="shared" si="82"/>
        <v>0</v>
      </c>
      <c r="P107" s="89">
        <f t="shared" si="82"/>
        <v>0</v>
      </c>
      <c r="Q107" s="89">
        <f t="shared" si="82"/>
        <v>0</v>
      </c>
      <c r="R107" s="89">
        <f t="shared" si="82"/>
        <v>0</v>
      </c>
      <c r="S107" s="89">
        <f t="shared" si="82"/>
        <v>0</v>
      </c>
      <c r="T107" s="89">
        <f t="shared" si="82"/>
        <v>0</v>
      </c>
      <c r="U107" s="89">
        <f t="shared" si="82"/>
        <v>0</v>
      </c>
      <c r="V107" s="89">
        <f t="shared" si="82"/>
        <v>0</v>
      </c>
      <c r="W107" s="89">
        <f t="shared" si="82"/>
        <v>0</v>
      </c>
      <c r="X107" s="89">
        <f t="shared" si="82"/>
        <v>0</v>
      </c>
      <c r="Y107" s="89">
        <f t="shared" si="82"/>
        <v>0</v>
      </c>
      <c r="Z107" s="89">
        <f t="shared" si="82"/>
        <v>0</v>
      </c>
      <c r="AA107" s="89">
        <f t="shared" si="82"/>
        <v>0</v>
      </c>
      <c r="AB107" s="89">
        <f t="shared" ref="AB107:AC107" si="95">IF(AB87&lt;0,AB87*-1,0)</f>
        <v>0</v>
      </c>
      <c r="AC107" s="89">
        <f t="shared" si="95"/>
        <v>0</v>
      </c>
      <c r="AD107" s="89">
        <f t="shared" ref="AD107:AE107" si="96">IF(AD87&lt;0,AD87*-1,0)</f>
        <v>0</v>
      </c>
      <c r="AE107" s="89">
        <f t="shared" si="96"/>
        <v>0</v>
      </c>
      <c r="AF107" s="89">
        <f t="shared" ref="AF107" si="97">IF(AF87&lt;0,AF87*-1,0)</f>
        <v>0</v>
      </c>
      <c r="AG107" s="111"/>
      <c r="AH107" s="48">
        <f t="shared" si="41"/>
        <v>0</v>
      </c>
      <c r="AI107" s="49">
        <f t="shared" si="42"/>
        <v>0</v>
      </c>
    </row>
    <row r="108" spans="1:64" x14ac:dyDescent="0.25">
      <c r="A108" s="97" t="s">
        <v>108</v>
      </c>
      <c r="B108" s="89">
        <f t="shared" si="81"/>
        <v>0</v>
      </c>
      <c r="C108" s="89">
        <f t="shared" si="82"/>
        <v>0</v>
      </c>
      <c r="D108" s="89">
        <f t="shared" si="82"/>
        <v>0</v>
      </c>
      <c r="E108" s="89">
        <f t="shared" si="82"/>
        <v>0</v>
      </c>
      <c r="F108" s="89">
        <f t="shared" si="82"/>
        <v>0</v>
      </c>
      <c r="G108" s="89">
        <f t="shared" si="82"/>
        <v>0</v>
      </c>
      <c r="H108" s="89">
        <f t="shared" si="82"/>
        <v>0</v>
      </c>
      <c r="I108" s="89">
        <f t="shared" si="82"/>
        <v>0</v>
      </c>
      <c r="J108" s="89">
        <f t="shared" si="82"/>
        <v>0</v>
      </c>
      <c r="K108" s="89">
        <f t="shared" si="82"/>
        <v>0</v>
      </c>
      <c r="L108" s="89">
        <f t="shared" ref="L108" si="98">IF(L88&lt;0,L88*-1,0)</f>
        <v>0</v>
      </c>
      <c r="M108" s="89">
        <f t="shared" si="82"/>
        <v>0</v>
      </c>
      <c r="N108" s="89">
        <f t="shared" si="82"/>
        <v>0</v>
      </c>
      <c r="O108" s="89">
        <f t="shared" si="82"/>
        <v>0</v>
      </c>
      <c r="P108" s="89">
        <f t="shared" si="82"/>
        <v>0</v>
      </c>
      <c r="Q108" s="89">
        <f t="shared" si="82"/>
        <v>0</v>
      </c>
      <c r="R108" s="89">
        <f t="shared" si="82"/>
        <v>0</v>
      </c>
      <c r="S108" s="89">
        <f t="shared" si="82"/>
        <v>0</v>
      </c>
      <c r="T108" s="89">
        <f t="shared" si="82"/>
        <v>0</v>
      </c>
      <c r="U108" s="89">
        <f t="shared" si="82"/>
        <v>0</v>
      </c>
      <c r="V108" s="89">
        <f t="shared" si="82"/>
        <v>0</v>
      </c>
      <c r="W108" s="89">
        <f t="shared" si="82"/>
        <v>0</v>
      </c>
      <c r="X108" s="89">
        <f t="shared" si="82"/>
        <v>0</v>
      </c>
      <c r="Y108" s="89">
        <f t="shared" si="82"/>
        <v>0</v>
      </c>
      <c r="Z108" s="89">
        <f t="shared" si="82"/>
        <v>0</v>
      </c>
      <c r="AA108" s="89">
        <f t="shared" si="82"/>
        <v>0</v>
      </c>
      <c r="AB108" s="89">
        <f t="shared" ref="AB108:AC108" si="99">IF(AB88&lt;0,AB88*-1,0)</f>
        <v>0</v>
      </c>
      <c r="AC108" s="89">
        <f t="shared" si="99"/>
        <v>0</v>
      </c>
      <c r="AD108" s="89">
        <f t="shared" ref="AD108:AE108" si="100">IF(AD88&lt;0,AD88*-1,0)</f>
        <v>0</v>
      </c>
      <c r="AE108" s="89">
        <f t="shared" si="100"/>
        <v>0</v>
      </c>
      <c r="AF108" s="89">
        <f t="shared" ref="AF108" si="101">IF(AF88&lt;0,AF88*-1,0)</f>
        <v>0</v>
      </c>
      <c r="AG108" s="111"/>
      <c r="AH108" s="48">
        <f t="shared" si="41"/>
        <v>0</v>
      </c>
      <c r="AI108" s="49">
        <f t="shared" si="42"/>
        <v>0</v>
      </c>
    </row>
    <row r="109" spans="1:64" ht="15.75" thickBot="1" x14ac:dyDescent="0.3">
      <c r="A109" s="97" t="s">
        <v>117</v>
      </c>
      <c r="B109" s="89">
        <f t="shared" si="81"/>
        <v>0</v>
      </c>
      <c r="C109" s="89">
        <f t="shared" si="82"/>
        <v>0</v>
      </c>
      <c r="D109" s="89">
        <f t="shared" si="82"/>
        <v>0</v>
      </c>
      <c r="E109" s="89">
        <f t="shared" si="82"/>
        <v>0</v>
      </c>
      <c r="F109" s="89">
        <f t="shared" si="82"/>
        <v>0</v>
      </c>
      <c r="G109" s="89">
        <f t="shared" si="82"/>
        <v>0</v>
      </c>
      <c r="H109" s="89">
        <f t="shared" si="82"/>
        <v>0</v>
      </c>
      <c r="I109" s="89">
        <f t="shared" si="82"/>
        <v>0</v>
      </c>
      <c r="J109" s="89">
        <f t="shared" si="82"/>
        <v>0</v>
      </c>
      <c r="K109" s="89">
        <f t="shared" si="82"/>
        <v>0</v>
      </c>
      <c r="L109" s="89">
        <f t="shared" ref="L109" si="102">IF(L89&lt;0,L89*-1,0)</f>
        <v>0</v>
      </c>
      <c r="M109" s="89">
        <f t="shared" si="82"/>
        <v>0</v>
      </c>
      <c r="N109" s="89">
        <f t="shared" si="82"/>
        <v>0</v>
      </c>
      <c r="O109" s="89">
        <f t="shared" si="82"/>
        <v>0</v>
      </c>
      <c r="P109" s="89">
        <f t="shared" si="82"/>
        <v>0</v>
      </c>
      <c r="Q109" s="89">
        <f t="shared" si="82"/>
        <v>0</v>
      </c>
      <c r="R109" s="89">
        <f t="shared" si="82"/>
        <v>0</v>
      </c>
      <c r="S109" s="89">
        <f t="shared" si="82"/>
        <v>0</v>
      </c>
      <c r="T109" s="89">
        <f t="shared" si="82"/>
        <v>0</v>
      </c>
      <c r="U109" s="89">
        <f t="shared" si="82"/>
        <v>0</v>
      </c>
      <c r="V109" s="89">
        <f t="shared" si="82"/>
        <v>0</v>
      </c>
      <c r="W109" s="89">
        <f t="shared" si="82"/>
        <v>0</v>
      </c>
      <c r="X109" s="89">
        <f t="shared" si="82"/>
        <v>0</v>
      </c>
      <c r="Y109" s="89">
        <f t="shared" si="82"/>
        <v>0</v>
      </c>
      <c r="Z109" s="89">
        <f t="shared" si="82"/>
        <v>0</v>
      </c>
      <c r="AA109" s="89">
        <f t="shared" si="82"/>
        <v>0</v>
      </c>
      <c r="AB109" s="89">
        <f t="shared" ref="AB109:AC109" si="103">IF(AB89&lt;0,AB89*-1,0)</f>
        <v>0</v>
      </c>
      <c r="AC109" s="89">
        <f t="shared" si="103"/>
        <v>0</v>
      </c>
      <c r="AD109" s="89">
        <f t="shared" ref="AD109:AE109" si="104">IF(AD89&lt;0,AD89*-1,0)</f>
        <v>0</v>
      </c>
      <c r="AE109" s="89">
        <f t="shared" si="104"/>
        <v>0</v>
      </c>
      <c r="AF109" s="89">
        <f t="shared" ref="AF109" si="105">IF(AF89&lt;0,AF89*-1,0)</f>
        <v>0</v>
      </c>
      <c r="AG109" s="98"/>
      <c r="AH109" s="48">
        <f t="shared" si="41"/>
        <v>0</v>
      </c>
      <c r="AI109" s="49">
        <f t="shared" si="42"/>
        <v>0</v>
      </c>
    </row>
    <row r="110" spans="1:64" ht="15.75" thickBot="1" x14ac:dyDescent="0.3">
      <c r="A110" s="112" t="s">
        <v>130</v>
      </c>
      <c r="B110" s="71">
        <f t="shared" ref="B110" si="106">SUM(B104:B109)</f>
        <v>109</v>
      </c>
      <c r="C110" s="71">
        <f t="shared" ref="C110:AA110" si="107">SUM(C104:C109)</f>
        <v>218</v>
      </c>
      <c r="D110" s="71">
        <f t="shared" si="107"/>
        <v>255</v>
      </c>
      <c r="E110" s="71">
        <f t="shared" si="107"/>
        <v>400</v>
      </c>
      <c r="F110" s="71">
        <f t="shared" si="107"/>
        <v>397</v>
      </c>
      <c r="G110" s="71">
        <f t="shared" si="107"/>
        <v>439</v>
      </c>
      <c r="H110" s="71">
        <f t="shared" si="107"/>
        <v>473</v>
      </c>
      <c r="I110" s="71">
        <f t="shared" si="107"/>
        <v>430</v>
      </c>
      <c r="J110" s="71">
        <f t="shared" si="107"/>
        <v>490</v>
      </c>
      <c r="K110" s="71">
        <f t="shared" si="107"/>
        <v>366</v>
      </c>
      <c r="L110" s="71">
        <f t="shared" ref="L110" si="108">SUM(L104:L109)</f>
        <v>366</v>
      </c>
      <c r="M110" s="71">
        <f t="shared" si="107"/>
        <v>331</v>
      </c>
      <c r="N110" s="71">
        <f t="shared" si="107"/>
        <v>307</v>
      </c>
      <c r="O110" s="71">
        <f t="shared" si="107"/>
        <v>240</v>
      </c>
      <c r="P110" s="71">
        <f t="shared" si="107"/>
        <v>266</v>
      </c>
      <c r="Q110" s="71">
        <f t="shared" si="107"/>
        <v>206</v>
      </c>
      <c r="R110" s="71">
        <f t="shared" si="107"/>
        <v>132</v>
      </c>
      <c r="S110" s="71">
        <f t="shared" si="107"/>
        <v>148.69999999999999</v>
      </c>
      <c r="T110" s="71">
        <f t="shared" si="107"/>
        <v>184.1</v>
      </c>
      <c r="U110" s="71">
        <f t="shared" si="107"/>
        <v>165</v>
      </c>
      <c r="V110" s="71">
        <f t="shared" si="107"/>
        <v>205</v>
      </c>
      <c r="W110" s="71">
        <f t="shared" si="107"/>
        <v>215</v>
      </c>
      <c r="X110" s="71">
        <f t="shared" si="107"/>
        <v>215</v>
      </c>
      <c r="Y110" s="71">
        <f t="shared" si="107"/>
        <v>140</v>
      </c>
      <c r="Z110" s="71">
        <f t="shared" si="107"/>
        <v>114</v>
      </c>
      <c r="AA110" s="71">
        <f t="shared" si="107"/>
        <v>117</v>
      </c>
      <c r="AB110" s="71">
        <f t="shared" ref="AB110:AC110" si="109">SUM(AB104:AB109)</f>
        <v>127</v>
      </c>
      <c r="AC110" s="71">
        <f t="shared" si="109"/>
        <v>135</v>
      </c>
      <c r="AD110" s="71">
        <f t="shared" ref="AD110:AE110" si="110">SUM(AD104:AD109)</f>
        <v>150</v>
      </c>
      <c r="AE110" s="71">
        <f t="shared" si="110"/>
        <v>170</v>
      </c>
      <c r="AF110" s="71">
        <f t="shared" ref="AF110" si="111">SUM(AF104:AF109)</f>
        <v>240</v>
      </c>
      <c r="AG110" s="101"/>
      <c r="AH110" s="48">
        <f t="shared" si="41"/>
        <v>490</v>
      </c>
      <c r="AI110" s="49">
        <f t="shared" si="42"/>
        <v>109</v>
      </c>
    </row>
    <row r="111" spans="1:64" ht="15.75" thickBot="1" x14ac:dyDescent="0.3">
      <c r="A111" s="87" t="s">
        <v>131</v>
      </c>
      <c r="B111" s="71">
        <f t="shared" ref="B111" si="112">B95-B110</f>
        <v>-92.4</v>
      </c>
      <c r="C111" s="71">
        <f t="shared" ref="C111:AA111" si="113">C95-C110</f>
        <v>-200.1</v>
      </c>
      <c r="D111" s="71">
        <f t="shared" si="113"/>
        <v>-238.1</v>
      </c>
      <c r="E111" s="71">
        <f t="shared" si="113"/>
        <v>-383.8</v>
      </c>
      <c r="F111" s="71">
        <f t="shared" si="113"/>
        <v>-380.9</v>
      </c>
      <c r="G111" s="71">
        <f t="shared" si="113"/>
        <v>-426</v>
      </c>
      <c r="H111" s="71">
        <f t="shared" si="113"/>
        <v>-465</v>
      </c>
      <c r="I111" s="71">
        <f t="shared" si="113"/>
        <v>-418</v>
      </c>
      <c r="J111" s="71">
        <f t="shared" si="113"/>
        <v>-451</v>
      </c>
      <c r="K111" s="71">
        <f t="shared" si="113"/>
        <v>-316</v>
      </c>
      <c r="L111" s="71">
        <f t="shared" ref="L111" si="114">L95-L110</f>
        <v>-316</v>
      </c>
      <c r="M111" s="71">
        <f t="shared" si="113"/>
        <v>-111.4</v>
      </c>
      <c r="N111" s="71">
        <f t="shared" si="113"/>
        <v>-63.599999999999994</v>
      </c>
      <c r="O111" s="71">
        <f t="shared" si="113"/>
        <v>55.5</v>
      </c>
      <c r="P111" s="71">
        <f t="shared" si="113"/>
        <v>-9.6999999999999886</v>
      </c>
      <c r="Q111" s="71">
        <f t="shared" si="113"/>
        <v>56</v>
      </c>
      <c r="R111" s="71">
        <f t="shared" si="113"/>
        <v>126.10000000000002</v>
      </c>
      <c r="S111" s="71">
        <f t="shared" si="113"/>
        <v>103.80000000000001</v>
      </c>
      <c r="T111" s="71">
        <f t="shared" si="113"/>
        <v>55.700000000000017</v>
      </c>
      <c r="U111" s="71">
        <f t="shared" si="113"/>
        <v>79.300000000000011</v>
      </c>
      <c r="V111" s="71">
        <f t="shared" si="113"/>
        <v>45.099999999999966</v>
      </c>
      <c r="W111" s="71">
        <f t="shared" si="113"/>
        <v>8.5999999999999943</v>
      </c>
      <c r="X111" s="71">
        <f t="shared" si="113"/>
        <v>-23.199999999999989</v>
      </c>
      <c r="Y111" s="71">
        <f t="shared" si="113"/>
        <v>-122</v>
      </c>
      <c r="Z111" s="71">
        <f t="shared" si="113"/>
        <v>-93.8</v>
      </c>
      <c r="AA111" s="71">
        <f t="shared" si="113"/>
        <v>-59</v>
      </c>
      <c r="AB111" s="71">
        <f t="shared" ref="AB111:AC111" si="115">AB95-AB110</f>
        <v>-69</v>
      </c>
      <c r="AC111" s="71">
        <f t="shared" si="115"/>
        <v>-82</v>
      </c>
      <c r="AD111" s="71">
        <f t="shared" ref="AD111:AE111" si="116">AD95-AD110</f>
        <v>-97</v>
      </c>
      <c r="AE111" s="71">
        <f t="shared" si="116"/>
        <v>-135</v>
      </c>
      <c r="AF111" s="71">
        <f t="shared" ref="AF111" si="117">AF95-AF110</f>
        <v>-207</v>
      </c>
      <c r="AG111" s="101"/>
      <c r="AH111" s="48">
        <f t="shared" si="41"/>
        <v>126.10000000000002</v>
      </c>
      <c r="AI111" s="49">
        <f t="shared" si="42"/>
        <v>-465</v>
      </c>
    </row>
    <row r="112" spans="1:64" x14ac:dyDescent="0.25">
      <c r="A112" s="113" t="s">
        <v>132</v>
      </c>
      <c r="B112" s="114">
        <v>50.021999999999998</v>
      </c>
      <c r="C112" s="114">
        <v>49.97</v>
      </c>
      <c r="D112" s="114">
        <v>50.012</v>
      </c>
      <c r="E112" s="114">
        <v>50.012</v>
      </c>
      <c r="F112" s="114">
        <v>49.981999999999999</v>
      </c>
      <c r="G112" s="114">
        <v>49.93</v>
      </c>
      <c r="H112" s="114"/>
      <c r="I112" s="114"/>
      <c r="J112" s="114"/>
      <c r="K112" s="114"/>
      <c r="L112" s="114"/>
      <c r="M112" s="114">
        <v>50.112000000000002</v>
      </c>
      <c r="N112" s="114">
        <v>50.179000000000002</v>
      </c>
      <c r="O112" s="114">
        <v>50.075000000000003</v>
      </c>
      <c r="P112" s="114">
        <v>49.975000000000001</v>
      </c>
      <c r="Q112" s="114">
        <v>49.975000000000001</v>
      </c>
      <c r="R112" s="114">
        <v>50.034999999999997</v>
      </c>
      <c r="S112" s="114">
        <v>49.954000000000001</v>
      </c>
      <c r="T112" s="114">
        <v>49.965000000000003</v>
      </c>
      <c r="U112" s="114">
        <v>50.061999999999998</v>
      </c>
      <c r="V112" s="114">
        <v>49.99</v>
      </c>
      <c r="W112" s="114">
        <v>49.89</v>
      </c>
      <c r="X112" s="114">
        <v>49.912999999999997</v>
      </c>
      <c r="Y112" s="114">
        <v>50.009</v>
      </c>
      <c r="Z112" s="114">
        <v>49.93</v>
      </c>
      <c r="AA112" s="114">
        <v>49.875</v>
      </c>
      <c r="AB112" s="114">
        <v>49.875</v>
      </c>
      <c r="AC112" s="114">
        <v>50</v>
      </c>
      <c r="AD112" s="114">
        <v>50.05</v>
      </c>
      <c r="AE112" s="114">
        <v>50.03</v>
      </c>
      <c r="AF112" s="114">
        <v>49.83</v>
      </c>
      <c r="AG112" s="115"/>
      <c r="AH112" s="48">
        <f t="shared" si="41"/>
        <v>50.179000000000002</v>
      </c>
      <c r="AI112" s="49">
        <f t="shared" si="42"/>
        <v>49.83</v>
      </c>
    </row>
    <row r="113" spans="1:35" x14ac:dyDescent="0.25">
      <c r="A113" s="116" t="s">
        <v>133</v>
      </c>
      <c r="B113" s="76">
        <v>122.5</v>
      </c>
      <c r="C113" s="76">
        <v>124</v>
      </c>
      <c r="D113" s="76">
        <v>122.1</v>
      </c>
      <c r="E113" s="76">
        <v>122.8</v>
      </c>
      <c r="F113" s="76">
        <v>122.4</v>
      </c>
      <c r="G113" s="76">
        <v>122</v>
      </c>
      <c r="H113" s="76"/>
      <c r="I113" s="76"/>
      <c r="J113" s="76"/>
      <c r="K113" s="76"/>
      <c r="L113" s="76"/>
      <c r="M113" s="76">
        <v>122.8</v>
      </c>
      <c r="N113" s="76">
        <v>122.5</v>
      </c>
      <c r="O113" s="76">
        <v>122.5</v>
      </c>
      <c r="P113" s="76">
        <v>122.3</v>
      </c>
      <c r="Q113" s="76">
        <v>122.3</v>
      </c>
      <c r="R113" s="76">
        <v>122.7</v>
      </c>
      <c r="S113" s="76">
        <v>121.7</v>
      </c>
      <c r="T113" s="76">
        <v>123.2</v>
      </c>
      <c r="U113" s="76">
        <v>123.9</v>
      </c>
      <c r="V113" s="76">
        <v>125</v>
      </c>
      <c r="W113" s="76">
        <v>125.5</v>
      </c>
      <c r="X113" s="76">
        <v>126.3</v>
      </c>
      <c r="Y113" s="76">
        <v>122.7</v>
      </c>
      <c r="Z113" s="76">
        <v>122.9</v>
      </c>
      <c r="AA113" s="76">
        <v>1213.0999999999999</v>
      </c>
      <c r="AB113" s="76">
        <v>123</v>
      </c>
      <c r="AC113" s="76">
        <v>123</v>
      </c>
      <c r="AD113" s="76">
        <v>123</v>
      </c>
      <c r="AE113" s="76">
        <v>123</v>
      </c>
      <c r="AF113" s="76">
        <v>120.6</v>
      </c>
      <c r="AG113" s="117"/>
      <c r="AH113" s="48">
        <f t="shared" si="41"/>
        <v>1213.0999999999999</v>
      </c>
      <c r="AI113" s="49">
        <f t="shared" si="42"/>
        <v>120.6</v>
      </c>
    </row>
    <row r="114" spans="1:35" x14ac:dyDescent="0.25">
      <c r="A114" s="116" t="s">
        <v>134</v>
      </c>
      <c r="B114" s="76">
        <v>128.5</v>
      </c>
      <c r="C114" s="76">
        <v>129.5</v>
      </c>
      <c r="D114" s="76">
        <v>128</v>
      </c>
      <c r="E114" s="76">
        <v>128.6</v>
      </c>
      <c r="F114" s="76">
        <v>128.30000000000001</v>
      </c>
      <c r="G114" s="76">
        <v>127.5</v>
      </c>
      <c r="H114" s="76"/>
      <c r="I114" s="76"/>
      <c r="J114" s="76"/>
      <c r="K114" s="76"/>
      <c r="L114" s="76"/>
      <c r="M114" s="76">
        <v>125.3</v>
      </c>
      <c r="N114" s="76">
        <v>125</v>
      </c>
      <c r="O114" s="76">
        <v>125</v>
      </c>
      <c r="P114" s="76">
        <v>124.7</v>
      </c>
      <c r="Q114" s="76">
        <v>124.7</v>
      </c>
      <c r="R114" s="76">
        <v>125.7</v>
      </c>
      <c r="S114" s="76">
        <v>124.3</v>
      </c>
      <c r="T114" s="76">
        <v>125.6</v>
      </c>
      <c r="U114" s="76">
        <v>126.2</v>
      </c>
      <c r="V114" s="76">
        <v>126.9</v>
      </c>
      <c r="W114" s="76">
        <v>127.5</v>
      </c>
      <c r="X114" s="76">
        <v>127.3</v>
      </c>
      <c r="Y114" s="76">
        <v>125.3</v>
      </c>
      <c r="Z114" s="76">
        <v>125.4</v>
      </c>
      <c r="AA114" s="76">
        <v>126</v>
      </c>
      <c r="AB114" s="76">
        <v>126</v>
      </c>
      <c r="AC114" s="76">
        <v>126</v>
      </c>
      <c r="AD114" s="76">
        <v>126</v>
      </c>
      <c r="AE114" s="76">
        <v>127</v>
      </c>
      <c r="AF114" s="76">
        <v>127</v>
      </c>
      <c r="AG114" s="117"/>
      <c r="AH114" s="48">
        <f t="shared" si="41"/>
        <v>129.5</v>
      </c>
      <c r="AI114" s="49">
        <f t="shared" si="42"/>
        <v>124.3</v>
      </c>
    </row>
    <row r="115" spans="1:35" x14ac:dyDescent="0.25">
      <c r="A115" s="116" t="s">
        <v>135</v>
      </c>
      <c r="B115" s="76">
        <v>126</v>
      </c>
      <c r="C115" s="76">
        <v>128</v>
      </c>
      <c r="D115" s="76">
        <v>132.19999999999999</v>
      </c>
      <c r="E115" s="76">
        <v>135.80000000000001</v>
      </c>
      <c r="F115" s="76">
        <v>127.1</v>
      </c>
      <c r="G115" s="76">
        <v>130.80000000000001</v>
      </c>
      <c r="H115" s="76"/>
      <c r="I115" s="76"/>
      <c r="J115" s="76"/>
      <c r="K115" s="76"/>
      <c r="L115" s="76"/>
      <c r="M115" s="76">
        <v>128.19999999999999</v>
      </c>
      <c r="N115" s="76">
        <v>125.4</v>
      </c>
      <c r="O115" s="76">
        <v>125.4</v>
      </c>
      <c r="P115" s="76">
        <v>127.1</v>
      </c>
      <c r="Q115" s="76">
        <v>127.1</v>
      </c>
      <c r="R115" s="76">
        <v>128.1</v>
      </c>
      <c r="S115" s="76">
        <v>124.3</v>
      </c>
      <c r="T115" s="76">
        <v>127.7</v>
      </c>
      <c r="U115" s="76">
        <v>126</v>
      </c>
      <c r="V115" s="76">
        <v>130.4</v>
      </c>
      <c r="W115" s="76">
        <v>130.4</v>
      </c>
      <c r="X115" s="76">
        <v>130.80000000000001</v>
      </c>
      <c r="Y115" s="76">
        <v>129</v>
      </c>
      <c r="Z115" s="76">
        <v>127.8</v>
      </c>
      <c r="AA115" s="76">
        <v>128.80000000000001</v>
      </c>
      <c r="AB115" s="76">
        <v>128.80000000000001</v>
      </c>
      <c r="AC115" s="76">
        <v>128.80000000000001</v>
      </c>
      <c r="AD115" s="76">
        <v>128.80000000000001</v>
      </c>
      <c r="AE115" s="76">
        <v>130</v>
      </c>
      <c r="AF115" s="76">
        <v>130</v>
      </c>
      <c r="AG115" s="117"/>
      <c r="AH115" s="48">
        <f t="shared" si="41"/>
        <v>135.80000000000001</v>
      </c>
      <c r="AI115" s="49">
        <f t="shared" si="42"/>
        <v>124.3</v>
      </c>
    </row>
    <row r="116" spans="1:35" x14ac:dyDescent="0.25">
      <c r="A116" s="118" t="s">
        <v>136</v>
      </c>
      <c r="B116" s="76">
        <v>128.1</v>
      </c>
      <c r="C116" s="76">
        <v>129.69999999999999</v>
      </c>
      <c r="D116" s="76">
        <v>134.1</v>
      </c>
      <c r="E116" s="76">
        <v>134.19999999999999</v>
      </c>
      <c r="F116" s="76">
        <v>128.19999999999999</v>
      </c>
      <c r="G116" s="76">
        <v>131.4</v>
      </c>
      <c r="H116" s="76"/>
      <c r="I116" s="76"/>
      <c r="J116" s="76"/>
      <c r="K116" s="76"/>
      <c r="L116" s="76"/>
      <c r="M116" s="76">
        <v>131.9</v>
      </c>
      <c r="N116" s="76">
        <v>127.3</v>
      </c>
      <c r="O116" s="76">
        <v>127.3</v>
      </c>
      <c r="P116" s="76">
        <v>128.80000000000001</v>
      </c>
      <c r="Q116" s="76">
        <v>128.80000000000001</v>
      </c>
      <c r="R116" s="76">
        <v>130.80000000000001</v>
      </c>
      <c r="S116" s="76">
        <v>127.2</v>
      </c>
      <c r="T116" s="76">
        <v>129.69999999999999</v>
      </c>
      <c r="U116" s="76">
        <v>125.7</v>
      </c>
      <c r="V116" s="76">
        <v>128.1</v>
      </c>
      <c r="W116" s="76">
        <v>131.1</v>
      </c>
      <c r="X116" s="76">
        <v>132.19999999999999</v>
      </c>
      <c r="Y116" s="76">
        <v>131</v>
      </c>
      <c r="Z116" s="76">
        <v>129.30000000000001</v>
      </c>
      <c r="AA116" s="76">
        <v>131.19999999999999</v>
      </c>
      <c r="AB116" s="76">
        <v>131.19999999999999</v>
      </c>
      <c r="AC116" s="76">
        <v>131.19999999999999</v>
      </c>
      <c r="AD116" s="76">
        <v>131.19999999999999</v>
      </c>
      <c r="AE116" s="76">
        <v>133</v>
      </c>
      <c r="AF116" s="76">
        <v>133</v>
      </c>
      <c r="AG116" s="117"/>
      <c r="AH116" s="48">
        <f t="shared" si="41"/>
        <v>134.19999999999999</v>
      </c>
      <c r="AI116" s="49">
        <f t="shared" si="42"/>
        <v>125.7</v>
      </c>
    </row>
    <row r="117" spans="1:35" x14ac:dyDescent="0.25">
      <c r="A117" s="118" t="s">
        <v>137</v>
      </c>
      <c r="B117" s="119">
        <v>134.1</v>
      </c>
      <c r="C117" s="119">
        <v>135</v>
      </c>
      <c r="D117" s="119">
        <v>134.30000000000001</v>
      </c>
      <c r="E117" s="119">
        <v>136.9</v>
      </c>
      <c r="F117" s="119">
        <v>133.6</v>
      </c>
      <c r="G117" s="119">
        <v>133.80000000000001</v>
      </c>
      <c r="H117" s="119"/>
      <c r="I117" s="119"/>
      <c r="J117" s="119"/>
      <c r="K117" s="119"/>
      <c r="L117" s="119"/>
      <c r="M117" s="119">
        <v>127.1</v>
      </c>
      <c r="N117" s="119">
        <v>128.5</v>
      </c>
      <c r="O117" s="119">
        <v>128.5</v>
      </c>
      <c r="P117" s="119">
        <v>131.69999999999999</v>
      </c>
      <c r="Q117" s="119">
        <v>131.69999999999999</v>
      </c>
      <c r="R117" s="119">
        <v>133.9</v>
      </c>
      <c r="S117" s="119">
        <v>129.19999999999999</v>
      </c>
      <c r="T117" s="119">
        <v>133.69999999999999</v>
      </c>
      <c r="U117" s="119">
        <v>135</v>
      </c>
      <c r="V117" s="119">
        <v>130.80000000000001</v>
      </c>
      <c r="W117" s="119">
        <v>133.4</v>
      </c>
      <c r="X117" s="119">
        <v>131.5</v>
      </c>
      <c r="Y117" s="119">
        <v>130</v>
      </c>
      <c r="Z117" s="119">
        <v>132.6</v>
      </c>
      <c r="AA117" s="119">
        <v>135.5</v>
      </c>
      <c r="AB117" s="119">
        <v>135.5</v>
      </c>
      <c r="AC117" s="119">
        <v>135.5</v>
      </c>
      <c r="AD117" s="119">
        <v>135.5</v>
      </c>
      <c r="AE117" s="119">
        <v>135</v>
      </c>
      <c r="AF117" s="119">
        <v>135</v>
      </c>
      <c r="AG117" s="120"/>
      <c r="AH117" s="48">
        <f t="shared" si="41"/>
        <v>136.9</v>
      </c>
      <c r="AI117" s="49">
        <f t="shared" si="42"/>
        <v>127.1</v>
      </c>
    </row>
    <row r="118" spans="1:35" x14ac:dyDescent="0.25">
      <c r="A118" s="116" t="s">
        <v>138</v>
      </c>
      <c r="B118" s="76">
        <v>126.4</v>
      </c>
      <c r="C118" s="76">
        <v>127.7</v>
      </c>
      <c r="D118" s="76">
        <v>127.3</v>
      </c>
      <c r="E118" s="76">
        <v>131.30000000000001</v>
      </c>
      <c r="F118" s="76">
        <v>127.9</v>
      </c>
      <c r="G118" s="76">
        <v>128.1</v>
      </c>
      <c r="H118" s="76"/>
      <c r="I118" s="76"/>
      <c r="J118" s="76"/>
      <c r="K118" s="76"/>
      <c r="L118" s="76"/>
      <c r="M118" s="76">
        <v>122.3</v>
      </c>
      <c r="N118" s="76">
        <v>123.4</v>
      </c>
      <c r="O118" s="76">
        <v>123.4</v>
      </c>
      <c r="P118" s="76">
        <v>122.4</v>
      </c>
      <c r="Q118" s="76">
        <v>122.4</v>
      </c>
      <c r="R118" s="76">
        <v>135.1</v>
      </c>
      <c r="S118" s="76">
        <v>122.7</v>
      </c>
      <c r="T118" s="76">
        <v>124</v>
      </c>
      <c r="U118" s="76">
        <v>128</v>
      </c>
      <c r="V118" s="76">
        <v>121.2</v>
      </c>
      <c r="W118" s="76">
        <v>121.5</v>
      </c>
      <c r="X118" s="76">
        <v>120</v>
      </c>
      <c r="Y118" s="76">
        <v>120</v>
      </c>
      <c r="Z118" s="76">
        <v>126.4</v>
      </c>
      <c r="AA118" s="76">
        <v>127.7</v>
      </c>
      <c r="AB118" s="76">
        <v>127.7</v>
      </c>
      <c r="AC118" s="76">
        <v>127.7</v>
      </c>
      <c r="AD118" s="76">
        <v>127.7</v>
      </c>
      <c r="AE118" s="76">
        <v>127</v>
      </c>
      <c r="AF118" s="76">
        <v>127</v>
      </c>
      <c r="AG118" s="117"/>
      <c r="AH118" s="48">
        <f t="shared" si="41"/>
        <v>135.1</v>
      </c>
      <c r="AI118" s="49">
        <f t="shared" si="42"/>
        <v>120</v>
      </c>
    </row>
    <row r="119" spans="1:35" ht="15.75" thickBot="1" x14ac:dyDescent="0.3">
      <c r="A119" s="116" t="s">
        <v>139</v>
      </c>
      <c r="B119" s="105">
        <v>64.7</v>
      </c>
      <c r="C119" s="105">
        <v>65.400000000000006</v>
      </c>
      <c r="D119" s="105">
        <v>64.5</v>
      </c>
      <c r="E119" s="105">
        <v>64.8</v>
      </c>
      <c r="F119" s="105">
        <v>64.5</v>
      </c>
      <c r="G119" s="105">
        <v>64.3</v>
      </c>
      <c r="H119" s="105"/>
      <c r="I119" s="105"/>
      <c r="J119" s="105"/>
      <c r="K119" s="105"/>
      <c r="L119" s="105"/>
      <c r="M119" s="105">
        <v>62.7</v>
      </c>
      <c r="N119" s="105">
        <v>62.5</v>
      </c>
      <c r="O119" s="105">
        <v>62.5</v>
      </c>
      <c r="P119" s="105">
        <v>62.2</v>
      </c>
      <c r="Q119" s="105">
        <v>62.2</v>
      </c>
      <c r="R119" s="105">
        <v>62.3</v>
      </c>
      <c r="S119" s="105">
        <v>62</v>
      </c>
      <c r="T119" s="105">
        <v>62.7</v>
      </c>
      <c r="U119" s="105">
        <v>63.1</v>
      </c>
      <c r="V119" s="105">
        <v>63.5</v>
      </c>
      <c r="W119" s="105">
        <v>63.9</v>
      </c>
      <c r="X119" s="105">
        <v>63.9</v>
      </c>
      <c r="Y119" s="105">
        <v>63</v>
      </c>
      <c r="Z119" s="105">
        <v>63</v>
      </c>
      <c r="AA119" s="105">
        <v>63.3</v>
      </c>
      <c r="AB119" s="105">
        <v>63.3</v>
      </c>
      <c r="AC119" s="105">
        <v>63.3</v>
      </c>
      <c r="AD119" s="105">
        <v>64.2</v>
      </c>
      <c r="AE119" s="105">
        <v>64.2</v>
      </c>
      <c r="AF119" s="105">
        <v>64.2</v>
      </c>
      <c r="AG119" s="121"/>
      <c r="AH119" s="48">
        <f t="shared" si="41"/>
        <v>65.400000000000006</v>
      </c>
      <c r="AI119" s="49">
        <f t="shared" si="42"/>
        <v>62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41"/>
        <v>0</v>
      </c>
      <c r="AI120" s="49">
        <f t="shared" si="42"/>
        <v>0</v>
      </c>
    </row>
    <row r="121" spans="1:35" ht="15.75" thickBot="1" x14ac:dyDescent="0.3">
      <c r="A121" s="123" t="s">
        <v>141</v>
      </c>
      <c r="B121" s="124">
        <f t="shared" ref="B121" si="118">SUM(B25,B31,B34:B35,B69,B71:B72,B74,B76,B122:B126,B158,B164,B170,B179,B181,B193,B200,B203:B204,B211,B213,B215,B219:B221,B223:B225,B230,B236:B237,B239:B241,B249,B254)</f>
        <v>96.339999999999947</v>
      </c>
      <c r="C121" s="124">
        <f t="shared" ref="C121:O121" si="119">SUM(C25,C31,C34:C35,C69,C71:C72,C74,C76,C122:C126,C158,C164,C170,C179,C181,C193,C200,C203:C204,C211,C213,C215,C219:C221,C223:C225,C230,C236:C237,C239:C241,C249,C254)</f>
        <v>97.94</v>
      </c>
      <c r="D121" s="124">
        <f t="shared" si="119"/>
        <v>79.539999999999992</v>
      </c>
      <c r="E121" s="124">
        <f t="shared" si="119"/>
        <v>80.740000000000009</v>
      </c>
      <c r="F121" s="124">
        <f t="shared" si="119"/>
        <v>88.539999999999992</v>
      </c>
      <c r="G121" s="124">
        <f t="shared" si="119"/>
        <v>95.240000000000009</v>
      </c>
      <c r="H121" s="124">
        <f t="shared" si="119"/>
        <v>122.14</v>
      </c>
      <c r="I121" s="124">
        <f t="shared" si="119"/>
        <v>122.14</v>
      </c>
      <c r="J121" s="124">
        <f t="shared" si="119"/>
        <v>123.44</v>
      </c>
      <c r="K121" s="124">
        <f t="shared" si="119"/>
        <v>123.44</v>
      </c>
      <c r="L121" s="124">
        <f t="shared" ref="L121" si="120">SUM(L25,L31,L34:L35,L69,L71:L72,L74,L76,L122:L126,L158,L164,L170,L179,L181,L193,L200,L203:L204,L211,L213,L215,L219:L221,L223:L225,L230,L236:L237,L239:L241,L249,L254)</f>
        <v>123.44</v>
      </c>
      <c r="M121" s="124">
        <f t="shared" si="119"/>
        <v>196.34000000000003</v>
      </c>
      <c r="N121" s="124">
        <f t="shared" si="119"/>
        <v>208.94</v>
      </c>
      <c r="O121" s="124">
        <f t="shared" si="119"/>
        <v>219.94</v>
      </c>
      <c r="P121" s="124">
        <v>42</v>
      </c>
      <c r="Q121" s="124">
        <f t="shared" ref="Q121:X121" si="121">SUM(Q25,Q31,Q34:Q35,Q69,Q71:Q72,Q74,Q76,Q122:Q126,Q158,Q164,Q170,Q179,Q181,Q193,Q200,Q203:Q204,Q211,Q213,Q215,Q219:Q221,Q223:Q225,Q230,Q236:Q237,Q239:Q241,Q249,Q254)</f>
        <v>233.85999999999999</v>
      </c>
      <c r="R121" s="124">
        <f t="shared" si="121"/>
        <v>197.24000000000004</v>
      </c>
      <c r="S121" s="124">
        <f t="shared" si="121"/>
        <v>185.64000000000001</v>
      </c>
      <c r="T121" s="124">
        <f t="shared" si="121"/>
        <v>181.14000000000001</v>
      </c>
      <c r="U121" s="124">
        <f t="shared" si="121"/>
        <v>197.34000000000003</v>
      </c>
      <c r="V121" s="124">
        <f t="shared" si="121"/>
        <v>219.84000000000003</v>
      </c>
      <c r="W121" s="124">
        <f t="shared" si="121"/>
        <v>210.14000000000001</v>
      </c>
      <c r="X121" s="124">
        <f t="shared" si="121"/>
        <v>243.14000000000001</v>
      </c>
      <c r="Y121" s="124">
        <f>SUM(Y23,Y29,Y40:Y41,Y69,Y71:Y72,Y74,Y76,Y122:Y126,Y151,Y157,Y163,Y172,Y174,Y186,Y193,Y196:Y197,Y204,Y206,Y208,Y212:Y214,Y216:Y218,Y223,Y229:Y230,Y232:Y234,Y242,Y247)</f>
        <v>269.7</v>
      </c>
      <c r="Z121" s="124">
        <f>SUM(Z23,Z29,Z40:Z41,Z69,Z71:Z72,Z74,Z76,Z122:Z126,Z151,Z157,Z163,Z172,Z174,Z186,Z193,Z196:Z197,Z204,Z206,Z208,Z212:Z214,Z216:Z218,Z223,Z229:Z230,Z232:Z234,Z242,Z247)</f>
        <v>268.39999999999998</v>
      </c>
      <c r="AA121" s="124">
        <f t="shared" ref="AA121" si="122">SUM(AA25,AA31,AA34:AA35,AA69,AA71:AA72,AA74,AA76,AA122:AA126,AA158,AA164,AA170,AA179,AA181,AA193,AA200,AA203:AA204,AA211,AA213,AA215,AA219:AA221,AA223:AA225,AA230,AA236:AA237,AA239:AA241,AA249,AA254)</f>
        <v>174.64000000000004</v>
      </c>
      <c r="AB121" s="124">
        <f t="shared" ref="AB121:AC121" si="123">SUM(AB25,AB31,AB34:AB35,AB69,AB71:AB72,AB74,AB76,AB122:AB126,AB158,AB164,AB170,AB179,AB181,AB193,AB200,AB203:AB204,AB211,AB213,AB215,AB219:AB221,AB223:AB225,AB230,AB236:AB237,AB239:AB241,AB249,AB254)</f>
        <v>174.64000000000004</v>
      </c>
      <c r="AC121" s="124">
        <f t="shared" si="123"/>
        <v>174.64000000000004</v>
      </c>
      <c r="AD121" s="124">
        <f t="shared" ref="AD121:AE121" si="124">SUM(AD25,AD31,AD34:AD35,AD69,AD71:AD72,AD74,AD76,AD122:AD126,AD158,AD164,AD170,AD179,AD181,AD193,AD200,AD203:AD204,AD211,AD213,AD215,AD219:AD221,AD223:AD225,AD230,AD236:AD237,AD239:AD241,AD249,AD254)</f>
        <v>150.54000000000002</v>
      </c>
      <c r="AE121" s="124">
        <f t="shared" si="124"/>
        <v>119.24000000000002</v>
      </c>
      <c r="AF121" s="124">
        <f t="shared" ref="AF121" si="125">SUM(AF25,AF31,AF34:AF35,AF69,AF71:AF72,AF74,AF76,AF122:AF126,AF158,AF164,AF170,AF179,AF181,AF193,AF200,AF203:AF204,AF211,AF213,AF215,AF219:AF221,AF223:AF225,AF230,AF236:AF237,AF239:AF241,AF249,AF254)</f>
        <v>109.54000000000002</v>
      </c>
      <c r="AG121" s="125"/>
      <c r="AH121" s="48">
        <f t="shared" si="41"/>
        <v>269.7</v>
      </c>
      <c r="AI121" s="49">
        <f t="shared" si="42"/>
        <v>42</v>
      </c>
    </row>
    <row r="122" spans="1:35" x14ac:dyDescent="0.25">
      <c r="A122" s="126" t="s">
        <v>142</v>
      </c>
      <c r="B122" s="127">
        <v>51.5</v>
      </c>
      <c r="C122" s="127">
        <v>53.6</v>
      </c>
      <c r="D122" s="127">
        <v>55.8</v>
      </c>
      <c r="E122" s="127">
        <v>59.3</v>
      </c>
      <c r="F122" s="127">
        <v>62.2</v>
      </c>
      <c r="G122" s="127">
        <v>63.2</v>
      </c>
      <c r="H122" s="127"/>
      <c r="I122" s="127"/>
      <c r="J122" s="127"/>
      <c r="K122" s="127"/>
      <c r="L122" s="127"/>
      <c r="M122" s="127">
        <v>91.7</v>
      </c>
      <c r="N122" s="127">
        <v>72.3</v>
      </c>
      <c r="O122" s="127">
        <v>57.7</v>
      </c>
      <c r="P122" s="127">
        <v>66.8</v>
      </c>
      <c r="Q122" s="127">
        <v>49.52</v>
      </c>
      <c r="R122" s="127">
        <v>41.9</v>
      </c>
      <c r="S122" s="127">
        <v>31.3</v>
      </c>
      <c r="T122" s="127">
        <v>30.6</v>
      </c>
      <c r="U122" s="127">
        <v>46.3</v>
      </c>
      <c r="V122" s="127">
        <v>68.400000000000006</v>
      </c>
      <c r="W122" s="127">
        <v>62.6</v>
      </c>
      <c r="X122" s="127">
        <v>76.5</v>
      </c>
      <c r="Y122" s="127">
        <v>82.2</v>
      </c>
      <c r="Z122" s="127">
        <v>74</v>
      </c>
      <c r="AA122" s="127">
        <v>40</v>
      </c>
      <c r="AB122" s="127">
        <v>40</v>
      </c>
      <c r="AC122" s="127">
        <v>40</v>
      </c>
      <c r="AD122" s="127">
        <v>68</v>
      </c>
      <c r="AE122" s="127">
        <v>62</v>
      </c>
      <c r="AF122" s="127">
        <v>87</v>
      </c>
      <c r="AG122" s="128">
        <v>75</v>
      </c>
      <c r="AH122" s="48">
        <f t="shared" si="41"/>
        <v>91.7</v>
      </c>
      <c r="AI122" s="49">
        <f t="shared" si="42"/>
        <v>30.6</v>
      </c>
    </row>
    <row r="123" spans="1:35" x14ac:dyDescent="0.25">
      <c r="A123" s="129" t="s">
        <v>143</v>
      </c>
      <c r="B123" s="130">
        <v>75.2</v>
      </c>
      <c r="C123" s="130">
        <v>79.5</v>
      </c>
      <c r="D123" s="130">
        <v>82.5</v>
      </c>
      <c r="E123" s="130">
        <v>87.8</v>
      </c>
      <c r="F123" s="130">
        <v>91.3</v>
      </c>
      <c r="G123" s="130">
        <v>91.9</v>
      </c>
      <c r="H123" s="130"/>
      <c r="I123" s="130"/>
      <c r="J123" s="130"/>
      <c r="K123" s="130"/>
      <c r="L123" s="130"/>
      <c r="M123" s="130">
        <v>61.7</v>
      </c>
      <c r="N123" s="130">
        <v>85</v>
      </c>
      <c r="O123" s="130">
        <v>85.1</v>
      </c>
      <c r="P123" s="130">
        <v>96.4</v>
      </c>
      <c r="Q123" s="130">
        <v>82.3</v>
      </c>
      <c r="R123" s="130">
        <v>63.2</v>
      </c>
      <c r="S123" s="130">
        <v>49.1</v>
      </c>
      <c r="T123" s="130">
        <v>49.1</v>
      </c>
      <c r="U123" s="130">
        <v>69.2</v>
      </c>
      <c r="V123" s="130">
        <v>97.5</v>
      </c>
      <c r="W123" s="130">
        <v>91.9</v>
      </c>
      <c r="X123" s="130">
        <v>109.9</v>
      </c>
      <c r="Y123" s="130">
        <v>115.9</v>
      </c>
      <c r="Z123" s="130">
        <v>105</v>
      </c>
      <c r="AA123" s="130">
        <v>60.9</v>
      </c>
      <c r="AB123" s="130">
        <v>60.9</v>
      </c>
      <c r="AC123" s="130">
        <v>60.9</v>
      </c>
      <c r="AD123" s="130">
        <v>45</v>
      </c>
      <c r="AE123" s="130">
        <v>39</v>
      </c>
      <c r="AF123" s="130">
        <v>59</v>
      </c>
      <c r="AG123" s="128">
        <v>240</v>
      </c>
      <c r="AH123" s="48">
        <f t="shared" si="41"/>
        <v>115.9</v>
      </c>
      <c r="AI123" s="49">
        <f t="shared" si="42"/>
        <v>39</v>
      </c>
    </row>
    <row r="124" spans="1:35" x14ac:dyDescent="0.25">
      <c r="A124" s="129" t="s">
        <v>144</v>
      </c>
      <c r="B124" s="130">
        <f>-74.8-81</f>
        <v>-155.80000000000001</v>
      </c>
      <c r="C124" s="130">
        <f>-76.4-83.9</f>
        <v>-160.30000000000001</v>
      </c>
      <c r="D124" s="130">
        <f>-81.4-85.5</f>
        <v>-166.9</v>
      </c>
      <c r="E124" s="130">
        <f>-85-89</f>
        <v>-174</v>
      </c>
      <c r="F124" s="130">
        <f>-83.8-88.3</f>
        <v>-172.1</v>
      </c>
      <c r="G124" s="130">
        <f>-82-87</f>
        <v>-169</v>
      </c>
      <c r="H124" s="130"/>
      <c r="I124" s="130"/>
      <c r="J124" s="130"/>
      <c r="K124" s="130"/>
      <c r="L124" s="130"/>
      <c r="M124" s="130">
        <v>-94.6</v>
      </c>
      <c r="N124" s="130">
        <v>-92.6</v>
      </c>
      <c r="O124" s="130">
        <v>-76.099999999999994</v>
      </c>
      <c r="P124" s="130"/>
      <c r="Q124" s="130">
        <v>-52.6</v>
      </c>
      <c r="R124" s="130">
        <v>-62.9</v>
      </c>
      <c r="S124" s="130">
        <v>-50</v>
      </c>
      <c r="T124" s="130">
        <f>-22.9-25.7</f>
        <v>-48.599999999999994</v>
      </c>
      <c r="U124" s="130">
        <f>-30-33</f>
        <v>-63</v>
      </c>
      <c r="V124" s="130">
        <f>-40-44</f>
        <v>-84</v>
      </c>
      <c r="W124" s="130">
        <f>-38-41</f>
        <v>-79</v>
      </c>
      <c r="X124" s="130">
        <f>-38.6-42</f>
        <v>-80.599999999999994</v>
      </c>
      <c r="Y124" s="130">
        <f>-46.9-51</f>
        <v>-97.9</v>
      </c>
      <c r="Z124" s="130">
        <f>-39-44</f>
        <v>-83</v>
      </c>
      <c r="AA124" s="130">
        <v>-72.099999999999994</v>
      </c>
      <c r="AB124" s="130">
        <v>-72.099999999999994</v>
      </c>
      <c r="AC124" s="130">
        <v>-72.099999999999994</v>
      </c>
      <c r="AD124" s="130">
        <v>-105</v>
      </c>
      <c r="AE124" s="130">
        <v>-105</v>
      </c>
      <c r="AF124" s="130">
        <v>-150</v>
      </c>
      <c r="AG124" s="128">
        <v>240</v>
      </c>
      <c r="AH124" s="48">
        <f t="shared" si="41"/>
        <v>-48.599999999999994</v>
      </c>
      <c r="AI124" s="49">
        <f t="shared" si="42"/>
        <v>-174</v>
      </c>
    </row>
    <row r="125" spans="1:35" ht="15.75" thickBot="1" x14ac:dyDescent="0.3">
      <c r="A125" s="129" t="s">
        <v>145</v>
      </c>
      <c r="B125" s="130">
        <v>3.6</v>
      </c>
      <c r="C125" s="130">
        <v>3.5</v>
      </c>
      <c r="D125" s="130">
        <v>-13.5</v>
      </c>
      <c r="E125" s="130">
        <v>-14</v>
      </c>
      <c r="F125" s="130">
        <v>-14.5</v>
      </c>
      <c r="G125" s="130">
        <v>-13</v>
      </c>
      <c r="H125" s="130"/>
      <c r="I125" s="130"/>
      <c r="J125" s="130"/>
      <c r="K125" s="130"/>
      <c r="L125" s="130"/>
      <c r="M125" s="130">
        <v>8.9</v>
      </c>
      <c r="N125" s="130">
        <v>13.6</v>
      </c>
      <c r="O125" s="130">
        <v>21.1</v>
      </c>
      <c r="P125" s="130">
        <v>19.899999999999999</v>
      </c>
      <c r="Q125" s="130">
        <v>18</v>
      </c>
      <c r="R125" s="130">
        <v>18.3</v>
      </c>
      <c r="S125" s="130">
        <v>18.5</v>
      </c>
      <c r="T125" s="130">
        <v>17.8</v>
      </c>
      <c r="U125" s="130">
        <v>16.8</v>
      </c>
      <c r="V125" s="130">
        <v>15.3</v>
      </c>
      <c r="W125" s="130">
        <v>15.9</v>
      </c>
      <c r="X125" s="130">
        <v>18.8</v>
      </c>
      <c r="Y125" s="130">
        <v>16.7</v>
      </c>
      <c r="Z125" s="130">
        <v>19.600000000000001</v>
      </c>
      <c r="AA125" s="130">
        <v>24.3</v>
      </c>
      <c r="AB125" s="130">
        <v>24.3</v>
      </c>
      <c r="AC125" s="130">
        <v>24.3</v>
      </c>
      <c r="AD125" s="130">
        <v>21</v>
      </c>
      <c r="AE125" s="130">
        <v>1.7</v>
      </c>
      <c r="AF125" s="130">
        <v>-8</v>
      </c>
      <c r="AG125" s="128">
        <v>60</v>
      </c>
      <c r="AH125" s="48">
        <f t="shared" si="41"/>
        <v>24.3</v>
      </c>
      <c r="AI125" s="49">
        <f t="shared" si="42"/>
        <v>-14.5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41"/>
        <v>0</v>
      </c>
      <c r="AI126" s="49">
        <f t="shared" si="42"/>
        <v>0</v>
      </c>
    </row>
    <row r="127" spans="1:35" x14ac:dyDescent="0.25">
      <c r="A127" s="129" t="s">
        <v>147</v>
      </c>
      <c r="B127" s="131">
        <v>71.5</v>
      </c>
      <c r="C127" s="131">
        <v>66.900000000000006</v>
      </c>
      <c r="D127" s="131">
        <v>72</v>
      </c>
      <c r="E127" s="131">
        <v>67</v>
      </c>
      <c r="F127" s="131">
        <v>62.8</v>
      </c>
      <c r="G127" s="131">
        <v>66.3</v>
      </c>
      <c r="H127" s="131"/>
      <c r="I127" s="131"/>
      <c r="J127" s="131"/>
      <c r="K127" s="131"/>
      <c r="L127" s="131"/>
      <c r="M127" s="131">
        <v>85.4</v>
      </c>
      <c r="N127" s="131">
        <v>85.5</v>
      </c>
      <c r="O127" s="131">
        <v>88.4</v>
      </c>
      <c r="P127" s="131">
        <v>79.8</v>
      </c>
      <c r="Q127" s="131">
        <v>81.900000000000006</v>
      </c>
      <c r="R127" s="131">
        <v>92.4</v>
      </c>
      <c r="S127" s="131">
        <v>98.3</v>
      </c>
      <c r="T127" s="131">
        <v>95</v>
      </c>
      <c r="U127" s="131">
        <v>89.7</v>
      </c>
      <c r="V127" s="131">
        <v>73.7</v>
      </c>
      <c r="W127" s="131">
        <v>75.7</v>
      </c>
      <c r="X127" s="131">
        <v>70.2</v>
      </c>
      <c r="Y127" s="131">
        <v>78.8</v>
      </c>
      <c r="Z127" s="131">
        <v>93.5</v>
      </c>
      <c r="AA127" s="131">
        <v>117</v>
      </c>
      <c r="AB127" s="131">
        <v>117</v>
      </c>
      <c r="AC127" s="131">
        <v>117</v>
      </c>
      <c r="AD127" s="131">
        <v>100</v>
      </c>
      <c r="AE127" s="131">
        <v>97</v>
      </c>
      <c r="AF127" s="131">
        <v>82</v>
      </c>
      <c r="AG127" s="132"/>
      <c r="AH127" s="48"/>
      <c r="AI127" s="49"/>
    </row>
    <row r="128" spans="1:35" x14ac:dyDescent="0.25">
      <c r="A128" s="129" t="s">
        <v>148</v>
      </c>
      <c r="B128" s="131">
        <v>35.4</v>
      </c>
      <c r="C128" s="131">
        <v>29.8</v>
      </c>
      <c r="D128" s="131">
        <v>34.1</v>
      </c>
      <c r="E128" s="131">
        <v>32.6</v>
      </c>
      <c r="F128" s="131">
        <v>23.9</v>
      </c>
      <c r="G128" s="131">
        <v>23.7</v>
      </c>
      <c r="H128" s="131"/>
      <c r="I128" s="131"/>
      <c r="J128" s="131"/>
      <c r="K128" s="131"/>
      <c r="L128" s="131"/>
      <c r="M128" s="131">
        <v>-15.6</v>
      </c>
      <c r="N128" s="131">
        <v>-11.7</v>
      </c>
      <c r="O128" s="131">
        <v>-15.5</v>
      </c>
      <c r="P128" s="131">
        <v>-27.37</v>
      </c>
      <c r="Q128" s="131">
        <v>-10</v>
      </c>
      <c r="R128" s="131">
        <v>-0.9</v>
      </c>
      <c r="S128" s="131">
        <v>14.1</v>
      </c>
      <c r="T128" s="131">
        <v>8.3000000000000007</v>
      </c>
      <c r="U128" s="131">
        <v>-6.8</v>
      </c>
      <c r="V128" s="131">
        <v>-33.700000000000003</v>
      </c>
      <c r="W128" s="131">
        <v>-29.6</v>
      </c>
      <c r="X128" s="131">
        <v>-49.3</v>
      </c>
      <c r="Y128" s="131">
        <v>-41.9</v>
      </c>
      <c r="Z128" s="131">
        <v>-31.6</v>
      </c>
      <c r="AA128" s="131">
        <v>15</v>
      </c>
      <c r="AB128" s="131">
        <v>15</v>
      </c>
      <c r="AC128" s="131">
        <v>15</v>
      </c>
      <c r="AD128" s="131">
        <v>13</v>
      </c>
      <c r="AE128" s="131">
        <v>29</v>
      </c>
      <c r="AF128" s="131">
        <v>27</v>
      </c>
      <c r="AG128" s="132"/>
      <c r="AH128" s="48"/>
      <c r="AI128" s="49"/>
    </row>
    <row r="129" spans="1:37" ht="15.75" thickBot="1" x14ac:dyDescent="0.3">
      <c r="A129" s="129" t="s">
        <v>149</v>
      </c>
      <c r="B129" s="131">
        <v>47</v>
      </c>
      <c r="C129" s="131">
        <v>38</v>
      </c>
      <c r="D129" s="131">
        <v>50</v>
      </c>
      <c r="E129" s="131">
        <v>49.5</v>
      </c>
      <c r="F129" s="131">
        <v>40.200000000000003</v>
      </c>
      <c r="G129" s="131">
        <v>43.3</v>
      </c>
      <c r="H129" s="131"/>
      <c r="I129" s="131"/>
      <c r="J129" s="131"/>
      <c r="K129" s="131"/>
      <c r="L129" s="131"/>
      <c r="M129" s="131">
        <v>70.400000000000006</v>
      </c>
      <c r="N129" s="131">
        <v>70</v>
      </c>
      <c r="O129" s="131">
        <v>51.4</v>
      </c>
      <c r="P129" s="131">
        <v>35.5</v>
      </c>
      <c r="Q129" s="131">
        <v>45</v>
      </c>
      <c r="R129" s="131">
        <v>58.5</v>
      </c>
      <c r="S129" s="131">
        <v>71.900000000000006</v>
      </c>
      <c r="T129" s="131">
        <v>64</v>
      </c>
      <c r="U129" s="131">
        <v>49.5</v>
      </c>
      <c r="V129" s="131">
        <v>33.299999999999997</v>
      </c>
      <c r="W129" s="131">
        <v>35.9</v>
      </c>
      <c r="X129" s="131">
        <v>23.9</v>
      </c>
      <c r="Y129" s="131">
        <v>54.4</v>
      </c>
      <c r="Z129" s="131">
        <v>66.2</v>
      </c>
      <c r="AA129" s="131">
        <v>85.8</v>
      </c>
      <c r="AB129" s="131">
        <v>85.8</v>
      </c>
      <c r="AC129" s="131">
        <v>85.8</v>
      </c>
      <c r="AD129" s="131">
        <v>79</v>
      </c>
      <c r="AE129" s="131">
        <v>74</v>
      </c>
      <c r="AF129" s="131">
        <v>63</v>
      </c>
      <c r="AG129" s="128"/>
      <c r="AH129" s="48">
        <f>MAX(B129:AF129)</f>
        <v>85.8</v>
      </c>
      <c r="AI129" s="49">
        <f>MIN(B129:AF129)</f>
        <v>23.9</v>
      </c>
    </row>
    <row r="130" spans="1:37" x14ac:dyDescent="0.25">
      <c r="A130" s="126" t="s">
        <v>150</v>
      </c>
      <c r="B130" s="131">
        <v>-286.60000000000002</v>
      </c>
      <c r="C130" s="131">
        <v>-296</v>
      </c>
      <c r="D130" s="131">
        <v>-290.7</v>
      </c>
      <c r="E130" s="131">
        <v>-297</v>
      </c>
      <c r="F130" s="131">
        <v>-296.39999999999998</v>
      </c>
      <c r="G130" s="131">
        <v>-307</v>
      </c>
      <c r="H130" s="131"/>
      <c r="I130" s="131"/>
      <c r="J130" s="131"/>
      <c r="K130" s="131"/>
      <c r="L130" s="131"/>
      <c r="M130" s="131">
        <v>-269.8</v>
      </c>
      <c r="N130" s="131">
        <v>-268</v>
      </c>
      <c r="O130" s="131">
        <v>-252.8</v>
      </c>
      <c r="P130" s="131">
        <v>-262</v>
      </c>
      <c r="Q130" s="131">
        <v>-345</v>
      </c>
      <c r="R130" s="131">
        <v>-234.9</v>
      </c>
      <c r="S130" s="131">
        <v>-230.5</v>
      </c>
      <c r="T130" s="131">
        <v>-231.2</v>
      </c>
      <c r="U130" s="131">
        <v>-241</v>
      </c>
      <c r="V130" s="131">
        <v>-206.2</v>
      </c>
      <c r="W130" s="131">
        <v>-204.8</v>
      </c>
      <c r="X130" s="131">
        <v>-198.5</v>
      </c>
      <c r="Y130" s="131">
        <v>-175.7</v>
      </c>
      <c r="Z130" s="131">
        <v>-209</v>
      </c>
      <c r="AA130" s="131">
        <v>-240</v>
      </c>
      <c r="AB130" s="131">
        <v>-240</v>
      </c>
      <c r="AC130" s="131">
        <v>-240</v>
      </c>
      <c r="AD130" s="131">
        <v>-261</v>
      </c>
      <c r="AE130" s="131">
        <v>-270</v>
      </c>
      <c r="AF130" s="131">
        <v>-280</v>
      </c>
      <c r="AG130" s="128"/>
      <c r="AH130" s="48">
        <f>MAX(B130:AF130)</f>
        <v>-175.7</v>
      </c>
      <c r="AI130" s="49">
        <f>MIN(B130:AF130)</f>
        <v>-345</v>
      </c>
    </row>
    <row r="131" spans="1:37" x14ac:dyDescent="0.25">
      <c r="A131" s="129" t="s">
        <v>151</v>
      </c>
      <c r="B131" s="119">
        <v>-24.6</v>
      </c>
      <c r="C131" s="119">
        <v>-22</v>
      </c>
      <c r="D131" s="119">
        <v>-9</v>
      </c>
      <c r="E131" s="119">
        <v>6.7</v>
      </c>
      <c r="F131" s="119">
        <v>27.4</v>
      </c>
      <c r="G131" s="119">
        <v>6.4</v>
      </c>
      <c r="H131" s="119"/>
      <c r="I131" s="119"/>
      <c r="J131" s="119"/>
      <c r="K131" s="119"/>
      <c r="L131" s="119"/>
      <c r="M131" s="119">
        <v>52.4</v>
      </c>
      <c r="N131" s="119">
        <v>47.1</v>
      </c>
      <c r="O131" s="119">
        <v>37.700000000000003</v>
      </c>
      <c r="P131" s="119">
        <v>32</v>
      </c>
      <c r="Q131" s="119">
        <v>52</v>
      </c>
      <c r="R131" s="119">
        <v>62</v>
      </c>
      <c r="S131" s="119">
        <v>-67.400000000000006</v>
      </c>
      <c r="T131" s="119"/>
      <c r="U131" s="119"/>
      <c r="V131" s="119">
        <v>98</v>
      </c>
      <c r="W131" s="119">
        <v>96</v>
      </c>
      <c r="X131" s="119">
        <v>31.3</v>
      </c>
      <c r="Y131" s="119"/>
      <c r="Z131" s="119"/>
      <c r="AA131" s="119"/>
      <c r="AB131" s="119"/>
      <c r="AC131" s="119"/>
      <c r="AD131" s="119"/>
      <c r="AE131" s="119"/>
      <c r="AF131" s="119"/>
      <c r="AG131" s="128"/>
      <c r="AH131" s="48">
        <f>MAX(B131:AF131)</f>
        <v>98</v>
      </c>
      <c r="AI131" s="49">
        <f>MIN(B131:AF131)</f>
        <v>-67.400000000000006</v>
      </c>
    </row>
    <row r="132" spans="1:37" x14ac:dyDescent="0.25">
      <c r="A132" s="129" t="s">
        <v>152</v>
      </c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>
        <v>55.4</v>
      </c>
      <c r="T132" s="119">
        <v>51.9</v>
      </c>
      <c r="U132" s="119">
        <v>85.6</v>
      </c>
      <c r="V132" s="119">
        <v>32</v>
      </c>
      <c r="W132" s="119">
        <v>31.1</v>
      </c>
      <c r="X132" s="119">
        <v>31.8</v>
      </c>
      <c r="Y132" s="119">
        <v>27.6</v>
      </c>
      <c r="Z132" s="119">
        <v>68</v>
      </c>
      <c r="AA132" s="119">
        <v>58.8</v>
      </c>
      <c r="AB132" s="119">
        <v>58.8</v>
      </c>
      <c r="AC132" s="119">
        <v>58.8</v>
      </c>
      <c r="AD132" s="119">
        <v>62</v>
      </c>
      <c r="AE132" s="119">
        <v>49</v>
      </c>
      <c r="AF132" s="119">
        <v>47</v>
      </c>
      <c r="AG132" s="128"/>
      <c r="AH132" s="48">
        <f>MAX(B132:AF132)</f>
        <v>85.6</v>
      </c>
      <c r="AI132" s="49">
        <f>MIN(B132:AF132)</f>
        <v>27.6</v>
      </c>
    </row>
    <row r="133" spans="1:37" ht="15.75" thickBot="1" x14ac:dyDescent="0.3">
      <c r="A133" s="129" t="s">
        <v>153</v>
      </c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>
        <v>69.8</v>
      </c>
      <c r="T133" s="119">
        <v>63.7</v>
      </c>
      <c r="U133" s="119">
        <v>96.6</v>
      </c>
      <c r="V133" s="119">
        <v>46.5</v>
      </c>
      <c r="W133" s="119">
        <v>47.9</v>
      </c>
      <c r="X133" s="119">
        <v>43.7</v>
      </c>
      <c r="Y133" s="119">
        <v>46.2</v>
      </c>
      <c r="Z133" s="119">
        <v>53</v>
      </c>
      <c r="AA133" s="119">
        <v>71.8</v>
      </c>
      <c r="AB133" s="119">
        <v>71.8</v>
      </c>
      <c r="AC133" s="119">
        <v>71.8</v>
      </c>
      <c r="AD133" s="119">
        <v>71</v>
      </c>
      <c r="AE133" s="119">
        <v>65</v>
      </c>
      <c r="AF133" s="119">
        <v>60</v>
      </c>
      <c r="AG133" s="128"/>
      <c r="AH133" s="48">
        <f>MAX(B133:AF133)</f>
        <v>96.6</v>
      </c>
      <c r="AI133" s="49">
        <f>MIN(B133:AF133)</f>
        <v>43.7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>
        <v>85.78</v>
      </c>
      <c r="R135" s="137">
        <v>85.611999999999995</v>
      </c>
      <c r="S135" s="137">
        <v>85.5</v>
      </c>
      <c r="T135" s="137">
        <v>85.39</v>
      </c>
      <c r="U135" s="137">
        <v>1985.38</v>
      </c>
      <c r="V135" s="137">
        <v>1985.45</v>
      </c>
      <c r="W135" s="137"/>
      <c r="X135" s="137">
        <v>1985.81</v>
      </c>
      <c r="Y135" s="137"/>
      <c r="Z135" s="137">
        <v>1986.3</v>
      </c>
      <c r="AA135" s="137"/>
      <c r="AB135" s="137">
        <v>1986.55</v>
      </c>
      <c r="AC135" s="137"/>
      <c r="AD135" s="137">
        <v>1986.7</v>
      </c>
      <c r="AE135" s="137">
        <v>1986.7</v>
      </c>
      <c r="AF135" s="137">
        <v>1986.7</v>
      </c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>
        <v>882.8</v>
      </c>
      <c r="W139" s="140"/>
      <c r="X139" s="140">
        <v>883.7</v>
      </c>
      <c r="Y139" s="140"/>
      <c r="Z139" s="140">
        <v>883.8</v>
      </c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>
        <v>1485.3</v>
      </c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>
        <v>450</v>
      </c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26">SUM(B142:B246)</f>
        <v>0</v>
      </c>
      <c r="C247" s="161">
        <f t="shared" si="126"/>
        <v>0</v>
      </c>
      <c r="D247" s="161">
        <f t="shared" si="126"/>
        <v>0</v>
      </c>
      <c r="E247" s="161">
        <f t="shared" si="126"/>
        <v>0</v>
      </c>
      <c r="F247" s="161">
        <f t="shared" si="126"/>
        <v>0</v>
      </c>
      <c r="G247" s="161">
        <f t="shared" si="126"/>
        <v>0</v>
      </c>
      <c r="H247" s="161">
        <f t="shared" si="126"/>
        <v>0</v>
      </c>
      <c r="I247" s="161">
        <f t="shared" si="126"/>
        <v>0</v>
      </c>
      <c r="J247" s="161">
        <f t="shared" si="126"/>
        <v>0</v>
      </c>
      <c r="K247" s="161">
        <f t="shared" si="126"/>
        <v>0</v>
      </c>
      <c r="L247" s="161">
        <f t="shared" si="126"/>
        <v>0</v>
      </c>
      <c r="M247" s="161">
        <f t="shared" si="126"/>
        <v>0</v>
      </c>
      <c r="N247" s="161">
        <f t="shared" si="126"/>
        <v>0</v>
      </c>
      <c r="O247" s="161">
        <f t="shared" si="126"/>
        <v>0</v>
      </c>
      <c r="P247" s="161">
        <f t="shared" si="126"/>
        <v>0</v>
      </c>
      <c r="Q247" s="161">
        <f t="shared" si="126"/>
        <v>0</v>
      </c>
      <c r="R247" s="161">
        <f t="shared" si="126"/>
        <v>0</v>
      </c>
      <c r="S247" s="161">
        <f t="shared" si="126"/>
        <v>0</v>
      </c>
      <c r="T247" s="161">
        <f t="shared" si="126"/>
        <v>0</v>
      </c>
      <c r="U247" s="161">
        <f t="shared" si="126"/>
        <v>0</v>
      </c>
      <c r="V247" s="161">
        <f t="shared" si="126"/>
        <v>0</v>
      </c>
      <c r="W247" s="161">
        <f t="shared" si="126"/>
        <v>0</v>
      </c>
      <c r="X247" s="161">
        <f t="shared" si="126"/>
        <v>0</v>
      </c>
      <c r="Y247" s="161">
        <f t="shared" si="126"/>
        <v>0</v>
      </c>
      <c r="Z247" s="161">
        <f t="shared" si="126"/>
        <v>0</v>
      </c>
      <c r="AA247" s="161">
        <f t="shared" si="126"/>
        <v>0</v>
      </c>
      <c r="AB247" s="161">
        <f t="shared" si="126"/>
        <v>0</v>
      </c>
      <c r="AC247" s="161">
        <f t="shared" si="126"/>
        <v>450</v>
      </c>
      <c r="AD247" s="161">
        <f t="shared" si="126"/>
        <v>0</v>
      </c>
      <c r="AE247" s="161">
        <f t="shared" si="126"/>
        <v>0</v>
      </c>
      <c r="AF247" s="162">
        <f t="shared" si="126"/>
        <v>0</v>
      </c>
      <c r="AG247" s="163">
        <f t="shared" si="12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27">AF249</f>
        <v>0.3</v>
      </c>
      <c r="C249" s="166">
        <v>0.3</v>
      </c>
      <c r="D249" s="166">
        <f t="shared" ref="D249:S254" si="128">C249</f>
        <v>0.3</v>
      </c>
      <c r="E249" s="166">
        <f t="shared" si="128"/>
        <v>0.3</v>
      </c>
      <c r="F249" s="166">
        <f t="shared" si="128"/>
        <v>0.3</v>
      </c>
      <c r="G249" s="166">
        <f t="shared" si="128"/>
        <v>0.3</v>
      </c>
      <c r="H249" s="166">
        <f t="shared" si="128"/>
        <v>0.3</v>
      </c>
      <c r="I249" s="166">
        <f t="shared" si="128"/>
        <v>0.3</v>
      </c>
      <c r="J249" s="166">
        <f t="shared" si="128"/>
        <v>0.3</v>
      </c>
      <c r="K249" s="166">
        <f t="shared" si="128"/>
        <v>0.3</v>
      </c>
      <c r="L249" s="166">
        <f t="shared" si="128"/>
        <v>0.3</v>
      </c>
      <c r="M249" s="166">
        <f t="shared" si="128"/>
        <v>0.3</v>
      </c>
      <c r="N249" s="166">
        <f t="shared" si="128"/>
        <v>0.3</v>
      </c>
      <c r="O249" s="166">
        <f t="shared" si="128"/>
        <v>0.3</v>
      </c>
      <c r="P249" s="166">
        <f t="shared" si="128"/>
        <v>0.3</v>
      </c>
      <c r="Q249" s="166">
        <f t="shared" si="128"/>
        <v>0.3</v>
      </c>
      <c r="R249" s="166">
        <f t="shared" si="128"/>
        <v>0.3</v>
      </c>
      <c r="S249" s="166">
        <f t="shared" si="128"/>
        <v>0.3</v>
      </c>
      <c r="T249" s="166">
        <f t="shared" ref="T249:AF254" si="129">S249</f>
        <v>0.3</v>
      </c>
      <c r="U249" s="166">
        <f t="shared" si="129"/>
        <v>0.3</v>
      </c>
      <c r="V249" s="166">
        <f t="shared" si="129"/>
        <v>0.3</v>
      </c>
      <c r="W249" s="166">
        <f t="shared" si="129"/>
        <v>0.3</v>
      </c>
      <c r="X249" s="166">
        <f t="shared" si="129"/>
        <v>0.3</v>
      </c>
      <c r="Y249" s="166">
        <f t="shared" si="129"/>
        <v>0.3</v>
      </c>
      <c r="Z249" s="166">
        <f t="shared" si="129"/>
        <v>0.3</v>
      </c>
      <c r="AA249" s="166">
        <f t="shared" si="129"/>
        <v>0.3</v>
      </c>
      <c r="AB249" s="166">
        <f t="shared" si="129"/>
        <v>0.3</v>
      </c>
      <c r="AC249" s="166">
        <f t="shared" si="129"/>
        <v>0.3</v>
      </c>
      <c r="AD249" s="166">
        <f t="shared" si="129"/>
        <v>0.3</v>
      </c>
      <c r="AE249" s="166">
        <f t="shared" si="129"/>
        <v>0.3</v>
      </c>
      <c r="AF249" s="166">
        <f t="shared" si="12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27"/>
        <v>0.4</v>
      </c>
      <c r="C250" s="152">
        <v>0.4</v>
      </c>
      <c r="D250" s="152">
        <f t="shared" si="128"/>
        <v>0.4</v>
      </c>
      <c r="E250" s="152">
        <f t="shared" si="128"/>
        <v>0.4</v>
      </c>
      <c r="F250" s="152">
        <f t="shared" si="128"/>
        <v>0.4</v>
      </c>
      <c r="G250" s="152">
        <f t="shared" si="128"/>
        <v>0.4</v>
      </c>
      <c r="H250" s="152">
        <f t="shared" si="128"/>
        <v>0.4</v>
      </c>
      <c r="I250" s="152">
        <f t="shared" si="128"/>
        <v>0.4</v>
      </c>
      <c r="J250" s="152">
        <f t="shared" si="128"/>
        <v>0.4</v>
      </c>
      <c r="K250" s="152">
        <f t="shared" si="128"/>
        <v>0.4</v>
      </c>
      <c r="L250" s="152">
        <f t="shared" si="128"/>
        <v>0.4</v>
      </c>
      <c r="M250" s="152">
        <f t="shared" si="128"/>
        <v>0.4</v>
      </c>
      <c r="N250" s="152">
        <f t="shared" si="128"/>
        <v>0.4</v>
      </c>
      <c r="O250" s="152">
        <f t="shared" si="128"/>
        <v>0.4</v>
      </c>
      <c r="P250" s="152">
        <f t="shared" si="128"/>
        <v>0.4</v>
      </c>
      <c r="Q250" s="152">
        <f t="shared" si="128"/>
        <v>0.4</v>
      </c>
      <c r="R250" s="152">
        <f t="shared" si="128"/>
        <v>0.4</v>
      </c>
      <c r="S250" s="152">
        <f t="shared" si="128"/>
        <v>0.4</v>
      </c>
      <c r="T250" s="152">
        <f t="shared" si="129"/>
        <v>0.4</v>
      </c>
      <c r="U250" s="152">
        <f t="shared" si="129"/>
        <v>0.4</v>
      </c>
      <c r="V250" s="152">
        <f t="shared" si="129"/>
        <v>0.4</v>
      </c>
      <c r="W250" s="152">
        <f t="shared" si="129"/>
        <v>0.4</v>
      </c>
      <c r="X250" s="152">
        <f t="shared" si="129"/>
        <v>0.4</v>
      </c>
      <c r="Y250" s="152">
        <f t="shared" si="129"/>
        <v>0.4</v>
      </c>
      <c r="Z250" s="152">
        <f t="shared" si="129"/>
        <v>0.4</v>
      </c>
      <c r="AA250" s="152">
        <f t="shared" si="129"/>
        <v>0.4</v>
      </c>
      <c r="AB250" s="152">
        <f t="shared" si="129"/>
        <v>0.4</v>
      </c>
      <c r="AC250" s="152">
        <f t="shared" si="129"/>
        <v>0.4</v>
      </c>
      <c r="AD250" s="152">
        <f t="shared" si="129"/>
        <v>0.4</v>
      </c>
      <c r="AE250" s="152">
        <f t="shared" si="129"/>
        <v>0.4</v>
      </c>
      <c r="AF250" s="152">
        <f t="shared" si="12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27"/>
        <v>1.5</v>
      </c>
      <c r="C251" s="152">
        <v>1.5</v>
      </c>
      <c r="D251" s="152">
        <f t="shared" si="128"/>
        <v>1.5</v>
      </c>
      <c r="E251" s="152">
        <f t="shared" si="128"/>
        <v>1.5</v>
      </c>
      <c r="F251" s="152">
        <f t="shared" si="128"/>
        <v>1.5</v>
      </c>
      <c r="G251" s="152">
        <f t="shared" si="128"/>
        <v>1.5</v>
      </c>
      <c r="H251" s="152">
        <f t="shared" si="128"/>
        <v>1.5</v>
      </c>
      <c r="I251" s="152">
        <f t="shared" si="128"/>
        <v>1.5</v>
      </c>
      <c r="J251" s="152">
        <f t="shared" si="128"/>
        <v>1.5</v>
      </c>
      <c r="K251" s="152">
        <f t="shared" si="128"/>
        <v>1.5</v>
      </c>
      <c r="L251" s="152">
        <f t="shared" si="128"/>
        <v>1.5</v>
      </c>
      <c r="M251" s="152">
        <f t="shared" si="128"/>
        <v>1.5</v>
      </c>
      <c r="N251" s="152">
        <f t="shared" si="128"/>
        <v>1.5</v>
      </c>
      <c r="O251" s="152">
        <f t="shared" si="128"/>
        <v>1.5</v>
      </c>
      <c r="P251" s="152">
        <f t="shared" si="128"/>
        <v>1.5</v>
      </c>
      <c r="Q251" s="152">
        <f t="shared" si="128"/>
        <v>1.5</v>
      </c>
      <c r="R251" s="152">
        <f t="shared" si="128"/>
        <v>1.5</v>
      </c>
      <c r="S251" s="152">
        <f t="shared" si="128"/>
        <v>1.5</v>
      </c>
      <c r="T251" s="152">
        <f t="shared" si="129"/>
        <v>1.5</v>
      </c>
      <c r="U251" s="152">
        <f t="shared" si="129"/>
        <v>1.5</v>
      </c>
      <c r="V251" s="152">
        <f t="shared" si="129"/>
        <v>1.5</v>
      </c>
      <c r="W251" s="152">
        <f t="shared" si="129"/>
        <v>1.5</v>
      </c>
      <c r="X251" s="152">
        <f t="shared" si="129"/>
        <v>1.5</v>
      </c>
      <c r="Y251" s="152">
        <f t="shared" si="129"/>
        <v>1.5</v>
      </c>
      <c r="Z251" s="152">
        <f t="shared" si="129"/>
        <v>1.5</v>
      </c>
      <c r="AA251" s="152">
        <f t="shared" si="129"/>
        <v>1.5</v>
      </c>
      <c r="AB251" s="152">
        <f t="shared" si="129"/>
        <v>1.5</v>
      </c>
      <c r="AC251" s="152">
        <f t="shared" si="129"/>
        <v>1.5</v>
      </c>
      <c r="AD251" s="152">
        <f t="shared" si="129"/>
        <v>1.5</v>
      </c>
      <c r="AE251" s="152">
        <f t="shared" si="129"/>
        <v>1.5</v>
      </c>
      <c r="AF251" s="152">
        <f t="shared" si="12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27"/>
        <v>0.3</v>
      </c>
      <c r="C252" s="152">
        <v>0.3</v>
      </c>
      <c r="D252" s="152">
        <f t="shared" si="128"/>
        <v>0.3</v>
      </c>
      <c r="E252" s="152">
        <f t="shared" si="128"/>
        <v>0.3</v>
      </c>
      <c r="F252" s="152">
        <f t="shared" si="128"/>
        <v>0.3</v>
      </c>
      <c r="G252" s="152">
        <f t="shared" si="128"/>
        <v>0.3</v>
      </c>
      <c r="H252" s="152">
        <f t="shared" si="128"/>
        <v>0.3</v>
      </c>
      <c r="I252" s="152">
        <f t="shared" si="128"/>
        <v>0.3</v>
      </c>
      <c r="J252" s="152">
        <f t="shared" si="128"/>
        <v>0.3</v>
      </c>
      <c r="K252" s="152">
        <f t="shared" si="128"/>
        <v>0.3</v>
      </c>
      <c r="L252" s="152">
        <f t="shared" si="128"/>
        <v>0.3</v>
      </c>
      <c r="M252" s="152">
        <f t="shared" si="128"/>
        <v>0.3</v>
      </c>
      <c r="N252" s="152">
        <f t="shared" si="128"/>
        <v>0.3</v>
      </c>
      <c r="O252" s="152">
        <f t="shared" si="128"/>
        <v>0.3</v>
      </c>
      <c r="P252" s="152">
        <f t="shared" si="128"/>
        <v>0.3</v>
      </c>
      <c r="Q252" s="152">
        <f t="shared" si="128"/>
        <v>0.3</v>
      </c>
      <c r="R252" s="152">
        <f t="shared" si="128"/>
        <v>0.3</v>
      </c>
      <c r="S252" s="152">
        <f t="shared" si="128"/>
        <v>0.3</v>
      </c>
      <c r="T252" s="152">
        <f t="shared" si="129"/>
        <v>0.3</v>
      </c>
      <c r="U252" s="152">
        <f t="shared" si="129"/>
        <v>0.3</v>
      </c>
      <c r="V252" s="152">
        <f t="shared" si="129"/>
        <v>0.3</v>
      </c>
      <c r="W252" s="152">
        <f t="shared" si="129"/>
        <v>0.3</v>
      </c>
      <c r="X252" s="152">
        <f t="shared" si="129"/>
        <v>0.3</v>
      </c>
      <c r="Y252" s="152">
        <f t="shared" si="129"/>
        <v>0.3</v>
      </c>
      <c r="Z252" s="152">
        <f t="shared" si="129"/>
        <v>0.3</v>
      </c>
      <c r="AA252" s="152">
        <f t="shared" si="129"/>
        <v>0.3</v>
      </c>
      <c r="AB252" s="152">
        <f t="shared" si="129"/>
        <v>0.3</v>
      </c>
      <c r="AC252" s="152">
        <f t="shared" si="129"/>
        <v>0.3</v>
      </c>
      <c r="AD252" s="152">
        <f t="shared" si="129"/>
        <v>0.3</v>
      </c>
      <c r="AE252" s="152">
        <f t="shared" si="129"/>
        <v>0.3</v>
      </c>
      <c r="AF252" s="152">
        <f t="shared" si="12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27"/>
        <v>0.4</v>
      </c>
      <c r="C253" s="152">
        <v>0.4</v>
      </c>
      <c r="D253" s="152">
        <f t="shared" si="128"/>
        <v>0.4</v>
      </c>
      <c r="E253" s="152">
        <f t="shared" si="128"/>
        <v>0.4</v>
      </c>
      <c r="F253" s="152">
        <f t="shared" si="128"/>
        <v>0.4</v>
      </c>
      <c r="G253" s="152">
        <f t="shared" si="128"/>
        <v>0.4</v>
      </c>
      <c r="H253" s="152">
        <f t="shared" si="128"/>
        <v>0.4</v>
      </c>
      <c r="I253" s="152">
        <f t="shared" si="128"/>
        <v>0.4</v>
      </c>
      <c r="J253" s="152">
        <f t="shared" si="128"/>
        <v>0.4</v>
      </c>
      <c r="K253" s="152">
        <f t="shared" si="128"/>
        <v>0.4</v>
      </c>
      <c r="L253" s="152">
        <f t="shared" si="128"/>
        <v>0.4</v>
      </c>
      <c r="M253" s="152">
        <f t="shared" si="128"/>
        <v>0.4</v>
      </c>
      <c r="N253" s="152">
        <f t="shared" si="128"/>
        <v>0.4</v>
      </c>
      <c r="O253" s="152">
        <f t="shared" si="128"/>
        <v>0.4</v>
      </c>
      <c r="P253" s="152">
        <f t="shared" si="128"/>
        <v>0.4</v>
      </c>
      <c r="Q253" s="152">
        <f t="shared" si="128"/>
        <v>0.4</v>
      </c>
      <c r="R253" s="152">
        <f t="shared" si="128"/>
        <v>0.4</v>
      </c>
      <c r="S253" s="152">
        <f t="shared" si="128"/>
        <v>0.4</v>
      </c>
      <c r="T253" s="152">
        <f t="shared" si="129"/>
        <v>0.4</v>
      </c>
      <c r="U253" s="152">
        <f t="shared" si="129"/>
        <v>0.4</v>
      </c>
      <c r="V253" s="152">
        <f t="shared" si="129"/>
        <v>0.4</v>
      </c>
      <c r="W253" s="152">
        <f t="shared" si="129"/>
        <v>0.4</v>
      </c>
      <c r="X253" s="152">
        <f t="shared" si="129"/>
        <v>0.4</v>
      </c>
      <c r="Y253" s="152">
        <f t="shared" si="129"/>
        <v>0.4</v>
      </c>
      <c r="Z253" s="152">
        <f t="shared" si="129"/>
        <v>0.4</v>
      </c>
      <c r="AA253" s="152">
        <f t="shared" si="129"/>
        <v>0.4</v>
      </c>
      <c r="AB253" s="152">
        <f t="shared" si="129"/>
        <v>0.4</v>
      </c>
      <c r="AC253" s="152">
        <f t="shared" si="129"/>
        <v>0.4</v>
      </c>
      <c r="AD253" s="152">
        <f t="shared" si="129"/>
        <v>0.4</v>
      </c>
      <c r="AE253" s="152">
        <f t="shared" si="129"/>
        <v>0.4</v>
      </c>
      <c r="AF253" s="152">
        <f t="shared" si="12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27"/>
        <v>0.64</v>
      </c>
      <c r="C254" s="157">
        <v>0.64</v>
      </c>
      <c r="D254" s="157">
        <f t="shared" si="128"/>
        <v>0.64</v>
      </c>
      <c r="E254" s="157">
        <f t="shared" si="128"/>
        <v>0.64</v>
      </c>
      <c r="F254" s="157">
        <f t="shared" si="128"/>
        <v>0.64</v>
      </c>
      <c r="G254" s="157">
        <f t="shared" si="128"/>
        <v>0.64</v>
      </c>
      <c r="H254" s="157">
        <f t="shared" si="128"/>
        <v>0.64</v>
      </c>
      <c r="I254" s="157">
        <f t="shared" si="128"/>
        <v>0.64</v>
      </c>
      <c r="J254" s="157">
        <f t="shared" si="128"/>
        <v>0.64</v>
      </c>
      <c r="K254" s="157">
        <f t="shared" si="128"/>
        <v>0.64</v>
      </c>
      <c r="L254" s="157">
        <f t="shared" si="128"/>
        <v>0.64</v>
      </c>
      <c r="M254" s="157">
        <f t="shared" si="128"/>
        <v>0.64</v>
      </c>
      <c r="N254" s="157">
        <f t="shared" si="128"/>
        <v>0.64</v>
      </c>
      <c r="O254" s="157">
        <f t="shared" si="128"/>
        <v>0.64</v>
      </c>
      <c r="P254" s="157">
        <f t="shared" si="128"/>
        <v>0.64</v>
      </c>
      <c r="Q254" s="157">
        <f t="shared" si="128"/>
        <v>0.64</v>
      </c>
      <c r="R254" s="157">
        <f t="shared" si="128"/>
        <v>0.64</v>
      </c>
      <c r="S254" s="157">
        <f t="shared" si="128"/>
        <v>0.64</v>
      </c>
      <c r="T254" s="157">
        <f t="shared" si="129"/>
        <v>0.64</v>
      </c>
      <c r="U254" s="157">
        <f t="shared" si="129"/>
        <v>0.64</v>
      </c>
      <c r="V254" s="157">
        <f t="shared" si="129"/>
        <v>0.64</v>
      </c>
      <c r="W254" s="157">
        <f t="shared" si="129"/>
        <v>0.64</v>
      </c>
      <c r="X254" s="157">
        <f t="shared" si="129"/>
        <v>0.64</v>
      </c>
      <c r="Y254" s="157">
        <f t="shared" si="129"/>
        <v>0.64</v>
      </c>
      <c r="Z254" s="157">
        <f t="shared" si="129"/>
        <v>0.64</v>
      </c>
      <c r="AA254" s="157">
        <f t="shared" si="129"/>
        <v>0.64</v>
      </c>
      <c r="AB254" s="157">
        <f t="shared" si="129"/>
        <v>0.64</v>
      </c>
      <c r="AC254" s="157">
        <f t="shared" si="129"/>
        <v>0.64</v>
      </c>
      <c r="AD254" s="157">
        <f t="shared" si="129"/>
        <v>0.64</v>
      </c>
      <c r="AE254" s="157">
        <f t="shared" si="129"/>
        <v>0.64</v>
      </c>
      <c r="AF254" s="157">
        <f t="shared" si="12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30">SUM(B249:B254)</f>
        <v>3.54</v>
      </c>
      <c r="C255" s="161">
        <f t="shared" si="130"/>
        <v>3.54</v>
      </c>
      <c r="D255" s="161">
        <f t="shared" si="130"/>
        <v>3.54</v>
      </c>
      <c r="E255" s="161">
        <f t="shared" si="130"/>
        <v>3.54</v>
      </c>
      <c r="F255" s="161">
        <f t="shared" si="130"/>
        <v>3.54</v>
      </c>
      <c r="G255" s="161">
        <f t="shared" si="130"/>
        <v>3.54</v>
      </c>
      <c r="H255" s="161">
        <f t="shared" si="130"/>
        <v>3.54</v>
      </c>
      <c r="I255" s="161">
        <f t="shared" si="130"/>
        <v>3.54</v>
      </c>
      <c r="J255" s="161">
        <f t="shared" si="130"/>
        <v>3.54</v>
      </c>
      <c r="K255" s="161">
        <f t="shared" si="130"/>
        <v>3.54</v>
      </c>
      <c r="L255" s="161">
        <f t="shared" si="130"/>
        <v>3.54</v>
      </c>
      <c r="M255" s="161">
        <f t="shared" si="130"/>
        <v>3.54</v>
      </c>
      <c r="N255" s="161">
        <f t="shared" si="130"/>
        <v>3.54</v>
      </c>
      <c r="O255" s="161">
        <f t="shared" si="130"/>
        <v>3.54</v>
      </c>
      <c r="P255" s="161">
        <f t="shared" si="130"/>
        <v>3.54</v>
      </c>
      <c r="Q255" s="161">
        <f t="shared" si="130"/>
        <v>3.54</v>
      </c>
      <c r="R255" s="161">
        <f t="shared" si="130"/>
        <v>3.54</v>
      </c>
      <c r="S255" s="161">
        <f t="shared" si="130"/>
        <v>3.54</v>
      </c>
      <c r="T255" s="161">
        <f t="shared" si="130"/>
        <v>3.54</v>
      </c>
      <c r="U255" s="161">
        <f t="shared" si="130"/>
        <v>3.54</v>
      </c>
      <c r="V255" s="161">
        <f t="shared" si="130"/>
        <v>3.54</v>
      </c>
      <c r="W255" s="161">
        <f t="shared" si="130"/>
        <v>3.54</v>
      </c>
      <c r="X255" s="161">
        <f t="shared" si="130"/>
        <v>3.54</v>
      </c>
      <c r="Y255" s="161">
        <f t="shared" si="130"/>
        <v>3.54</v>
      </c>
      <c r="Z255" s="161">
        <f t="shared" si="130"/>
        <v>3.54</v>
      </c>
      <c r="AA255" s="161">
        <f t="shared" si="130"/>
        <v>3.54</v>
      </c>
      <c r="AB255" s="161">
        <f t="shared" si="130"/>
        <v>3.54</v>
      </c>
      <c r="AC255" s="161">
        <f t="shared" si="130"/>
        <v>3.54</v>
      </c>
      <c r="AD255" s="161">
        <f t="shared" si="130"/>
        <v>3.54</v>
      </c>
      <c r="AE255" s="161">
        <f t="shared" si="130"/>
        <v>3.54</v>
      </c>
      <c r="AF255" s="161">
        <f t="shared" si="130"/>
        <v>3.54</v>
      </c>
      <c r="AG255" s="171">
        <f t="shared" si="13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2059.44</v>
      </c>
      <c r="C259" s="174">
        <f>INDEX(G9:N9,1,MATCH(MAX(G102:N102),G102:N102,0))</f>
        <v>0.33333333333333331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str">
        <f ca="1">"Pie Chart of Daily Peak Demand(Inclusive of Export) of Nepal ("&amp;A4&amp;" "&amp;B4&amp;")"</f>
        <v>Pie Chart of Daily Peak Demand(Inclusive of Export) of Nepal (Nepali Date: 2080/10/32)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526" priority="102">
      <formula>$AH11=0</formula>
    </cfRule>
  </conditionalFormatting>
  <conditionalFormatting sqref="A89">
    <cfRule type="expression" dxfId="525" priority="160">
      <formula>$AH94=0</formula>
    </cfRule>
  </conditionalFormatting>
  <conditionalFormatting sqref="A90:A94">
    <cfRule type="expression" dxfId="524" priority="103">
      <formula>$AH89=0</formula>
    </cfRule>
  </conditionalFormatting>
  <conditionalFormatting sqref="B8">
    <cfRule type="expression" dxfId="523" priority="156">
      <formula>AND(C$9&gt;=14/24,C$9&lt;20/24)</formula>
    </cfRule>
    <cfRule type="expression" dxfId="522" priority="157">
      <formula>AND(C$9&gt;=8/24,C$9&lt;14/24)</formula>
    </cfRule>
    <cfRule type="expression" dxfId="521" priority="158">
      <formula>C$9&lt;8/24</formula>
    </cfRule>
    <cfRule type="expression" dxfId="520" priority="159">
      <formula>C$9&gt;=20/24</formula>
    </cfRule>
  </conditionalFormatting>
  <conditionalFormatting sqref="B11:D14 E12:Z14">
    <cfRule type="expression" dxfId="519" priority="10">
      <formula>B11&gt;$AG11</formula>
    </cfRule>
  </conditionalFormatting>
  <conditionalFormatting sqref="B11:D49 E12:M49 N15:N49 O16:R49 S16:AF57 B50:R57">
    <cfRule type="expression" dxfId="518" priority="11">
      <formula>B$9&gt;=20/24</formula>
    </cfRule>
    <cfRule type="expression" dxfId="517" priority="12">
      <formula>AND(B$9&gt;=14/24,B$9&lt;20/24)</formula>
    </cfRule>
    <cfRule type="expression" dxfId="516" priority="13">
      <formula>AND(B$9&gt;=8/24,B$9&lt;14/24)</formula>
    </cfRule>
    <cfRule type="expression" dxfId="515" priority="14">
      <formula>B$9&lt;8/24</formula>
    </cfRule>
  </conditionalFormatting>
  <conditionalFormatting sqref="B62:K65">
    <cfRule type="expression" dxfId="514" priority="15">
      <formula>B$9&gt;=20/24</formula>
    </cfRule>
    <cfRule type="expression" dxfId="513" priority="16">
      <formula>AND(B$9&gt;=14/24,B$9&lt;20/24)</formula>
    </cfRule>
    <cfRule type="expression" dxfId="512" priority="17">
      <formula>AND(B$9&gt;=8/24,B$9&lt;14/24)</formula>
    </cfRule>
    <cfRule type="expression" dxfId="511" priority="18">
      <formula>B$9&lt;8/24</formula>
    </cfRule>
  </conditionalFormatting>
  <conditionalFormatting sqref="B66:S71">
    <cfRule type="expression" dxfId="510" priority="19">
      <formula>B$9&gt;=20/24</formula>
    </cfRule>
    <cfRule type="expression" dxfId="509" priority="20">
      <formula>AND(B$9&gt;=14/24,B$9&lt;20/24)</formula>
    </cfRule>
    <cfRule type="expression" dxfId="508" priority="21">
      <formula>AND(B$9&gt;=8/24,B$9&lt;14/24)</formula>
    </cfRule>
    <cfRule type="expression" dxfId="507" priority="22">
      <formula>B$9&lt;8/24</formula>
    </cfRule>
  </conditionalFormatting>
  <conditionalFormatting sqref="B9:AF10 E11 O15:AF15 E80:K94 L80:AF102 C95:K102 B247:AF247 B249:B255">
    <cfRule type="expression" dxfId="506" priority="64">
      <formula>AND(B$9&gt;=14/24,B$9&lt;20/24)</formula>
    </cfRule>
    <cfRule type="expression" dxfId="505" priority="65">
      <formula>AND(B$9&gt;=8/24,B$9&lt;14/24)</formula>
    </cfRule>
    <cfRule type="expression" dxfId="504" priority="66">
      <formula>B$9&lt;8/24</formula>
    </cfRule>
  </conditionalFormatting>
  <conditionalFormatting sqref="B72:AF77 C80:D94 B80:B102 B104:AF120 B122:AF140">
    <cfRule type="expression" dxfId="503" priority="5">
      <formula>B$9&gt;=20/24</formula>
    </cfRule>
    <cfRule type="expression" dxfId="502" priority="6">
      <formula>AND(B$9&gt;=14/24,B$9&lt;20/24)</formula>
    </cfRule>
    <cfRule type="expression" dxfId="501" priority="7">
      <formula>AND(B$9&gt;=8/24,B$9&lt;14/24)</formula>
    </cfRule>
    <cfRule type="expression" dxfId="500" priority="8">
      <formula>B$9&lt;8/24</formula>
    </cfRule>
  </conditionalFormatting>
  <conditionalFormatting sqref="D249:AF255">
    <cfRule type="expression" dxfId="499" priority="141">
      <formula>D$9&gt;=20/24</formula>
    </cfRule>
    <cfRule type="expression" dxfId="498" priority="142">
      <formula>AND(D$9&gt;=14/24,D$9&lt;20/24)</formula>
    </cfRule>
    <cfRule type="expression" dxfId="497" priority="143">
      <formula>AND(D$9&gt;=8/24,D$9&lt;14/24)</formula>
    </cfRule>
    <cfRule type="expression" dxfId="496" priority="144">
      <formula>D$9&lt;8/24</formula>
    </cfRule>
  </conditionalFormatting>
  <conditionalFormatting sqref="E11 O15:AF15 E80:K94 L80:AF102 B9:AF10 C95:K102 B247:AF247 B249:B255">
    <cfRule type="expression" dxfId="495" priority="63">
      <formula>B$9&gt;=20/24</formula>
    </cfRule>
  </conditionalFormatting>
  <conditionalFormatting sqref="E11:Z11 AA11:AF14 N12:Z14">
    <cfRule type="expression" dxfId="494" priority="77">
      <formula>E$9&gt;=20/24</formula>
    </cfRule>
    <cfRule type="expression" dxfId="493" priority="78">
      <formula>AND(E$9&gt;=14/24,E$9&lt;20/24)</formula>
    </cfRule>
    <cfRule type="expression" dxfId="492" priority="79">
      <formula>AND(E$9&gt;=8/24,E$9&lt;14/24)</formula>
    </cfRule>
    <cfRule type="expression" dxfId="491" priority="80">
      <formula>E$9&lt;8/24</formula>
    </cfRule>
  </conditionalFormatting>
  <conditionalFormatting sqref="E11:Z11 AA11:AF14">
    <cfRule type="expression" dxfId="490" priority="76">
      <formula>E11&gt;$AG11</formula>
    </cfRule>
  </conditionalFormatting>
  <conditionalFormatting sqref="G59:J59 K59:K60 M59:X60 L59:L65 E60:J60 E11 O15:AF15 AG61 M61:AA65 AB61:AF71 AG65 T66:AA71 E78:AF83 AG83">
    <cfRule type="expression" dxfId="489" priority="62">
      <formula>E11&gt;$AG11</formula>
    </cfRule>
  </conditionalFormatting>
  <conditionalFormatting sqref="G59:Z59 E60:Z60 AA59:AF60">
    <cfRule type="expression" dxfId="488" priority="71">
      <formula>E$9&lt;8/24</formula>
    </cfRule>
  </conditionalFormatting>
  <conditionalFormatting sqref="G59:Z59 AA59:AF60 E60:Z60">
    <cfRule type="expression" dxfId="487" priority="59">
      <formula>E$9&gt;=20/24</formula>
    </cfRule>
    <cfRule type="expression" dxfId="486" priority="60">
      <formula>AND(E$9&gt;=14/24,E$9&lt;20/24)</formula>
    </cfRule>
    <cfRule type="expression" dxfId="485" priority="61">
      <formula>AND(E$9&gt;=8/24,E$9&lt;14/24)</formula>
    </cfRule>
  </conditionalFormatting>
  <conditionalFormatting sqref="G58:AF58 E58:F59 B58:D60">
    <cfRule type="expression" dxfId="484" priority="1">
      <formula>B$9&gt;=20/24</formula>
    </cfRule>
    <cfRule type="expression" dxfId="483" priority="2">
      <formula>AND(B$9&gt;=14/24,B$9&lt;20/24)</formula>
    </cfRule>
    <cfRule type="expression" dxfId="482" priority="3">
      <formula>AND(B$9&gt;=8/24,B$9&lt;14/24)</formula>
    </cfRule>
    <cfRule type="expression" dxfId="481" priority="9">
      <formula>B$9&lt;8/24</formula>
    </cfRule>
  </conditionalFormatting>
  <conditionalFormatting sqref="L62:AF65">
    <cfRule type="expression" dxfId="480" priority="82">
      <formula>L$9&gt;=20/24</formula>
    </cfRule>
    <cfRule type="expression" dxfId="479" priority="83">
      <formula>AND(L$9&gt;=14/24,L$9&lt;20/24)</formula>
    </cfRule>
    <cfRule type="expression" dxfId="478" priority="84">
      <formula>AND(L$9&gt;=8/24,L$9&lt;14/24)</formula>
    </cfRule>
    <cfRule type="expression" dxfId="477" priority="85">
      <formula>L$9&lt;8/24</formula>
    </cfRule>
  </conditionalFormatting>
  <conditionalFormatting sqref="M8 S8 AB8">
    <cfRule type="expression" dxfId="476" priority="148">
      <formula>AND(N$9&gt;=14/24,N$9&lt;20/24)</formula>
    </cfRule>
    <cfRule type="expression" dxfId="475" priority="149">
      <formula>AND(N$9&gt;=8/24,N$9&lt;14/24)</formula>
    </cfRule>
    <cfRule type="expression" dxfId="474" priority="150">
      <formula>N$9&lt;8/24</formula>
    </cfRule>
  </conditionalFormatting>
  <conditionalFormatting sqref="O3:P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73" priority="147">
      <formula>N$9&gt;=20/24</formula>
    </cfRule>
  </conditionalFormatting>
  <conditionalFormatting sqref="S8">
    <cfRule type="expression" dxfId="472" priority="134">
      <formula>U$9&gt;=20/24</formula>
    </cfRule>
    <cfRule type="expression" dxfId="471" priority="135">
      <formula>AND(U$9&gt;=14/24,U$9&lt;20/24)</formula>
    </cfRule>
    <cfRule type="expression" dxfId="470" priority="136">
      <formula>AND(U$9&gt;=8/24,U$9&lt;14/24)</formula>
    </cfRule>
    <cfRule type="expression" dxfId="469" priority="137">
      <formula>U$9&lt;8/24</formula>
    </cfRule>
  </conditionalFormatting>
  <conditionalFormatting sqref="S16:AF58 G51:R58 E51:F59 B51:D83 B15:N49 O16:R49 B50:R50 E61:K65 E66:S77 T72:AF77">
    <cfRule type="expression" dxfId="468" priority="4">
      <formula>B15&gt;$AG15</formula>
    </cfRule>
  </conditionalFormatting>
  <conditionalFormatting sqref="T71:W71">
    <cfRule type="expression" dxfId="467" priority="90">
      <formula>T$9&gt;=20/24</formula>
    </cfRule>
    <cfRule type="expression" dxfId="466" priority="91">
      <formula>AND(T$9&gt;=14/24,T$9&lt;20/24)</formula>
    </cfRule>
    <cfRule type="expression" dxfId="465" priority="92">
      <formula>AND(T$9&gt;=8/24,T$9&lt;14/24)</formula>
    </cfRule>
    <cfRule type="expression" dxfId="464" priority="93">
      <formula>T$9&lt;8/24</formula>
    </cfRule>
  </conditionalFormatting>
  <conditionalFormatting sqref="T66:AF70">
    <cfRule type="expression" dxfId="463" priority="98">
      <formula>T$9&gt;=20/24</formula>
    </cfRule>
    <cfRule type="expression" dxfId="462" priority="99">
      <formula>AND(T$9&gt;=14/24,T$9&lt;20/24)</formula>
    </cfRule>
    <cfRule type="expression" dxfId="461" priority="100">
      <formula>AND(T$9&gt;=8/24,T$9&lt;14/24)</formula>
    </cfRule>
    <cfRule type="expression" dxfId="460" priority="101">
      <formula>T$9&lt;8/24</formula>
    </cfRule>
  </conditionalFormatting>
  <conditionalFormatting sqref="T66:AF71">
    <cfRule type="expression" dxfId="459" priority="86">
      <formula>T$9&gt;=20/24</formula>
    </cfRule>
    <cfRule type="expression" dxfId="458" priority="87">
      <formula>AND(T$9&gt;=14/24,T$9&lt;20/24)</formula>
    </cfRule>
    <cfRule type="expression" dxfId="457" priority="88">
      <formula>AND(T$9&gt;=8/24,T$9&lt;14/24)</formula>
    </cfRule>
    <cfRule type="expression" dxfId="456" priority="89">
      <formula>T$9&lt;8/24</formula>
    </cfRule>
  </conditionalFormatting>
  <conditionalFormatting sqref="V3 AB3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Y59:AF60">
    <cfRule type="expression" dxfId="455" priority="81">
      <formula>Y59&gt;$AG59</formula>
    </cfRule>
  </conditionalFormatting>
  <conditionalFormatting sqref="AB8">
    <cfRule type="expression" dxfId="454" priority="130">
      <formula>AD$9&gt;=20/24</formula>
    </cfRule>
    <cfRule type="expression" dxfId="453" priority="131">
      <formula>AND(AD$9&gt;=14/24,AD$9&lt;20/24)</formula>
    </cfRule>
    <cfRule type="expression" dxfId="452" priority="132">
      <formula>AND(AD$9&gt;=8/24,AD$9&lt;14/24)</formula>
    </cfRule>
    <cfRule type="expression" dxfId="451" priority="133">
      <formula>AD$9&lt;8/24</formula>
    </cfRule>
  </conditionalFormatting>
  <conditionalFormatting sqref="AG65">
    <cfRule type="expression" dxfId="450" priority="109">
      <formula>AG$9&gt;=20/24</formula>
    </cfRule>
    <cfRule type="expression" dxfId="449" priority="110">
      <formula>AND(AG$9&gt;=14/24,AG$9&lt;20/24)</formula>
    </cfRule>
    <cfRule type="expression" dxfId="448" priority="111">
      <formula>AND(AG$9&gt;=8/24,AG$9&lt;14/24)</formula>
    </cfRule>
    <cfRule type="expression" dxfId="447" priority="112">
      <formula>AG$9&lt;8/24</formula>
    </cfRule>
  </conditionalFormatting>
  <conditionalFormatting sqref="AG78:AG79">
    <cfRule type="expression" dxfId="446" priority="104">
      <formula>AG78&gt;$AG78</formula>
    </cfRule>
  </conditionalFormatting>
  <conditionalFormatting sqref="AG83">
    <cfRule type="expression" dxfId="445" priority="105">
      <formula>AG$9&gt;=20/24</formula>
    </cfRule>
    <cfRule type="expression" dxfId="444" priority="106">
      <formula>AND(AG$9&gt;=14/24,AG$9&lt;20/24)</formula>
    </cfRule>
    <cfRule type="expression" dxfId="443" priority="107">
      <formula>AND(AG$9&gt;=8/24,AG$9&lt;14/24)</formula>
    </cfRule>
    <cfRule type="expression" dxfId="442" priority="108">
      <formula>AG$9&lt;8/24</formula>
    </cfRule>
  </conditionalFormatting>
  <conditionalFormatting sqref="AG100">
    <cfRule type="expression" dxfId="441" priority="126">
      <formula>AG$9&gt;=20/24</formula>
    </cfRule>
    <cfRule type="expression" dxfId="440" priority="127">
      <formula>AND(AG$9&gt;=14/24,AG$9&lt;20/24)</formula>
    </cfRule>
    <cfRule type="expression" dxfId="439" priority="128">
      <formula>AND(AG$9&gt;=8/24,AG$9&lt;14/24)</formula>
    </cfRule>
    <cfRule type="expression" dxfId="438" priority="129">
      <formula>AG$9&lt;8/24</formula>
    </cfRule>
  </conditionalFormatting>
  <conditionalFormatting sqref="AL4:AL6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437" priority="151">
      <formula>AJ$9&gt;=20/24</formula>
    </cfRule>
    <cfRule type="expression" dxfId="436" priority="152">
      <formula>AND(AJ$9&gt;=14/24,AJ$9&lt;20/24)</formula>
    </cfRule>
    <cfRule type="expression" dxfId="435" priority="153">
      <formula>AND(AJ$9&gt;=8/24,AJ$9&lt;14/24)</formula>
    </cfRule>
    <cfRule type="expression" dxfId="434" priority="154">
      <formula>AJ$9&lt;8/24</formula>
    </cfRule>
  </conditionalFormatting>
  <conditionalFormatting sqref="AL86:AN86 AL92:AN92">
    <cfRule type="expression" dxfId="433" priority="119">
      <formula>AL$9&gt;=20/24</formula>
    </cfRule>
    <cfRule type="expression" dxfId="432" priority="120">
      <formula>AND(AL$9&gt;=14/24,AL$9&lt;20/24)</formula>
    </cfRule>
    <cfRule type="expression" dxfId="431" priority="121">
      <formula>AND(AL$9&gt;=8/24,AL$9&lt;14/24)</formula>
    </cfRule>
    <cfRule type="expression" dxfId="430" priority="122">
      <formula>AL$9&lt;8/24</formula>
    </cfRule>
  </conditionalFormatting>
  <conditionalFormatting sqref="AM15:AM21 AN16:AR21">
    <cfRule type="expression" dxfId="429" priority="35">
      <formula>AX$9&gt;=20/24</formula>
    </cfRule>
    <cfRule type="expression" dxfId="428" priority="36">
      <formula>AND(AX$9&gt;=14/24,AX$9&lt;20/24)</formula>
    </cfRule>
    <cfRule type="expression" dxfId="427" priority="37">
      <formula>AND(AX$9&gt;=8/24,AX$9&lt;14/24)</formula>
    </cfRule>
    <cfRule type="expression" dxfId="426" priority="38">
      <formula>AX$9&lt;8/24</formula>
    </cfRule>
  </conditionalFormatting>
  <conditionalFormatting sqref="AN87:AN90">
    <cfRule type="expression" dxfId="425" priority="115">
      <formula>AN$9&gt;=20/24</formula>
    </cfRule>
    <cfRule type="expression" dxfId="424" priority="116">
      <formula>AND(AN$9&gt;=14/24,AN$9&lt;20/24)</formula>
    </cfRule>
    <cfRule type="expression" dxfId="423" priority="117">
      <formula>AND(AN$9&gt;=8/24,AN$9&lt;14/24)</formula>
    </cfRule>
    <cfRule type="expression" dxfId="422" priority="118">
      <formula>AN$9&lt;8/24</formula>
    </cfRule>
  </conditionalFormatting>
  <conditionalFormatting sqref="AN15:AR15">
    <cfRule type="expression" dxfId="421" priority="23">
      <formula>U$9&gt;=20/24</formula>
    </cfRule>
    <cfRule type="expression" dxfId="420" priority="24">
      <formula>AND(U$9&gt;=14/24,U$9&lt;20/24)</formula>
    </cfRule>
    <cfRule type="expression" dxfId="419" priority="25">
      <formula>AND(U$9&gt;=8/24,U$9&lt;14/24)</formula>
    </cfRule>
    <cfRule type="expression" dxfId="418" priority="26">
      <formula>U$9&lt;8/24</formula>
    </cfRule>
  </conditionalFormatting>
  <conditionalFormatting sqref="AS15">
    <cfRule type="expression" dxfId="417" priority="31">
      <formula>AA$9&gt;=20/24</formula>
    </cfRule>
    <cfRule type="expression" dxfId="416" priority="32">
      <formula>AND(AA$9&gt;=14/24,AA$9&lt;20/24)</formula>
    </cfRule>
    <cfRule type="expression" dxfId="415" priority="33">
      <formula>AND(AA$9&gt;=8/24,AA$9&lt;14/24)</formula>
    </cfRule>
    <cfRule type="expression" dxfId="414" priority="34">
      <formula>AA$9&lt;8/24</formula>
    </cfRule>
  </conditionalFormatting>
  <conditionalFormatting sqref="AS16:AS21">
    <cfRule type="expression" dxfId="413" priority="39">
      <formula>BE$9&gt;=20/24</formula>
    </cfRule>
    <cfRule type="expression" dxfId="412" priority="40">
      <formula>AND(BE$9&gt;=14/24,BE$9&lt;20/24)</formula>
    </cfRule>
    <cfRule type="expression" dxfId="411" priority="41">
      <formula>AND(BE$9&gt;=8/24,BE$9&lt;14/24)</formula>
    </cfRule>
    <cfRule type="expression" dxfId="410" priority="42">
      <formula>BE$9&lt;8/24</formula>
    </cfRule>
  </conditionalFormatting>
  <conditionalFormatting sqref="AT15 AX15:BJ15">
    <cfRule type="expression" dxfId="409" priority="43">
      <formula>AC$9&gt;=20/24</formula>
    </cfRule>
    <cfRule type="expression" dxfId="408" priority="44">
      <formula>AND(AC$9&gt;=14/24,AC$9&lt;20/24)</formula>
    </cfRule>
    <cfRule type="expression" dxfId="407" priority="45">
      <formula>AND(AC$9&gt;=8/24,AC$9&lt;14/24)</formula>
    </cfRule>
    <cfRule type="expression" dxfId="406" priority="46">
      <formula>AC$9&lt;8/24</formula>
    </cfRule>
  </conditionalFormatting>
  <conditionalFormatting sqref="AT16:AT21">
    <cfRule type="expression" dxfId="405" priority="47">
      <formula>BG$9&gt;=20/24</formula>
    </cfRule>
    <cfRule type="expression" dxfId="404" priority="48">
      <formula>AND(BG$9&gt;=14/24,BG$9&lt;20/24)</formula>
    </cfRule>
    <cfRule type="expression" dxfId="403" priority="49">
      <formula>AND(BG$9&gt;=8/24,BG$9&lt;14/24)</formula>
    </cfRule>
    <cfRule type="expression" dxfId="402" priority="50">
      <formula>BG$9&lt;8/24</formula>
    </cfRule>
  </conditionalFormatting>
  <conditionalFormatting sqref="AU15:AV15">
    <cfRule type="expression" dxfId="401" priority="51">
      <formula>AE$9&gt;=20/24</formula>
    </cfRule>
    <cfRule type="expression" dxfId="400" priority="52">
      <formula>AND(AE$9&gt;=14/24,AE$9&lt;20/24)</formula>
    </cfRule>
    <cfRule type="expression" dxfId="399" priority="53">
      <formula>AND(AE$9&gt;=8/24,AE$9&lt;14/24)</formula>
    </cfRule>
    <cfRule type="expression" dxfId="398" priority="54">
      <formula>AE$9&lt;8/24</formula>
    </cfRule>
  </conditionalFormatting>
  <conditionalFormatting sqref="AU16:BJ21">
    <cfRule type="expression" dxfId="397" priority="55">
      <formula>BI$9&gt;=20/24</formula>
    </cfRule>
    <cfRule type="expression" dxfId="396" priority="56">
      <formula>AND(BI$9&gt;=14/24,BI$9&lt;20/24)</formula>
    </cfRule>
    <cfRule type="expression" dxfId="395" priority="57">
      <formula>AND(BI$9&gt;=8/24,BI$9&lt;14/24)</formula>
    </cfRule>
    <cfRule type="expression" dxfId="394" priority="58">
      <formula>BI$9&lt;8/24</formula>
    </cfRule>
  </conditionalFormatting>
  <conditionalFormatting sqref="AW15">
    <cfRule type="expression" dxfId="393" priority="27">
      <formula>B$9&gt;=20/24</formula>
    </cfRule>
    <cfRule type="expression" dxfId="392" priority="28">
      <formula>AND(B$9&gt;=14/24,B$9&lt;20/24)</formula>
    </cfRule>
    <cfRule type="expression" dxfId="391" priority="29">
      <formula>AND(B$9&gt;=8/24,B$9&lt;14/24)</formula>
    </cfRule>
    <cfRule type="expression" dxfId="390" priority="30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1A1-128F-4E8C-8A18-399C0710F161}">
  <dimension ref="A1:CJ297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A14" sqref="AA1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e">
        <f ca="1">"2080/"&amp;"10/"&amp;INT(MID(CELL("filename",D6),FIND("]",CELL("filename",D6))+1,200))</f>
        <v>#VALUE!</v>
      </c>
      <c r="C4" s="187"/>
      <c r="D4" s="187"/>
      <c r="E4" s="188" t="e">
        <f ca="1">"2080/"&amp;"10/"&amp;INT(MID(CELL("filename",G6),FIND("]",CELL("filename",G6))+1,200))</f>
        <v>#VALUE!</v>
      </c>
      <c r="F4" s="188"/>
      <c r="G4" s="188"/>
      <c r="H4" s="188" t="e">
        <f ca="1">TEXT(E4,"dddd")</f>
        <v>#VALUE!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28</v>
      </c>
      <c r="C5" s="30">
        <f t="shared" si="0"/>
        <v>27</v>
      </c>
      <c r="D5" s="30">
        <f t="shared" si="0"/>
        <v>28</v>
      </c>
      <c r="E5" s="30">
        <f t="shared" si="0"/>
        <v>20.9</v>
      </c>
      <c r="F5" s="30">
        <f t="shared" si="0"/>
        <v>16.3</v>
      </c>
      <c r="G5" s="30">
        <f t="shared" si="0"/>
        <v>14</v>
      </c>
      <c r="H5" s="30">
        <f t="shared" si="0"/>
        <v>39</v>
      </c>
      <c r="I5" s="30">
        <f t="shared" si="0"/>
        <v>141</v>
      </c>
      <c r="J5" s="30">
        <f t="shared" si="0"/>
        <v>141</v>
      </c>
      <c r="K5" s="30">
        <f t="shared" si="0"/>
        <v>141</v>
      </c>
      <c r="L5" s="30">
        <f t="shared" si="0"/>
        <v>197.9</v>
      </c>
      <c r="M5" s="30">
        <f t="shared" si="0"/>
        <v>202</v>
      </c>
      <c r="N5" s="30">
        <f t="shared" si="0"/>
        <v>221.3</v>
      </c>
      <c r="O5" s="30">
        <f t="shared" si="0"/>
        <v>212</v>
      </c>
      <c r="P5" s="30">
        <f t="shared" si="0"/>
        <v>219.2</v>
      </c>
      <c r="Q5" s="30">
        <f t="shared" si="0"/>
        <v>237</v>
      </c>
      <c r="R5" s="30">
        <f t="shared" si="0"/>
        <v>243.7</v>
      </c>
      <c r="S5" s="30">
        <f t="shared" si="0"/>
        <v>225.1</v>
      </c>
      <c r="T5" s="30">
        <f t="shared" si="0"/>
        <v>233.1</v>
      </c>
      <c r="U5" s="30">
        <f t="shared" si="0"/>
        <v>234.2</v>
      </c>
      <c r="V5" s="30">
        <f t="shared" si="0"/>
        <v>226.10000000000002</v>
      </c>
      <c r="W5" s="30">
        <f t="shared" si="0"/>
        <v>176.6</v>
      </c>
      <c r="X5" s="30">
        <f t="shared" si="0"/>
        <v>54.900000000000006</v>
      </c>
      <c r="Y5" s="30">
        <f t="shared" si="0"/>
        <v>20.7</v>
      </c>
      <c r="Z5" s="30">
        <f t="shared" si="0"/>
        <v>16.399999999999999</v>
      </c>
      <c r="AA5" s="30">
        <f t="shared" si="0"/>
        <v>2.9</v>
      </c>
      <c r="AB5" s="30">
        <f t="shared" si="0"/>
        <v>21.5</v>
      </c>
      <c r="AC5" s="30">
        <f t="shared" si="0"/>
        <v>26.8</v>
      </c>
      <c r="AD5" s="30">
        <f t="shared" si="0"/>
        <v>0</v>
      </c>
      <c r="AE5" s="30">
        <f t="shared" si="0"/>
        <v>0</v>
      </c>
      <c r="AF5" s="30">
        <f>B95</f>
        <v>28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1990MW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1692.04</v>
      </c>
      <c r="C7" s="35">
        <f t="shared" si="1"/>
        <v>1704.04</v>
      </c>
      <c r="D7" s="35">
        <f t="shared" si="1"/>
        <v>1658.04</v>
      </c>
      <c r="E7" s="35">
        <f t="shared" si="1"/>
        <v>1580.04</v>
      </c>
      <c r="F7" s="35">
        <f t="shared" si="1"/>
        <v>1571.5400000000002</v>
      </c>
      <c r="G7" s="35">
        <f t="shared" si="1"/>
        <v>1456.94</v>
      </c>
      <c r="H7" s="35">
        <f t="shared" si="1"/>
        <v>1451.34</v>
      </c>
      <c r="I7" s="35">
        <f t="shared" si="1"/>
        <v>1536.34</v>
      </c>
      <c r="J7" s="35">
        <f t="shared" si="1"/>
        <v>1599.54</v>
      </c>
      <c r="K7" s="35">
        <f t="shared" si="1"/>
        <v>1499.54</v>
      </c>
      <c r="L7" s="35">
        <f t="shared" si="1"/>
        <v>1499.54</v>
      </c>
      <c r="M7" s="35">
        <f t="shared" si="1"/>
        <v>1586.44</v>
      </c>
      <c r="N7" s="35">
        <f t="shared" si="1"/>
        <v>1610.54</v>
      </c>
      <c r="O7" s="35">
        <f t="shared" si="1"/>
        <v>1647.84</v>
      </c>
      <c r="P7" s="35">
        <f t="shared" si="1"/>
        <v>1653.54</v>
      </c>
      <c r="Q7" s="35">
        <f t="shared" si="1"/>
        <v>1654.0400000000002</v>
      </c>
      <c r="R7" s="35">
        <f t="shared" si="1"/>
        <v>1667.8400000000001</v>
      </c>
      <c r="S7" s="35">
        <f t="shared" si="1"/>
        <v>1832.4400000000003</v>
      </c>
      <c r="T7" s="35">
        <f t="shared" si="1"/>
        <v>1693.5400000000002</v>
      </c>
      <c r="U7" s="35">
        <f t="shared" si="1"/>
        <v>1698.54</v>
      </c>
      <c r="V7" s="35">
        <f t="shared" si="1"/>
        <v>1729.0400000000002</v>
      </c>
      <c r="W7" s="35">
        <f t="shared" si="1"/>
        <v>1673.9399999999998</v>
      </c>
      <c r="X7" s="35">
        <f t="shared" si="1"/>
        <v>1556.54</v>
      </c>
      <c r="Y7" s="35">
        <f t="shared" si="1"/>
        <v>1448.1400000000003</v>
      </c>
      <c r="Z7" s="35">
        <f t="shared" si="1"/>
        <v>1630.3400000000004</v>
      </c>
      <c r="AA7" s="35">
        <f t="shared" si="1"/>
        <v>1849.54</v>
      </c>
      <c r="AB7" s="35">
        <f t="shared" si="1"/>
        <v>1795.2400000000002</v>
      </c>
      <c r="AC7" s="35">
        <f t="shared" si="1"/>
        <v>1807.6399999999999</v>
      </c>
      <c r="AD7" s="35">
        <f t="shared" si="1"/>
        <v>1834.4400000000003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2048.74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1834.44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>
        <v>34.299999999999997</v>
      </c>
      <c r="C11" s="46">
        <v>34.299999999999997</v>
      </c>
      <c r="D11" s="46">
        <v>34.299999999999997</v>
      </c>
      <c r="E11" s="46">
        <v>34.299999999999997</v>
      </c>
      <c r="F11" s="46">
        <v>34.299999999999997</v>
      </c>
      <c r="G11" s="46">
        <v>34.299999999999997</v>
      </c>
      <c r="H11" s="46">
        <v>34.299999999999997</v>
      </c>
      <c r="I11" s="46">
        <v>34.299999999999997</v>
      </c>
      <c r="J11" s="46">
        <v>34.299999999999997</v>
      </c>
      <c r="K11" s="46">
        <v>34.299999999999997</v>
      </c>
      <c r="L11" s="46">
        <v>34.299999999999997</v>
      </c>
      <c r="M11" s="46">
        <v>34.299999999999997</v>
      </c>
      <c r="N11" s="46">
        <v>34.299999999999997</v>
      </c>
      <c r="O11" s="46">
        <v>34.299999999999997</v>
      </c>
      <c r="P11" s="46">
        <v>34.299999999999997</v>
      </c>
      <c r="Q11" s="46">
        <v>42.6</v>
      </c>
      <c r="R11" s="46">
        <v>42.6</v>
      </c>
      <c r="S11" s="46">
        <v>42.6</v>
      </c>
      <c r="T11" s="46">
        <v>42.6</v>
      </c>
      <c r="U11" s="46">
        <v>42.6</v>
      </c>
      <c r="V11" s="46">
        <v>42.6</v>
      </c>
      <c r="W11" s="46">
        <v>42.6</v>
      </c>
      <c r="X11" s="46">
        <v>42.6</v>
      </c>
      <c r="Y11" s="46">
        <v>42.6</v>
      </c>
      <c r="Z11" s="46">
        <v>42.6</v>
      </c>
      <c r="AA11" s="46">
        <v>42.6</v>
      </c>
      <c r="AB11" s="46">
        <v>33</v>
      </c>
      <c r="AC11" s="46">
        <v>33</v>
      </c>
      <c r="AD11" s="46">
        <v>33</v>
      </c>
      <c r="AE11" s="46"/>
      <c r="AF11" s="46"/>
      <c r="AG11" s="47">
        <v>86</v>
      </c>
      <c r="AH11" s="48">
        <f t="shared" ref="AH11:AH74" si="2">MAX(B11:AF11)</f>
        <v>42.6</v>
      </c>
      <c r="AI11" s="49">
        <f t="shared" ref="AI11:AI74" si="3">MIN(B11:AF11)</f>
        <v>33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>
        <v>51</v>
      </c>
      <c r="C12" s="46">
        <v>51</v>
      </c>
      <c r="D12" s="46">
        <v>51</v>
      </c>
      <c r="E12" s="46">
        <v>51</v>
      </c>
      <c r="F12" s="46">
        <v>51</v>
      </c>
      <c r="G12" s="46">
        <v>51</v>
      </c>
      <c r="H12" s="46">
        <v>51</v>
      </c>
      <c r="I12" s="46">
        <v>51</v>
      </c>
      <c r="J12" s="46">
        <v>51</v>
      </c>
      <c r="K12" s="46">
        <v>51</v>
      </c>
      <c r="L12" s="46">
        <v>51</v>
      </c>
      <c r="M12" s="46">
        <v>51</v>
      </c>
      <c r="N12" s="46">
        <v>51</v>
      </c>
      <c r="O12" s="46">
        <v>51</v>
      </c>
      <c r="P12" s="46">
        <v>51</v>
      </c>
      <c r="Q12" s="46">
        <v>51</v>
      </c>
      <c r="R12" s="46">
        <v>51</v>
      </c>
      <c r="S12" s="46">
        <v>51</v>
      </c>
      <c r="T12" s="46">
        <v>51</v>
      </c>
      <c r="U12" s="46">
        <v>51</v>
      </c>
      <c r="V12" s="46">
        <v>51</v>
      </c>
      <c r="W12" s="46">
        <v>51</v>
      </c>
      <c r="X12" s="46">
        <v>51</v>
      </c>
      <c r="Y12" s="46">
        <v>51</v>
      </c>
      <c r="Z12" s="46">
        <v>51</v>
      </c>
      <c r="AA12" s="46">
        <v>51</v>
      </c>
      <c r="AB12" s="46">
        <v>39</v>
      </c>
      <c r="AC12" s="46">
        <v>39</v>
      </c>
      <c r="AD12" s="46">
        <v>39</v>
      </c>
      <c r="AE12" s="46"/>
      <c r="AF12" s="46"/>
      <c r="AG12" s="50">
        <v>77</v>
      </c>
      <c r="AH12" s="48">
        <f t="shared" si="2"/>
        <v>51</v>
      </c>
      <c r="AI12" s="49">
        <f t="shared" si="3"/>
        <v>39</v>
      </c>
      <c r="AK12" s="51"/>
      <c r="AL12" s="52" t="str">
        <f ca="1">MID(CELL("filename",C7),FIND("]",CELL("filename",C7))+1,600)</f>
        <v>asar1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20</v>
      </c>
      <c r="AA13" s="46">
        <v>69</v>
      </c>
      <c r="AB13" s="46">
        <v>69.599999999999994</v>
      </c>
      <c r="AC13" s="46">
        <v>69.599999999999994</v>
      </c>
      <c r="AD13" s="46">
        <v>69.599999999999994</v>
      </c>
      <c r="AE13" s="46"/>
      <c r="AF13" s="46"/>
      <c r="AG13" s="50">
        <v>73</v>
      </c>
      <c r="AH13" s="48">
        <f t="shared" si="2"/>
        <v>69.599999999999994</v>
      </c>
      <c r="AI13" s="49">
        <f t="shared" si="3"/>
        <v>0</v>
      </c>
      <c r="AK13" s="51"/>
      <c r="AL13" s="52" t="e">
        <f ca="1">"Daily Load Curve(Excluding of Export) of Nepal ("&amp;A4&amp;" "&amp;B4&amp;")"</f>
        <v>#VALUE!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>
        <v>41</v>
      </c>
      <c r="C14" s="46">
        <v>41</v>
      </c>
      <c r="D14" s="46">
        <v>41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41</v>
      </c>
      <c r="K14" s="46">
        <v>41</v>
      </c>
      <c r="L14" s="46">
        <v>41</v>
      </c>
      <c r="M14" s="46">
        <v>41</v>
      </c>
      <c r="N14" s="46">
        <v>41</v>
      </c>
      <c r="O14" s="46">
        <v>41</v>
      </c>
      <c r="P14" s="46">
        <v>41</v>
      </c>
      <c r="Q14" s="46">
        <v>41</v>
      </c>
      <c r="R14" s="46">
        <v>41</v>
      </c>
      <c r="S14" s="46">
        <v>41</v>
      </c>
      <c r="T14" s="46">
        <v>41</v>
      </c>
      <c r="U14" s="46">
        <v>41</v>
      </c>
      <c r="V14" s="46">
        <v>41</v>
      </c>
      <c r="W14" s="46">
        <v>41</v>
      </c>
      <c r="X14" s="46">
        <v>41</v>
      </c>
      <c r="Y14" s="46">
        <v>41</v>
      </c>
      <c r="Z14" s="46">
        <v>41</v>
      </c>
      <c r="AA14" s="46">
        <v>41</v>
      </c>
      <c r="AB14" s="46">
        <v>41</v>
      </c>
      <c r="AC14" s="46">
        <v>41</v>
      </c>
      <c r="AD14" s="46">
        <v>41</v>
      </c>
      <c r="AE14" s="46"/>
      <c r="AF14" s="46"/>
      <c r="AG14" s="50">
        <v>71</v>
      </c>
      <c r="AH14" s="48">
        <f t="shared" si="2"/>
        <v>41</v>
      </c>
      <c r="AI14" s="49">
        <f t="shared" si="3"/>
        <v>41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>
        <v>27.8</v>
      </c>
      <c r="C15" s="46">
        <v>27.8</v>
      </c>
      <c r="D15" s="46">
        <v>27.8</v>
      </c>
      <c r="E15" s="46">
        <v>27.8</v>
      </c>
      <c r="F15" s="46">
        <v>27.8</v>
      </c>
      <c r="G15" s="46">
        <v>27.8</v>
      </c>
      <c r="H15" s="46">
        <v>27.8</v>
      </c>
      <c r="I15" s="46">
        <v>27.8</v>
      </c>
      <c r="J15" s="46">
        <v>27.8</v>
      </c>
      <c r="K15" s="46">
        <v>27.8</v>
      </c>
      <c r="L15" s="46">
        <v>27.8</v>
      </c>
      <c r="M15" s="46">
        <v>27.8</v>
      </c>
      <c r="N15" s="46">
        <v>27.8</v>
      </c>
      <c r="O15" s="46">
        <v>27.8</v>
      </c>
      <c r="P15" s="46">
        <v>27.8</v>
      </c>
      <c r="Q15" s="46">
        <v>27.8</v>
      </c>
      <c r="R15" s="46">
        <v>27.8</v>
      </c>
      <c r="S15" s="46">
        <v>27.8</v>
      </c>
      <c r="T15" s="46">
        <v>27.8</v>
      </c>
      <c r="U15" s="46">
        <v>27.8</v>
      </c>
      <c r="V15" s="46">
        <v>27.8</v>
      </c>
      <c r="W15" s="46">
        <v>27.8</v>
      </c>
      <c r="X15" s="46">
        <v>27.8</v>
      </c>
      <c r="Y15" s="46">
        <v>27.8</v>
      </c>
      <c r="Z15" s="46">
        <v>27.8</v>
      </c>
      <c r="AA15" s="46">
        <v>27.8</v>
      </c>
      <c r="AB15" s="46">
        <v>27.8</v>
      </c>
      <c r="AC15" s="46">
        <v>27.8</v>
      </c>
      <c r="AD15" s="46">
        <v>27.8</v>
      </c>
      <c r="AE15" s="46"/>
      <c r="AF15" s="46"/>
      <c r="AG15" s="50">
        <v>54</v>
      </c>
      <c r="AH15" s="48">
        <f t="shared" si="2"/>
        <v>27.8</v>
      </c>
      <c r="AI15" s="49">
        <f t="shared" si="3"/>
        <v>27.8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/>
      <c r="AF16" s="46"/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847.8</v>
      </c>
      <c r="AN16" s="59">
        <f t="shared" si="4"/>
        <v>847.8</v>
      </c>
      <c r="AO16" s="59">
        <f t="shared" si="4"/>
        <v>847.8</v>
      </c>
      <c r="AP16" s="59">
        <f t="shared" si="4"/>
        <v>802.8</v>
      </c>
      <c r="AQ16" s="59">
        <f t="shared" si="4"/>
        <v>847.8</v>
      </c>
      <c r="AR16" s="59">
        <f t="shared" si="4"/>
        <v>847.8</v>
      </c>
      <c r="AS16" s="59">
        <f>I61</f>
        <v>834.5</v>
      </c>
      <c r="AT16" s="59">
        <f>K61</f>
        <v>834.5</v>
      </c>
      <c r="AU16" s="59">
        <f t="shared" ref="AU16:BD16" si="5">M61</f>
        <v>834.5</v>
      </c>
      <c r="AV16" s="59">
        <f t="shared" si="5"/>
        <v>834.5</v>
      </c>
      <c r="AW16" s="59">
        <f t="shared" si="5"/>
        <v>834.5</v>
      </c>
      <c r="AX16" s="59">
        <f t="shared" si="5"/>
        <v>834.5</v>
      </c>
      <c r="AY16" s="59">
        <f t="shared" si="5"/>
        <v>842.80000000000007</v>
      </c>
      <c r="AZ16" s="59">
        <f t="shared" si="5"/>
        <v>842.80000000000007</v>
      </c>
      <c r="BA16" s="59">
        <f t="shared" si="5"/>
        <v>842.80000000000007</v>
      </c>
      <c r="BB16" s="59">
        <f t="shared" si="5"/>
        <v>842.80000000000007</v>
      </c>
      <c r="BC16" s="59">
        <f t="shared" si="5"/>
        <v>842.80000000000007</v>
      </c>
      <c r="BD16" s="59">
        <f t="shared" si="5"/>
        <v>842.80000000000007</v>
      </c>
      <c r="BE16" s="60">
        <f>X61</f>
        <v>842.80000000000007</v>
      </c>
      <c r="BF16" s="60">
        <f>Z61</f>
        <v>862.80000000000007</v>
      </c>
      <c r="BG16" s="60">
        <f>AB61</f>
        <v>890.8</v>
      </c>
      <c r="BH16" s="60">
        <f>AD61</f>
        <v>890.8</v>
      </c>
      <c r="BI16" s="60">
        <f>AE61</f>
        <v>150</v>
      </c>
      <c r="BJ16" s="60">
        <f>AF61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>
        <v>54.5</v>
      </c>
      <c r="C17" s="46">
        <v>54.5</v>
      </c>
      <c r="D17" s="46">
        <v>54.5</v>
      </c>
      <c r="E17" s="46">
        <v>54.5</v>
      </c>
      <c r="F17" s="46">
        <v>54.5</v>
      </c>
      <c r="G17" s="46">
        <v>54.5</v>
      </c>
      <c r="H17" s="46">
        <v>54.5</v>
      </c>
      <c r="I17" s="46">
        <v>54.5</v>
      </c>
      <c r="J17" s="46">
        <v>54.5</v>
      </c>
      <c r="K17" s="46">
        <v>54.5</v>
      </c>
      <c r="L17" s="46">
        <v>54.5</v>
      </c>
      <c r="M17" s="46">
        <v>54.5</v>
      </c>
      <c r="N17" s="46">
        <v>54.5</v>
      </c>
      <c r="O17" s="46">
        <v>54.5</v>
      </c>
      <c r="P17" s="46">
        <v>54.5</v>
      </c>
      <c r="Q17" s="46">
        <v>54.5</v>
      </c>
      <c r="R17" s="46">
        <v>54.5</v>
      </c>
      <c r="S17" s="46">
        <v>54.5</v>
      </c>
      <c r="T17" s="46">
        <v>54.5</v>
      </c>
      <c r="U17" s="46">
        <v>54.5</v>
      </c>
      <c r="V17" s="46">
        <v>54.5</v>
      </c>
      <c r="W17" s="46">
        <v>54.5</v>
      </c>
      <c r="X17" s="46">
        <v>54.5</v>
      </c>
      <c r="Y17" s="46">
        <v>54.5</v>
      </c>
      <c r="Z17" s="46">
        <v>54.5</v>
      </c>
      <c r="AA17" s="46">
        <v>54.5</v>
      </c>
      <c r="AB17" s="46">
        <v>54.5</v>
      </c>
      <c r="AC17" s="46">
        <v>54.5</v>
      </c>
      <c r="AD17" s="46">
        <v>54.5</v>
      </c>
      <c r="AE17" s="46"/>
      <c r="AF17" s="46"/>
      <c r="AG17" s="47">
        <v>52.4</v>
      </c>
      <c r="AH17" s="48">
        <f t="shared" si="2"/>
        <v>54.5</v>
      </c>
      <c r="AI17" s="49">
        <f t="shared" si="3"/>
        <v>54.5</v>
      </c>
      <c r="AK17" s="51"/>
      <c r="AL17" s="54" t="s">
        <v>27</v>
      </c>
      <c r="AM17" s="59">
        <f t="shared" ref="AM17:AR17" si="6">B65</f>
        <v>512.6</v>
      </c>
      <c r="AN17" s="59">
        <f t="shared" si="6"/>
        <v>512.6</v>
      </c>
      <c r="AO17" s="59">
        <f t="shared" si="6"/>
        <v>512.6</v>
      </c>
      <c r="AP17" s="59">
        <f t="shared" si="6"/>
        <v>512.6</v>
      </c>
      <c r="AQ17" s="59">
        <f t="shared" si="6"/>
        <v>512.6</v>
      </c>
      <c r="AR17" s="59">
        <f t="shared" si="6"/>
        <v>512.6</v>
      </c>
      <c r="AS17" s="59">
        <f>I65</f>
        <v>512.6</v>
      </c>
      <c r="AT17" s="59">
        <f>K65</f>
        <v>512.6</v>
      </c>
      <c r="AU17" s="59">
        <f t="shared" ref="AU17:BD17" si="7">M65</f>
        <v>512.6</v>
      </c>
      <c r="AV17" s="59">
        <f t="shared" si="7"/>
        <v>512.6</v>
      </c>
      <c r="AW17" s="59">
        <f t="shared" si="7"/>
        <v>512.6</v>
      </c>
      <c r="AX17" s="59">
        <f t="shared" si="7"/>
        <v>512.6</v>
      </c>
      <c r="AY17" s="59">
        <f t="shared" si="7"/>
        <v>512.6</v>
      </c>
      <c r="AZ17" s="59">
        <f t="shared" si="7"/>
        <v>512.6</v>
      </c>
      <c r="BA17" s="59">
        <f t="shared" si="7"/>
        <v>512.6</v>
      </c>
      <c r="BB17" s="59">
        <f t="shared" si="7"/>
        <v>512.6</v>
      </c>
      <c r="BC17" s="59">
        <f t="shared" si="7"/>
        <v>512.6</v>
      </c>
      <c r="BD17" s="59">
        <f t="shared" si="7"/>
        <v>512.6</v>
      </c>
      <c r="BE17" s="60">
        <f>X65</f>
        <v>512.6</v>
      </c>
      <c r="BF17" s="60">
        <f>Z65</f>
        <v>512.6</v>
      </c>
      <c r="BG17" s="60">
        <f>AB65</f>
        <v>512.20000000000005</v>
      </c>
      <c r="BH17" s="60">
        <f>AD65</f>
        <v>512.6</v>
      </c>
      <c r="BI17" s="60">
        <f>AE65</f>
        <v>0</v>
      </c>
      <c r="BJ17" s="60">
        <f>AF65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>
        <v>50.7</v>
      </c>
      <c r="C18" s="46">
        <v>50.7</v>
      </c>
      <c r="D18" s="46">
        <v>50.7</v>
      </c>
      <c r="E18" s="46">
        <v>50.7</v>
      </c>
      <c r="F18" s="46">
        <v>50.7</v>
      </c>
      <c r="G18" s="46">
        <v>50.7</v>
      </c>
      <c r="H18" s="46">
        <v>50.7</v>
      </c>
      <c r="I18" s="46">
        <v>50.7</v>
      </c>
      <c r="J18" s="46">
        <v>50.7</v>
      </c>
      <c r="K18" s="46">
        <v>50.7</v>
      </c>
      <c r="L18" s="46">
        <v>50.7</v>
      </c>
      <c r="M18" s="46">
        <v>50.7</v>
      </c>
      <c r="N18" s="46">
        <v>50.7</v>
      </c>
      <c r="O18" s="46">
        <v>50.7</v>
      </c>
      <c r="P18" s="46">
        <v>50.7</v>
      </c>
      <c r="Q18" s="46">
        <v>50.7</v>
      </c>
      <c r="R18" s="46">
        <v>50.7</v>
      </c>
      <c r="S18" s="46">
        <v>50.7</v>
      </c>
      <c r="T18" s="46">
        <v>50.7</v>
      </c>
      <c r="U18" s="46">
        <v>50.7</v>
      </c>
      <c r="V18" s="46">
        <v>50.7</v>
      </c>
      <c r="W18" s="46">
        <v>50.7</v>
      </c>
      <c r="X18" s="46">
        <v>50.7</v>
      </c>
      <c r="Y18" s="46">
        <v>50.7</v>
      </c>
      <c r="Z18" s="46">
        <v>50.7</v>
      </c>
      <c r="AA18" s="53">
        <v>50.7</v>
      </c>
      <c r="AB18" s="53">
        <v>50.7</v>
      </c>
      <c r="AC18" s="53">
        <v>50.7</v>
      </c>
      <c r="AD18" s="53">
        <v>50.7</v>
      </c>
      <c r="AE18" s="53"/>
      <c r="AF18" s="53"/>
      <c r="AG18" s="50">
        <v>50</v>
      </c>
      <c r="AH18" s="48">
        <f t="shared" si="2"/>
        <v>50.7</v>
      </c>
      <c r="AI18" s="49">
        <f t="shared" si="3"/>
        <v>50.7</v>
      </c>
      <c r="AK18" s="51"/>
      <c r="AL18" s="54" t="s">
        <v>29</v>
      </c>
      <c r="AM18" s="59">
        <f t="shared" ref="AM18:AR18" si="8">B79</f>
        <v>404.64</v>
      </c>
      <c r="AN18" s="59">
        <f t="shared" si="8"/>
        <v>404.64</v>
      </c>
      <c r="AO18" s="59">
        <f t="shared" si="8"/>
        <v>404.64</v>
      </c>
      <c r="AP18" s="59">
        <f t="shared" si="8"/>
        <v>404.64</v>
      </c>
      <c r="AQ18" s="59">
        <f t="shared" si="8"/>
        <v>400.24</v>
      </c>
      <c r="AR18" s="59">
        <f t="shared" si="8"/>
        <v>400.24</v>
      </c>
      <c r="AS18" s="59">
        <f>I79</f>
        <v>400.24</v>
      </c>
      <c r="AT18" s="59">
        <f>K79</f>
        <v>401.44</v>
      </c>
      <c r="AU18" s="59">
        <f t="shared" ref="AU18:BD18" si="9">M79</f>
        <v>401.44</v>
      </c>
      <c r="AV18" s="59">
        <f t="shared" si="9"/>
        <v>401.44</v>
      </c>
      <c r="AW18" s="59">
        <f t="shared" si="9"/>
        <v>419.44</v>
      </c>
      <c r="AX18" s="59">
        <f t="shared" si="9"/>
        <v>419.44</v>
      </c>
      <c r="AY18" s="59">
        <f t="shared" si="9"/>
        <v>419.44</v>
      </c>
      <c r="AZ18" s="59">
        <f t="shared" si="9"/>
        <v>419.44</v>
      </c>
      <c r="BA18" s="59">
        <f t="shared" si="9"/>
        <v>413.24</v>
      </c>
      <c r="BB18" s="59">
        <f t="shared" si="9"/>
        <v>409.94</v>
      </c>
      <c r="BC18" s="59">
        <f t="shared" si="9"/>
        <v>407.14000000000004</v>
      </c>
      <c r="BD18" s="59">
        <f t="shared" si="9"/>
        <v>406.14000000000004</v>
      </c>
      <c r="BE18" s="60">
        <f>X79</f>
        <v>417.64</v>
      </c>
      <c r="BF18" s="60">
        <f>Z79</f>
        <v>400.34000000000003</v>
      </c>
      <c r="BG18" s="60">
        <f>AB79</f>
        <v>412.34000000000003</v>
      </c>
      <c r="BH18" s="60">
        <f>AD79</f>
        <v>400.84000000000003</v>
      </c>
      <c r="BI18" s="60">
        <f>AE79</f>
        <v>3.54</v>
      </c>
      <c r="BJ18" s="60">
        <f>AF79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>
        <v>45</v>
      </c>
      <c r="C19" s="46">
        <v>45</v>
      </c>
      <c r="D19" s="46">
        <v>45</v>
      </c>
      <c r="E19" s="46">
        <v>0</v>
      </c>
      <c r="F19" s="46">
        <v>45</v>
      </c>
      <c r="G19" s="46">
        <v>45</v>
      </c>
      <c r="H19" s="46">
        <v>45</v>
      </c>
      <c r="I19" s="46">
        <v>45</v>
      </c>
      <c r="J19" s="46">
        <v>45</v>
      </c>
      <c r="K19" s="46">
        <v>45</v>
      </c>
      <c r="L19" s="46">
        <v>45</v>
      </c>
      <c r="M19" s="46">
        <v>45</v>
      </c>
      <c r="N19" s="46">
        <v>45</v>
      </c>
      <c r="O19" s="46">
        <v>45</v>
      </c>
      <c r="P19" s="46">
        <v>45</v>
      </c>
      <c r="Q19" s="46">
        <v>45</v>
      </c>
      <c r="R19" s="46">
        <v>45</v>
      </c>
      <c r="S19" s="46">
        <v>45</v>
      </c>
      <c r="T19" s="46">
        <v>45</v>
      </c>
      <c r="U19" s="46">
        <v>45</v>
      </c>
      <c r="V19" s="46">
        <v>45</v>
      </c>
      <c r="W19" s="46">
        <v>45</v>
      </c>
      <c r="X19" s="46">
        <v>45</v>
      </c>
      <c r="Y19" s="46">
        <v>45</v>
      </c>
      <c r="Z19" s="46">
        <v>45</v>
      </c>
      <c r="AA19" s="46">
        <v>45</v>
      </c>
      <c r="AB19" s="46">
        <v>45</v>
      </c>
      <c r="AC19" s="46">
        <v>45</v>
      </c>
      <c r="AD19" s="46">
        <v>45</v>
      </c>
      <c r="AE19" s="46"/>
      <c r="AF19" s="46"/>
      <c r="AG19" s="50">
        <v>45</v>
      </c>
      <c r="AH19" s="48">
        <f t="shared" si="2"/>
        <v>45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28</v>
      </c>
      <c r="AN19" s="59">
        <f t="shared" si="10"/>
        <v>28</v>
      </c>
      <c r="AO19" s="59">
        <f t="shared" si="10"/>
        <v>27</v>
      </c>
      <c r="AP19" s="59">
        <f t="shared" si="10"/>
        <v>28</v>
      </c>
      <c r="AQ19" s="59">
        <f t="shared" si="10"/>
        <v>20.9</v>
      </c>
      <c r="AR19" s="59">
        <f t="shared" si="10"/>
        <v>16.3</v>
      </c>
      <c r="AS19" s="59">
        <f>I95</f>
        <v>39</v>
      </c>
      <c r="AT19" s="59">
        <f>K95</f>
        <v>141</v>
      </c>
      <c r="AU19" s="59">
        <f t="shared" ref="AU19:BD19" si="11">M95</f>
        <v>197.9</v>
      </c>
      <c r="AV19" s="59">
        <f t="shared" si="11"/>
        <v>202</v>
      </c>
      <c r="AW19" s="59">
        <f t="shared" si="11"/>
        <v>221.3</v>
      </c>
      <c r="AX19" s="59">
        <f t="shared" si="11"/>
        <v>212</v>
      </c>
      <c r="AY19" s="59">
        <f t="shared" si="11"/>
        <v>219.2</v>
      </c>
      <c r="AZ19" s="59">
        <f t="shared" si="11"/>
        <v>237</v>
      </c>
      <c r="BA19" s="59">
        <f t="shared" si="11"/>
        <v>243.7</v>
      </c>
      <c r="BB19" s="59">
        <f t="shared" si="11"/>
        <v>225.1</v>
      </c>
      <c r="BC19" s="59">
        <f t="shared" si="11"/>
        <v>233.1</v>
      </c>
      <c r="BD19" s="59">
        <f t="shared" si="11"/>
        <v>234.2</v>
      </c>
      <c r="BE19" s="60">
        <f>X95</f>
        <v>176.6</v>
      </c>
      <c r="BF19" s="60">
        <f>Z95</f>
        <v>20.7</v>
      </c>
      <c r="BG19" s="60">
        <f>AB95</f>
        <v>2.9</v>
      </c>
      <c r="BH19" s="60">
        <f>AD95</f>
        <v>26.8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>
        <v>46</v>
      </c>
      <c r="C20" s="46">
        <v>46</v>
      </c>
      <c r="D20" s="46">
        <v>46</v>
      </c>
      <c r="E20" s="46">
        <v>46</v>
      </c>
      <c r="F20" s="46">
        <v>46</v>
      </c>
      <c r="G20" s="46">
        <v>46</v>
      </c>
      <c r="H20" s="46">
        <v>46</v>
      </c>
      <c r="I20" s="46">
        <v>46</v>
      </c>
      <c r="J20" s="46">
        <v>46</v>
      </c>
      <c r="K20" s="46">
        <v>46</v>
      </c>
      <c r="L20" s="46">
        <v>46</v>
      </c>
      <c r="M20" s="46">
        <v>46</v>
      </c>
      <c r="N20" s="46">
        <v>46</v>
      </c>
      <c r="O20" s="46">
        <v>46</v>
      </c>
      <c r="P20" s="46">
        <v>46</v>
      </c>
      <c r="Q20" s="46">
        <v>46</v>
      </c>
      <c r="R20" s="46">
        <v>46</v>
      </c>
      <c r="S20" s="46">
        <v>46</v>
      </c>
      <c r="T20" s="46">
        <v>46</v>
      </c>
      <c r="U20" s="46">
        <v>46</v>
      </c>
      <c r="V20" s="46">
        <v>46</v>
      </c>
      <c r="W20" s="46">
        <v>46</v>
      </c>
      <c r="X20" s="46">
        <v>46</v>
      </c>
      <c r="Y20" s="46">
        <v>46</v>
      </c>
      <c r="Z20" s="46">
        <v>46</v>
      </c>
      <c r="AA20" s="46">
        <v>46</v>
      </c>
      <c r="AB20" s="46">
        <v>46</v>
      </c>
      <c r="AC20" s="46">
        <v>46</v>
      </c>
      <c r="AD20" s="46">
        <v>46</v>
      </c>
      <c r="AE20" s="46"/>
      <c r="AF20" s="46"/>
      <c r="AG20" s="50">
        <v>44</v>
      </c>
      <c r="AH20" s="48">
        <f t="shared" si="2"/>
        <v>46</v>
      </c>
      <c r="AI20" s="49">
        <f t="shared" si="3"/>
        <v>46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36.4</v>
      </c>
      <c r="BB20" s="59">
        <f t="shared" si="13"/>
        <v>17.900000000000002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49</v>
      </c>
      <c r="BH20" s="60">
        <f>AD83</f>
        <v>50.5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/>
      <c r="AF21" s="46"/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150</v>
      </c>
      <c r="AN21" s="59">
        <f t="shared" si="14"/>
        <v>151</v>
      </c>
      <c r="AO21" s="59">
        <f t="shared" si="14"/>
        <v>152</v>
      </c>
      <c r="AP21" s="59">
        <f t="shared" si="14"/>
        <v>150</v>
      </c>
      <c r="AQ21" s="59">
        <f t="shared" si="14"/>
        <v>150</v>
      </c>
      <c r="AR21" s="59">
        <f t="shared" si="14"/>
        <v>100</v>
      </c>
      <c r="AS21" s="59">
        <f>I101</f>
        <v>100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125</v>
      </c>
      <c r="BH21" s="60">
        <f>AD101</f>
        <v>125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>
        <v>35.299999999999997</v>
      </c>
      <c r="C22" s="46">
        <v>35.299999999999997</v>
      </c>
      <c r="D22" s="46">
        <v>35.299999999999997</v>
      </c>
      <c r="E22" s="46">
        <v>35.299999999999997</v>
      </c>
      <c r="F22" s="46">
        <v>35.299999999999997</v>
      </c>
      <c r="G22" s="46">
        <v>35.299999999999997</v>
      </c>
      <c r="H22" s="46">
        <v>35.299999999999997</v>
      </c>
      <c r="I22" s="46">
        <v>35.299999999999997</v>
      </c>
      <c r="J22" s="46">
        <v>35.299999999999997</v>
      </c>
      <c r="K22" s="46">
        <v>35.299999999999997</v>
      </c>
      <c r="L22" s="46">
        <v>35.299999999999997</v>
      </c>
      <c r="M22" s="46">
        <v>35.299999999999997</v>
      </c>
      <c r="N22" s="46">
        <v>35.299999999999997</v>
      </c>
      <c r="O22" s="46">
        <v>35.299999999999997</v>
      </c>
      <c r="P22" s="46">
        <v>35.299999999999997</v>
      </c>
      <c r="Q22" s="46">
        <v>35.299999999999997</v>
      </c>
      <c r="R22" s="46">
        <v>35.299999999999997</v>
      </c>
      <c r="S22" s="46">
        <v>35.299999999999997</v>
      </c>
      <c r="T22" s="46">
        <v>35.299999999999997</v>
      </c>
      <c r="U22" s="46">
        <v>35.299999999999997</v>
      </c>
      <c r="V22" s="46">
        <v>35.299999999999997</v>
      </c>
      <c r="W22" s="46">
        <v>35.299999999999997</v>
      </c>
      <c r="X22" s="46">
        <v>35.299999999999997</v>
      </c>
      <c r="Y22" s="46">
        <v>35.299999999999997</v>
      </c>
      <c r="Z22" s="46">
        <v>35.299999999999997</v>
      </c>
      <c r="AA22" s="46">
        <v>35.299999999999997</v>
      </c>
      <c r="AB22" s="46">
        <v>35.299999999999997</v>
      </c>
      <c r="AC22" s="46">
        <v>35.299999999999997</v>
      </c>
      <c r="AD22" s="46">
        <v>35.299999999999997</v>
      </c>
      <c r="AE22" s="46"/>
      <c r="AF22" s="46"/>
      <c r="AG22" s="50">
        <v>38.46</v>
      </c>
      <c r="AH22" s="48">
        <f t="shared" si="2"/>
        <v>35.299999999999997</v>
      </c>
      <c r="AI22" s="49">
        <f t="shared" si="3"/>
        <v>35.299999999999997</v>
      </c>
      <c r="AK22" s="51"/>
      <c r="AL22" s="62" t="s">
        <v>37</v>
      </c>
      <c r="AM22" s="63">
        <f t="shared" ref="AM22:BJ22" si="16">SUM(AM16:AM21)</f>
        <v>1943.04</v>
      </c>
      <c r="AN22" s="63">
        <f t="shared" si="16"/>
        <v>1944.04</v>
      </c>
      <c r="AO22" s="63">
        <f t="shared" si="16"/>
        <v>1944.04</v>
      </c>
      <c r="AP22" s="63">
        <f t="shared" si="16"/>
        <v>1898.04</v>
      </c>
      <c r="AQ22" s="63">
        <f t="shared" si="16"/>
        <v>1931.5400000000002</v>
      </c>
      <c r="AR22" s="63">
        <f t="shared" si="16"/>
        <v>1876.94</v>
      </c>
      <c r="AS22" s="63">
        <f t="shared" si="16"/>
        <v>1886.34</v>
      </c>
      <c r="AT22" s="63">
        <f t="shared" si="16"/>
        <v>1889.54</v>
      </c>
      <c r="AU22" s="63">
        <f t="shared" si="16"/>
        <v>1946.44</v>
      </c>
      <c r="AV22" s="63">
        <f t="shared" si="16"/>
        <v>1950.54</v>
      </c>
      <c r="AW22" s="63">
        <f t="shared" si="16"/>
        <v>1987.84</v>
      </c>
      <c r="AX22" s="63">
        <f t="shared" si="16"/>
        <v>1978.54</v>
      </c>
      <c r="AY22" s="63">
        <f t="shared" si="16"/>
        <v>1994.0400000000002</v>
      </c>
      <c r="AZ22" s="63">
        <f t="shared" si="16"/>
        <v>2011.8400000000001</v>
      </c>
      <c r="BA22" s="63">
        <f t="shared" si="16"/>
        <v>2048.7400000000002</v>
      </c>
      <c r="BB22" s="63">
        <f t="shared" si="16"/>
        <v>2008.3400000000001</v>
      </c>
      <c r="BC22" s="63">
        <f t="shared" si="16"/>
        <v>1995.64</v>
      </c>
      <c r="BD22" s="63">
        <f t="shared" si="16"/>
        <v>1995.7400000000002</v>
      </c>
      <c r="BE22" s="63">
        <f t="shared" si="16"/>
        <v>1949.6399999999999</v>
      </c>
      <c r="BF22" s="63">
        <f t="shared" si="16"/>
        <v>1796.4400000000003</v>
      </c>
      <c r="BG22" s="63">
        <f t="shared" si="16"/>
        <v>1992.2400000000002</v>
      </c>
      <c r="BH22" s="63">
        <f t="shared" si="16"/>
        <v>2006.5400000000002</v>
      </c>
      <c r="BI22" s="63">
        <f t="shared" si="16"/>
        <v>153.54</v>
      </c>
      <c r="BJ22" s="63">
        <f t="shared" si="16"/>
        <v>153.54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>
        <v>22</v>
      </c>
      <c r="C23" s="46">
        <v>22</v>
      </c>
      <c r="D23" s="46">
        <v>22</v>
      </c>
      <c r="E23" s="46">
        <v>22</v>
      </c>
      <c r="F23" s="46">
        <v>22</v>
      </c>
      <c r="G23" s="46">
        <v>22</v>
      </c>
      <c r="H23" s="46">
        <v>22</v>
      </c>
      <c r="I23" s="46">
        <v>22</v>
      </c>
      <c r="J23" s="46">
        <v>22</v>
      </c>
      <c r="K23" s="46">
        <v>22</v>
      </c>
      <c r="L23" s="46">
        <v>22</v>
      </c>
      <c r="M23" s="46">
        <v>22</v>
      </c>
      <c r="N23" s="46">
        <v>22</v>
      </c>
      <c r="O23" s="46">
        <v>22</v>
      </c>
      <c r="P23" s="46">
        <v>22</v>
      </c>
      <c r="Q23" s="46">
        <v>22</v>
      </c>
      <c r="R23" s="46">
        <v>22</v>
      </c>
      <c r="S23" s="46">
        <v>22</v>
      </c>
      <c r="T23" s="46">
        <v>22</v>
      </c>
      <c r="U23" s="46">
        <v>22</v>
      </c>
      <c r="V23" s="46">
        <v>22</v>
      </c>
      <c r="W23" s="46">
        <v>22</v>
      </c>
      <c r="X23" s="46">
        <v>22</v>
      </c>
      <c r="Y23" s="46">
        <v>22</v>
      </c>
      <c r="Z23" s="46">
        <v>22</v>
      </c>
      <c r="AA23" s="46">
        <v>22</v>
      </c>
      <c r="AB23" s="46">
        <v>22</v>
      </c>
      <c r="AC23" s="46">
        <v>22</v>
      </c>
      <c r="AD23" s="46">
        <v>22</v>
      </c>
      <c r="AE23" s="46"/>
      <c r="AF23" s="46"/>
      <c r="AG23" s="50">
        <v>38.46</v>
      </c>
      <c r="AH23" s="48">
        <f t="shared" si="2"/>
        <v>22</v>
      </c>
      <c r="AI23" s="49">
        <f t="shared" si="3"/>
        <v>22</v>
      </c>
      <c r="AK23" s="51"/>
      <c r="AL23" s="62" t="s">
        <v>39</v>
      </c>
      <c r="AM23" s="63">
        <f t="shared" ref="AM23:AR23" si="17">B110*-1</f>
        <v>-251</v>
      </c>
      <c r="AN23" s="63">
        <f t="shared" si="17"/>
        <v>-240</v>
      </c>
      <c r="AO23" s="63">
        <f t="shared" si="17"/>
        <v>-286</v>
      </c>
      <c r="AP23" s="63">
        <f t="shared" si="17"/>
        <v>-318</v>
      </c>
      <c r="AQ23" s="63">
        <f t="shared" si="17"/>
        <v>-360</v>
      </c>
      <c r="AR23" s="63">
        <f t="shared" si="17"/>
        <v>-420</v>
      </c>
      <c r="AS23" s="63">
        <f>I110*-1</f>
        <v>-350</v>
      </c>
      <c r="AT23" s="63">
        <f>K110*-1</f>
        <v>-390</v>
      </c>
      <c r="AU23" s="63">
        <f t="shared" ref="AU23:BD23" si="18">M110*-1</f>
        <v>-360</v>
      </c>
      <c r="AV23" s="63">
        <f t="shared" si="18"/>
        <v>-340</v>
      </c>
      <c r="AW23" s="63">
        <f t="shared" si="18"/>
        <v>-340</v>
      </c>
      <c r="AX23" s="63">
        <f t="shared" si="18"/>
        <v>-325</v>
      </c>
      <c r="AY23" s="63">
        <f t="shared" si="18"/>
        <v>-340</v>
      </c>
      <c r="AZ23" s="63">
        <f t="shared" si="18"/>
        <v>-344</v>
      </c>
      <c r="BA23" s="63">
        <f t="shared" si="18"/>
        <v>-216.3</v>
      </c>
      <c r="BB23" s="63">
        <f t="shared" si="18"/>
        <v>-314.8</v>
      </c>
      <c r="BC23" s="63">
        <f t="shared" si="18"/>
        <v>-297.10000000000002</v>
      </c>
      <c r="BD23" s="63">
        <f t="shared" si="18"/>
        <v>-266.7</v>
      </c>
      <c r="BE23" s="63">
        <f>X110*-1</f>
        <v>-393.1</v>
      </c>
      <c r="BF23" s="63">
        <f>Z110*-1</f>
        <v>-166.1</v>
      </c>
      <c r="BG23" s="63">
        <f>AB110*-1</f>
        <v>-197</v>
      </c>
      <c r="BH23" s="63">
        <f>AD110*-1</f>
        <v>-172.1</v>
      </c>
      <c r="BI23" s="63">
        <f>AE110*-1</f>
        <v>0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>
        <v>12</v>
      </c>
      <c r="C24" s="46">
        <v>12</v>
      </c>
      <c r="D24" s="46">
        <v>12</v>
      </c>
      <c r="E24" s="46">
        <v>12</v>
      </c>
      <c r="F24" s="46">
        <v>12</v>
      </c>
      <c r="G24" s="46">
        <v>12</v>
      </c>
      <c r="H24" s="46">
        <v>12</v>
      </c>
      <c r="I24" s="46">
        <v>12</v>
      </c>
      <c r="J24" s="46">
        <v>12</v>
      </c>
      <c r="K24" s="46">
        <v>12</v>
      </c>
      <c r="L24" s="46">
        <v>12</v>
      </c>
      <c r="M24" s="46">
        <v>12</v>
      </c>
      <c r="N24" s="46">
        <v>12</v>
      </c>
      <c r="O24" s="46">
        <v>12</v>
      </c>
      <c r="P24" s="46">
        <v>12</v>
      </c>
      <c r="Q24" s="46">
        <v>12</v>
      </c>
      <c r="R24" s="46">
        <v>12</v>
      </c>
      <c r="S24" s="46">
        <v>12</v>
      </c>
      <c r="T24" s="46">
        <v>12</v>
      </c>
      <c r="U24" s="46">
        <v>12</v>
      </c>
      <c r="V24" s="46">
        <v>12</v>
      </c>
      <c r="W24" s="46">
        <v>12</v>
      </c>
      <c r="X24" s="46">
        <v>12</v>
      </c>
      <c r="Y24" s="46">
        <v>12</v>
      </c>
      <c r="Z24" s="46">
        <v>12</v>
      </c>
      <c r="AA24" s="46">
        <v>12</v>
      </c>
      <c r="AB24" s="46">
        <v>12</v>
      </c>
      <c r="AC24" s="46">
        <v>12</v>
      </c>
      <c r="AD24" s="46">
        <v>12</v>
      </c>
      <c r="AE24" s="46"/>
      <c r="AF24" s="46"/>
      <c r="AG24" s="50">
        <v>36</v>
      </c>
      <c r="AH24" s="48">
        <f t="shared" si="2"/>
        <v>12</v>
      </c>
      <c r="AI24" s="49">
        <f t="shared" si="3"/>
        <v>12</v>
      </c>
      <c r="AK24" s="51"/>
      <c r="AL24" s="62" t="s">
        <v>41</v>
      </c>
      <c r="AM24" s="63">
        <f t="shared" ref="AM24:BJ24" si="19">AM22+AM23</f>
        <v>1692.04</v>
      </c>
      <c r="AN24" s="63">
        <f t="shared" si="19"/>
        <v>1704.04</v>
      </c>
      <c r="AO24" s="63">
        <f t="shared" si="19"/>
        <v>1658.04</v>
      </c>
      <c r="AP24" s="63">
        <f t="shared" si="19"/>
        <v>1580.04</v>
      </c>
      <c r="AQ24" s="63">
        <f t="shared" si="19"/>
        <v>1571.5400000000002</v>
      </c>
      <c r="AR24" s="63">
        <f t="shared" si="19"/>
        <v>1456.94</v>
      </c>
      <c r="AS24" s="63">
        <f t="shared" si="19"/>
        <v>1536.34</v>
      </c>
      <c r="AT24" s="63">
        <f t="shared" si="19"/>
        <v>1499.54</v>
      </c>
      <c r="AU24" s="63">
        <f t="shared" si="19"/>
        <v>1586.44</v>
      </c>
      <c r="AV24" s="63">
        <f t="shared" si="19"/>
        <v>1610.54</v>
      </c>
      <c r="AW24" s="63">
        <f t="shared" si="19"/>
        <v>1647.84</v>
      </c>
      <c r="AX24" s="63">
        <f t="shared" si="19"/>
        <v>1653.54</v>
      </c>
      <c r="AY24" s="63">
        <f t="shared" si="19"/>
        <v>1654.0400000000002</v>
      </c>
      <c r="AZ24" s="63">
        <f t="shared" si="19"/>
        <v>1667.8400000000001</v>
      </c>
      <c r="BA24" s="63">
        <f t="shared" si="19"/>
        <v>1832.4400000000003</v>
      </c>
      <c r="BB24" s="63">
        <f t="shared" si="19"/>
        <v>1693.5400000000002</v>
      </c>
      <c r="BC24" s="63">
        <f t="shared" si="19"/>
        <v>1698.54</v>
      </c>
      <c r="BD24" s="63">
        <f t="shared" si="19"/>
        <v>1729.0400000000002</v>
      </c>
      <c r="BE24" s="63">
        <f t="shared" si="19"/>
        <v>1556.54</v>
      </c>
      <c r="BF24" s="63">
        <f t="shared" si="19"/>
        <v>1630.3400000000004</v>
      </c>
      <c r="BG24" s="63">
        <f t="shared" si="19"/>
        <v>1795.2400000000002</v>
      </c>
      <c r="BH24" s="63">
        <f t="shared" si="19"/>
        <v>1834.4400000000003</v>
      </c>
      <c r="BI24" s="63">
        <f t="shared" si="19"/>
        <v>153.54</v>
      </c>
      <c r="BJ24" s="63">
        <f t="shared" si="19"/>
        <v>153.54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>
        <v>18</v>
      </c>
      <c r="C25" s="46">
        <v>18</v>
      </c>
      <c r="D25" s="46">
        <v>18</v>
      </c>
      <c r="E25" s="46">
        <v>18</v>
      </c>
      <c r="F25" s="46">
        <v>18</v>
      </c>
      <c r="G25" s="46">
        <v>18</v>
      </c>
      <c r="H25" s="46">
        <v>18</v>
      </c>
      <c r="I25" s="46">
        <v>18</v>
      </c>
      <c r="J25" s="46">
        <v>18</v>
      </c>
      <c r="K25" s="46">
        <v>18</v>
      </c>
      <c r="L25" s="46">
        <v>18</v>
      </c>
      <c r="M25" s="46">
        <v>18</v>
      </c>
      <c r="N25" s="46">
        <v>18</v>
      </c>
      <c r="O25" s="46">
        <v>18</v>
      </c>
      <c r="P25" s="46">
        <v>18</v>
      </c>
      <c r="Q25" s="46">
        <v>18</v>
      </c>
      <c r="R25" s="46">
        <v>18</v>
      </c>
      <c r="S25" s="46">
        <v>18</v>
      </c>
      <c r="T25" s="46">
        <v>18</v>
      </c>
      <c r="U25" s="46">
        <v>18</v>
      </c>
      <c r="V25" s="46">
        <v>18</v>
      </c>
      <c r="W25" s="46">
        <v>18</v>
      </c>
      <c r="X25" s="46">
        <v>18</v>
      </c>
      <c r="Y25" s="46">
        <v>18</v>
      </c>
      <c r="Z25" s="46">
        <v>18</v>
      </c>
      <c r="AA25" s="46">
        <v>18</v>
      </c>
      <c r="AB25" s="46">
        <v>18</v>
      </c>
      <c r="AC25" s="46">
        <v>18</v>
      </c>
      <c r="AD25" s="46">
        <v>18</v>
      </c>
      <c r="AE25" s="46"/>
      <c r="AF25" s="46"/>
      <c r="AG25" s="61">
        <v>30</v>
      </c>
      <c r="AH25" s="48">
        <f t="shared" si="2"/>
        <v>18</v>
      </c>
      <c r="AI25" s="49">
        <f t="shared" si="3"/>
        <v>18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>
        <v>16.7</v>
      </c>
      <c r="C26" s="46">
        <v>16.7</v>
      </c>
      <c r="D26" s="46">
        <v>16.7</v>
      </c>
      <c r="E26" s="46">
        <v>16.7</v>
      </c>
      <c r="F26" s="46">
        <v>16.7</v>
      </c>
      <c r="G26" s="46">
        <v>16.7</v>
      </c>
      <c r="H26" s="46">
        <v>16.7</v>
      </c>
      <c r="I26" s="46">
        <v>16.7</v>
      </c>
      <c r="J26" s="46">
        <v>16.7</v>
      </c>
      <c r="K26" s="46">
        <v>16.7</v>
      </c>
      <c r="L26" s="46">
        <v>16.7</v>
      </c>
      <c r="M26" s="46">
        <v>16.7</v>
      </c>
      <c r="N26" s="46">
        <v>16.7</v>
      </c>
      <c r="O26" s="46">
        <v>16.7</v>
      </c>
      <c r="P26" s="46">
        <v>16.7</v>
      </c>
      <c r="Q26" s="46">
        <v>16.7</v>
      </c>
      <c r="R26" s="46">
        <v>16.7</v>
      </c>
      <c r="S26" s="46">
        <v>16.7</v>
      </c>
      <c r="T26" s="46">
        <v>16.7</v>
      </c>
      <c r="U26" s="46">
        <v>16.7</v>
      </c>
      <c r="V26" s="46">
        <v>16.7</v>
      </c>
      <c r="W26" s="46">
        <v>16.7</v>
      </c>
      <c r="X26" s="46">
        <v>16.7</v>
      </c>
      <c r="Y26" s="46">
        <v>16.7</v>
      </c>
      <c r="Z26" s="46">
        <v>16.7</v>
      </c>
      <c r="AA26" s="46">
        <v>16.7</v>
      </c>
      <c r="AB26" s="46">
        <v>16.7</v>
      </c>
      <c r="AC26" s="46">
        <v>16.7</v>
      </c>
      <c r="AD26" s="46">
        <v>16.7</v>
      </c>
      <c r="AE26" s="46"/>
      <c r="AF26" s="46"/>
      <c r="AG26" s="50">
        <v>24.2</v>
      </c>
      <c r="AH26" s="48">
        <f t="shared" si="2"/>
        <v>16.7</v>
      </c>
      <c r="AI26" s="49">
        <f t="shared" si="3"/>
        <v>16.7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>
        <v>14.5</v>
      </c>
      <c r="C27" s="46">
        <v>14.5</v>
      </c>
      <c r="D27" s="46">
        <v>14.5</v>
      </c>
      <c r="E27" s="46">
        <v>14.5</v>
      </c>
      <c r="F27" s="46">
        <v>14.5</v>
      </c>
      <c r="G27" s="46">
        <v>14.5</v>
      </c>
      <c r="H27" s="46">
        <v>14.5</v>
      </c>
      <c r="I27" s="46">
        <v>14.5</v>
      </c>
      <c r="J27" s="46">
        <v>14.5</v>
      </c>
      <c r="K27" s="46">
        <v>14.5</v>
      </c>
      <c r="L27" s="46">
        <v>14.5</v>
      </c>
      <c r="M27" s="46">
        <v>14.5</v>
      </c>
      <c r="N27" s="46">
        <v>14.5</v>
      </c>
      <c r="O27" s="46">
        <v>14.5</v>
      </c>
      <c r="P27" s="46">
        <v>14.5</v>
      </c>
      <c r="Q27" s="46">
        <v>14.5</v>
      </c>
      <c r="R27" s="46">
        <v>14.5</v>
      </c>
      <c r="S27" s="46">
        <v>14.5</v>
      </c>
      <c r="T27" s="46">
        <v>14.5</v>
      </c>
      <c r="U27" s="46">
        <v>14.5</v>
      </c>
      <c r="V27" s="46">
        <v>14.5</v>
      </c>
      <c r="W27" s="46">
        <v>14.5</v>
      </c>
      <c r="X27" s="46">
        <v>14.5</v>
      </c>
      <c r="Y27" s="46">
        <v>14.5</v>
      </c>
      <c r="Z27" s="46">
        <v>14.5</v>
      </c>
      <c r="AA27" s="46">
        <v>14.5</v>
      </c>
      <c r="AB27" s="46">
        <v>14.5</v>
      </c>
      <c r="AC27" s="46">
        <v>14.5</v>
      </c>
      <c r="AD27" s="46">
        <v>14.5</v>
      </c>
      <c r="AE27" s="46"/>
      <c r="AF27" s="46"/>
      <c r="AG27" s="50">
        <v>28</v>
      </c>
      <c r="AH27" s="48">
        <f t="shared" si="2"/>
        <v>14.5</v>
      </c>
      <c r="AI27" s="49">
        <f t="shared" si="3"/>
        <v>14.5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>
        <v>27</v>
      </c>
      <c r="C28" s="46">
        <v>27</v>
      </c>
      <c r="D28" s="46">
        <v>27</v>
      </c>
      <c r="E28" s="46">
        <v>27</v>
      </c>
      <c r="F28" s="46">
        <v>27</v>
      </c>
      <c r="G28" s="46">
        <v>27</v>
      </c>
      <c r="H28" s="46">
        <v>27</v>
      </c>
      <c r="I28" s="46">
        <v>27</v>
      </c>
      <c r="J28" s="46">
        <v>27</v>
      </c>
      <c r="K28" s="46">
        <v>27</v>
      </c>
      <c r="L28" s="46">
        <v>27</v>
      </c>
      <c r="M28" s="46">
        <v>27</v>
      </c>
      <c r="N28" s="46">
        <v>27</v>
      </c>
      <c r="O28" s="46">
        <v>27</v>
      </c>
      <c r="P28" s="46">
        <v>27</v>
      </c>
      <c r="Q28" s="46">
        <v>27</v>
      </c>
      <c r="R28" s="46">
        <v>27</v>
      </c>
      <c r="S28" s="46">
        <v>27</v>
      </c>
      <c r="T28" s="46">
        <v>27</v>
      </c>
      <c r="U28" s="46">
        <v>27</v>
      </c>
      <c r="V28" s="46">
        <v>27</v>
      </c>
      <c r="W28" s="46">
        <v>27</v>
      </c>
      <c r="X28" s="46">
        <v>27</v>
      </c>
      <c r="Y28" s="46">
        <v>27</v>
      </c>
      <c r="Z28" s="46">
        <v>27</v>
      </c>
      <c r="AA28" s="46">
        <v>27</v>
      </c>
      <c r="AB28" s="46">
        <v>27</v>
      </c>
      <c r="AC28" s="46">
        <v>27</v>
      </c>
      <c r="AD28" s="46">
        <v>27</v>
      </c>
      <c r="AE28" s="46"/>
      <c r="AF28" s="46"/>
      <c r="AG28" s="61">
        <v>30</v>
      </c>
      <c r="AH28" s="48">
        <f t="shared" si="2"/>
        <v>27</v>
      </c>
      <c r="AI28" s="49">
        <f t="shared" si="3"/>
        <v>27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>
        <v>26.1</v>
      </c>
      <c r="C29" s="46">
        <v>26.1</v>
      </c>
      <c r="D29" s="46">
        <v>26.1</v>
      </c>
      <c r="E29" s="46">
        <v>26.1</v>
      </c>
      <c r="F29" s="46">
        <v>26.1</v>
      </c>
      <c r="G29" s="46">
        <v>26.1</v>
      </c>
      <c r="H29" s="46">
        <v>26.1</v>
      </c>
      <c r="I29" s="46">
        <v>26.1</v>
      </c>
      <c r="J29" s="46">
        <v>26.1</v>
      </c>
      <c r="K29" s="46">
        <v>26.1</v>
      </c>
      <c r="L29" s="46">
        <v>26.1</v>
      </c>
      <c r="M29" s="46">
        <v>26.1</v>
      </c>
      <c r="N29" s="46">
        <v>26.1</v>
      </c>
      <c r="O29" s="46">
        <v>26.1</v>
      </c>
      <c r="P29" s="46">
        <v>26.1</v>
      </c>
      <c r="Q29" s="46">
        <v>26.1</v>
      </c>
      <c r="R29" s="46">
        <v>26.1</v>
      </c>
      <c r="S29" s="46">
        <v>26.1</v>
      </c>
      <c r="T29" s="46">
        <v>26.1</v>
      </c>
      <c r="U29" s="46">
        <v>26.1</v>
      </c>
      <c r="V29" s="46">
        <v>26.1</v>
      </c>
      <c r="W29" s="46">
        <v>26.1</v>
      </c>
      <c r="X29" s="46">
        <v>26.1</v>
      </c>
      <c r="Y29" s="46">
        <v>26.1</v>
      </c>
      <c r="Z29" s="46">
        <v>26.1</v>
      </c>
      <c r="AA29" s="46">
        <v>26.1</v>
      </c>
      <c r="AB29" s="46">
        <v>26.1</v>
      </c>
      <c r="AC29" s="46">
        <v>26.1</v>
      </c>
      <c r="AD29" s="46">
        <v>26.1</v>
      </c>
      <c r="AE29" s="46"/>
      <c r="AF29" s="46"/>
      <c r="AG29" s="50">
        <v>25</v>
      </c>
      <c r="AH29" s="48">
        <f t="shared" si="2"/>
        <v>26.1</v>
      </c>
      <c r="AI29" s="49">
        <f t="shared" si="3"/>
        <v>26.1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/>
      <c r="AF30" s="46"/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>
        <v>7</v>
      </c>
      <c r="C31" s="46">
        <v>7</v>
      </c>
      <c r="D31" s="46">
        <v>7</v>
      </c>
      <c r="E31" s="46">
        <v>7</v>
      </c>
      <c r="F31" s="46">
        <v>7</v>
      </c>
      <c r="G31" s="46">
        <v>7</v>
      </c>
      <c r="H31" s="46">
        <v>7</v>
      </c>
      <c r="I31" s="46">
        <v>7</v>
      </c>
      <c r="J31" s="46">
        <v>7</v>
      </c>
      <c r="K31" s="46">
        <v>7</v>
      </c>
      <c r="L31" s="46">
        <v>7</v>
      </c>
      <c r="M31" s="46">
        <v>7</v>
      </c>
      <c r="N31" s="46">
        <v>7</v>
      </c>
      <c r="O31" s="46">
        <v>7</v>
      </c>
      <c r="P31" s="46">
        <v>7</v>
      </c>
      <c r="Q31" s="46">
        <v>7</v>
      </c>
      <c r="R31" s="46">
        <v>7</v>
      </c>
      <c r="S31" s="46">
        <v>7</v>
      </c>
      <c r="T31" s="46">
        <v>7</v>
      </c>
      <c r="U31" s="46">
        <v>7</v>
      </c>
      <c r="V31" s="46">
        <v>7</v>
      </c>
      <c r="W31" s="46">
        <v>7</v>
      </c>
      <c r="X31" s="46">
        <v>7</v>
      </c>
      <c r="Y31" s="46">
        <v>7</v>
      </c>
      <c r="Z31" s="46">
        <v>7</v>
      </c>
      <c r="AA31" s="46">
        <v>7</v>
      </c>
      <c r="AB31" s="46">
        <v>7</v>
      </c>
      <c r="AC31" s="46">
        <v>7</v>
      </c>
      <c r="AD31" s="46">
        <v>7</v>
      </c>
      <c r="AE31" s="46"/>
      <c r="AF31" s="46"/>
      <c r="AG31" s="50">
        <v>25</v>
      </c>
      <c r="AH31" s="48">
        <f t="shared" si="2"/>
        <v>7</v>
      </c>
      <c r="AI31" s="49">
        <f t="shared" si="3"/>
        <v>7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>
        <v>25.2</v>
      </c>
      <c r="C32" s="46">
        <v>25.2</v>
      </c>
      <c r="D32" s="46">
        <v>25.2</v>
      </c>
      <c r="E32" s="46">
        <v>25.2</v>
      </c>
      <c r="F32" s="46">
        <v>25.2</v>
      </c>
      <c r="G32" s="46">
        <v>25.2</v>
      </c>
      <c r="H32" s="46">
        <v>25.2</v>
      </c>
      <c r="I32" s="46">
        <v>25.2</v>
      </c>
      <c r="J32" s="46">
        <v>25.2</v>
      </c>
      <c r="K32" s="46">
        <v>25.2</v>
      </c>
      <c r="L32" s="46">
        <v>25.2</v>
      </c>
      <c r="M32" s="46">
        <v>25.2</v>
      </c>
      <c r="N32" s="46">
        <v>25.2</v>
      </c>
      <c r="O32" s="46">
        <v>25.2</v>
      </c>
      <c r="P32" s="46">
        <v>25.2</v>
      </c>
      <c r="Q32" s="46">
        <v>25.2</v>
      </c>
      <c r="R32" s="46">
        <v>25.2</v>
      </c>
      <c r="S32" s="46">
        <v>25.2</v>
      </c>
      <c r="T32" s="46">
        <v>25.2</v>
      </c>
      <c r="U32" s="46">
        <v>25.2</v>
      </c>
      <c r="V32" s="46">
        <v>25.2</v>
      </c>
      <c r="W32" s="46">
        <v>25.2</v>
      </c>
      <c r="X32" s="46">
        <v>25.2</v>
      </c>
      <c r="Y32" s="46">
        <v>25.2</v>
      </c>
      <c r="Z32" s="46">
        <v>25.2</v>
      </c>
      <c r="AA32" s="46">
        <v>25.2</v>
      </c>
      <c r="AB32" s="46">
        <v>25.2</v>
      </c>
      <c r="AC32" s="46">
        <v>25.2</v>
      </c>
      <c r="AD32" s="46">
        <v>25.2</v>
      </c>
      <c r="AE32" s="46"/>
      <c r="AF32" s="46"/>
      <c r="AG32" s="50">
        <v>25</v>
      </c>
      <c r="AH32" s="48">
        <f t="shared" si="2"/>
        <v>25.2</v>
      </c>
      <c r="AI32" s="49">
        <f t="shared" si="3"/>
        <v>25.2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>
        <v>24.5</v>
      </c>
      <c r="C33" s="46">
        <v>24.5</v>
      </c>
      <c r="D33" s="46">
        <v>24.5</v>
      </c>
      <c r="E33" s="46">
        <v>24.5</v>
      </c>
      <c r="F33" s="46">
        <v>24.5</v>
      </c>
      <c r="G33" s="46">
        <v>24.5</v>
      </c>
      <c r="H33" s="46">
        <v>24.5</v>
      </c>
      <c r="I33" s="46">
        <v>24.5</v>
      </c>
      <c r="J33" s="46">
        <v>24.5</v>
      </c>
      <c r="K33" s="46">
        <v>24.5</v>
      </c>
      <c r="L33" s="46">
        <v>24.5</v>
      </c>
      <c r="M33" s="46">
        <v>24.5</v>
      </c>
      <c r="N33" s="46">
        <v>24.5</v>
      </c>
      <c r="O33" s="46">
        <v>24.5</v>
      </c>
      <c r="P33" s="46">
        <v>24.5</v>
      </c>
      <c r="Q33" s="46">
        <v>24.5</v>
      </c>
      <c r="R33" s="46">
        <v>24.5</v>
      </c>
      <c r="S33" s="46">
        <v>24.5</v>
      </c>
      <c r="T33" s="46">
        <v>24.5</v>
      </c>
      <c r="U33" s="46">
        <v>24.5</v>
      </c>
      <c r="V33" s="46">
        <v>24.5</v>
      </c>
      <c r="W33" s="46">
        <v>24.5</v>
      </c>
      <c r="X33" s="46">
        <v>24.5</v>
      </c>
      <c r="Y33" s="46">
        <v>24.5</v>
      </c>
      <c r="Z33" s="46">
        <v>24.5</v>
      </c>
      <c r="AA33" s="46">
        <v>24.5</v>
      </c>
      <c r="AB33" s="46">
        <v>24.5</v>
      </c>
      <c r="AC33" s="46">
        <v>24.5</v>
      </c>
      <c r="AD33" s="46">
        <v>24.5</v>
      </c>
      <c r="AE33" s="46"/>
      <c r="AF33" s="46"/>
      <c r="AG33" s="50">
        <v>23.5</v>
      </c>
      <c r="AH33" s="48">
        <f t="shared" si="2"/>
        <v>24.5</v>
      </c>
      <c r="AI33" s="49">
        <f t="shared" si="3"/>
        <v>24.5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>
        <v>4</v>
      </c>
      <c r="C34" s="46">
        <v>4</v>
      </c>
      <c r="D34" s="46">
        <v>4</v>
      </c>
      <c r="E34" s="46">
        <v>4</v>
      </c>
      <c r="F34" s="46">
        <v>4</v>
      </c>
      <c r="G34" s="46">
        <v>4</v>
      </c>
      <c r="H34" s="46">
        <v>4</v>
      </c>
      <c r="I34" s="46">
        <v>4</v>
      </c>
      <c r="J34" s="46">
        <v>4</v>
      </c>
      <c r="K34" s="46">
        <v>4</v>
      </c>
      <c r="L34" s="46">
        <v>4</v>
      </c>
      <c r="M34" s="46">
        <v>4</v>
      </c>
      <c r="N34" s="46">
        <v>4</v>
      </c>
      <c r="O34" s="46">
        <v>4</v>
      </c>
      <c r="P34" s="46">
        <v>4</v>
      </c>
      <c r="Q34" s="46">
        <v>4</v>
      </c>
      <c r="R34" s="46">
        <v>4</v>
      </c>
      <c r="S34" s="46">
        <v>4</v>
      </c>
      <c r="T34" s="46">
        <v>4</v>
      </c>
      <c r="U34" s="46">
        <v>4</v>
      </c>
      <c r="V34" s="46">
        <v>4</v>
      </c>
      <c r="W34" s="46">
        <v>4</v>
      </c>
      <c r="X34" s="46">
        <v>4</v>
      </c>
      <c r="Y34" s="46">
        <v>4</v>
      </c>
      <c r="Z34" s="46">
        <v>4</v>
      </c>
      <c r="AA34" s="46">
        <v>4</v>
      </c>
      <c r="AB34" s="46">
        <v>4</v>
      </c>
      <c r="AC34" s="46">
        <v>4</v>
      </c>
      <c r="AD34" s="46">
        <v>4</v>
      </c>
      <c r="AE34" s="46"/>
      <c r="AF34" s="46"/>
      <c r="AG34" s="50">
        <v>22.2</v>
      </c>
      <c r="AH34" s="48">
        <f t="shared" si="2"/>
        <v>4</v>
      </c>
      <c r="AI34" s="49">
        <f t="shared" si="3"/>
        <v>4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>
        <v>5</v>
      </c>
      <c r="C35" s="46">
        <v>5</v>
      </c>
      <c r="D35" s="46">
        <v>5</v>
      </c>
      <c r="E35" s="46">
        <v>5</v>
      </c>
      <c r="F35" s="46">
        <v>5</v>
      </c>
      <c r="G35" s="46">
        <v>5</v>
      </c>
      <c r="H35" s="46">
        <v>5</v>
      </c>
      <c r="I35" s="46">
        <v>5</v>
      </c>
      <c r="J35" s="46">
        <v>5</v>
      </c>
      <c r="K35" s="46">
        <v>5</v>
      </c>
      <c r="L35" s="46">
        <v>5</v>
      </c>
      <c r="M35" s="46">
        <v>5</v>
      </c>
      <c r="N35" s="46">
        <v>5</v>
      </c>
      <c r="O35" s="46">
        <v>5</v>
      </c>
      <c r="P35" s="46">
        <v>5</v>
      </c>
      <c r="Q35" s="46">
        <v>5</v>
      </c>
      <c r="R35" s="46">
        <v>5</v>
      </c>
      <c r="S35" s="46">
        <v>5</v>
      </c>
      <c r="T35" s="46">
        <v>5</v>
      </c>
      <c r="U35" s="46">
        <v>5</v>
      </c>
      <c r="V35" s="46">
        <v>5</v>
      </c>
      <c r="W35" s="46">
        <v>5</v>
      </c>
      <c r="X35" s="46">
        <v>5</v>
      </c>
      <c r="Y35" s="46">
        <v>5</v>
      </c>
      <c r="Z35" s="46">
        <v>5</v>
      </c>
      <c r="AA35" s="46">
        <v>5</v>
      </c>
      <c r="AB35" s="46">
        <v>5</v>
      </c>
      <c r="AC35" s="46">
        <v>5</v>
      </c>
      <c r="AD35" s="46">
        <v>5</v>
      </c>
      <c r="AE35" s="46"/>
      <c r="AF35" s="46"/>
      <c r="AG35" s="50">
        <v>22.1</v>
      </c>
      <c r="AH35" s="48">
        <f t="shared" si="2"/>
        <v>5</v>
      </c>
      <c r="AI35" s="49">
        <f t="shared" si="3"/>
        <v>5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>
        <v>8</v>
      </c>
      <c r="C36" s="46">
        <v>8</v>
      </c>
      <c r="D36" s="46">
        <v>8</v>
      </c>
      <c r="E36" s="46">
        <v>8</v>
      </c>
      <c r="F36" s="46">
        <v>8</v>
      </c>
      <c r="G36" s="46">
        <v>8</v>
      </c>
      <c r="H36" s="46">
        <v>8</v>
      </c>
      <c r="I36" s="46">
        <v>8</v>
      </c>
      <c r="J36" s="46">
        <v>8</v>
      </c>
      <c r="K36" s="46">
        <v>8</v>
      </c>
      <c r="L36" s="46">
        <v>8</v>
      </c>
      <c r="M36" s="46">
        <v>8</v>
      </c>
      <c r="N36" s="46">
        <v>8</v>
      </c>
      <c r="O36" s="46">
        <v>8</v>
      </c>
      <c r="P36" s="46">
        <v>8</v>
      </c>
      <c r="Q36" s="46">
        <v>8</v>
      </c>
      <c r="R36" s="46">
        <v>8</v>
      </c>
      <c r="S36" s="46">
        <v>8</v>
      </c>
      <c r="T36" s="46">
        <v>8</v>
      </c>
      <c r="U36" s="46">
        <v>8</v>
      </c>
      <c r="V36" s="46">
        <v>8</v>
      </c>
      <c r="W36" s="46">
        <v>8</v>
      </c>
      <c r="X36" s="46">
        <v>8</v>
      </c>
      <c r="Y36" s="46">
        <v>8</v>
      </c>
      <c r="Z36" s="46">
        <v>8</v>
      </c>
      <c r="AA36" s="46">
        <v>8</v>
      </c>
      <c r="AB36" s="46">
        <v>8</v>
      </c>
      <c r="AC36" s="46">
        <v>8</v>
      </c>
      <c r="AD36" s="46">
        <v>8</v>
      </c>
      <c r="AE36" s="46"/>
      <c r="AF36" s="46"/>
      <c r="AG36" s="50">
        <v>22</v>
      </c>
      <c r="AH36" s="48">
        <f t="shared" si="2"/>
        <v>8</v>
      </c>
      <c r="AI36" s="49">
        <f t="shared" si="3"/>
        <v>8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>
        <v>8.1999999999999993</v>
      </c>
      <c r="C37" s="46">
        <v>8.1999999999999993</v>
      </c>
      <c r="D37" s="46">
        <v>8.1999999999999993</v>
      </c>
      <c r="E37" s="46">
        <v>8.1999999999999993</v>
      </c>
      <c r="F37" s="46">
        <v>8.1999999999999993</v>
      </c>
      <c r="G37" s="46">
        <v>8.1999999999999993</v>
      </c>
      <c r="H37" s="46">
        <v>8.1999999999999993</v>
      </c>
      <c r="I37" s="46">
        <v>8.1999999999999993</v>
      </c>
      <c r="J37" s="46">
        <v>8.1999999999999993</v>
      </c>
      <c r="K37" s="46">
        <v>8.1999999999999993</v>
      </c>
      <c r="L37" s="46">
        <v>8.1999999999999993</v>
      </c>
      <c r="M37" s="46">
        <v>8.1999999999999993</v>
      </c>
      <c r="N37" s="46">
        <v>8.1999999999999993</v>
      </c>
      <c r="O37" s="46">
        <v>8.1999999999999993</v>
      </c>
      <c r="P37" s="46">
        <v>8.1999999999999993</v>
      </c>
      <c r="Q37" s="46">
        <v>8.1999999999999993</v>
      </c>
      <c r="R37" s="46">
        <v>8.1999999999999993</v>
      </c>
      <c r="S37" s="46">
        <v>8.1999999999999993</v>
      </c>
      <c r="T37" s="46">
        <v>8.1999999999999993</v>
      </c>
      <c r="U37" s="46">
        <v>8.1999999999999993</v>
      </c>
      <c r="V37" s="46">
        <v>8.1999999999999993</v>
      </c>
      <c r="W37" s="46">
        <v>8.1999999999999993</v>
      </c>
      <c r="X37" s="46">
        <v>8.1999999999999993</v>
      </c>
      <c r="Y37" s="46">
        <v>8.1999999999999993</v>
      </c>
      <c r="Z37" s="46">
        <v>8.1999999999999993</v>
      </c>
      <c r="AA37" s="46">
        <v>8.1999999999999993</v>
      </c>
      <c r="AB37" s="46">
        <v>8.1999999999999993</v>
      </c>
      <c r="AC37" s="46">
        <v>8.1999999999999993</v>
      </c>
      <c r="AD37" s="46">
        <v>8.1999999999999993</v>
      </c>
      <c r="AE37" s="46"/>
      <c r="AF37" s="46"/>
      <c r="AG37" s="50">
        <v>22</v>
      </c>
      <c r="AH37" s="48">
        <f t="shared" si="2"/>
        <v>8.1999999999999993</v>
      </c>
      <c r="AI37" s="49">
        <f t="shared" si="3"/>
        <v>8.1999999999999993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>
        <v>20.3</v>
      </c>
      <c r="C38" s="46">
        <v>20.3</v>
      </c>
      <c r="D38" s="46">
        <v>20.3</v>
      </c>
      <c r="E38" s="46">
        <v>20.3</v>
      </c>
      <c r="F38" s="46">
        <v>20.3</v>
      </c>
      <c r="G38" s="46">
        <v>20.3</v>
      </c>
      <c r="H38" s="46">
        <v>20.3</v>
      </c>
      <c r="I38" s="46">
        <v>20.3</v>
      </c>
      <c r="J38" s="46">
        <v>20.3</v>
      </c>
      <c r="K38" s="46">
        <v>20.3</v>
      </c>
      <c r="L38" s="46">
        <v>20.3</v>
      </c>
      <c r="M38" s="46">
        <v>20.3</v>
      </c>
      <c r="N38" s="46">
        <v>20.3</v>
      </c>
      <c r="O38" s="46">
        <v>20.3</v>
      </c>
      <c r="P38" s="46">
        <v>20.3</v>
      </c>
      <c r="Q38" s="46">
        <v>20.3</v>
      </c>
      <c r="R38" s="46">
        <v>20.3</v>
      </c>
      <c r="S38" s="46">
        <v>20.3</v>
      </c>
      <c r="T38" s="46">
        <v>20.3</v>
      </c>
      <c r="U38" s="46">
        <v>20.3</v>
      </c>
      <c r="V38" s="46">
        <v>20.3</v>
      </c>
      <c r="W38" s="46">
        <v>20.3</v>
      </c>
      <c r="X38" s="46">
        <v>20.3</v>
      </c>
      <c r="Y38" s="46">
        <v>20.3</v>
      </c>
      <c r="Z38" s="46">
        <v>20.3</v>
      </c>
      <c r="AA38" s="46">
        <v>20.3</v>
      </c>
      <c r="AB38" s="46">
        <v>20.3</v>
      </c>
      <c r="AC38" s="46">
        <v>20.3</v>
      </c>
      <c r="AD38" s="46">
        <v>20.3</v>
      </c>
      <c r="AE38" s="46"/>
      <c r="AF38" s="46"/>
      <c r="AG38" s="50">
        <v>20</v>
      </c>
      <c r="AH38" s="48">
        <f t="shared" si="2"/>
        <v>20.3</v>
      </c>
      <c r="AI38" s="49">
        <f t="shared" si="3"/>
        <v>20.3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>
        <v>6</v>
      </c>
      <c r="C39" s="46">
        <v>6</v>
      </c>
      <c r="D39" s="46">
        <v>6</v>
      </c>
      <c r="E39" s="46">
        <v>6</v>
      </c>
      <c r="F39" s="46">
        <v>6</v>
      </c>
      <c r="G39" s="46">
        <v>6</v>
      </c>
      <c r="H39" s="46">
        <v>6</v>
      </c>
      <c r="I39" s="46">
        <v>6</v>
      </c>
      <c r="J39" s="46">
        <v>6</v>
      </c>
      <c r="K39" s="46">
        <v>6</v>
      </c>
      <c r="L39" s="46">
        <v>6</v>
      </c>
      <c r="M39" s="46">
        <v>6</v>
      </c>
      <c r="N39" s="46">
        <v>6</v>
      </c>
      <c r="O39" s="46">
        <v>6</v>
      </c>
      <c r="P39" s="46">
        <v>6</v>
      </c>
      <c r="Q39" s="46">
        <v>6</v>
      </c>
      <c r="R39" s="46">
        <v>6</v>
      </c>
      <c r="S39" s="46">
        <v>6</v>
      </c>
      <c r="T39" s="46">
        <v>6</v>
      </c>
      <c r="U39" s="46">
        <v>6</v>
      </c>
      <c r="V39" s="46">
        <v>6</v>
      </c>
      <c r="W39" s="46">
        <v>6</v>
      </c>
      <c r="X39" s="46">
        <v>6</v>
      </c>
      <c r="Y39" s="46">
        <v>6</v>
      </c>
      <c r="Z39" s="46">
        <v>6</v>
      </c>
      <c r="AA39" s="46">
        <v>6</v>
      </c>
      <c r="AB39" s="46">
        <v>6</v>
      </c>
      <c r="AC39" s="46">
        <v>6</v>
      </c>
      <c r="AD39" s="46">
        <v>6</v>
      </c>
      <c r="AE39" s="46"/>
      <c r="AF39" s="46"/>
      <c r="AG39" s="50">
        <v>20</v>
      </c>
      <c r="AH39" s="48">
        <f t="shared" si="2"/>
        <v>6</v>
      </c>
      <c r="AI39" s="49">
        <f t="shared" si="3"/>
        <v>6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>
        <v>13.3</v>
      </c>
      <c r="C40" s="46">
        <v>13.3</v>
      </c>
      <c r="D40" s="46">
        <v>13.3</v>
      </c>
      <c r="E40" s="46">
        <v>13.3</v>
      </c>
      <c r="F40" s="46">
        <v>13.3</v>
      </c>
      <c r="G40" s="46">
        <v>13.3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/>
      <c r="AF40" s="46"/>
      <c r="AG40" s="50">
        <v>18</v>
      </c>
      <c r="AH40" s="48">
        <f t="shared" si="2"/>
        <v>13.3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>
        <v>4.8</v>
      </c>
      <c r="C41" s="46">
        <v>4.8</v>
      </c>
      <c r="D41" s="46">
        <v>4.8</v>
      </c>
      <c r="E41" s="46">
        <v>4.8</v>
      </c>
      <c r="F41" s="46">
        <v>4.8</v>
      </c>
      <c r="G41" s="46">
        <v>4.8</v>
      </c>
      <c r="H41" s="46">
        <v>4.8</v>
      </c>
      <c r="I41" s="46">
        <v>4.8</v>
      </c>
      <c r="J41" s="46">
        <v>4.8</v>
      </c>
      <c r="K41" s="46">
        <v>4.8</v>
      </c>
      <c r="L41" s="46">
        <v>4.8</v>
      </c>
      <c r="M41" s="46">
        <v>4.8</v>
      </c>
      <c r="N41" s="46">
        <v>4.8</v>
      </c>
      <c r="O41" s="46">
        <v>4.8</v>
      </c>
      <c r="P41" s="46">
        <v>4.8</v>
      </c>
      <c r="Q41" s="46">
        <v>4.8</v>
      </c>
      <c r="R41" s="46">
        <v>4.8</v>
      </c>
      <c r="S41" s="46">
        <v>4.8</v>
      </c>
      <c r="T41" s="46">
        <v>4.8</v>
      </c>
      <c r="U41" s="46">
        <v>4.8</v>
      </c>
      <c r="V41" s="46">
        <v>4.8</v>
      </c>
      <c r="W41" s="46">
        <v>4.8</v>
      </c>
      <c r="X41" s="46">
        <v>4.8</v>
      </c>
      <c r="Y41" s="46">
        <v>4.8</v>
      </c>
      <c r="Z41" s="46">
        <v>4.8</v>
      </c>
      <c r="AA41" s="46">
        <v>4.8</v>
      </c>
      <c r="AB41" s="46">
        <v>4.8</v>
      </c>
      <c r="AC41" s="46">
        <v>4.8</v>
      </c>
      <c r="AD41" s="46">
        <v>4.8</v>
      </c>
      <c r="AE41" s="46"/>
      <c r="AF41" s="46"/>
      <c r="AG41" s="50">
        <v>15.33</v>
      </c>
      <c r="AH41" s="48">
        <f t="shared" si="2"/>
        <v>4.8</v>
      </c>
      <c r="AI41" s="49">
        <f t="shared" si="3"/>
        <v>4.8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/>
      <c r="AF42" s="46"/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>
        <v>4</v>
      </c>
      <c r="C43" s="46">
        <v>4</v>
      </c>
      <c r="D43" s="46">
        <v>4</v>
      </c>
      <c r="E43" s="46">
        <v>4</v>
      </c>
      <c r="F43" s="46">
        <v>4</v>
      </c>
      <c r="G43" s="46">
        <v>4</v>
      </c>
      <c r="H43" s="46">
        <v>4</v>
      </c>
      <c r="I43" s="46">
        <v>4</v>
      </c>
      <c r="J43" s="46">
        <v>4</v>
      </c>
      <c r="K43" s="46">
        <v>4</v>
      </c>
      <c r="L43" s="46">
        <v>4</v>
      </c>
      <c r="M43" s="46">
        <v>4</v>
      </c>
      <c r="N43" s="46">
        <v>4</v>
      </c>
      <c r="O43" s="46">
        <v>4</v>
      </c>
      <c r="P43" s="46">
        <v>4</v>
      </c>
      <c r="Q43" s="46">
        <v>4</v>
      </c>
      <c r="R43" s="46">
        <v>4</v>
      </c>
      <c r="S43" s="46">
        <v>4</v>
      </c>
      <c r="T43" s="46">
        <v>4</v>
      </c>
      <c r="U43" s="46">
        <v>4</v>
      </c>
      <c r="V43" s="46">
        <v>4</v>
      </c>
      <c r="W43" s="46">
        <v>4</v>
      </c>
      <c r="X43" s="46">
        <v>4</v>
      </c>
      <c r="Y43" s="46">
        <v>4</v>
      </c>
      <c r="Z43" s="46">
        <v>4</v>
      </c>
      <c r="AA43" s="46">
        <v>4</v>
      </c>
      <c r="AB43" s="46">
        <v>4</v>
      </c>
      <c r="AC43" s="46">
        <v>4</v>
      </c>
      <c r="AD43" s="46">
        <v>4</v>
      </c>
      <c r="AE43" s="46"/>
      <c r="AF43" s="46"/>
      <c r="AG43" s="50">
        <v>14.9</v>
      </c>
      <c r="AH43" s="48">
        <f t="shared" si="2"/>
        <v>4</v>
      </c>
      <c r="AI43" s="49">
        <f t="shared" si="3"/>
        <v>4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/>
      <c r="AF44" s="46"/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>
        <v>2.2000000000000002</v>
      </c>
      <c r="C46" s="46">
        <v>2.2000000000000002</v>
      </c>
      <c r="D46" s="46">
        <v>2.2000000000000002</v>
      </c>
      <c r="E46" s="46">
        <v>2.2000000000000002</v>
      </c>
      <c r="F46" s="46">
        <v>2.2000000000000002</v>
      </c>
      <c r="G46" s="46">
        <v>2.2000000000000002</v>
      </c>
      <c r="H46" s="46">
        <v>2.2000000000000002</v>
      </c>
      <c r="I46" s="46">
        <v>2.2000000000000002</v>
      </c>
      <c r="J46" s="46">
        <v>2.2000000000000002</v>
      </c>
      <c r="K46" s="46">
        <v>2.2000000000000002</v>
      </c>
      <c r="L46" s="46">
        <v>2.2000000000000002</v>
      </c>
      <c r="M46" s="46">
        <v>2.2000000000000002</v>
      </c>
      <c r="N46" s="46">
        <v>2.2000000000000002</v>
      </c>
      <c r="O46" s="46">
        <v>2.2000000000000002</v>
      </c>
      <c r="P46" s="46">
        <v>2.2000000000000002</v>
      </c>
      <c r="Q46" s="46">
        <v>2.2000000000000002</v>
      </c>
      <c r="R46" s="46">
        <v>2.2000000000000002</v>
      </c>
      <c r="S46" s="46">
        <v>2.2000000000000002</v>
      </c>
      <c r="T46" s="46">
        <v>2.2000000000000002</v>
      </c>
      <c r="U46" s="46">
        <v>2.2000000000000002</v>
      </c>
      <c r="V46" s="46">
        <v>2.2000000000000002</v>
      </c>
      <c r="W46" s="46">
        <v>2.2000000000000002</v>
      </c>
      <c r="X46" s="46">
        <v>2.2000000000000002</v>
      </c>
      <c r="Y46" s="46">
        <v>2.2000000000000002</v>
      </c>
      <c r="Z46" s="46">
        <v>2.2000000000000002</v>
      </c>
      <c r="AA46" s="46">
        <v>2.2000000000000002</v>
      </c>
      <c r="AB46" s="46">
        <v>2.2000000000000002</v>
      </c>
      <c r="AC46" s="46">
        <v>2.2000000000000002</v>
      </c>
      <c r="AD46" s="46">
        <v>2.2000000000000002</v>
      </c>
      <c r="AE46" s="46"/>
      <c r="AF46" s="46"/>
      <c r="AG46" s="50">
        <v>14</v>
      </c>
      <c r="AH46" s="48">
        <f t="shared" si="2"/>
        <v>2.2000000000000002</v>
      </c>
      <c r="AI46" s="49">
        <f t="shared" si="3"/>
        <v>2.2000000000000002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>
        <v>6</v>
      </c>
      <c r="C47" s="46">
        <v>6</v>
      </c>
      <c r="D47" s="46">
        <v>6</v>
      </c>
      <c r="E47" s="46">
        <v>6</v>
      </c>
      <c r="F47" s="46">
        <v>6</v>
      </c>
      <c r="G47" s="46">
        <v>6</v>
      </c>
      <c r="H47" s="46">
        <v>6</v>
      </c>
      <c r="I47" s="46">
        <v>6</v>
      </c>
      <c r="J47" s="46">
        <v>6</v>
      </c>
      <c r="K47" s="46">
        <v>6</v>
      </c>
      <c r="L47" s="46">
        <v>6</v>
      </c>
      <c r="M47" s="46">
        <v>6</v>
      </c>
      <c r="N47" s="46">
        <v>6</v>
      </c>
      <c r="O47" s="46">
        <v>6</v>
      </c>
      <c r="P47" s="46">
        <v>6</v>
      </c>
      <c r="Q47" s="46">
        <v>6</v>
      </c>
      <c r="R47" s="46">
        <v>6</v>
      </c>
      <c r="S47" s="46">
        <v>6</v>
      </c>
      <c r="T47" s="46">
        <v>6</v>
      </c>
      <c r="U47" s="46">
        <v>6</v>
      </c>
      <c r="V47" s="46">
        <v>6</v>
      </c>
      <c r="W47" s="46">
        <v>6</v>
      </c>
      <c r="X47" s="46">
        <v>6</v>
      </c>
      <c r="Y47" s="46">
        <v>6</v>
      </c>
      <c r="Z47" s="46">
        <v>6</v>
      </c>
      <c r="AA47" s="46">
        <v>6</v>
      </c>
      <c r="AB47" s="46">
        <v>6</v>
      </c>
      <c r="AC47" s="46">
        <v>6</v>
      </c>
      <c r="AD47" s="46">
        <v>6</v>
      </c>
      <c r="AE47" s="46"/>
      <c r="AF47" s="46"/>
      <c r="AG47" s="50">
        <v>13.6</v>
      </c>
      <c r="AH47" s="48">
        <f t="shared" si="2"/>
        <v>6</v>
      </c>
      <c r="AI47" s="49">
        <f t="shared" si="3"/>
        <v>6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>
        <v>6</v>
      </c>
      <c r="C48" s="46">
        <v>6</v>
      </c>
      <c r="D48" s="46">
        <v>6</v>
      </c>
      <c r="E48" s="46">
        <v>6</v>
      </c>
      <c r="F48" s="46">
        <v>6</v>
      </c>
      <c r="G48" s="46">
        <v>6</v>
      </c>
      <c r="H48" s="46">
        <v>6</v>
      </c>
      <c r="I48" s="46">
        <v>6</v>
      </c>
      <c r="J48" s="46">
        <v>6</v>
      </c>
      <c r="K48" s="46">
        <v>6</v>
      </c>
      <c r="L48" s="46">
        <v>6</v>
      </c>
      <c r="M48" s="46">
        <v>6</v>
      </c>
      <c r="N48" s="46">
        <v>6</v>
      </c>
      <c r="O48" s="46">
        <v>6</v>
      </c>
      <c r="P48" s="46">
        <v>6</v>
      </c>
      <c r="Q48" s="46">
        <v>6</v>
      </c>
      <c r="R48" s="46">
        <v>6</v>
      </c>
      <c r="S48" s="46">
        <v>6</v>
      </c>
      <c r="T48" s="46">
        <v>6</v>
      </c>
      <c r="U48" s="46">
        <v>6</v>
      </c>
      <c r="V48" s="46">
        <v>6</v>
      </c>
      <c r="W48" s="46">
        <v>6</v>
      </c>
      <c r="X48" s="46">
        <v>6</v>
      </c>
      <c r="Y48" s="46">
        <v>6</v>
      </c>
      <c r="Z48" s="46">
        <v>6</v>
      </c>
      <c r="AA48" s="46">
        <v>6</v>
      </c>
      <c r="AB48" s="46">
        <v>6</v>
      </c>
      <c r="AC48" s="46">
        <v>6</v>
      </c>
      <c r="AD48" s="46">
        <v>6</v>
      </c>
      <c r="AE48" s="46"/>
      <c r="AF48" s="46"/>
      <c r="AG48" s="50">
        <v>13</v>
      </c>
      <c r="AH48" s="48">
        <f t="shared" si="2"/>
        <v>6</v>
      </c>
      <c r="AI48" s="49">
        <f t="shared" si="3"/>
        <v>6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>
        <v>6</v>
      </c>
      <c r="C49" s="46">
        <v>6</v>
      </c>
      <c r="D49" s="46">
        <v>6</v>
      </c>
      <c r="E49" s="46">
        <v>6</v>
      </c>
      <c r="F49" s="46">
        <v>6</v>
      </c>
      <c r="G49" s="46">
        <v>6</v>
      </c>
      <c r="H49" s="46">
        <v>6</v>
      </c>
      <c r="I49" s="46">
        <v>6</v>
      </c>
      <c r="J49" s="46">
        <v>6</v>
      </c>
      <c r="K49" s="46">
        <v>6</v>
      </c>
      <c r="L49" s="46">
        <v>6</v>
      </c>
      <c r="M49" s="46">
        <v>6</v>
      </c>
      <c r="N49" s="46">
        <v>6</v>
      </c>
      <c r="O49" s="46">
        <v>6</v>
      </c>
      <c r="P49" s="46">
        <v>6</v>
      </c>
      <c r="Q49" s="46">
        <v>6</v>
      </c>
      <c r="R49" s="46">
        <v>6</v>
      </c>
      <c r="S49" s="46">
        <v>6</v>
      </c>
      <c r="T49" s="46">
        <v>6</v>
      </c>
      <c r="U49" s="46">
        <v>6</v>
      </c>
      <c r="V49" s="46">
        <v>6</v>
      </c>
      <c r="W49" s="46">
        <v>6</v>
      </c>
      <c r="X49" s="46">
        <v>6</v>
      </c>
      <c r="Y49" s="46">
        <v>6</v>
      </c>
      <c r="Z49" s="46">
        <v>6</v>
      </c>
      <c r="AA49" s="46">
        <v>6</v>
      </c>
      <c r="AB49" s="46">
        <v>6</v>
      </c>
      <c r="AC49" s="46">
        <v>6</v>
      </c>
      <c r="AD49" s="46">
        <v>6</v>
      </c>
      <c r="AE49" s="46"/>
      <c r="AF49" s="46"/>
      <c r="AG49" s="50">
        <v>12</v>
      </c>
      <c r="AH49" s="48">
        <f t="shared" si="2"/>
        <v>6</v>
      </c>
      <c r="AI49" s="49">
        <f t="shared" si="3"/>
        <v>6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>
        <v>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/>
      <c r="AF50" s="46"/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>
        <v>3</v>
      </c>
      <c r="C51" s="46">
        <v>3</v>
      </c>
      <c r="D51" s="46">
        <v>3</v>
      </c>
      <c r="E51" s="46">
        <v>3</v>
      </c>
      <c r="F51" s="46">
        <v>3</v>
      </c>
      <c r="G51" s="46">
        <v>3</v>
      </c>
      <c r="H51" s="46">
        <v>3</v>
      </c>
      <c r="I51" s="46">
        <v>3</v>
      </c>
      <c r="J51" s="46">
        <v>3</v>
      </c>
      <c r="K51" s="46">
        <v>3</v>
      </c>
      <c r="L51" s="46">
        <v>3</v>
      </c>
      <c r="M51" s="46">
        <v>3</v>
      </c>
      <c r="N51" s="46">
        <v>3</v>
      </c>
      <c r="O51" s="46">
        <v>3</v>
      </c>
      <c r="P51" s="46">
        <v>3</v>
      </c>
      <c r="Q51" s="46">
        <v>3</v>
      </c>
      <c r="R51" s="46">
        <v>3</v>
      </c>
      <c r="S51" s="46">
        <v>3</v>
      </c>
      <c r="T51" s="46">
        <v>3</v>
      </c>
      <c r="U51" s="46">
        <v>3</v>
      </c>
      <c r="V51" s="46">
        <v>3</v>
      </c>
      <c r="W51" s="46">
        <v>3</v>
      </c>
      <c r="X51" s="46">
        <v>3</v>
      </c>
      <c r="Y51" s="46">
        <v>3</v>
      </c>
      <c r="Z51" s="46">
        <v>3</v>
      </c>
      <c r="AA51" s="46">
        <v>3</v>
      </c>
      <c r="AB51" s="46">
        <v>3</v>
      </c>
      <c r="AC51" s="46">
        <v>3</v>
      </c>
      <c r="AD51" s="46">
        <v>3</v>
      </c>
      <c r="AE51" s="46"/>
      <c r="AF51" s="46"/>
      <c r="AG51" s="50">
        <v>12</v>
      </c>
      <c r="AH51" s="48">
        <f t="shared" si="2"/>
        <v>3</v>
      </c>
      <c r="AI51" s="49">
        <f t="shared" si="3"/>
        <v>3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>
        <v>4</v>
      </c>
      <c r="C52" s="46">
        <v>4</v>
      </c>
      <c r="D52" s="46">
        <v>4</v>
      </c>
      <c r="E52" s="46">
        <v>4</v>
      </c>
      <c r="F52" s="46">
        <v>4</v>
      </c>
      <c r="G52" s="46">
        <v>4</v>
      </c>
      <c r="H52" s="46">
        <v>4</v>
      </c>
      <c r="I52" s="46">
        <v>4</v>
      </c>
      <c r="J52" s="46">
        <v>4</v>
      </c>
      <c r="K52" s="46">
        <v>4</v>
      </c>
      <c r="L52" s="46">
        <v>4</v>
      </c>
      <c r="M52" s="46">
        <v>4</v>
      </c>
      <c r="N52" s="46">
        <v>4</v>
      </c>
      <c r="O52" s="46">
        <v>4</v>
      </c>
      <c r="P52" s="46">
        <v>4</v>
      </c>
      <c r="Q52" s="46">
        <v>4</v>
      </c>
      <c r="R52" s="46">
        <v>4</v>
      </c>
      <c r="S52" s="46">
        <v>4</v>
      </c>
      <c r="T52" s="46">
        <v>4</v>
      </c>
      <c r="U52" s="46">
        <v>4</v>
      </c>
      <c r="V52" s="46">
        <v>4</v>
      </c>
      <c r="W52" s="46">
        <v>4</v>
      </c>
      <c r="X52" s="46">
        <v>4</v>
      </c>
      <c r="Y52" s="46">
        <v>4</v>
      </c>
      <c r="Z52" s="46">
        <v>4</v>
      </c>
      <c r="AA52" s="46">
        <v>4</v>
      </c>
      <c r="AB52" s="46">
        <v>4</v>
      </c>
      <c r="AC52" s="46">
        <v>4</v>
      </c>
      <c r="AD52" s="46">
        <v>4</v>
      </c>
      <c r="AE52" s="46"/>
      <c r="AF52" s="46"/>
      <c r="AG52" s="64">
        <v>22</v>
      </c>
      <c r="AH52" s="48">
        <f t="shared" si="2"/>
        <v>4</v>
      </c>
      <c r="AI52" s="49">
        <f t="shared" si="3"/>
        <v>4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>
        <v>6</v>
      </c>
      <c r="C53" s="46">
        <v>6</v>
      </c>
      <c r="D53" s="46">
        <v>6</v>
      </c>
      <c r="E53" s="46">
        <v>6</v>
      </c>
      <c r="F53" s="46">
        <v>6</v>
      </c>
      <c r="G53" s="46">
        <v>6</v>
      </c>
      <c r="H53" s="46">
        <v>6</v>
      </c>
      <c r="I53" s="46">
        <v>6</v>
      </c>
      <c r="J53" s="46">
        <v>6</v>
      </c>
      <c r="K53" s="46">
        <v>6</v>
      </c>
      <c r="L53" s="46">
        <v>6</v>
      </c>
      <c r="M53" s="46">
        <v>6</v>
      </c>
      <c r="N53" s="46">
        <v>6</v>
      </c>
      <c r="O53" s="46">
        <v>6</v>
      </c>
      <c r="P53" s="46">
        <v>6</v>
      </c>
      <c r="Q53" s="46">
        <v>6</v>
      </c>
      <c r="R53" s="46">
        <v>6</v>
      </c>
      <c r="S53" s="46">
        <v>6</v>
      </c>
      <c r="T53" s="46">
        <v>6</v>
      </c>
      <c r="U53" s="46">
        <v>6</v>
      </c>
      <c r="V53" s="46">
        <v>6</v>
      </c>
      <c r="W53" s="46">
        <v>6</v>
      </c>
      <c r="X53" s="46">
        <v>6</v>
      </c>
      <c r="Y53" s="46">
        <v>6</v>
      </c>
      <c r="Z53" s="46">
        <v>6</v>
      </c>
      <c r="AA53" s="46">
        <v>6</v>
      </c>
      <c r="AB53" s="46">
        <v>6</v>
      </c>
      <c r="AC53" s="46">
        <v>6</v>
      </c>
      <c r="AD53" s="46">
        <v>6</v>
      </c>
      <c r="AE53" s="46"/>
      <c r="AF53" s="46"/>
      <c r="AG53" s="61">
        <v>11.88</v>
      </c>
      <c r="AH53" s="48">
        <f t="shared" si="2"/>
        <v>6</v>
      </c>
      <c r="AI53" s="49">
        <f t="shared" si="3"/>
        <v>6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>
        <v>3</v>
      </c>
      <c r="C54" s="46">
        <v>3</v>
      </c>
      <c r="D54" s="46">
        <v>3</v>
      </c>
      <c r="E54" s="46">
        <v>3</v>
      </c>
      <c r="F54" s="46">
        <v>3</v>
      </c>
      <c r="G54" s="46">
        <v>3</v>
      </c>
      <c r="H54" s="46">
        <v>3</v>
      </c>
      <c r="I54" s="46">
        <v>3</v>
      </c>
      <c r="J54" s="46">
        <v>3</v>
      </c>
      <c r="K54" s="46">
        <v>3</v>
      </c>
      <c r="L54" s="46">
        <v>3</v>
      </c>
      <c r="M54" s="46">
        <v>3</v>
      </c>
      <c r="N54" s="46">
        <v>3</v>
      </c>
      <c r="O54" s="46">
        <v>3</v>
      </c>
      <c r="P54" s="46">
        <v>3</v>
      </c>
      <c r="Q54" s="46">
        <v>3</v>
      </c>
      <c r="R54" s="46">
        <v>3</v>
      </c>
      <c r="S54" s="46">
        <v>3</v>
      </c>
      <c r="T54" s="46">
        <v>3</v>
      </c>
      <c r="U54" s="46">
        <v>3</v>
      </c>
      <c r="V54" s="46">
        <v>3</v>
      </c>
      <c r="W54" s="46">
        <v>3</v>
      </c>
      <c r="X54" s="46">
        <v>3</v>
      </c>
      <c r="Y54" s="46">
        <v>3</v>
      </c>
      <c r="Z54" s="46">
        <v>3</v>
      </c>
      <c r="AA54" s="46">
        <v>3</v>
      </c>
      <c r="AB54" s="46">
        <v>3</v>
      </c>
      <c r="AC54" s="46">
        <v>3</v>
      </c>
      <c r="AD54" s="46">
        <v>3</v>
      </c>
      <c r="AE54" s="46"/>
      <c r="AF54" s="46"/>
      <c r="AG54" s="66">
        <v>11</v>
      </c>
      <c r="AH54" s="48">
        <f t="shared" si="2"/>
        <v>3</v>
      </c>
      <c r="AI54" s="49">
        <f t="shared" si="3"/>
        <v>3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/>
      <c r="AF55" s="46"/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>
        <v>1.9</v>
      </c>
      <c r="C56" s="46">
        <v>1.9</v>
      </c>
      <c r="D56" s="46">
        <v>1.9</v>
      </c>
      <c r="E56" s="46">
        <v>1.9</v>
      </c>
      <c r="F56" s="46">
        <v>1.9</v>
      </c>
      <c r="G56" s="46">
        <v>1.9</v>
      </c>
      <c r="H56" s="46">
        <v>1.9</v>
      </c>
      <c r="I56" s="46">
        <v>1.9</v>
      </c>
      <c r="J56" s="46">
        <v>1.9</v>
      </c>
      <c r="K56" s="46">
        <v>1.9</v>
      </c>
      <c r="L56" s="46">
        <v>1.9</v>
      </c>
      <c r="M56" s="46">
        <v>1.9</v>
      </c>
      <c r="N56" s="46">
        <v>1.9</v>
      </c>
      <c r="O56" s="46">
        <v>1.9</v>
      </c>
      <c r="P56" s="46">
        <v>1.9</v>
      </c>
      <c r="Q56" s="46">
        <v>1.9</v>
      </c>
      <c r="R56" s="46">
        <v>1.9</v>
      </c>
      <c r="S56" s="46">
        <v>1.9</v>
      </c>
      <c r="T56" s="46">
        <v>1.9</v>
      </c>
      <c r="U56" s="46">
        <v>1.9</v>
      </c>
      <c r="V56" s="46">
        <v>1.9</v>
      </c>
      <c r="W56" s="46">
        <v>1.9</v>
      </c>
      <c r="X56" s="46">
        <v>1.9</v>
      </c>
      <c r="Y56" s="46">
        <v>1.9</v>
      </c>
      <c r="Z56" s="46">
        <v>1.9</v>
      </c>
      <c r="AA56" s="46">
        <v>1.9</v>
      </c>
      <c r="AB56" s="46">
        <v>1.9</v>
      </c>
      <c r="AC56" s="46">
        <v>1.9</v>
      </c>
      <c r="AD56" s="46">
        <v>1.9</v>
      </c>
      <c r="AE56" s="46"/>
      <c r="AF56" s="46"/>
      <c r="AG56" s="66">
        <v>11</v>
      </c>
      <c r="AH56" s="48">
        <f t="shared" si="2"/>
        <v>1.9</v>
      </c>
      <c r="AI56" s="49">
        <f t="shared" si="3"/>
        <v>1.9</v>
      </c>
      <c r="AK56" s="51"/>
    </row>
    <row r="57" spans="1:88" x14ac:dyDescent="0.25">
      <c r="A57" s="65" t="s">
        <v>69</v>
      </c>
      <c r="B57" s="46">
        <v>7.5</v>
      </c>
      <c r="C57" s="46">
        <v>7.5</v>
      </c>
      <c r="D57" s="46">
        <v>7.5</v>
      </c>
      <c r="E57" s="46">
        <v>7.5</v>
      </c>
      <c r="F57" s="46">
        <v>7.5</v>
      </c>
      <c r="G57" s="46">
        <v>7.5</v>
      </c>
      <c r="H57" s="46">
        <v>7.5</v>
      </c>
      <c r="I57" s="46">
        <v>7.5</v>
      </c>
      <c r="J57" s="46">
        <v>7.5</v>
      </c>
      <c r="K57" s="46">
        <v>7.5</v>
      </c>
      <c r="L57" s="46">
        <v>7.5</v>
      </c>
      <c r="M57" s="46">
        <v>7.5</v>
      </c>
      <c r="N57" s="46">
        <v>7.5</v>
      </c>
      <c r="O57" s="46">
        <v>7.5</v>
      </c>
      <c r="P57" s="46">
        <v>7.5</v>
      </c>
      <c r="Q57" s="46">
        <v>7.5</v>
      </c>
      <c r="R57" s="46">
        <v>7.5</v>
      </c>
      <c r="S57" s="46">
        <v>7.5</v>
      </c>
      <c r="T57" s="46">
        <v>7.5</v>
      </c>
      <c r="U57" s="46">
        <v>7.5</v>
      </c>
      <c r="V57" s="46">
        <v>7.5</v>
      </c>
      <c r="W57" s="46">
        <v>7.5</v>
      </c>
      <c r="X57" s="46">
        <v>7.5</v>
      </c>
      <c r="Y57" s="46">
        <v>7.5</v>
      </c>
      <c r="Z57" s="46">
        <v>7.5</v>
      </c>
      <c r="AA57" s="46">
        <v>7.5</v>
      </c>
      <c r="AB57" s="46">
        <v>7.5</v>
      </c>
      <c r="AC57" s="46">
        <v>7.5</v>
      </c>
      <c r="AD57" s="46">
        <v>7.5</v>
      </c>
      <c r="AE57" s="46"/>
      <c r="AF57" s="46"/>
      <c r="AG57" s="66">
        <v>10</v>
      </c>
      <c r="AH57" s="48">
        <f t="shared" si="2"/>
        <v>7.5</v>
      </c>
      <c r="AI57" s="49">
        <f t="shared" si="3"/>
        <v>7.5</v>
      </c>
      <c r="AK57" s="51"/>
    </row>
    <row r="58" spans="1:88" x14ac:dyDescent="0.25">
      <c r="A58" s="65" t="s">
        <v>70</v>
      </c>
      <c r="B58" s="46">
        <v>0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/>
      <c r="AF58" s="46"/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>
        <v>127</v>
      </c>
      <c r="C60" s="68">
        <v>127</v>
      </c>
      <c r="D60" s="68">
        <v>127</v>
      </c>
      <c r="E60" s="68">
        <v>109</v>
      </c>
      <c r="F60" s="68">
        <v>109</v>
      </c>
      <c r="G60" s="68">
        <v>109</v>
      </c>
      <c r="H60" s="68">
        <v>102</v>
      </c>
      <c r="I60" s="68">
        <v>97</v>
      </c>
      <c r="J60" s="68">
        <v>89</v>
      </c>
      <c r="K60" s="68">
        <v>89</v>
      </c>
      <c r="L60" s="68">
        <v>89</v>
      </c>
      <c r="M60" s="68">
        <v>89</v>
      </c>
      <c r="N60" s="68">
        <v>89</v>
      </c>
      <c r="O60" s="68">
        <v>89</v>
      </c>
      <c r="P60" s="68">
        <v>89</v>
      </c>
      <c r="Q60" s="68">
        <v>89</v>
      </c>
      <c r="R60" s="68">
        <v>89</v>
      </c>
      <c r="S60" s="68">
        <v>89</v>
      </c>
      <c r="T60" s="68">
        <v>76.2</v>
      </c>
      <c r="U60" s="68">
        <v>86.9</v>
      </c>
      <c r="V60" s="68">
        <v>86.9</v>
      </c>
      <c r="W60" s="68">
        <v>85.9</v>
      </c>
      <c r="X60" s="68">
        <v>85.9</v>
      </c>
      <c r="Y60" s="68">
        <v>85.9</v>
      </c>
      <c r="Z60" s="68">
        <v>94.8</v>
      </c>
      <c r="AA60" s="68">
        <v>91.2</v>
      </c>
      <c r="AB60" s="68">
        <v>91.2</v>
      </c>
      <c r="AC60" s="68">
        <v>91.2</v>
      </c>
      <c r="AD60" s="68">
        <f>57.8+20.3</f>
        <v>78.099999999999994</v>
      </c>
      <c r="AE60" s="68"/>
      <c r="AF60" s="68"/>
      <c r="AG60" s="66">
        <v>240</v>
      </c>
      <c r="AH60" s="48">
        <f t="shared" si="2"/>
        <v>127</v>
      </c>
      <c r="AI60" s="49">
        <f t="shared" si="3"/>
        <v>76.2</v>
      </c>
      <c r="AK60" s="51"/>
    </row>
    <row r="61" spans="1:88" ht="15.75" thickBot="1" x14ac:dyDescent="0.3">
      <c r="A61" s="70" t="s">
        <v>75</v>
      </c>
      <c r="B61" s="71">
        <f t="shared" ref="B61:D61" si="20">SUM(B11:B59)</f>
        <v>847.8</v>
      </c>
      <c r="C61" s="71">
        <f t="shared" si="20"/>
        <v>847.8</v>
      </c>
      <c r="D61" s="71">
        <f t="shared" si="20"/>
        <v>847.8</v>
      </c>
      <c r="E61" s="71">
        <f t="shared" ref="E61:AG61" si="21">SUM(E11:E59)</f>
        <v>802.8</v>
      </c>
      <c r="F61" s="71">
        <f t="shared" si="21"/>
        <v>847.8</v>
      </c>
      <c r="G61" s="71">
        <f t="shared" ref="G61" si="22">SUM(G11:G59)</f>
        <v>847.8</v>
      </c>
      <c r="H61" s="71">
        <f t="shared" si="21"/>
        <v>834.5</v>
      </c>
      <c r="I61" s="71">
        <f t="shared" si="21"/>
        <v>834.5</v>
      </c>
      <c r="J61" s="71">
        <f t="shared" si="21"/>
        <v>834.5</v>
      </c>
      <c r="K61" s="71">
        <f t="shared" si="21"/>
        <v>834.5</v>
      </c>
      <c r="L61" s="71">
        <f t="shared" si="21"/>
        <v>834.5</v>
      </c>
      <c r="M61" s="71">
        <f t="shared" si="21"/>
        <v>834.5</v>
      </c>
      <c r="N61" s="71">
        <f t="shared" si="21"/>
        <v>834.5</v>
      </c>
      <c r="O61" s="71">
        <f t="shared" si="21"/>
        <v>834.5</v>
      </c>
      <c r="P61" s="71">
        <f t="shared" si="21"/>
        <v>834.5</v>
      </c>
      <c r="Q61" s="71">
        <f t="shared" si="21"/>
        <v>842.80000000000007</v>
      </c>
      <c r="R61" s="71">
        <f t="shared" si="21"/>
        <v>842.80000000000007</v>
      </c>
      <c r="S61" s="71">
        <f t="shared" ref="S61:T61" si="23">SUM(S11:S59)</f>
        <v>842.80000000000007</v>
      </c>
      <c r="T61" s="71">
        <f t="shared" si="23"/>
        <v>842.80000000000007</v>
      </c>
      <c r="U61" s="71">
        <f t="shared" ref="U61:V61" si="24">SUM(U11:U59)</f>
        <v>842.80000000000007</v>
      </c>
      <c r="V61" s="71">
        <f t="shared" si="24"/>
        <v>842.80000000000007</v>
      </c>
      <c r="W61" s="71">
        <f t="shared" ref="W61:X61" si="25">SUM(W11:W59)</f>
        <v>842.80000000000007</v>
      </c>
      <c r="X61" s="71">
        <f t="shared" si="25"/>
        <v>842.80000000000007</v>
      </c>
      <c r="Y61" s="71">
        <f t="shared" ref="Y61:AA61" si="26">SUM(Y11:Y59)</f>
        <v>842.80000000000007</v>
      </c>
      <c r="Z61" s="71">
        <f t="shared" si="26"/>
        <v>862.80000000000007</v>
      </c>
      <c r="AA61" s="71">
        <f t="shared" si="26"/>
        <v>911.80000000000007</v>
      </c>
      <c r="AB61" s="71">
        <f t="shared" si="21"/>
        <v>890.8</v>
      </c>
      <c r="AC61" s="71">
        <f t="shared" si="21"/>
        <v>890.8</v>
      </c>
      <c r="AD61" s="71">
        <f t="shared" si="21"/>
        <v>890.8</v>
      </c>
      <c r="AE61" s="71">
        <f t="shared" si="21"/>
        <v>150</v>
      </c>
      <c r="AF61" s="71">
        <f t="shared" si="21"/>
        <v>150</v>
      </c>
      <c r="AG61" s="71">
        <f t="shared" si="21"/>
        <v>1466.0300000000002</v>
      </c>
      <c r="AH61" s="48">
        <f t="shared" si="2"/>
        <v>911.80000000000007</v>
      </c>
      <c r="AI61" s="49">
        <f t="shared" si="3"/>
        <v>150</v>
      </c>
      <c r="AK61" s="51"/>
    </row>
    <row r="62" spans="1:88" x14ac:dyDescent="0.25">
      <c r="A62" s="73" t="s">
        <v>76</v>
      </c>
      <c r="B62" s="46">
        <v>458</v>
      </c>
      <c r="C62" s="46">
        <v>458</v>
      </c>
      <c r="D62" s="46">
        <v>458</v>
      </c>
      <c r="E62" s="46">
        <v>458</v>
      </c>
      <c r="F62" s="46">
        <v>458</v>
      </c>
      <c r="G62" s="46">
        <v>458</v>
      </c>
      <c r="H62" s="46">
        <v>458</v>
      </c>
      <c r="I62" s="46">
        <v>458</v>
      </c>
      <c r="J62" s="46">
        <v>458</v>
      </c>
      <c r="K62" s="46">
        <v>458</v>
      </c>
      <c r="L62" s="46">
        <v>458</v>
      </c>
      <c r="M62" s="46">
        <v>458</v>
      </c>
      <c r="N62" s="46">
        <v>458</v>
      </c>
      <c r="O62" s="46">
        <v>458</v>
      </c>
      <c r="P62" s="46">
        <v>458</v>
      </c>
      <c r="Q62" s="74">
        <v>458</v>
      </c>
      <c r="R62" s="74">
        <v>458</v>
      </c>
      <c r="S62" s="74">
        <v>458</v>
      </c>
      <c r="T62" s="74">
        <v>458</v>
      </c>
      <c r="U62" s="74">
        <v>458</v>
      </c>
      <c r="V62" s="74">
        <v>458</v>
      </c>
      <c r="W62" s="74">
        <v>458</v>
      </c>
      <c r="X62" s="74">
        <v>458</v>
      </c>
      <c r="Y62" s="74">
        <v>458</v>
      </c>
      <c r="Z62" s="74">
        <v>458</v>
      </c>
      <c r="AA62" s="46">
        <v>458</v>
      </c>
      <c r="AB62" s="46">
        <v>458.1</v>
      </c>
      <c r="AC62" s="46">
        <v>458</v>
      </c>
      <c r="AD62" s="46">
        <v>458</v>
      </c>
      <c r="AE62" s="46"/>
      <c r="AF62" s="46"/>
      <c r="AG62" s="61">
        <v>456</v>
      </c>
      <c r="AH62" s="48">
        <f t="shared" si="2"/>
        <v>458.1</v>
      </c>
      <c r="AI62" s="49">
        <f t="shared" si="3"/>
        <v>458</v>
      </c>
      <c r="AK62" s="51"/>
    </row>
    <row r="63" spans="1:88" x14ac:dyDescent="0.25">
      <c r="A63" s="75" t="s">
        <v>77</v>
      </c>
      <c r="B63" s="76">
        <v>32</v>
      </c>
      <c r="C63" s="76">
        <v>32</v>
      </c>
      <c r="D63" s="76">
        <v>32</v>
      </c>
      <c r="E63" s="76">
        <v>32</v>
      </c>
      <c r="F63" s="76">
        <v>32</v>
      </c>
      <c r="G63" s="76">
        <v>32</v>
      </c>
      <c r="H63" s="76">
        <v>32</v>
      </c>
      <c r="I63" s="76">
        <v>32</v>
      </c>
      <c r="J63" s="76">
        <v>32</v>
      </c>
      <c r="K63" s="76">
        <v>32</v>
      </c>
      <c r="L63" s="76">
        <v>32</v>
      </c>
      <c r="M63" s="76">
        <v>32</v>
      </c>
      <c r="N63" s="76">
        <v>32</v>
      </c>
      <c r="O63" s="76">
        <v>32</v>
      </c>
      <c r="P63" s="76">
        <v>32</v>
      </c>
      <c r="Q63" s="76">
        <v>32</v>
      </c>
      <c r="R63" s="76">
        <v>32</v>
      </c>
      <c r="S63" s="76">
        <v>32</v>
      </c>
      <c r="T63" s="76">
        <v>32</v>
      </c>
      <c r="U63" s="76">
        <v>32</v>
      </c>
      <c r="V63" s="76">
        <v>32</v>
      </c>
      <c r="W63" s="76">
        <v>32</v>
      </c>
      <c r="X63" s="76">
        <v>32</v>
      </c>
      <c r="Y63" s="76">
        <v>32</v>
      </c>
      <c r="Z63" s="76">
        <v>32</v>
      </c>
      <c r="AA63" s="76">
        <v>32</v>
      </c>
      <c r="AB63" s="76">
        <v>32</v>
      </c>
      <c r="AC63" s="76">
        <v>32</v>
      </c>
      <c r="AD63" s="76">
        <v>32</v>
      </c>
      <c r="AE63" s="76"/>
      <c r="AF63" s="76"/>
      <c r="AG63" s="66">
        <v>60</v>
      </c>
      <c r="AH63" s="48">
        <f t="shared" si="2"/>
        <v>32</v>
      </c>
      <c r="AI63" s="49">
        <f t="shared" si="3"/>
        <v>32</v>
      </c>
      <c r="AK63" s="51"/>
    </row>
    <row r="64" spans="1:88" ht="15.75" thickBot="1" x14ac:dyDescent="0.3">
      <c r="A64" s="77" t="s">
        <v>78</v>
      </c>
      <c r="B64" s="78">
        <v>22.6</v>
      </c>
      <c r="C64" s="78">
        <v>22.6</v>
      </c>
      <c r="D64" s="78">
        <v>22.6</v>
      </c>
      <c r="E64" s="78">
        <v>22.6</v>
      </c>
      <c r="F64" s="78">
        <v>22.6</v>
      </c>
      <c r="G64" s="78">
        <v>22.6</v>
      </c>
      <c r="H64" s="78">
        <v>22.6</v>
      </c>
      <c r="I64" s="78">
        <v>22.6</v>
      </c>
      <c r="J64" s="78">
        <v>22.6</v>
      </c>
      <c r="K64" s="78">
        <v>22.6</v>
      </c>
      <c r="L64" s="78">
        <v>22.6</v>
      </c>
      <c r="M64" s="78">
        <v>22.6</v>
      </c>
      <c r="N64" s="78">
        <v>22.6</v>
      </c>
      <c r="O64" s="78">
        <v>22.6</v>
      </c>
      <c r="P64" s="78">
        <v>22.6</v>
      </c>
      <c r="Q64" s="78">
        <v>22.6</v>
      </c>
      <c r="R64" s="78">
        <v>22.6</v>
      </c>
      <c r="S64" s="78">
        <v>22.6</v>
      </c>
      <c r="T64" s="78">
        <v>22.6</v>
      </c>
      <c r="U64" s="78">
        <v>22.6</v>
      </c>
      <c r="V64" s="78">
        <v>22.6</v>
      </c>
      <c r="W64" s="78">
        <v>22.6</v>
      </c>
      <c r="X64" s="78">
        <v>22.6</v>
      </c>
      <c r="Y64" s="78">
        <v>22.6</v>
      </c>
      <c r="Z64" s="78">
        <v>22.6</v>
      </c>
      <c r="AA64" s="78">
        <v>22.6</v>
      </c>
      <c r="AB64" s="78">
        <v>22.1</v>
      </c>
      <c r="AC64" s="78">
        <v>22.4</v>
      </c>
      <c r="AD64" s="78">
        <v>22.6</v>
      </c>
      <c r="AE64" s="78"/>
      <c r="AF64" s="78"/>
      <c r="AG64" s="79">
        <v>22.1</v>
      </c>
      <c r="AH64" s="48">
        <f t="shared" si="2"/>
        <v>22.6</v>
      </c>
      <c r="AI64" s="49">
        <f t="shared" si="3"/>
        <v>22.1</v>
      </c>
      <c r="AK64" s="51"/>
    </row>
    <row r="65" spans="1:75" ht="15.75" thickBot="1" x14ac:dyDescent="0.3">
      <c r="A65" s="80" t="s">
        <v>79</v>
      </c>
      <c r="B65" s="71">
        <f t="shared" ref="B65:D65" si="27">SUM(B62:B64)</f>
        <v>512.6</v>
      </c>
      <c r="C65" s="71">
        <f t="shared" si="27"/>
        <v>512.6</v>
      </c>
      <c r="D65" s="71">
        <f t="shared" si="27"/>
        <v>512.6</v>
      </c>
      <c r="E65" s="71">
        <f t="shared" ref="E65:AG65" si="28">SUM(E62:E64)</f>
        <v>512.6</v>
      </c>
      <c r="F65" s="71">
        <f t="shared" si="28"/>
        <v>512.6</v>
      </c>
      <c r="G65" s="71">
        <f t="shared" ref="G65" si="29">SUM(G62:G64)</f>
        <v>512.6</v>
      </c>
      <c r="H65" s="71">
        <f t="shared" si="28"/>
        <v>512.6</v>
      </c>
      <c r="I65" s="71">
        <f t="shared" si="28"/>
        <v>512.6</v>
      </c>
      <c r="J65" s="71">
        <f t="shared" si="28"/>
        <v>512.6</v>
      </c>
      <c r="K65" s="71">
        <f t="shared" si="28"/>
        <v>512.6</v>
      </c>
      <c r="L65" s="71">
        <f t="shared" si="28"/>
        <v>512.6</v>
      </c>
      <c r="M65" s="71">
        <f t="shared" si="28"/>
        <v>512.6</v>
      </c>
      <c r="N65" s="71">
        <f t="shared" si="28"/>
        <v>512.6</v>
      </c>
      <c r="O65" s="71">
        <f t="shared" si="28"/>
        <v>512.6</v>
      </c>
      <c r="P65" s="71">
        <f t="shared" si="28"/>
        <v>512.6</v>
      </c>
      <c r="Q65" s="71">
        <f t="shared" si="28"/>
        <v>512.6</v>
      </c>
      <c r="R65" s="71">
        <f t="shared" si="28"/>
        <v>512.6</v>
      </c>
      <c r="S65" s="71">
        <f t="shared" ref="S65:T65" si="30">SUM(S62:S64)</f>
        <v>512.6</v>
      </c>
      <c r="T65" s="71">
        <f t="shared" si="30"/>
        <v>512.6</v>
      </c>
      <c r="U65" s="71">
        <f t="shared" ref="U65:V65" si="31">SUM(U62:U64)</f>
        <v>512.6</v>
      </c>
      <c r="V65" s="71">
        <f t="shared" si="31"/>
        <v>512.6</v>
      </c>
      <c r="W65" s="71">
        <f t="shared" ref="W65:X65" si="32">SUM(W62:W64)</f>
        <v>512.6</v>
      </c>
      <c r="X65" s="71">
        <f t="shared" si="32"/>
        <v>512.6</v>
      </c>
      <c r="Y65" s="71">
        <f t="shared" ref="Y65:AA65" si="33">SUM(Y62:Y64)</f>
        <v>512.6</v>
      </c>
      <c r="Z65" s="71">
        <f t="shared" si="33"/>
        <v>512.6</v>
      </c>
      <c r="AA65" s="71">
        <f t="shared" si="33"/>
        <v>512.6</v>
      </c>
      <c r="AB65" s="71">
        <f t="shared" si="28"/>
        <v>512.20000000000005</v>
      </c>
      <c r="AC65" s="71">
        <f t="shared" si="28"/>
        <v>512.4</v>
      </c>
      <c r="AD65" s="71">
        <f t="shared" si="28"/>
        <v>512.6</v>
      </c>
      <c r="AE65" s="71">
        <f t="shared" si="28"/>
        <v>0</v>
      </c>
      <c r="AF65" s="71">
        <f t="shared" si="28"/>
        <v>0</v>
      </c>
      <c r="AG65" s="72">
        <f t="shared" si="28"/>
        <v>538.1</v>
      </c>
      <c r="AH65" s="48">
        <f t="shared" si="2"/>
        <v>512.6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>
        <v>145.19999999999999</v>
      </c>
      <c r="C66" s="46">
        <v>145.19999999999999</v>
      </c>
      <c r="D66" s="46">
        <v>145.19999999999999</v>
      </c>
      <c r="E66" s="46">
        <v>145.19999999999999</v>
      </c>
      <c r="F66" s="46">
        <v>145.19999999999999</v>
      </c>
      <c r="G66" s="46">
        <v>145.19999999999999</v>
      </c>
      <c r="H66" s="46">
        <v>145.19999999999999</v>
      </c>
      <c r="I66" s="46">
        <v>145.19999999999999</v>
      </c>
      <c r="J66" s="46">
        <v>145.19999999999999</v>
      </c>
      <c r="K66" s="46">
        <v>145.19999999999999</v>
      </c>
      <c r="L66" s="46">
        <v>145.19999999999999</v>
      </c>
      <c r="M66" s="46">
        <v>145.19999999999999</v>
      </c>
      <c r="N66" s="46">
        <v>145.19999999999999</v>
      </c>
      <c r="O66" s="46">
        <v>145.19999999999999</v>
      </c>
      <c r="P66" s="46">
        <v>145.19999999999999</v>
      </c>
      <c r="Q66" s="46">
        <v>145.19999999999999</v>
      </c>
      <c r="R66" s="46">
        <v>145.19999999999999</v>
      </c>
      <c r="S66" s="46">
        <v>145.19999999999999</v>
      </c>
      <c r="T66" s="46">
        <v>145.19999999999999</v>
      </c>
      <c r="U66" s="46">
        <v>145.19999999999999</v>
      </c>
      <c r="V66" s="46">
        <v>145.19999999999999</v>
      </c>
      <c r="W66" s="46">
        <v>145.19999999999999</v>
      </c>
      <c r="X66" s="46">
        <v>145.19999999999999</v>
      </c>
      <c r="Y66" s="46">
        <v>145.19999999999999</v>
      </c>
      <c r="Z66" s="46">
        <v>145.19999999999999</v>
      </c>
      <c r="AA66" s="46">
        <v>145.19999999999999</v>
      </c>
      <c r="AB66" s="46">
        <v>145.19999999999999</v>
      </c>
      <c r="AC66" s="46">
        <v>145.19999999999999</v>
      </c>
      <c r="AD66" s="46">
        <v>145.19999999999999</v>
      </c>
      <c r="AE66" s="46"/>
      <c r="AF66" s="46"/>
      <c r="AG66" s="61">
        <v>144</v>
      </c>
      <c r="AH66" s="48">
        <f t="shared" si="2"/>
        <v>145.19999999999999</v>
      </c>
      <c r="AI66" s="49">
        <f t="shared" si="3"/>
        <v>145.19999999999999</v>
      </c>
      <c r="AK66" s="51"/>
      <c r="AY66" s="1" t="s">
        <v>86</v>
      </c>
      <c r="AZ66" s="82">
        <f>ROUND(C84,0)</f>
        <v>28</v>
      </c>
      <c r="BA66" s="81">
        <f t="shared" ref="BA66:BD70" si="34">D84</f>
        <v>27</v>
      </c>
      <c r="BB66" s="81">
        <f t="shared" si="34"/>
        <v>28</v>
      </c>
      <c r="BC66" s="81">
        <f t="shared" si="34"/>
        <v>20.9</v>
      </c>
      <c r="BD66" s="81">
        <f t="shared" si="34"/>
        <v>16.3</v>
      </c>
      <c r="BE66" s="82">
        <f>I84</f>
        <v>39</v>
      </c>
      <c r="BF66" s="82">
        <f>K84</f>
        <v>39</v>
      </c>
      <c r="BG66" s="82">
        <f t="shared" ref="BG66:BP70" si="35">M84</f>
        <v>71.5</v>
      </c>
      <c r="BH66" s="82">
        <f t="shared" si="35"/>
        <v>61</v>
      </c>
      <c r="BI66" s="82">
        <f t="shared" si="35"/>
        <v>58.9</v>
      </c>
      <c r="BJ66" s="82">
        <f t="shared" si="35"/>
        <v>49</v>
      </c>
      <c r="BK66" s="82">
        <f t="shared" si="35"/>
        <v>55.3</v>
      </c>
      <c r="BL66" s="82">
        <f t="shared" si="35"/>
        <v>60.1</v>
      </c>
      <c r="BM66" s="82">
        <f t="shared" si="35"/>
        <v>64.7</v>
      </c>
      <c r="BN66" s="82">
        <f t="shared" si="35"/>
        <v>64</v>
      </c>
      <c r="BO66" s="82">
        <f t="shared" si="35"/>
        <v>60.7</v>
      </c>
      <c r="BP66" s="82">
        <f t="shared" si="35"/>
        <v>69.900000000000006</v>
      </c>
      <c r="BQ66" s="82">
        <f>X84</f>
        <v>32.9</v>
      </c>
      <c r="BR66" s="82">
        <f>Z84</f>
        <v>20.7</v>
      </c>
      <c r="BS66" s="81">
        <f>AB84</f>
        <v>2.9</v>
      </c>
      <c r="BT66" s="81">
        <f t="shared" ref="BT66:BV70" si="36">AD84</f>
        <v>26.8</v>
      </c>
      <c r="BU66" s="81">
        <f t="shared" si="36"/>
        <v>0</v>
      </c>
      <c r="BV66" s="81">
        <f t="shared" si="36"/>
        <v>0</v>
      </c>
      <c r="BW66" s="81">
        <f>B84</f>
        <v>28</v>
      </c>
    </row>
    <row r="67" spans="1:75" x14ac:dyDescent="0.25">
      <c r="A67" s="65" t="s">
        <v>81</v>
      </c>
      <c r="B67" s="76">
        <v>69.8</v>
      </c>
      <c r="C67" s="76">
        <v>69.8</v>
      </c>
      <c r="D67" s="76">
        <v>69.8</v>
      </c>
      <c r="E67" s="76">
        <v>69.8</v>
      </c>
      <c r="F67" s="76">
        <v>69.8</v>
      </c>
      <c r="G67" s="76">
        <v>69.8</v>
      </c>
      <c r="H67" s="76">
        <v>69.8</v>
      </c>
      <c r="I67" s="76">
        <v>69.8</v>
      </c>
      <c r="J67" s="76">
        <v>69.8</v>
      </c>
      <c r="K67" s="76">
        <v>69.8</v>
      </c>
      <c r="L67" s="76">
        <v>69.8</v>
      </c>
      <c r="M67" s="76">
        <v>69.8</v>
      </c>
      <c r="N67" s="76">
        <v>69.8</v>
      </c>
      <c r="O67" s="76">
        <v>69.8</v>
      </c>
      <c r="P67" s="76">
        <v>69.8</v>
      </c>
      <c r="Q67" s="76">
        <v>69.8</v>
      </c>
      <c r="R67" s="76">
        <v>69.8</v>
      </c>
      <c r="S67" s="76">
        <v>69.8</v>
      </c>
      <c r="T67" s="76">
        <v>69.8</v>
      </c>
      <c r="U67" s="76">
        <v>69.8</v>
      </c>
      <c r="V67" s="76">
        <v>69.8</v>
      </c>
      <c r="W67" s="76">
        <v>69.8</v>
      </c>
      <c r="X67" s="76">
        <v>69.8</v>
      </c>
      <c r="Y67" s="76">
        <v>69.8</v>
      </c>
      <c r="Z67" s="76">
        <v>69.8</v>
      </c>
      <c r="AA67" s="46">
        <v>69.8</v>
      </c>
      <c r="AB67" s="46">
        <v>69.8</v>
      </c>
      <c r="AC67" s="46">
        <v>69.8</v>
      </c>
      <c r="AD67" s="46">
        <v>69.8</v>
      </c>
      <c r="AE67" s="46"/>
      <c r="AF67" s="46"/>
      <c r="AG67" s="66">
        <v>70</v>
      </c>
      <c r="AH67" s="48">
        <f t="shared" si="2"/>
        <v>69.8</v>
      </c>
      <c r="AI67" s="49">
        <f t="shared" si="3"/>
        <v>69.8</v>
      </c>
      <c r="AK67" s="51"/>
      <c r="AY67" s="1" t="s">
        <v>88</v>
      </c>
      <c r="AZ67" s="82">
        <f>ROUND(C85,0)</f>
        <v>0</v>
      </c>
      <c r="BA67" s="81">
        <f t="shared" si="34"/>
        <v>0</v>
      </c>
      <c r="BB67" s="81">
        <f t="shared" si="34"/>
        <v>0</v>
      </c>
      <c r="BC67" s="81">
        <f t="shared" si="34"/>
        <v>0</v>
      </c>
      <c r="BD67" s="81">
        <f t="shared" si="34"/>
        <v>0</v>
      </c>
      <c r="BE67" s="82">
        <f>I85</f>
        <v>0</v>
      </c>
      <c r="BF67" s="82">
        <f>K85</f>
        <v>0</v>
      </c>
      <c r="BG67" s="82">
        <f t="shared" si="35"/>
        <v>0</v>
      </c>
      <c r="BH67" s="82">
        <f t="shared" si="35"/>
        <v>0</v>
      </c>
      <c r="BI67" s="82">
        <f t="shared" si="35"/>
        <v>0</v>
      </c>
      <c r="BJ67" s="82">
        <f t="shared" si="35"/>
        <v>0</v>
      </c>
      <c r="BK67" s="82">
        <f t="shared" si="35"/>
        <v>0</v>
      </c>
      <c r="BL67" s="82">
        <f t="shared" si="35"/>
        <v>0</v>
      </c>
      <c r="BM67" s="82">
        <f t="shared" si="35"/>
        <v>0</v>
      </c>
      <c r="BN67" s="82">
        <f t="shared" si="35"/>
        <v>0</v>
      </c>
      <c r="BO67" s="82">
        <f t="shared" si="35"/>
        <v>0</v>
      </c>
      <c r="BP67" s="82">
        <f t="shared" si="35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36"/>
        <v>0</v>
      </c>
      <c r="BU67" s="81">
        <f t="shared" si="36"/>
        <v>0</v>
      </c>
      <c r="BV67" s="81">
        <f t="shared" si="36"/>
        <v>0</v>
      </c>
      <c r="BW67" s="81">
        <f>B85</f>
        <v>0</v>
      </c>
    </row>
    <row r="68" spans="1:75" x14ac:dyDescent="0.25">
      <c r="A68" s="65" t="s">
        <v>82</v>
      </c>
      <c r="B68" s="76">
        <v>67.599999999999994</v>
      </c>
      <c r="C68" s="76">
        <v>67.599999999999994</v>
      </c>
      <c r="D68" s="76">
        <v>67.599999999999994</v>
      </c>
      <c r="E68" s="76">
        <v>67.599999999999994</v>
      </c>
      <c r="F68" s="76">
        <v>67.599999999999994</v>
      </c>
      <c r="G68" s="76">
        <v>67.599999999999994</v>
      </c>
      <c r="H68" s="76">
        <v>67.599999999999994</v>
      </c>
      <c r="I68" s="76">
        <v>67.599999999999994</v>
      </c>
      <c r="J68" s="76">
        <v>67.599999999999994</v>
      </c>
      <c r="K68" s="76">
        <v>67.599999999999994</v>
      </c>
      <c r="L68" s="76">
        <v>67.599999999999994</v>
      </c>
      <c r="M68" s="76">
        <v>67.599999999999994</v>
      </c>
      <c r="N68" s="76">
        <v>67.599999999999994</v>
      </c>
      <c r="O68" s="76">
        <v>67.599999999999994</v>
      </c>
      <c r="P68" s="76">
        <v>67.599999999999994</v>
      </c>
      <c r="Q68" s="76">
        <v>67.599999999999994</v>
      </c>
      <c r="R68" s="76">
        <v>67.599999999999994</v>
      </c>
      <c r="S68" s="76">
        <v>67.599999999999994</v>
      </c>
      <c r="T68" s="76">
        <v>67.599999999999994</v>
      </c>
      <c r="U68" s="76">
        <v>67.599999999999994</v>
      </c>
      <c r="V68" s="76">
        <v>67.599999999999994</v>
      </c>
      <c r="W68" s="76">
        <v>67.599999999999994</v>
      </c>
      <c r="X68" s="76">
        <v>67.599999999999994</v>
      </c>
      <c r="Y68" s="76">
        <v>67.599999999999994</v>
      </c>
      <c r="Z68" s="76">
        <v>67.599999999999994</v>
      </c>
      <c r="AA68" s="46">
        <v>67.599999999999994</v>
      </c>
      <c r="AB68" s="46">
        <v>67.599999999999994</v>
      </c>
      <c r="AC68" s="46">
        <v>67.599999999999994</v>
      </c>
      <c r="AD68" s="46">
        <v>67.599999999999994</v>
      </c>
      <c r="AE68" s="46"/>
      <c r="AF68" s="46"/>
      <c r="AG68" s="66">
        <v>69</v>
      </c>
      <c r="AH68" s="48">
        <f t="shared" si="2"/>
        <v>67.599999999999994</v>
      </c>
      <c r="AI68" s="49">
        <f t="shared" si="3"/>
        <v>67.599999999999994</v>
      </c>
      <c r="AK68" s="51"/>
      <c r="AL68" s="83"/>
      <c r="AO68" s="83"/>
      <c r="AY68" s="1" t="s">
        <v>90</v>
      </c>
      <c r="AZ68" s="82">
        <f>ROUND(C86,0)</f>
        <v>-240</v>
      </c>
      <c r="BA68" s="81">
        <f t="shared" si="34"/>
        <v>-286</v>
      </c>
      <c r="BB68" s="81">
        <f t="shared" si="34"/>
        <v>-318</v>
      </c>
      <c r="BC68" s="81">
        <f t="shared" si="34"/>
        <v>-360</v>
      </c>
      <c r="BD68" s="81">
        <f t="shared" si="34"/>
        <v>-420</v>
      </c>
      <c r="BE68" s="82">
        <f>I86</f>
        <v>-350</v>
      </c>
      <c r="BF68" s="82">
        <f>K86</f>
        <v>-390</v>
      </c>
      <c r="BG68" s="82">
        <f t="shared" si="35"/>
        <v>-360</v>
      </c>
      <c r="BH68" s="82">
        <f t="shared" si="35"/>
        <v>-340</v>
      </c>
      <c r="BI68" s="82">
        <f t="shared" si="35"/>
        <v>-340</v>
      </c>
      <c r="BJ68" s="82">
        <f t="shared" si="35"/>
        <v>-325</v>
      </c>
      <c r="BK68" s="82">
        <f t="shared" si="35"/>
        <v>-340</v>
      </c>
      <c r="BL68" s="82">
        <f t="shared" si="35"/>
        <v>-344</v>
      </c>
      <c r="BM68" s="82">
        <f t="shared" si="35"/>
        <v>-216.3</v>
      </c>
      <c r="BN68" s="82">
        <f t="shared" si="35"/>
        <v>-314.8</v>
      </c>
      <c r="BO68" s="82">
        <f t="shared" si="35"/>
        <v>-297.10000000000002</v>
      </c>
      <c r="BP68" s="82">
        <f t="shared" si="35"/>
        <v>-266.7</v>
      </c>
      <c r="BQ68" s="82">
        <f>X86</f>
        <v>-393.1</v>
      </c>
      <c r="BR68" s="82">
        <f>Z86</f>
        <v>-166.1</v>
      </c>
      <c r="BS68" s="81">
        <f>AB86</f>
        <v>-197</v>
      </c>
      <c r="BT68" s="81">
        <f t="shared" si="36"/>
        <v>-172.1</v>
      </c>
      <c r="BU68" s="81">
        <f t="shared" si="36"/>
        <v>0</v>
      </c>
      <c r="BV68" s="81">
        <f t="shared" si="36"/>
        <v>0</v>
      </c>
      <c r="BW68" s="81">
        <f>B86</f>
        <v>-251</v>
      </c>
    </row>
    <row r="69" spans="1:75" s="83" customFormat="1" x14ac:dyDescent="0.25">
      <c r="A69" s="65" t="s">
        <v>83</v>
      </c>
      <c r="B69" s="76">
        <v>57.4</v>
      </c>
      <c r="C69" s="76">
        <v>57.4</v>
      </c>
      <c r="D69" s="76">
        <v>57.4</v>
      </c>
      <c r="E69" s="76">
        <v>57.4</v>
      </c>
      <c r="F69" s="76">
        <v>57.4</v>
      </c>
      <c r="G69" s="76">
        <v>57.4</v>
      </c>
      <c r="H69" s="76">
        <v>57.4</v>
      </c>
      <c r="I69" s="76">
        <v>57.4</v>
      </c>
      <c r="J69" s="76">
        <v>57.4</v>
      </c>
      <c r="K69" s="76">
        <v>57.4</v>
      </c>
      <c r="L69" s="76">
        <v>57.4</v>
      </c>
      <c r="M69" s="76">
        <v>57.4</v>
      </c>
      <c r="N69" s="76">
        <v>57.4</v>
      </c>
      <c r="O69" s="76">
        <v>57.4</v>
      </c>
      <c r="P69" s="76">
        <v>57.4</v>
      </c>
      <c r="Q69" s="76">
        <v>57.4</v>
      </c>
      <c r="R69" s="76">
        <v>57.4</v>
      </c>
      <c r="S69" s="76">
        <v>57.4</v>
      </c>
      <c r="T69" s="76">
        <v>57.4</v>
      </c>
      <c r="U69" s="76">
        <v>57.4</v>
      </c>
      <c r="V69" s="76">
        <v>57.4</v>
      </c>
      <c r="W69" s="76">
        <v>57.4</v>
      </c>
      <c r="X69" s="76">
        <v>57.4</v>
      </c>
      <c r="Y69" s="76">
        <v>57.4</v>
      </c>
      <c r="Z69" s="76">
        <v>57.4</v>
      </c>
      <c r="AA69" s="46">
        <v>57.4</v>
      </c>
      <c r="AB69" s="46">
        <v>57.4</v>
      </c>
      <c r="AC69" s="46">
        <v>57.4</v>
      </c>
      <c r="AD69" s="46">
        <v>57.4</v>
      </c>
      <c r="AE69" s="46"/>
      <c r="AF69" s="46"/>
      <c r="AG69" s="66">
        <v>60</v>
      </c>
      <c r="AH69" s="48">
        <f t="shared" si="2"/>
        <v>57.4</v>
      </c>
      <c r="AI69" s="49">
        <f t="shared" si="3"/>
        <v>57.4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34"/>
        <v>0</v>
      </c>
      <c r="BB69" s="81">
        <f t="shared" si="34"/>
        <v>0</v>
      </c>
      <c r="BC69" s="81">
        <f t="shared" si="34"/>
        <v>0</v>
      </c>
      <c r="BD69" s="81">
        <f t="shared" si="34"/>
        <v>0</v>
      </c>
      <c r="BE69" s="82">
        <f>I87</f>
        <v>0</v>
      </c>
      <c r="BF69" s="82">
        <f>K87</f>
        <v>0</v>
      </c>
      <c r="BG69" s="82">
        <f t="shared" si="35"/>
        <v>30</v>
      </c>
      <c r="BH69" s="82">
        <f t="shared" si="35"/>
        <v>30</v>
      </c>
      <c r="BI69" s="82">
        <f t="shared" si="35"/>
        <v>31.4</v>
      </c>
      <c r="BJ69" s="82">
        <f t="shared" si="35"/>
        <v>31</v>
      </c>
      <c r="BK69" s="82">
        <f t="shared" si="35"/>
        <v>29.5</v>
      </c>
      <c r="BL69" s="82">
        <f t="shared" si="35"/>
        <v>41.4</v>
      </c>
      <c r="BM69" s="82">
        <f t="shared" si="35"/>
        <v>47.9</v>
      </c>
      <c r="BN69" s="82">
        <f t="shared" si="35"/>
        <v>40.799999999999997</v>
      </c>
      <c r="BO69" s="82">
        <f t="shared" si="35"/>
        <v>41.2</v>
      </c>
      <c r="BP69" s="82">
        <f t="shared" si="35"/>
        <v>39</v>
      </c>
      <c r="BQ69" s="82">
        <f>X87</f>
        <v>39.6</v>
      </c>
      <c r="BR69" s="82">
        <f>Z87</f>
        <v>0</v>
      </c>
      <c r="BS69" s="81">
        <f>AB87</f>
        <v>0</v>
      </c>
      <c r="BT69" s="81">
        <f t="shared" si="36"/>
        <v>0</v>
      </c>
      <c r="BU69" s="81">
        <f t="shared" si="36"/>
        <v>0</v>
      </c>
      <c r="BV69" s="81">
        <f t="shared" si="36"/>
        <v>0</v>
      </c>
      <c r="BW69" s="81">
        <f>B87</f>
        <v>0</v>
      </c>
    </row>
    <row r="70" spans="1:75" x14ac:dyDescent="0.25">
      <c r="A70" s="65" t="s">
        <v>84</v>
      </c>
      <c r="B70" s="46">
        <v>14.4</v>
      </c>
      <c r="C70" s="46">
        <v>14.4</v>
      </c>
      <c r="D70" s="46">
        <v>14.4</v>
      </c>
      <c r="E70" s="46">
        <v>14.4</v>
      </c>
      <c r="F70" s="46">
        <v>10</v>
      </c>
      <c r="G70" s="46">
        <v>10</v>
      </c>
      <c r="H70" s="46">
        <v>10</v>
      </c>
      <c r="I70" s="46">
        <v>10</v>
      </c>
      <c r="J70" s="46">
        <v>10</v>
      </c>
      <c r="K70" s="46">
        <v>10</v>
      </c>
      <c r="L70" s="46">
        <v>10</v>
      </c>
      <c r="M70" s="46">
        <v>10</v>
      </c>
      <c r="N70" s="46">
        <v>10</v>
      </c>
      <c r="O70" s="46">
        <v>28</v>
      </c>
      <c r="P70" s="46">
        <v>28</v>
      </c>
      <c r="Q70" s="46">
        <v>28</v>
      </c>
      <c r="R70" s="46">
        <v>28</v>
      </c>
      <c r="S70" s="46">
        <v>9.8000000000000007</v>
      </c>
      <c r="T70" s="46">
        <v>9.8000000000000007</v>
      </c>
      <c r="U70" s="46">
        <v>9.8000000000000007</v>
      </c>
      <c r="V70" s="46">
        <v>9.8000000000000007</v>
      </c>
      <c r="W70" s="46">
        <v>26.4</v>
      </c>
      <c r="X70" s="46">
        <v>26.4</v>
      </c>
      <c r="Y70" s="46">
        <v>10.1</v>
      </c>
      <c r="Z70" s="46">
        <v>10.1</v>
      </c>
      <c r="AA70" s="46">
        <v>10.1</v>
      </c>
      <c r="AB70" s="46">
        <v>22.1</v>
      </c>
      <c r="AC70" s="46">
        <v>22.1</v>
      </c>
      <c r="AD70" s="46">
        <v>10.6</v>
      </c>
      <c r="AE70" s="46"/>
      <c r="AF70" s="46"/>
      <c r="AG70" s="66">
        <v>30</v>
      </c>
      <c r="AH70" s="48">
        <f t="shared" si="2"/>
        <v>28</v>
      </c>
      <c r="AI70" s="49">
        <f t="shared" si="3"/>
        <v>9.8000000000000007</v>
      </c>
      <c r="AK70" s="51"/>
      <c r="AY70" s="1" t="s">
        <v>94</v>
      </c>
      <c r="AZ70" s="82">
        <f>ROUND(C88,0)</f>
        <v>0</v>
      </c>
      <c r="BA70" s="81">
        <f t="shared" si="34"/>
        <v>0</v>
      </c>
      <c r="BB70" s="81">
        <f t="shared" si="34"/>
        <v>0</v>
      </c>
      <c r="BC70" s="81">
        <f t="shared" si="34"/>
        <v>0</v>
      </c>
      <c r="BD70" s="81">
        <f t="shared" si="34"/>
        <v>0</v>
      </c>
      <c r="BE70" s="82">
        <f>I88</f>
        <v>0</v>
      </c>
      <c r="BF70" s="82">
        <f>K88</f>
        <v>102</v>
      </c>
      <c r="BG70" s="82">
        <f t="shared" si="35"/>
        <v>96.4</v>
      </c>
      <c r="BH70" s="82">
        <f t="shared" si="35"/>
        <v>111</v>
      </c>
      <c r="BI70" s="82">
        <f t="shared" si="35"/>
        <v>131</v>
      </c>
      <c r="BJ70" s="82">
        <f t="shared" si="35"/>
        <v>132</v>
      </c>
      <c r="BK70" s="82">
        <f t="shared" si="35"/>
        <v>134.4</v>
      </c>
      <c r="BL70" s="82">
        <f t="shared" si="35"/>
        <v>135.5</v>
      </c>
      <c r="BM70" s="82">
        <f t="shared" si="35"/>
        <v>131.1</v>
      </c>
      <c r="BN70" s="82">
        <f t="shared" si="35"/>
        <v>120.3</v>
      </c>
      <c r="BO70" s="82">
        <f t="shared" si="35"/>
        <v>131.19999999999999</v>
      </c>
      <c r="BP70" s="82">
        <f t="shared" si="35"/>
        <v>125.3</v>
      </c>
      <c r="BQ70" s="82">
        <f>X88</f>
        <v>104.1</v>
      </c>
      <c r="BR70" s="82">
        <f>Z88</f>
        <v>0</v>
      </c>
      <c r="BS70" s="81">
        <f>AB88</f>
        <v>0</v>
      </c>
      <c r="BT70" s="81">
        <f t="shared" si="36"/>
        <v>0</v>
      </c>
      <c r="BU70" s="81">
        <f t="shared" si="36"/>
        <v>0</v>
      </c>
      <c r="BV70" s="81">
        <f t="shared" si="36"/>
        <v>0</v>
      </c>
      <c r="BW70" s="81">
        <f>B88</f>
        <v>0</v>
      </c>
    </row>
    <row r="71" spans="1:75" x14ac:dyDescent="0.25">
      <c r="A71" s="65" t="s">
        <v>85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1.2</v>
      </c>
      <c r="K71" s="46">
        <v>1.2</v>
      </c>
      <c r="L71" s="46">
        <v>1.2</v>
      </c>
      <c r="M71" s="46">
        <v>1.2</v>
      </c>
      <c r="N71" s="46">
        <v>1.2</v>
      </c>
      <c r="O71" s="46">
        <v>1.2</v>
      </c>
      <c r="P71" s="46">
        <v>1.2</v>
      </c>
      <c r="Q71" s="46">
        <v>1.2</v>
      </c>
      <c r="R71" s="46">
        <v>1.2</v>
      </c>
      <c r="S71" s="46">
        <v>13.2</v>
      </c>
      <c r="T71" s="46">
        <v>9.9</v>
      </c>
      <c r="U71" s="46">
        <v>7.1</v>
      </c>
      <c r="V71" s="46">
        <v>6.1</v>
      </c>
      <c r="W71" s="46">
        <v>2.5</v>
      </c>
      <c r="X71" s="46">
        <v>1</v>
      </c>
      <c r="Y71" s="46">
        <v>0.3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/>
      <c r="AF71" s="46"/>
      <c r="AG71" s="66">
        <v>25</v>
      </c>
      <c r="AH71" s="48">
        <f t="shared" si="2"/>
        <v>13.2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37">M94</f>
        <v>0</v>
      </c>
      <c r="BH71" s="82">
        <f t="shared" si="37"/>
        <v>0</v>
      </c>
      <c r="BI71" s="82">
        <f t="shared" si="37"/>
        <v>0</v>
      </c>
      <c r="BJ71" s="82">
        <f t="shared" si="37"/>
        <v>0</v>
      </c>
      <c r="BK71" s="82">
        <f t="shared" si="37"/>
        <v>0</v>
      </c>
      <c r="BL71" s="82">
        <f t="shared" si="37"/>
        <v>0</v>
      </c>
      <c r="BM71" s="82">
        <f t="shared" si="37"/>
        <v>0</v>
      </c>
      <c r="BN71" s="82">
        <f t="shared" si="37"/>
        <v>0</v>
      </c>
      <c r="BO71" s="82">
        <f t="shared" si="37"/>
        <v>0</v>
      </c>
      <c r="BP71" s="82">
        <f t="shared" si="37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>
        <v>12.9</v>
      </c>
      <c r="C72" s="76">
        <v>12.9</v>
      </c>
      <c r="D72" s="76">
        <v>12.9</v>
      </c>
      <c r="E72" s="76">
        <v>12.9</v>
      </c>
      <c r="F72" s="76">
        <v>12.9</v>
      </c>
      <c r="G72" s="76">
        <v>12.9</v>
      </c>
      <c r="H72" s="76">
        <v>12.9</v>
      </c>
      <c r="I72" s="76">
        <v>12.9</v>
      </c>
      <c r="J72" s="76">
        <v>12.9</v>
      </c>
      <c r="K72" s="76">
        <v>12.9</v>
      </c>
      <c r="L72" s="76">
        <v>12.9</v>
      </c>
      <c r="M72" s="76">
        <v>12.9</v>
      </c>
      <c r="N72" s="76">
        <v>12.9</v>
      </c>
      <c r="O72" s="76">
        <v>12.9</v>
      </c>
      <c r="P72" s="76">
        <v>12.9</v>
      </c>
      <c r="Q72" s="76">
        <v>12.9</v>
      </c>
      <c r="R72" s="76">
        <v>12.9</v>
      </c>
      <c r="S72" s="76">
        <v>12.9</v>
      </c>
      <c r="T72" s="76">
        <v>12.9</v>
      </c>
      <c r="U72" s="76">
        <v>12.9</v>
      </c>
      <c r="V72" s="76">
        <v>12.9</v>
      </c>
      <c r="W72" s="76">
        <v>12.9</v>
      </c>
      <c r="X72" s="76">
        <v>12.9</v>
      </c>
      <c r="Y72" s="76">
        <v>12.9</v>
      </c>
      <c r="Z72" s="76">
        <v>12.9</v>
      </c>
      <c r="AA72" s="76">
        <v>12.9</v>
      </c>
      <c r="AB72" s="76">
        <v>12.9</v>
      </c>
      <c r="AC72" s="76">
        <v>12.9</v>
      </c>
      <c r="AD72" s="76">
        <v>12.9</v>
      </c>
      <c r="AE72" s="76"/>
      <c r="AF72" s="76"/>
      <c r="AG72" s="66">
        <v>24</v>
      </c>
      <c r="AH72" s="48">
        <f t="shared" si="2"/>
        <v>12.9</v>
      </c>
      <c r="AI72" s="49">
        <f t="shared" si="3"/>
        <v>12.9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>
        <v>3.8</v>
      </c>
      <c r="C73" s="76">
        <v>3.8</v>
      </c>
      <c r="D73" s="76">
        <v>3.8</v>
      </c>
      <c r="E73" s="76">
        <v>3.8</v>
      </c>
      <c r="F73" s="76">
        <v>3.8</v>
      </c>
      <c r="G73" s="76">
        <v>3.8</v>
      </c>
      <c r="H73" s="76">
        <v>3.8</v>
      </c>
      <c r="I73" s="76">
        <v>3.8</v>
      </c>
      <c r="J73" s="76">
        <v>3.8</v>
      </c>
      <c r="K73" s="76">
        <v>3.8</v>
      </c>
      <c r="L73" s="76">
        <v>3.8</v>
      </c>
      <c r="M73" s="76">
        <v>3.8</v>
      </c>
      <c r="N73" s="76">
        <v>3.8</v>
      </c>
      <c r="O73" s="76">
        <v>3.8</v>
      </c>
      <c r="P73" s="76">
        <v>3.8</v>
      </c>
      <c r="Q73" s="76">
        <v>3.8</v>
      </c>
      <c r="R73" s="76">
        <v>3.8</v>
      </c>
      <c r="S73" s="76">
        <v>3.8</v>
      </c>
      <c r="T73" s="76">
        <v>3.8</v>
      </c>
      <c r="U73" s="76">
        <v>3.8</v>
      </c>
      <c r="V73" s="76">
        <v>3.8</v>
      </c>
      <c r="W73" s="76">
        <v>3.8</v>
      </c>
      <c r="X73" s="76">
        <v>3.8</v>
      </c>
      <c r="Y73" s="76">
        <v>3.8</v>
      </c>
      <c r="Z73" s="76">
        <v>3.8</v>
      </c>
      <c r="AA73" s="76">
        <v>3.8</v>
      </c>
      <c r="AB73" s="76">
        <v>3.8</v>
      </c>
      <c r="AC73" s="76">
        <v>3.8</v>
      </c>
      <c r="AD73" s="76">
        <v>3.8</v>
      </c>
      <c r="AE73" s="76"/>
      <c r="AF73" s="76"/>
      <c r="AG73" s="66">
        <v>15</v>
      </c>
      <c r="AH73" s="48">
        <f t="shared" si="2"/>
        <v>3.8</v>
      </c>
      <c r="AI73" s="49">
        <f t="shared" si="3"/>
        <v>3.8</v>
      </c>
      <c r="AK73" s="51"/>
      <c r="AZ73" s="82">
        <f t="shared" ref="AZ73:BW78" si="38">VALUE(AZ66)</f>
        <v>28</v>
      </c>
      <c r="BA73" s="82">
        <f t="shared" si="38"/>
        <v>27</v>
      </c>
      <c r="BB73" s="82">
        <f t="shared" si="38"/>
        <v>28</v>
      </c>
      <c r="BC73" s="82">
        <f t="shared" si="38"/>
        <v>20.9</v>
      </c>
      <c r="BD73" s="82">
        <f t="shared" si="38"/>
        <v>16.3</v>
      </c>
      <c r="BE73" s="82">
        <f t="shared" si="38"/>
        <v>39</v>
      </c>
      <c r="BF73" s="82">
        <f t="shared" si="38"/>
        <v>39</v>
      </c>
      <c r="BG73" s="82">
        <f t="shared" si="38"/>
        <v>71.5</v>
      </c>
      <c r="BH73" s="82">
        <f t="shared" si="38"/>
        <v>61</v>
      </c>
      <c r="BI73" s="82">
        <f t="shared" si="38"/>
        <v>58.9</v>
      </c>
      <c r="BJ73" s="82">
        <f t="shared" si="38"/>
        <v>49</v>
      </c>
      <c r="BK73" s="82">
        <f t="shared" si="38"/>
        <v>55.3</v>
      </c>
      <c r="BL73" s="82">
        <f t="shared" si="38"/>
        <v>60.1</v>
      </c>
      <c r="BM73" s="82">
        <f t="shared" si="38"/>
        <v>64.7</v>
      </c>
      <c r="BN73" s="82">
        <f t="shared" si="38"/>
        <v>64</v>
      </c>
      <c r="BO73" s="82">
        <f t="shared" si="38"/>
        <v>60.7</v>
      </c>
      <c r="BP73" s="82">
        <f t="shared" si="38"/>
        <v>69.900000000000006</v>
      </c>
      <c r="BQ73" s="82">
        <f t="shared" si="38"/>
        <v>32.9</v>
      </c>
      <c r="BR73" s="82">
        <f t="shared" si="38"/>
        <v>20.7</v>
      </c>
      <c r="BS73" s="82">
        <f t="shared" si="38"/>
        <v>2.9</v>
      </c>
      <c r="BT73" s="82">
        <f t="shared" si="38"/>
        <v>26.8</v>
      </c>
      <c r="BU73" s="82">
        <f t="shared" si="38"/>
        <v>0</v>
      </c>
      <c r="BV73" s="82">
        <f t="shared" si="38"/>
        <v>0</v>
      </c>
      <c r="BW73" s="82">
        <f t="shared" si="38"/>
        <v>28</v>
      </c>
    </row>
    <row r="74" spans="1:75" x14ac:dyDescent="0.25">
      <c r="A74" s="65" t="s">
        <v>91</v>
      </c>
      <c r="B74" s="76">
        <v>11.1</v>
      </c>
      <c r="C74" s="76">
        <v>11.1</v>
      </c>
      <c r="D74" s="76">
        <v>11.1</v>
      </c>
      <c r="E74" s="76">
        <v>11.1</v>
      </c>
      <c r="F74" s="76">
        <v>11.1</v>
      </c>
      <c r="G74" s="76">
        <v>11.1</v>
      </c>
      <c r="H74" s="76">
        <v>11.1</v>
      </c>
      <c r="I74" s="76">
        <v>11.1</v>
      </c>
      <c r="J74" s="76">
        <v>11.1</v>
      </c>
      <c r="K74" s="76">
        <v>11.1</v>
      </c>
      <c r="L74" s="76">
        <v>11.1</v>
      </c>
      <c r="M74" s="76">
        <v>11.1</v>
      </c>
      <c r="N74" s="76">
        <v>11.1</v>
      </c>
      <c r="O74" s="76">
        <v>11.1</v>
      </c>
      <c r="P74" s="76">
        <v>11.1</v>
      </c>
      <c r="Q74" s="76">
        <v>11.1</v>
      </c>
      <c r="R74" s="76">
        <v>11.1</v>
      </c>
      <c r="S74" s="76">
        <v>11.1</v>
      </c>
      <c r="T74" s="76">
        <v>11.1</v>
      </c>
      <c r="U74" s="76">
        <v>11.1</v>
      </c>
      <c r="V74" s="76">
        <v>11.1</v>
      </c>
      <c r="W74" s="76">
        <v>11.1</v>
      </c>
      <c r="X74" s="76">
        <v>11.1</v>
      </c>
      <c r="Y74" s="76">
        <v>11.1</v>
      </c>
      <c r="Z74" s="76">
        <v>11.1</v>
      </c>
      <c r="AA74" s="76">
        <v>11.1</v>
      </c>
      <c r="AB74" s="76">
        <v>11.1</v>
      </c>
      <c r="AC74" s="76">
        <v>11.1</v>
      </c>
      <c r="AD74" s="76">
        <v>11.1</v>
      </c>
      <c r="AE74" s="76"/>
      <c r="AF74" s="76"/>
      <c r="AG74" s="66">
        <v>14.1</v>
      </c>
      <c r="AH74" s="48">
        <f t="shared" si="2"/>
        <v>11.1</v>
      </c>
      <c r="AI74" s="49">
        <f t="shared" si="3"/>
        <v>11.1</v>
      </c>
      <c r="AK74" s="51"/>
      <c r="AZ74" s="82">
        <f t="shared" si="38"/>
        <v>0</v>
      </c>
      <c r="BA74" s="82">
        <f t="shared" si="38"/>
        <v>0</v>
      </c>
      <c r="BB74" s="82">
        <f t="shared" si="38"/>
        <v>0</v>
      </c>
      <c r="BC74" s="82">
        <f t="shared" si="38"/>
        <v>0</v>
      </c>
      <c r="BD74" s="82">
        <f t="shared" si="38"/>
        <v>0</v>
      </c>
      <c r="BE74" s="82">
        <f t="shared" si="38"/>
        <v>0</v>
      </c>
      <c r="BF74" s="82">
        <f t="shared" si="38"/>
        <v>0</v>
      </c>
      <c r="BG74" s="82">
        <f t="shared" si="38"/>
        <v>0</v>
      </c>
      <c r="BH74" s="82">
        <f t="shared" si="38"/>
        <v>0</v>
      </c>
      <c r="BI74" s="82">
        <f t="shared" si="38"/>
        <v>0</v>
      </c>
      <c r="BJ74" s="82">
        <f t="shared" si="38"/>
        <v>0</v>
      </c>
      <c r="BK74" s="82">
        <f t="shared" si="38"/>
        <v>0</v>
      </c>
      <c r="BL74" s="82">
        <f t="shared" si="38"/>
        <v>0</v>
      </c>
      <c r="BM74" s="82">
        <f t="shared" si="38"/>
        <v>0</v>
      </c>
      <c r="BN74" s="82">
        <f t="shared" si="38"/>
        <v>0</v>
      </c>
      <c r="BO74" s="82">
        <f t="shared" si="38"/>
        <v>0</v>
      </c>
      <c r="BP74" s="82">
        <f t="shared" si="38"/>
        <v>0</v>
      </c>
      <c r="BQ74" s="82">
        <f t="shared" si="38"/>
        <v>0</v>
      </c>
      <c r="BR74" s="82">
        <f t="shared" si="38"/>
        <v>0</v>
      </c>
      <c r="BS74" s="82">
        <f t="shared" si="38"/>
        <v>0</v>
      </c>
      <c r="BT74" s="82">
        <f t="shared" si="38"/>
        <v>0</v>
      </c>
      <c r="BU74" s="82">
        <f t="shared" si="38"/>
        <v>0</v>
      </c>
      <c r="BV74" s="82">
        <f t="shared" si="38"/>
        <v>0</v>
      </c>
      <c r="BW74" s="82">
        <f t="shared" si="38"/>
        <v>0</v>
      </c>
    </row>
    <row r="75" spans="1:75" x14ac:dyDescent="0.25">
      <c r="A75" s="84" t="s">
        <v>93</v>
      </c>
      <c r="B75" s="76">
        <v>9.6999999999999993</v>
      </c>
      <c r="C75" s="76">
        <v>9.6999999999999993</v>
      </c>
      <c r="D75" s="76">
        <v>9.6999999999999993</v>
      </c>
      <c r="E75" s="76">
        <v>9.6999999999999993</v>
      </c>
      <c r="F75" s="76">
        <v>9.6999999999999993</v>
      </c>
      <c r="G75" s="76">
        <v>9.6999999999999993</v>
      </c>
      <c r="H75" s="76">
        <v>9.6999999999999993</v>
      </c>
      <c r="I75" s="76">
        <v>9.6999999999999993</v>
      </c>
      <c r="J75" s="76">
        <v>9.6999999999999993</v>
      </c>
      <c r="K75" s="76">
        <v>9.6999999999999993</v>
      </c>
      <c r="L75" s="76">
        <v>9.6999999999999993</v>
      </c>
      <c r="M75" s="76">
        <v>9.6999999999999993</v>
      </c>
      <c r="N75" s="76">
        <v>9.6999999999999993</v>
      </c>
      <c r="O75" s="76">
        <v>9.6999999999999993</v>
      </c>
      <c r="P75" s="76">
        <v>9.6999999999999993</v>
      </c>
      <c r="Q75" s="76">
        <v>9.6999999999999993</v>
      </c>
      <c r="R75" s="76">
        <v>9.6999999999999993</v>
      </c>
      <c r="S75" s="76">
        <v>9.6999999999999993</v>
      </c>
      <c r="T75" s="76">
        <v>9.6999999999999993</v>
      </c>
      <c r="U75" s="76">
        <v>9.6999999999999993</v>
      </c>
      <c r="V75" s="76">
        <v>9.6999999999999993</v>
      </c>
      <c r="W75" s="76">
        <v>9.6999999999999993</v>
      </c>
      <c r="X75" s="76">
        <v>9.6999999999999993</v>
      </c>
      <c r="Y75" s="76">
        <v>9.6999999999999993</v>
      </c>
      <c r="Z75" s="76">
        <v>9.6999999999999993</v>
      </c>
      <c r="AA75" s="76">
        <v>9.6999999999999993</v>
      </c>
      <c r="AB75" s="76">
        <v>9.6999999999999993</v>
      </c>
      <c r="AC75" s="76">
        <v>9.6999999999999993</v>
      </c>
      <c r="AD75" s="76">
        <v>9.6999999999999993</v>
      </c>
      <c r="AE75" s="76"/>
      <c r="AF75" s="76"/>
      <c r="AG75" s="66">
        <v>14</v>
      </c>
      <c r="AH75" s="48">
        <f t="shared" ref="AH75:AH126" si="39">MAX(B75:AF75)</f>
        <v>9.6999999999999993</v>
      </c>
      <c r="AI75" s="49">
        <f t="shared" ref="AI75:AI126" si="40">MIN(B75:AF75)</f>
        <v>9.6999999999999993</v>
      </c>
      <c r="AK75" s="51"/>
      <c r="AZ75" s="82">
        <f t="shared" si="38"/>
        <v>-240</v>
      </c>
      <c r="BA75" s="82">
        <f t="shared" si="38"/>
        <v>-286</v>
      </c>
      <c r="BB75" s="82">
        <f t="shared" si="38"/>
        <v>-318</v>
      </c>
      <c r="BC75" s="82">
        <f t="shared" si="38"/>
        <v>-360</v>
      </c>
      <c r="BD75" s="82">
        <f t="shared" si="38"/>
        <v>-420</v>
      </c>
      <c r="BE75" s="82">
        <f t="shared" si="38"/>
        <v>-350</v>
      </c>
      <c r="BF75" s="82">
        <f t="shared" si="38"/>
        <v>-390</v>
      </c>
      <c r="BG75" s="82">
        <f t="shared" si="38"/>
        <v>-360</v>
      </c>
      <c r="BH75" s="82">
        <f t="shared" si="38"/>
        <v>-340</v>
      </c>
      <c r="BI75" s="82">
        <f t="shared" si="38"/>
        <v>-340</v>
      </c>
      <c r="BJ75" s="82">
        <f t="shared" si="38"/>
        <v>-325</v>
      </c>
      <c r="BK75" s="82">
        <f t="shared" si="38"/>
        <v>-340</v>
      </c>
      <c r="BL75" s="82">
        <f t="shared" si="38"/>
        <v>-344</v>
      </c>
      <c r="BM75" s="82">
        <f t="shared" si="38"/>
        <v>-216.3</v>
      </c>
      <c r="BN75" s="82">
        <f t="shared" si="38"/>
        <v>-314.8</v>
      </c>
      <c r="BO75" s="82">
        <f t="shared" si="38"/>
        <v>-297.10000000000002</v>
      </c>
      <c r="BP75" s="82">
        <f t="shared" si="38"/>
        <v>-266.7</v>
      </c>
      <c r="BQ75" s="82">
        <f t="shared" si="38"/>
        <v>-393.1</v>
      </c>
      <c r="BR75" s="82">
        <f t="shared" si="38"/>
        <v>-166.1</v>
      </c>
      <c r="BS75" s="82">
        <f t="shared" si="38"/>
        <v>-197</v>
      </c>
      <c r="BT75" s="82">
        <f t="shared" si="38"/>
        <v>-172.1</v>
      </c>
      <c r="BU75" s="82">
        <f t="shared" si="38"/>
        <v>0</v>
      </c>
      <c r="BV75" s="82">
        <f t="shared" si="38"/>
        <v>0</v>
      </c>
      <c r="BW75" s="82">
        <f t="shared" si="38"/>
        <v>-251</v>
      </c>
    </row>
    <row r="76" spans="1:75" x14ac:dyDescent="0.25">
      <c r="A76" s="65" t="s">
        <v>95</v>
      </c>
      <c r="B76" s="76">
        <v>6.2</v>
      </c>
      <c r="C76" s="76">
        <v>6.2</v>
      </c>
      <c r="D76" s="76">
        <v>6.2</v>
      </c>
      <c r="E76" s="76">
        <v>6.2</v>
      </c>
      <c r="F76" s="76">
        <v>6.2</v>
      </c>
      <c r="G76" s="76">
        <v>6.2</v>
      </c>
      <c r="H76" s="76">
        <v>6.2</v>
      </c>
      <c r="I76" s="76">
        <v>6.2</v>
      </c>
      <c r="J76" s="76">
        <v>6.2</v>
      </c>
      <c r="K76" s="76">
        <v>6.2</v>
      </c>
      <c r="L76" s="76">
        <v>6.2</v>
      </c>
      <c r="M76" s="76">
        <v>6.2</v>
      </c>
      <c r="N76" s="76">
        <v>6.2</v>
      </c>
      <c r="O76" s="76">
        <v>6.2</v>
      </c>
      <c r="P76" s="76">
        <v>6.2</v>
      </c>
      <c r="Q76" s="76">
        <v>6.2</v>
      </c>
      <c r="R76" s="76">
        <v>6.2</v>
      </c>
      <c r="S76" s="76">
        <v>6.2</v>
      </c>
      <c r="T76" s="76">
        <v>6.2</v>
      </c>
      <c r="U76" s="76">
        <v>6.2</v>
      </c>
      <c r="V76" s="76">
        <v>6.2</v>
      </c>
      <c r="W76" s="76">
        <v>6.2</v>
      </c>
      <c r="X76" s="76">
        <v>6.2</v>
      </c>
      <c r="Y76" s="76">
        <v>6.2</v>
      </c>
      <c r="Z76" s="76">
        <v>6.2</v>
      </c>
      <c r="AA76" s="76">
        <v>6.2</v>
      </c>
      <c r="AB76" s="76">
        <v>6.2</v>
      </c>
      <c r="AC76" s="76">
        <v>6.2</v>
      </c>
      <c r="AD76" s="76">
        <v>6.2</v>
      </c>
      <c r="AE76" s="76"/>
      <c r="AF76" s="76"/>
      <c r="AG76" s="66">
        <v>10.050000000000001</v>
      </c>
      <c r="AH76" s="48">
        <f t="shared" si="39"/>
        <v>6.2</v>
      </c>
      <c r="AI76" s="49">
        <f t="shared" si="40"/>
        <v>6.2</v>
      </c>
      <c r="AK76" s="51"/>
      <c r="AZ76" s="82">
        <f t="shared" si="38"/>
        <v>0</v>
      </c>
      <c r="BA76" s="82">
        <f t="shared" si="38"/>
        <v>0</v>
      </c>
      <c r="BB76" s="82">
        <f t="shared" si="38"/>
        <v>0</v>
      </c>
      <c r="BC76" s="82">
        <f t="shared" si="38"/>
        <v>0</v>
      </c>
      <c r="BD76" s="82">
        <f t="shared" si="38"/>
        <v>0</v>
      </c>
      <c r="BE76" s="82">
        <f t="shared" si="38"/>
        <v>0</v>
      </c>
      <c r="BF76" s="82">
        <f t="shared" si="38"/>
        <v>0</v>
      </c>
      <c r="BG76" s="82">
        <f t="shared" si="38"/>
        <v>30</v>
      </c>
      <c r="BH76" s="82">
        <f t="shared" si="38"/>
        <v>30</v>
      </c>
      <c r="BI76" s="82">
        <f t="shared" si="38"/>
        <v>31.4</v>
      </c>
      <c r="BJ76" s="82">
        <f t="shared" si="38"/>
        <v>31</v>
      </c>
      <c r="BK76" s="82">
        <f t="shared" si="38"/>
        <v>29.5</v>
      </c>
      <c r="BL76" s="82">
        <f t="shared" si="38"/>
        <v>41.4</v>
      </c>
      <c r="BM76" s="82">
        <f t="shared" si="38"/>
        <v>47.9</v>
      </c>
      <c r="BN76" s="82">
        <f t="shared" si="38"/>
        <v>40.799999999999997</v>
      </c>
      <c r="BO76" s="82">
        <f t="shared" si="38"/>
        <v>41.2</v>
      </c>
      <c r="BP76" s="82">
        <f t="shared" si="38"/>
        <v>39</v>
      </c>
      <c r="BQ76" s="82">
        <f t="shared" si="38"/>
        <v>39.6</v>
      </c>
      <c r="BR76" s="82">
        <f t="shared" si="38"/>
        <v>0</v>
      </c>
      <c r="BS76" s="82">
        <f t="shared" si="38"/>
        <v>0</v>
      </c>
      <c r="BT76" s="82">
        <f t="shared" si="38"/>
        <v>0</v>
      </c>
      <c r="BU76" s="82">
        <f t="shared" si="38"/>
        <v>0</v>
      </c>
      <c r="BV76" s="82">
        <f t="shared" si="38"/>
        <v>0</v>
      </c>
      <c r="BW76" s="82">
        <f t="shared" si="38"/>
        <v>0</v>
      </c>
    </row>
    <row r="77" spans="1:75" x14ac:dyDescent="0.25">
      <c r="A77" s="65" t="s">
        <v>97</v>
      </c>
      <c r="B77" s="76">
        <v>3</v>
      </c>
      <c r="C77" s="76">
        <v>3</v>
      </c>
      <c r="D77" s="76">
        <v>3</v>
      </c>
      <c r="E77" s="76">
        <v>3</v>
      </c>
      <c r="F77" s="76">
        <v>3</v>
      </c>
      <c r="G77" s="76">
        <v>3</v>
      </c>
      <c r="H77" s="76">
        <v>3</v>
      </c>
      <c r="I77" s="76">
        <v>3</v>
      </c>
      <c r="J77" s="76">
        <v>3</v>
      </c>
      <c r="K77" s="76">
        <v>3</v>
      </c>
      <c r="L77" s="76">
        <v>3</v>
      </c>
      <c r="M77" s="76">
        <v>3</v>
      </c>
      <c r="N77" s="76">
        <v>3</v>
      </c>
      <c r="O77" s="76">
        <v>3</v>
      </c>
      <c r="P77" s="76">
        <v>3</v>
      </c>
      <c r="Q77" s="76">
        <v>3</v>
      </c>
      <c r="R77" s="76">
        <v>3</v>
      </c>
      <c r="S77" s="76">
        <v>3</v>
      </c>
      <c r="T77" s="76">
        <v>3</v>
      </c>
      <c r="U77" s="76">
        <v>3</v>
      </c>
      <c r="V77" s="76">
        <v>3</v>
      </c>
      <c r="W77" s="76">
        <v>3</v>
      </c>
      <c r="X77" s="76">
        <v>3</v>
      </c>
      <c r="Y77" s="76">
        <v>3</v>
      </c>
      <c r="Z77" s="76">
        <v>3</v>
      </c>
      <c r="AA77" s="76">
        <v>3</v>
      </c>
      <c r="AB77" s="76">
        <v>3</v>
      </c>
      <c r="AC77" s="76">
        <v>3</v>
      </c>
      <c r="AD77" s="76">
        <v>3</v>
      </c>
      <c r="AE77" s="76"/>
      <c r="AF77" s="76"/>
      <c r="AG77" s="66">
        <v>6.2</v>
      </c>
      <c r="AH77" s="48">
        <f t="shared" si="39"/>
        <v>3</v>
      </c>
      <c r="AI77" s="49">
        <f t="shared" si="40"/>
        <v>3</v>
      </c>
      <c r="AK77" s="51"/>
      <c r="AZ77" s="82">
        <f t="shared" si="38"/>
        <v>0</v>
      </c>
      <c r="BA77" s="82">
        <f t="shared" si="38"/>
        <v>0</v>
      </c>
      <c r="BB77" s="82">
        <f t="shared" si="38"/>
        <v>0</v>
      </c>
      <c r="BC77" s="82">
        <f t="shared" si="38"/>
        <v>0</v>
      </c>
      <c r="BD77" s="82">
        <f t="shared" si="38"/>
        <v>0</v>
      </c>
      <c r="BE77" s="82">
        <f t="shared" si="38"/>
        <v>0</v>
      </c>
      <c r="BF77" s="82">
        <f t="shared" si="38"/>
        <v>102</v>
      </c>
      <c r="BG77" s="82">
        <f t="shared" si="38"/>
        <v>96.4</v>
      </c>
      <c r="BH77" s="82">
        <f t="shared" si="38"/>
        <v>111</v>
      </c>
      <c r="BI77" s="82">
        <f t="shared" si="38"/>
        <v>131</v>
      </c>
      <c r="BJ77" s="82">
        <f t="shared" si="38"/>
        <v>132</v>
      </c>
      <c r="BK77" s="82">
        <f t="shared" si="38"/>
        <v>134.4</v>
      </c>
      <c r="BL77" s="82">
        <f t="shared" si="38"/>
        <v>135.5</v>
      </c>
      <c r="BM77" s="82">
        <f t="shared" si="38"/>
        <v>131.1</v>
      </c>
      <c r="BN77" s="82">
        <f t="shared" si="38"/>
        <v>120.3</v>
      </c>
      <c r="BO77" s="82">
        <f t="shared" si="38"/>
        <v>131.19999999999999</v>
      </c>
      <c r="BP77" s="82">
        <f t="shared" si="38"/>
        <v>125.3</v>
      </c>
      <c r="BQ77" s="82">
        <f t="shared" si="38"/>
        <v>104.1</v>
      </c>
      <c r="BR77" s="82">
        <f t="shared" si="38"/>
        <v>0</v>
      </c>
      <c r="BS77" s="82">
        <f t="shared" si="38"/>
        <v>0</v>
      </c>
      <c r="BT77" s="82">
        <f t="shared" si="38"/>
        <v>0</v>
      </c>
      <c r="BU77" s="82">
        <f t="shared" si="38"/>
        <v>0</v>
      </c>
      <c r="BV77" s="82">
        <f t="shared" si="38"/>
        <v>0</v>
      </c>
      <c r="BW77" s="82">
        <f t="shared" si="38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3.54</v>
      </c>
      <c r="Z78" s="85">
        <v>3.54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39"/>
        <v>3.54</v>
      </c>
      <c r="AI78" s="49">
        <f t="shared" si="40"/>
        <v>3.54</v>
      </c>
      <c r="AK78" s="51"/>
      <c r="AZ78" s="82">
        <f t="shared" si="38"/>
        <v>0</v>
      </c>
      <c r="BA78" s="82">
        <f t="shared" si="38"/>
        <v>0</v>
      </c>
      <c r="BB78" s="82">
        <f t="shared" si="38"/>
        <v>0</v>
      </c>
      <c r="BC78" s="82">
        <f t="shared" si="38"/>
        <v>0</v>
      </c>
      <c r="BD78" s="82">
        <f t="shared" si="38"/>
        <v>0</v>
      </c>
      <c r="BE78" s="82">
        <f t="shared" si="38"/>
        <v>0</v>
      </c>
      <c r="BF78" s="82">
        <f t="shared" si="38"/>
        <v>0</v>
      </c>
      <c r="BG78" s="82">
        <f t="shared" si="38"/>
        <v>0</v>
      </c>
      <c r="BH78" s="82">
        <f t="shared" si="38"/>
        <v>0</v>
      </c>
      <c r="BI78" s="82">
        <f t="shared" si="38"/>
        <v>0</v>
      </c>
      <c r="BJ78" s="82">
        <f t="shared" si="38"/>
        <v>0</v>
      </c>
      <c r="BK78" s="82">
        <f t="shared" si="38"/>
        <v>0</v>
      </c>
      <c r="BL78" s="82">
        <f t="shared" si="38"/>
        <v>0</v>
      </c>
      <c r="BM78" s="82">
        <f t="shared" si="38"/>
        <v>0</v>
      </c>
      <c r="BN78" s="82">
        <f t="shared" si="38"/>
        <v>0</v>
      </c>
      <c r="BO78" s="82">
        <f t="shared" si="38"/>
        <v>0</v>
      </c>
      <c r="BP78" s="82">
        <f t="shared" si="38"/>
        <v>0</v>
      </c>
      <c r="BQ78" s="82">
        <f t="shared" si="38"/>
        <v>0</v>
      </c>
      <c r="BR78" s="82">
        <f t="shared" si="38"/>
        <v>0</v>
      </c>
      <c r="BS78" s="82">
        <f t="shared" si="38"/>
        <v>0</v>
      </c>
      <c r="BT78" s="82">
        <f t="shared" si="38"/>
        <v>0</v>
      </c>
      <c r="BU78" s="82">
        <f t="shared" si="38"/>
        <v>0</v>
      </c>
      <c r="BV78" s="82">
        <f t="shared" si="38"/>
        <v>0</v>
      </c>
      <c r="BW78" s="82">
        <f t="shared" si="38"/>
        <v>0</v>
      </c>
    </row>
    <row r="79" spans="1:75" ht="15.75" thickBot="1" x14ac:dyDescent="0.3">
      <c r="A79" s="87" t="s">
        <v>99</v>
      </c>
      <c r="B79" s="71">
        <f t="shared" ref="B79:D79" si="41">SUM(B66:B78)</f>
        <v>404.64</v>
      </c>
      <c r="C79" s="71">
        <f t="shared" si="41"/>
        <v>404.64</v>
      </c>
      <c r="D79" s="71">
        <f t="shared" si="41"/>
        <v>404.64</v>
      </c>
      <c r="E79" s="71">
        <f t="shared" ref="E79:AG79" si="42">SUM(E66:E78)</f>
        <v>404.64</v>
      </c>
      <c r="F79" s="71">
        <f t="shared" si="42"/>
        <v>400.24</v>
      </c>
      <c r="G79" s="71">
        <f t="shared" ref="G79" si="43">SUM(G66:G78)</f>
        <v>400.24</v>
      </c>
      <c r="H79" s="71">
        <f t="shared" si="42"/>
        <v>400.24</v>
      </c>
      <c r="I79" s="71">
        <f t="shared" si="42"/>
        <v>400.24</v>
      </c>
      <c r="J79" s="71">
        <f t="shared" si="42"/>
        <v>401.44</v>
      </c>
      <c r="K79" s="71">
        <f t="shared" si="42"/>
        <v>401.44</v>
      </c>
      <c r="L79" s="71">
        <f t="shared" si="42"/>
        <v>401.44</v>
      </c>
      <c r="M79" s="71">
        <f t="shared" si="42"/>
        <v>401.44</v>
      </c>
      <c r="N79" s="71">
        <f t="shared" si="42"/>
        <v>401.44</v>
      </c>
      <c r="O79" s="71">
        <f t="shared" si="42"/>
        <v>419.44</v>
      </c>
      <c r="P79" s="71">
        <f t="shared" si="42"/>
        <v>419.44</v>
      </c>
      <c r="Q79" s="71">
        <f t="shared" si="42"/>
        <v>419.44</v>
      </c>
      <c r="R79" s="71">
        <f t="shared" si="42"/>
        <v>419.44</v>
      </c>
      <c r="S79" s="71">
        <f t="shared" ref="S79:T79" si="44">SUM(S66:S78)</f>
        <v>413.24</v>
      </c>
      <c r="T79" s="71">
        <f t="shared" si="44"/>
        <v>409.94</v>
      </c>
      <c r="U79" s="71">
        <f t="shared" ref="U79:V79" si="45">SUM(U66:U78)</f>
        <v>407.14000000000004</v>
      </c>
      <c r="V79" s="71">
        <f t="shared" si="45"/>
        <v>406.14000000000004</v>
      </c>
      <c r="W79" s="71">
        <f t="shared" ref="W79:X79" si="46">SUM(W66:W78)</f>
        <v>419.14</v>
      </c>
      <c r="X79" s="71">
        <f t="shared" si="46"/>
        <v>417.64</v>
      </c>
      <c r="Y79" s="71">
        <f t="shared" ref="Y79:AA79" si="47">SUM(Y66:Y78)</f>
        <v>400.64000000000004</v>
      </c>
      <c r="Z79" s="71">
        <f t="shared" si="47"/>
        <v>400.34000000000003</v>
      </c>
      <c r="AA79" s="71">
        <f t="shared" si="47"/>
        <v>400.34000000000003</v>
      </c>
      <c r="AB79" s="71">
        <f t="shared" si="42"/>
        <v>412.34000000000003</v>
      </c>
      <c r="AC79" s="71">
        <f t="shared" si="42"/>
        <v>412.34000000000003</v>
      </c>
      <c r="AD79" s="71">
        <f t="shared" si="42"/>
        <v>400.84000000000003</v>
      </c>
      <c r="AE79" s="71">
        <f t="shared" si="42"/>
        <v>3.54</v>
      </c>
      <c r="AF79" s="71">
        <f t="shared" si="42"/>
        <v>3.54</v>
      </c>
      <c r="AG79" s="72">
        <f t="shared" si="42"/>
        <v>489.91</v>
      </c>
      <c r="AH79" s="48">
        <f t="shared" si="39"/>
        <v>419.44</v>
      </c>
      <c r="AI79" s="49">
        <f t="shared" si="40"/>
        <v>3.54</v>
      </c>
      <c r="AK79" s="51"/>
      <c r="AY79" s="82"/>
    </row>
    <row r="80" spans="1:75" x14ac:dyDescent="0.25">
      <c r="A80" s="45" t="s">
        <v>100</v>
      </c>
      <c r="B80" s="46">
        <v>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/>
      <c r="L80" s="46"/>
      <c r="M80" s="46"/>
      <c r="N80" s="46"/>
      <c r="O80" s="46"/>
      <c r="P80" s="46"/>
      <c r="Q80" s="46"/>
      <c r="R80" s="46"/>
      <c r="S80" s="46">
        <v>29.8</v>
      </c>
      <c r="T80" s="46">
        <v>9.8000000000000007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29</v>
      </c>
      <c r="AB80" s="46">
        <v>29.3</v>
      </c>
      <c r="AC80" s="46">
        <v>29.3</v>
      </c>
      <c r="AD80" s="46">
        <v>29.3</v>
      </c>
      <c r="AE80" s="46"/>
      <c r="AF80" s="46"/>
      <c r="AG80" s="61">
        <v>60</v>
      </c>
      <c r="AH80" s="48">
        <f t="shared" si="39"/>
        <v>29.8</v>
      </c>
      <c r="AI80" s="49">
        <f t="shared" si="40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/>
      <c r="L81" s="76"/>
      <c r="M81" s="76"/>
      <c r="N81" s="76"/>
      <c r="O81" s="76"/>
      <c r="P81" s="76"/>
      <c r="Q81" s="76"/>
      <c r="R81" s="76"/>
      <c r="S81" s="76">
        <v>4.8</v>
      </c>
      <c r="T81" s="76">
        <v>5.9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5</v>
      </c>
      <c r="AB81" s="76">
        <v>14.4</v>
      </c>
      <c r="AC81" s="76">
        <v>15.7</v>
      </c>
      <c r="AD81" s="76">
        <v>15.5</v>
      </c>
      <c r="AE81" s="76"/>
      <c r="AF81" s="76"/>
      <c r="AG81" s="66">
        <v>32</v>
      </c>
      <c r="AH81" s="48">
        <f t="shared" si="39"/>
        <v>15.7</v>
      </c>
      <c r="AI81" s="49">
        <f t="shared" si="40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/>
      <c r="L82" s="78"/>
      <c r="M82" s="78"/>
      <c r="N82" s="78"/>
      <c r="O82" s="78"/>
      <c r="P82" s="78"/>
      <c r="Q82" s="78"/>
      <c r="R82" s="78"/>
      <c r="S82" s="78">
        <v>1.8</v>
      </c>
      <c r="T82" s="78">
        <v>2.2000000000000002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1.8</v>
      </c>
      <c r="AB82" s="78">
        <v>5.3</v>
      </c>
      <c r="AC82" s="78">
        <v>5.7</v>
      </c>
      <c r="AD82" s="78">
        <v>5.7</v>
      </c>
      <c r="AE82" s="78"/>
      <c r="AF82" s="78"/>
      <c r="AG82" s="79">
        <v>14</v>
      </c>
      <c r="AH82" s="48">
        <f t="shared" si="39"/>
        <v>5.7</v>
      </c>
      <c r="AI82" s="49">
        <f t="shared" si="40"/>
        <v>0</v>
      </c>
      <c r="AK82" s="51"/>
      <c r="AY82" s="82"/>
      <c r="BF82" s="81"/>
      <c r="BG82" s="82">
        <f t="array" ref="BG82:BL105">TRANSPOSE(AZ66:BW71)</f>
        <v>28</v>
      </c>
      <c r="BH82" s="82">
        <v>0</v>
      </c>
      <c r="BI82" s="82">
        <v>-240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D83" si="48">B80+B81+B82</f>
        <v>0</v>
      </c>
      <c r="C83" s="71">
        <f t="shared" si="48"/>
        <v>0</v>
      </c>
      <c r="D83" s="71">
        <f t="shared" si="48"/>
        <v>0</v>
      </c>
      <c r="E83" s="71">
        <f t="shared" ref="E83:AF83" si="49">E80+E81+E82</f>
        <v>0</v>
      </c>
      <c r="F83" s="71">
        <f t="shared" si="49"/>
        <v>0</v>
      </c>
      <c r="G83" s="71">
        <f t="shared" ref="G83" si="50">G80+G81+G82</f>
        <v>0</v>
      </c>
      <c r="H83" s="71">
        <f t="shared" si="49"/>
        <v>0</v>
      </c>
      <c r="I83" s="71">
        <f t="shared" si="49"/>
        <v>0</v>
      </c>
      <c r="J83" s="71">
        <f t="shared" si="49"/>
        <v>0</v>
      </c>
      <c r="K83" s="71">
        <f t="shared" si="49"/>
        <v>0</v>
      </c>
      <c r="L83" s="71">
        <f t="shared" si="49"/>
        <v>0</v>
      </c>
      <c r="M83" s="71">
        <f t="shared" si="49"/>
        <v>0</v>
      </c>
      <c r="N83" s="71">
        <f t="shared" si="49"/>
        <v>0</v>
      </c>
      <c r="O83" s="71">
        <f t="shared" si="49"/>
        <v>0</v>
      </c>
      <c r="P83" s="71">
        <f t="shared" si="49"/>
        <v>0</v>
      </c>
      <c r="Q83" s="71">
        <f t="shared" si="49"/>
        <v>0</v>
      </c>
      <c r="R83" s="71">
        <f t="shared" si="49"/>
        <v>0</v>
      </c>
      <c r="S83" s="71">
        <f t="shared" ref="S83:T83" si="51">S80+S81+S82</f>
        <v>36.4</v>
      </c>
      <c r="T83" s="71">
        <f t="shared" si="51"/>
        <v>17.900000000000002</v>
      </c>
      <c r="U83" s="71">
        <f t="shared" ref="U83:V83" si="52">U80+U81+U82</f>
        <v>0</v>
      </c>
      <c r="V83" s="71">
        <f t="shared" si="52"/>
        <v>0</v>
      </c>
      <c r="W83" s="71">
        <f t="shared" ref="W83:X83" si="53">W80+W81+W82</f>
        <v>0</v>
      </c>
      <c r="X83" s="71">
        <f t="shared" si="53"/>
        <v>0</v>
      </c>
      <c r="Y83" s="71">
        <f t="shared" ref="Y83:AA83" si="54">Y80+Y81+Y82</f>
        <v>0</v>
      </c>
      <c r="Z83" s="71">
        <f t="shared" si="54"/>
        <v>0</v>
      </c>
      <c r="AA83" s="71">
        <f t="shared" si="54"/>
        <v>35.799999999999997</v>
      </c>
      <c r="AB83" s="71">
        <f t="shared" si="49"/>
        <v>49</v>
      </c>
      <c r="AC83" s="71">
        <f t="shared" si="49"/>
        <v>50.7</v>
      </c>
      <c r="AD83" s="71">
        <f t="shared" si="49"/>
        <v>50.5</v>
      </c>
      <c r="AE83" s="71">
        <f t="shared" si="49"/>
        <v>0</v>
      </c>
      <c r="AF83" s="71">
        <f t="shared" si="49"/>
        <v>0</v>
      </c>
      <c r="AG83" s="72">
        <f>SUM(AG80:AG82)</f>
        <v>106</v>
      </c>
      <c r="AH83" s="48">
        <f t="shared" si="39"/>
        <v>50.7</v>
      </c>
      <c r="AI83" s="49">
        <f t="shared" si="40"/>
        <v>0</v>
      </c>
      <c r="AK83" s="51"/>
      <c r="AY83" s="82"/>
      <c r="BF83" s="81"/>
      <c r="BG83" s="82">
        <v>27</v>
      </c>
      <c r="BH83" s="82">
        <v>0</v>
      </c>
      <c r="BI83" s="82">
        <v>-286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>
        <v>28</v>
      </c>
      <c r="C84" s="46">
        <v>28</v>
      </c>
      <c r="D84" s="46">
        <v>27</v>
      </c>
      <c r="E84" s="46">
        <v>28</v>
      </c>
      <c r="F84" s="46">
        <v>20.9</v>
      </c>
      <c r="G84" s="46">
        <v>16.3</v>
      </c>
      <c r="H84" s="46">
        <v>14</v>
      </c>
      <c r="I84" s="46">
        <v>39</v>
      </c>
      <c r="J84" s="46">
        <v>39</v>
      </c>
      <c r="K84" s="46">
        <v>39</v>
      </c>
      <c r="L84" s="46">
        <v>39</v>
      </c>
      <c r="M84" s="46">
        <v>71.5</v>
      </c>
      <c r="N84" s="46">
        <v>61</v>
      </c>
      <c r="O84" s="46">
        <v>58.9</v>
      </c>
      <c r="P84" s="46">
        <v>49</v>
      </c>
      <c r="Q84" s="46">
        <v>55.3</v>
      </c>
      <c r="R84" s="46">
        <v>60.1</v>
      </c>
      <c r="S84" s="46">
        <v>64.7</v>
      </c>
      <c r="T84" s="46">
        <v>64</v>
      </c>
      <c r="U84" s="46">
        <v>60.7</v>
      </c>
      <c r="V84" s="46">
        <v>69.900000000000006</v>
      </c>
      <c r="W84" s="46">
        <v>69.3</v>
      </c>
      <c r="X84" s="46">
        <v>32.9</v>
      </c>
      <c r="Y84" s="46">
        <v>19.8</v>
      </c>
      <c r="Z84" s="46">
        <v>20.7</v>
      </c>
      <c r="AA84" s="46">
        <v>16.399999999999999</v>
      </c>
      <c r="AB84" s="46">
        <v>2.9</v>
      </c>
      <c r="AC84" s="46">
        <v>21.5</v>
      </c>
      <c r="AD84" s="46">
        <v>26.8</v>
      </c>
      <c r="AE84" s="46"/>
      <c r="AF84" s="46"/>
      <c r="AG84" s="61"/>
      <c r="AH84" s="48">
        <f t="shared" si="39"/>
        <v>71.5</v>
      </c>
      <c r="AI84" s="49">
        <f t="shared" si="40"/>
        <v>2.9</v>
      </c>
      <c r="AK84" s="51"/>
      <c r="AY84" s="82"/>
      <c r="BF84" s="81"/>
      <c r="BG84" s="82">
        <v>28</v>
      </c>
      <c r="BH84" s="82">
        <v>0</v>
      </c>
      <c r="BI84" s="82">
        <v>-318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39"/>
        <v>0</v>
      </c>
      <c r="AI85" s="49">
        <f t="shared" si="40"/>
        <v>0</v>
      </c>
      <c r="AK85" s="51"/>
      <c r="AL85" s="91" t="s">
        <v>111</v>
      </c>
      <c r="AM85" s="91"/>
      <c r="AY85" s="82"/>
      <c r="BF85" s="82"/>
      <c r="BG85" s="82">
        <v>20.9</v>
      </c>
      <c r="BH85" s="82">
        <v>0</v>
      </c>
      <c r="BI85" s="82">
        <v>-360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>
        <v>-251</v>
      </c>
      <c r="C86" s="76">
        <v>-240</v>
      </c>
      <c r="D86" s="76">
        <v>-286</v>
      </c>
      <c r="E86" s="76">
        <v>-318</v>
      </c>
      <c r="F86" s="76">
        <v>-360</v>
      </c>
      <c r="G86" s="76">
        <v>-420</v>
      </c>
      <c r="H86" s="76">
        <v>-410</v>
      </c>
      <c r="I86" s="76">
        <v>-350</v>
      </c>
      <c r="J86" s="76">
        <v>-390</v>
      </c>
      <c r="K86" s="76">
        <v>-390</v>
      </c>
      <c r="L86" s="76">
        <v>-390</v>
      </c>
      <c r="M86" s="76">
        <v>-360</v>
      </c>
      <c r="N86" s="76">
        <v>-340</v>
      </c>
      <c r="O86" s="76">
        <v>-340</v>
      </c>
      <c r="P86" s="76">
        <v>-325</v>
      </c>
      <c r="Q86" s="76">
        <v>-340</v>
      </c>
      <c r="R86" s="76">
        <v>-344</v>
      </c>
      <c r="S86" s="76">
        <v>-216.3</v>
      </c>
      <c r="T86" s="76">
        <v>-314.8</v>
      </c>
      <c r="U86" s="76">
        <v>-297.10000000000002</v>
      </c>
      <c r="V86" s="76">
        <v>-266.7</v>
      </c>
      <c r="W86" s="76">
        <v>-326.7</v>
      </c>
      <c r="X86" s="76">
        <v>-393.1</v>
      </c>
      <c r="Y86" s="76">
        <v>-362.8</v>
      </c>
      <c r="Z86" s="76">
        <v>-166.1</v>
      </c>
      <c r="AA86" s="76">
        <v>-177.4</v>
      </c>
      <c r="AB86" s="76">
        <v>-197</v>
      </c>
      <c r="AC86" s="76">
        <v>-205.1</v>
      </c>
      <c r="AD86" s="76">
        <v>-172.1</v>
      </c>
      <c r="AE86" s="76"/>
      <c r="AF86" s="76"/>
      <c r="AG86" s="88"/>
      <c r="AH86" s="48">
        <f t="shared" si="39"/>
        <v>-166.1</v>
      </c>
      <c r="AI86" s="49">
        <f t="shared" si="40"/>
        <v>-420</v>
      </c>
      <c r="AK86" s="92"/>
      <c r="AL86" s="93"/>
      <c r="AM86" s="93"/>
      <c r="AN86" s="94"/>
      <c r="AY86" s="82"/>
      <c r="BF86" s="82"/>
      <c r="BG86" s="82">
        <v>16.3</v>
      </c>
      <c r="BH86" s="82">
        <v>0</v>
      </c>
      <c r="BI86" s="82">
        <v>-420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>
        <v>30</v>
      </c>
      <c r="N87" s="89">
        <v>30</v>
      </c>
      <c r="O87" s="89">
        <v>31.4</v>
      </c>
      <c r="P87" s="89">
        <v>31</v>
      </c>
      <c r="Q87" s="89">
        <v>29.5</v>
      </c>
      <c r="R87" s="89">
        <v>41.4</v>
      </c>
      <c r="S87" s="89">
        <v>47.9</v>
      </c>
      <c r="T87" s="89">
        <v>40.799999999999997</v>
      </c>
      <c r="U87" s="89">
        <v>41.2</v>
      </c>
      <c r="V87" s="89">
        <v>39</v>
      </c>
      <c r="W87" s="89">
        <v>43.1</v>
      </c>
      <c r="X87" s="89">
        <v>39.6</v>
      </c>
      <c r="Y87" s="89">
        <v>35.1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/>
      <c r="AF87" s="89"/>
      <c r="AG87" s="88"/>
      <c r="AH87" s="48">
        <f t="shared" si="39"/>
        <v>47.9</v>
      </c>
      <c r="AI87" s="49">
        <f t="shared" si="40"/>
        <v>0</v>
      </c>
      <c r="AK87" s="95" t="s">
        <v>114</v>
      </c>
      <c r="AL87" s="76"/>
      <c r="AM87" s="89"/>
      <c r="AN87" s="96"/>
      <c r="AY87" s="82"/>
      <c r="BF87" s="82"/>
      <c r="BG87" s="82">
        <v>39</v>
      </c>
      <c r="BH87" s="82">
        <v>0</v>
      </c>
      <c r="BI87" s="82">
        <v>-350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>
        <v>102</v>
      </c>
      <c r="K88" s="46">
        <v>102</v>
      </c>
      <c r="L88" s="46">
        <v>102</v>
      </c>
      <c r="M88" s="46">
        <v>96.4</v>
      </c>
      <c r="N88" s="46">
        <v>111</v>
      </c>
      <c r="O88" s="46">
        <v>131</v>
      </c>
      <c r="P88" s="46">
        <v>132</v>
      </c>
      <c r="Q88" s="46">
        <v>134.4</v>
      </c>
      <c r="R88" s="46">
        <v>135.5</v>
      </c>
      <c r="S88" s="46">
        <v>131.1</v>
      </c>
      <c r="T88" s="46">
        <v>120.3</v>
      </c>
      <c r="U88" s="46">
        <v>131.19999999999999</v>
      </c>
      <c r="V88" s="46">
        <v>125.3</v>
      </c>
      <c r="W88" s="46">
        <v>113.7</v>
      </c>
      <c r="X88" s="46">
        <v>104.1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/>
      <c r="AF88" s="46"/>
      <c r="AG88" s="88"/>
      <c r="AH88" s="48">
        <f t="shared" si="39"/>
        <v>135.5</v>
      </c>
      <c r="AI88" s="49">
        <f t="shared" si="40"/>
        <v>0</v>
      </c>
      <c r="AK88" s="95" t="s">
        <v>116</v>
      </c>
      <c r="AL88" s="89"/>
      <c r="AM88" s="89"/>
      <c r="AN88" s="96"/>
      <c r="AY88" s="82"/>
      <c r="BF88" s="82"/>
      <c r="BG88" s="82">
        <v>39</v>
      </c>
      <c r="BH88" s="82">
        <v>0</v>
      </c>
      <c r="BI88" s="82">
        <v>-390</v>
      </c>
      <c r="BJ88" s="82">
        <v>0</v>
      </c>
      <c r="BK88" s="82">
        <v>102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40"/>
        <v>0</v>
      </c>
      <c r="AK89" s="99"/>
      <c r="AL89" s="46"/>
      <c r="AM89" s="46"/>
      <c r="AN89" s="100"/>
      <c r="AY89" s="82"/>
      <c r="BF89" s="82"/>
      <c r="BG89" s="82">
        <v>71.5</v>
      </c>
      <c r="BH89" s="82">
        <v>0</v>
      </c>
      <c r="BI89" s="82">
        <v>-360</v>
      </c>
      <c r="BJ89" s="82">
        <v>30</v>
      </c>
      <c r="BK89" s="82">
        <v>96.4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39"/>
        <v>0</v>
      </c>
      <c r="AI90" s="49">
        <f t="shared" si="40"/>
        <v>0</v>
      </c>
      <c r="AK90" s="99"/>
      <c r="AL90" s="90"/>
      <c r="AM90" s="102"/>
      <c r="AN90" s="202"/>
      <c r="AY90" s="82"/>
      <c r="BF90" s="82"/>
      <c r="BG90" s="82">
        <v>61</v>
      </c>
      <c r="BH90" s="82">
        <v>0</v>
      </c>
      <c r="BI90" s="82">
        <v>-340</v>
      </c>
      <c r="BJ90" s="82">
        <v>30</v>
      </c>
      <c r="BK90" s="82">
        <v>111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39"/>
        <v>0</v>
      </c>
      <c r="AI91" s="49">
        <f t="shared" si="40"/>
        <v>0</v>
      </c>
      <c r="AK91" s="99"/>
      <c r="AL91" s="90"/>
      <c r="AM91" s="90"/>
      <c r="AN91" s="203"/>
      <c r="BF91" s="82"/>
      <c r="BG91" s="82">
        <v>58.9</v>
      </c>
      <c r="BH91" s="82">
        <v>0</v>
      </c>
      <c r="BI91" s="82">
        <v>-340</v>
      </c>
      <c r="BJ91" s="82">
        <v>31.4</v>
      </c>
      <c r="BK91" s="82">
        <v>131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39"/>
        <v>0</v>
      </c>
      <c r="AI92" s="49">
        <f t="shared" si="40"/>
        <v>0</v>
      </c>
      <c r="AK92" s="104"/>
      <c r="AL92" s="105"/>
      <c r="AM92" s="105"/>
      <c r="AN92" s="106"/>
      <c r="BF92" s="82"/>
      <c r="BG92" s="82">
        <v>49</v>
      </c>
      <c r="BH92" s="82">
        <v>0</v>
      </c>
      <c r="BI92" s="82">
        <v>-325</v>
      </c>
      <c r="BJ92" s="82">
        <v>31</v>
      </c>
      <c r="BK92" s="82">
        <v>132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39"/>
        <v>0</v>
      </c>
      <c r="AI93" s="49">
        <f t="shared" si="40"/>
        <v>0</v>
      </c>
      <c r="BF93" s="82"/>
      <c r="BG93" s="82">
        <v>55.3</v>
      </c>
      <c r="BH93" s="82">
        <v>0</v>
      </c>
      <c r="BI93" s="82">
        <v>-340</v>
      </c>
      <c r="BJ93" s="82">
        <v>29.5</v>
      </c>
      <c r="BK93" s="82">
        <v>134.4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39"/>
        <v>0</v>
      </c>
      <c r="AI94" s="49">
        <f t="shared" si="40"/>
        <v>0</v>
      </c>
      <c r="BF94" s="82"/>
      <c r="BG94" s="82">
        <v>60.1</v>
      </c>
      <c r="BH94" s="82">
        <v>0</v>
      </c>
      <c r="BI94" s="82">
        <v>-344</v>
      </c>
      <c r="BJ94" s="82">
        <v>41.4</v>
      </c>
      <c r="BK94" s="82">
        <v>135.5</v>
      </c>
      <c r="BL94" s="82">
        <v>0</v>
      </c>
    </row>
    <row r="95" spans="1:64" ht="15.75" thickBot="1" x14ac:dyDescent="0.3">
      <c r="A95" s="87" t="s">
        <v>118</v>
      </c>
      <c r="B95" s="71">
        <f t="shared" ref="B95:D95" si="55">SUMIF(B84:B94,"&gt;0")</f>
        <v>28</v>
      </c>
      <c r="C95" s="71">
        <f t="shared" si="55"/>
        <v>28</v>
      </c>
      <c r="D95" s="71">
        <f t="shared" si="55"/>
        <v>27</v>
      </c>
      <c r="E95" s="71">
        <f t="shared" ref="E95:AF95" si="56">SUMIF(E84:E94,"&gt;0")</f>
        <v>28</v>
      </c>
      <c r="F95" s="71">
        <f t="shared" si="56"/>
        <v>20.9</v>
      </c>
      <c r="G95" s="71">
        <f t="shared" si="56"/>
        <v>16.3</v>
      </c>
      <c r="H95" s="71">
        <f t="shared" si="56"/>
        <v>14</v>
      </c>
      <c r="I95" s="71">
        <f t="shared" si="56"/>
        <v>39</v>
      </c>
      <c r="J95" s="71">
        <f t="shared" si="56"/>
        <v>141</v>
      </c>
      <c r="K95" s="71">
        <f t="shared" si="56"/>
        <v>141</v>
      </c>
      <c r="L95" s="71">
        <f t="shared" si="56"/>
        <v>141</v>
      </c>
      <c r="M95" s="71">
        <f t="shared" si="56"/>
        <v>197.9</v>
      </c>
      <c r="N95" s="71">
        <f t="shared" si="56"/>
        <v>202</v>
      </c>
      <c r="O95" s="71">
        <f t="shared" si="56"/>
        <v>221.3</v>
      </c>
      <c r="P95" s="71">
        <f t="shared" si="56"/>
        <v>212</v>
      </c>
      <c r="Q95" s="71">
        <f t="shared" si="56"/>
        <v>219.2</v>
      </c>
      <c r="R95" s="71">
        <f t="shared" si="56"/>
        <v>237</v>
      </c>
      <c r="S95" s="71">
        <f t="shared" ref="S95:T95" si="57">SUMIF(S84:S94,"&gt;0")</f>
        <v>243.7</v>
      </c>
      <c r="T95" s="71">
        <f t="shared" si="57"/>
        <v>225.1</v>
      </c>
      <c r="U95" s="71">
        <f t="shared" ref="U95:V95" si="58">SUMIF(U84:U94,"&gt;0")</f>
        <v>233.1</v>
      </c>
      <c r="V95" s="71">
        <f t="shared" si="58"/>
        <v>234.2</v>
      </c>
      <c r="W95" s="71">
        <f t="shared" ref="W95:X95" si="59">SUMIF(W84:W94,"&gt;0")</f>
        <v>226.10000000000002</v>
      </c>
      <c r="X95" s="71">
        <f t="shared" si="59"/>
        <v>176.6</v>
      </c>
      <c r="Y95" s="71">
        <f t="shared" ref="Y95:AA95" si="60">SUMIF(Y84:Y94,"&gt;0")</f>
        <v>54.900000000000006</v>
      </c>
      <c r="Z95" s="71">
        <f t="shared" si="60"/>
        <v>20.7</v>
      </c>
      <c r="AA95" s="71">
        <f t="shared" si="60"/>
        <v>16.399999999999999</v>
      </c>
      <c r="AB95" s="71">
        <f t="shared" si="56"/>
        <v>2.9</v>
      </c>
      <c r="AC95" s="71">
        <f t="shared" si="56"/>
        <v>21.5</v>
      </c>
      <c r="AD95" s="71">
        <f t="shared" si="56"/>
        <v>26.8</v>
      </c>
      <c r="AE95" s="71">
        <f t="shared" si="56"/>
        <v>0</v>
      </c>
      <c r="AF95" s="71">
        <f t="shared" si="56"/>
        <v>0</v>
      </c>
      <c r="AG95" s="101">
        <f>SUM(AG84:AG94)</f>
        <v>0</v>
      </c>
      <c r="AH95" s="48">
        <f t="shared" si="39"/>
        <v>243.7</v>
      </c>
      <c r="AI95" s="49">
        <f t="shared" si="40"/>
        <v>0</v>
      </c>
      <c r="BF95" s="82"/>
      <c r="BG95" s="82">
        <v>64.7</v>
      </c>
      <c r="BH95" s="82">
        <v>0</v>
      </c>
      <c r="BI95" s="82">
        <v>-216.3</v>
      </c>
      <c r="BJ95" s="82">
        <v>47.9</v>
      </c>
      <c r="BK95" s="82">
        <v>131.1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39"/>
        <v>0</v>
      </c>
      <c r="AI96" s="49">
        <f t="shared" si="40"/>
        <v>0</v>
      </c>
      <c r="BF96" s="82"/>
      <c r="BG96" s="82">
        <v>64</v>
      </c>
      <c r="BH96" s="82">
        <v>0</v>
      </c>
      <c r="BI96" s="82">
        <v>-314.8</v>
      </c>
      <c r="BJ96" s="82">
        <v>40.799999999999997</v>
      </c>
      <c r="BK96" s="82">
        <v>120.3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39"/>
        <v>0</v>
      </c>
      <c r="AI97" s="49">
        <f t="shared" si="40"/>
        <v>0</v>
      </c>
      <c r="BF97" s="82"/>
      <c r="BG97" s="82">
        <v>60.7</v>
      </c>
      <c r="BH97" s="82">
        <v>0</v>
      </c>
      <c r="BI97" s="82">
        <v>-297.10000000000002</v>
      </c>
      <c r="BJ97" s="82">
        <v>41.2</v>
      </c>
      <c r="BK97" s="82">
        <v>131.19999999999999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39"/>
        <v>0</v>
      </c>
      <c r="AI98" s="49">
        <f t="shared" si="40"/>
        <v>0</v>
      </c>
      <c r="BF98" s="82"/>
      <c r="BG98" s="82">
        <v>69.900000000000006</v>
      </c>
      <c r="BH98" s="82">
        <v>0</v>
      </c>
      <c r="BI98" s="82">
        <v>-266.7</v>
      </c>
      <c r="BJ98" s="82">
        <v>39</v>
      </c>
      <c r="BK98" s="82">
        <v>125.3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39"/>
        <v>0</v>
      </c>
      <c r="AI99" s="49">
        <f t="shared" si="40"/>
        <v>0</v>
      </c>
      <c r="BF99" s="81"/>
      <c r="BG99" s="82">
        <v>32.9</v>
      </c>
      <c r="BH99" s="82">
        <v>0</v>
      </c>
      <c r="BI99" s="82">
        <v>-393.1</v>
      </c>
      <c r="BJ99" s="82">
        <v>39.6</v>
      </c>
      <c r="BK99" s="82">
        <v>104.1</v>
      </c>
      <c r="BL99" s="82">
        <v>0</v>
      </c>
    </row>
    <row r="100" spans="1:64" ht="15.75" thickBot="1" x14ac:dyDescent="0.3">
      <c r="A100" s="87" t="s">
        <v>123</v>
      </c>
      <c r="B100" s="108">
        <f t="shared" ref="B100:D100" si="61">B61+B65+B83+B79+B95+B99</f>
        <v>1793.04</v>
      </c>
      <c r="C100" s="108">
        <f t="shared" si="61"/>
        <v>1793.04</v>
      </c>
      <c r="D100" s="108">
        <f t="shared" si="61"/>
        <v>1792.04</v>
      </c>
      <c r="E100" s="108">
        <f t="shared" ref="E100:AG100" si="62">E61+E65+E83+E79+E95+E99</f>
        <v>1748.04</v>
      </c>
      <c r="F100" s="108">
        <f t="shared" si="62"/>
        <v>1781.5400000000002</v>
      </c>
      <c r="G100" s="108">
        <f t="shared" si="62"/>
        <v>1776.94</v>
      </c>
      <c r="H100" s="108">
        <f t="shared" si="62"/>
        <v>1761.34</v>
      </c>
      <c r="I100" s="108">
        <f t="shared" si="62"/>
        <v>1786.34</v>
      </c>
      <c r="J100" s="108">
        <f t="shared" si="62"/>
        <v>1889.54</v>
      </c>
      <c r="K100" s="108">
        <f t="shared" si="62"/>
        <v>1889.54</v>
      </c>
      <c r="L100" s="108">
        <f t="shared" si="62"/>
        <v>1889.54</v>
      </c>
      <c r="M100" s="108">
        <f t="shared" si="62"/>
        <v>1946.44</v>
      </c>
      <c r="N100" s="108">
        <f t="shared" si="62"/>
        <v>1950.54</v>
      </c>
      <c r="O100" s="108">
        <f t="shared" si="62"/>
        <v>1987.84</v>
      </c>
      <c r="P100" s="108">
        <f t="shared" si="62"/>
        <v>1978.54</v>
      </c>
      <c r="Q100" s="108">
        <f t="shared" si="62"/>
        <v>1994.0400000000002</v>
      </c>
      <c r="R100" s="108">
        <f t="shared" si="62"/>
        <v>2011.8400000000001</v>
      </c>
      <c r="S100" s="108">
        <f t="shared" ref="S100:T100" si="63">S61+S65+S83+S79+S95+S99</f>
        <v>2048.7400000000002</v>
      </c>
      <c r="T100" s="108">
        <f t="shared" si="63"/>
        <v>2008.3400000000001</v>
      </c>
      <c r="U100" s="108">
        <f t="shared" ref="U100:V100" si="64">U61+U65+U83+U79+U95+U99</f>
        <v>1995.64</v>
      </c>
      <c r="V100" s="108">
        <f t="shared" si="64"/>
        <v>1995.7400000000002</v>
      </c>
      <c r="W100" s="108">
        <f t="shared" ref="W100:X100" si="65">W61+W65+W83+W79+W95+W99</f>
        <v>2000.6399999999999</v>
      </c>
      <c r="X100" s="108">
        <f t="shared" si="65"/>
        <v>1949.6399999999999</v>
      </c>
      <c r="Y100" s="108">
        <f t="shared" ref="Y100:AA100" si="66">Y61+Y65+Y83+Y79+Y95+Y99</f>
        <v>1810.9400000000003</v>
      </c>
      <c r="Z100" s="108">
        <f t="shared" si="66"/>
        <v>1796.4400000000003</v>
      </c>
      <c r="AA100" s="108">
        <f t="shared" si="66"/>
        <v>1876.94</v>
      </c>
      <c r="AB100" s="108">
        <f t="shared" si="62"/>
        <v>1867.2400000000002</v>
      </c>
      <c r="AC100" s="108">
        <f t="shared" si="62"/>
        <v>1887.7399999999998</v>
      </c>
      <c r="AD100" s="108">
        <f t="shared" si="62"/>
        <v>1881.5400000000002</v>
      </c>
      <c r="AE100" s="108">
        <f t="shared" si="62"/>
        <v>153.54</v>
      </c>
      <c r="AF100" s="108">
        <f t="shared" si="62"/>
        <v>153.54</v>
      </c>
      <c r="AG100" s="72">
        <f t="shared" si="62"/>
        <v>2655.44</v>
      </c>
      <c r="AH100" s="48">
        <f t="shared" si="39"/>
        <v>2048.7400000000002</v>
      </c>
      <c r="AI100" s="49">
        <f t="shared" si="40"/>
        <v>153.54</v>
      </c>
      <c r="BF100" s="81"/>
      <c r="BG100" s="82">
        <v>20.7</v>
      </c>
      <c r="BH100" s="82">
        <v>0</v>
      </c>
      <c r="BI100" s="82">
        <v>-166.1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>
        <v>150</v>
      </c>
      <c r="C101" s="110">
        <v>151</v>
      </c>
      <c r="D101" s="110">
        <v>152</v>
      </c>
      <c r="E101" s="110">
        <v>150</v>
      </c>
      <c r="F101" s="110">
        <v>150</v>
      </c>
      <c r="G101" s="110">
        <v>100</v>
      </c>
      <c r="H101" s="110">
        <v>100</v>
      </c>
      <c r="I101" s="110">
        <v>100</v>
      </c>
      <c r="J101" s="110">
        <v>100</v>
      </c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>
        <v>150</v>
      </c>
      <c r="AB101" s="110">
        <v>125</v>
      </c>
      <c r="AC101" s="110">
        <v>125</v>
      </c>
      <c r="AD101" s="110">
        <v>125</v>
      </c>
      <c r="AE101" s="110"/>
      <c r="AF101" s="110"/>
      <c r="AG101" s="101"/>
      <c r="AH101" s="48">
        <f t="shared" si="39"/>
        <v>152</v>
      </c>
      <c r="AI101" s="49">
        <f t="shared" si="40"/>
        <v>100</v>
      </c>
      <c r="BF101" s="81"/>
      <c r="BG101" s="82">
        <v>2.9</v>
      </c>
      <c r="BH101" s="82">
        <v>0</v>
      </c>
      <c r="BI101" s="82">
        <v>-197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 t="shared" ref="B102:D102" si="67">B100+B101</f>
        <v>1943.04</v>
      </c>
      <c r="C102" s="108">
        <f t="shared" si="67"/>
        <v>1944.04</v>
      </c>
      <c r="D102" s="108">
        <f t="shared" si="67"/>
        <v>1944.04</v>
      </c>
      <c r="E102" s="108">
        <f t="shared" ref="E102:AF102" si="68">E100+E101</f>
        <v>1898.04</v>
      </c>
      <c r="F102" s="108">
        <f t="shared" si="68"/>
        <v>1931.5400000000002</v>
      </c>
      <c r="G102" s="108">
        <f t="shared" si="68"/>
        <v>1876.94</v>
      </c>
      <c r="H102" s="108">
        <f t="shared" si="68"/>
        <v>1861.34</v>
      </c>
      <c r="I102" s="108">
        <f t="shared" si="68"/>
        <v>1886.34</v>
      </c>
      <c r="J102" s="108">
        <f t="shared" si="68"/>
        <v>1989.54</v>
      </c>
      <c r="K102" s="108">
        <f t="shared" si="68"/>
        <v>1889.54</v>
      </c>
      <c r="L102" s="108">
        <f t="shared" si="68"/>
        <v>1889.54</v>
      </c>
      <c r="M102" s="108">
        <f t="shared" si="68"/>
        <v>1946.44</v>
      </c>
      <c r="N102" s="108">
        <f t="shared" si="68"/>
        <v>1950.54</v>
      </c>
      <c r="O102" s="108">
        <f t="shared" si="68"/>
        <v>1987.84</v>
      </c>
      <c r="P102" s="108">
        <f t="shared" si="68"/>
        <v>1978.54</v>
      </c>
      <c r="Q102" s="108">
        <f t="shared" si="68"/>
        <v>1994.0400000000002</v>
      </c>
      <c r="R102" s="108">
        <f t="shared" si="68"/>
        <v>2011.8400000000001</v>
      </c>
      <c r="S102" s="108">
        <f t="shared" ref="S102:T102" si="69">S100+S101</f>
        <v>2048.7400000000002</v>
      </c>
      <c r="T102" s="108">
        <f t="shared" si="69"/>
        <v>2008.3400000000001</v>
      </c>
      <c r="U102" s="108">
        <f t="shared" ref="U102:V102" si="70">U100+U101</f>
        <v>1995.64</v>
      </c>
      <c r="V102" s="108">
        <f t="shared" si="70"/>
        <v>1995.7400000000002</v>
      </c>
      <c r="W102" s="108">
        <f t="shared" ref="W102:X102" si="71">W100+W101</f>
        <v>2000.6399999999999</v>
      </c>
      <c r="X102" s="108">
        <f t="shared" si="71"/>
        <v>1949.6399999999999</v>
      </c>
      <c r="Y102" s="108">
        <f t="shared" ref="Y102:AA102" si="72">Y100+Y101</f>
        <v>1810.9400000000003</v>
      </c>
      <c r="Z102" s="108">
        <f t="shared" si="72"/>
        <v>1796.4400000000003</v>
      </c>
      <c r="AA102" s="108">
        <f t="shared" si="72"/>
        <v>2026.94</v>
      </c>
      <c r="AB102" s="108">
        <f t="shared" si="68"/>
        <v>1992.2400000000002</v>
      </c>
      <c r="AC102" s="108">
        <f t="shared" si="68"/>
        <v>2012.7399999999998</v>
      </c>
      <c r="AD102" s="108">
        <f t="shared" si="68"/>
        <v>2006.5400000000002</v>
      </c>
      <c r="AE102" s="108">
        <f t="shared" si="68"/>
        <v>153.54</v>
      </c>
      <c r="AF102" s="108">
        <f t="shared" si="68"/>
        <v>153.54</v>
      </c>
      <c r="AG102" s="101">
        <f>AG99+AG95+AG83+AG79+AG61+AG101</f>
        <v>2117.34</v>
      </c>
      <c r="AH102" s="48">
        <f t="shared" si="39"/>
        <v>2048.7400000000002</v>
      </c>
      <c r="AI102" s="49">
        <f t="shared" si="40"/>
        <v>153.54</v>
      </c>
      <c r="BF102" s="81"/>
      <c r="BG102" s="82">
        <v>26.8</v>
      </c>
      <c r="BH102" s="82">
        <v>0</v>
      </c>
      <c r="BI102" s="82">
        <v>-172.1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 t="shared" ref="B103:D103" si="73">B102-(B110)</f>
        <v>1692.04</v>
      </c>
      <c r="C103" s="108">
        <f t="shared" si="73"/>
        <v>1704.04</v>
      </c>
      <c r="D103" s="108">
        <f t="shared" si="73"/>
        <v>1658.04</v>
      </c>
      <c r="E103" s="108">
        <f t="shared" ref="E103:AF103" si="74">E102-(E110)</f>
        <v>1580.04</v>
      </c>
      <c r="F103" s="108">
        <f t="shared" si="74"/>
        <v>1571.5400000000002</v>
      </c>
      <c r="G103" s="108">
        <f t="shared" si="74"/>
        <v>1456.94</v>
      </c>
      <c r="H103" s="108">
        <f t="shared" si="74"/>
        <v>1451.34</v>
      </c>
      <c r="I103" s="108">
        <f t="shared" si="74"/>
        <v>1536.34</v>
      </c>
      <c r="J103" s="108">
        <f t="shared" si="74"/>
        <v>1599.54</v>
      </c>
      <c r="K103" s="108">
        <f t="shared" si="74"/>
        <v>1499.54</v>
      </c>
      <c r="L103" s="108">
        <f t="shared" si="74"/>
        <v>1499.54</v>
      </c>
      <c r="M103" s="108">
        <f t="shared" si="74"/>
        <v>1586.44</v>
      </c>
      <c r="N103" s="108">
        <f t="shared" si="74"/>
        <v>1610.54</v>
      </c>
      <c r="O103" s="108">
        <f t="shared" si="74"/>
        <v>1647.84</v>
      </c>
      <c r="P103" s="108">
        <f t="shared" si="74"/>
        <v>1653.54</v>
      </c>
      <c r="Q103" s="108">
        <f t="shared" si="74"/>
        <v>1654.0400000000002</v>
      </c>
      <c r="R103" s="108">
        <f t="shared" si="74"/>
        <v>1667.8400000000001</v>
      </c>
      <c r="S103" s="108">
        <f t="shared" ref="S103:T103" si="75">S102-(S110)</f>
        <v>1832.4400000000003</v>
      </c>
      <c r="T103" s="108">
        <f t="shared" si="75"/>
        <v>1693.5400000000002</v>
      </c>
      <c r="U103" s="108">
        <f t="shared" ref="U103:V103" si="76">U102-(U110)</f>
        <v>1698.54</v>
      </c>
      <c r="V103" s="108">
        <f t="shared" si="76"/>
        <v>1729.0400000000002</v>
      </c>
      <c r="W103" s="108">
        <f t="shared" ref="W103:X103" si="77">W102-(W110)</f>
        <v>1673.9399999999998</v>
      </c>
      <c r="X103" s="108">
        <f t="shared" si="77"/>
        <v>1556.54</v>
      </c>
      <c r="Y103" s="108">
        <f t="shared" ref="Y103:AA103" si="78">Y102-(Y110)</f>
        <v>1448.1400000000003</v>
      </c>
      <c r="Z103" s="108">
        <f t="shared" si="78"/>
        <v>1630.3400000000004</v>
      </c>
      <c r="AA103" s="108">
        <f t="shared" si="78"/>
        <v>1849.54</v>
      </c>
      <c r="AB103" s="108">
        <f t="shared" si="74"/>
        <v>1795.2400000000002</v>
      </c>
      <c r="AC103" s="108">
        <f t="shared" si="74"/>
        <v>1807.6399999999999</v>
      </c>
      <c r="AD103" s="108">
        <f t="shared" si="74"/>
        <v>1834.4400000000003</v>
      </c>
      <c r="AE103" s="108">
        <f t="shared" si="74"/>
        <v>153.54</v>
      </c>
      <c r="AF103" s="108">
        <f t="shared" si="74"/>
        <v>153.54</v>
      </c>
      <c r="AG103" s="101"/>
      <c r="AH103" s="48">
        <f t="shared" si="39"/>
        <v>1849.54</v>
      </c>
      <c r="AI103" s="49">
        <f t="shared" si="40"/>
        <v>153.54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 t="shared" ref="B104:D109" si="79">IF(B84&lt;0,B84*-1,0)</f>
        <v>0</v>
      </c>
      <c r="C104" s="89">
        <f t="shared" si="79"/>
        <v>0</v>
      </c>
      <c r="D104" s="89">
        <f t="shared" si="79"/>
        <v>0</v>
      </c>
      <c r="E104" s="89">
        <f t="shared" ref="E104:AF109" si="80">IF(E84&lt;0,E84*-1,0)</f>
        <v>0</v>
      </c>
      <c r="F104" s="89">
        <f t="shared" si="80"/>
        <v>0</v>
      </c>
      <c r="G104" s="89">
        <f t="shared" si="80"/>
        <v>0</v>
      </c>
      <c r="H104" s="89">
        <f t="shared" si="80"/>
        <v>0</v>
      </c>
      <c r="I104" s="89">
        <f t="shared" si="80"/>
        <v>0</v>
      </c>
      <c r="J104" s="89">
        <f t="shared" si="80"/>
        <v>0</v>
      </c>
      <c r="K104" s="89">
        <f t="shared" si="80"/>
        <v>0</v>
      </c>
      <c r="L104" s="89">
        <f t="shared" si="80"/>
        <v>0</v>
      </c>
      <c r="M104" s="89">
        <f t="shared" si="80"/>
        <v>0</v>
      </c>
      <c r="N104" s="89">
        <f t="shared" si="80"/>
        <v>0</v>
      </c>
      <c r="O104" s="89">
        <f t="shared" si="80"/>
        <v>0</v>
      </c>
      <c r="P104" s="89">
        <f t="shared" si="80"/>
        <v>0</v>
      </c>
      <c r="Q104" s="89">
        <f t="shared" si="80"/>
        <v>0</v>
      </c>
      <c r="R104" s="89">
        <f t="shared" si="80"/>
        <v>0</v>
      </c>
      <c r="S104" s="89">
        <f t="shared" ref="S104:T104" si="81">IF(S84&lt;0,S84*-1,0)</f>
        <v>0</v>
      </c>
      <c r="T104" s="89">
        <f t="shared" si="81"/>
        <v>0</v>
      </c>
      <c r="U104" s="89">
        <f t="shared" ref="U104:V104" si="82">IF(U84&lt;0,U84*-1,0)</f>
        <v>0</v>
      </c>
      <c r="V104" s="89">
        <f t="shared" si="82"/>
        <v>0</v>
      </c>
      <c r="W104" s="89">
        <f t="shared" ref="W104:X104" si="83">IF(W84&lt;0,W84*-1,0)</f>
        <v>0</v>
      </c>
      <c r="X104" s="89">
        <f t="shared" si="83"/>
        <v>0</v>
      </c>
      <c r="Y104" s="89">
        <f t="shared" ref="Y104:AA109" si="84">IF(Y84&lt;0,Y84*-1,0)</f>
        <v>0</v>
      </c>
      <c r="Z104" s="89">
        <f t="shared" si="84"/>
        <v>0</v>
      </c>
      <c r="AA104" s="89">
        <f t="shared" si="84"/>
        <v>0</v>
      </c>
      <c r="AB104" s="89">
        <f t="shared" si="80"/>
        <v>0</v>
      </c>
      <c r="AC104" s="89">
        <f t="shared" si="80"/>
        <v>0</v>
      </c>
      <c r="AD104" s="89">
        <f t="shared" si="80"/>
        <v>0</v>
      </c>
      <c r="AE104" s="89">
        <f t="shared" si="80"/>
        <v>0</v>
      </c>
      <c r="AF104" s="89">
        <f t="shared" si="80"/>
        <v>0</v>
      </c>
      <c r="AG104" s="61"/>
      <c r="AH104" s="48">
        <f t="shared" si="39"/>
        <v>0</v>
      </c>
      <c r="AI104" s="49">
        <f t="shared" si="40"/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si="79"/>
        <v>0</v>
      </c>
      <c r="C105" s="89">
        <f t="shared" si="79"/>
        <v>0</v>
      </c>
      <c r="D105" s="89">
        <f t="shared" si="79"/>
        <v>0</v>
      </c>
      <c r="E105" s="89">
        <f t="shared" ref="E105:Q105" si="85">IF(E85&lt;0,E85*-1,0)</f>
        <v>0</v>
      </c>
      <c r="F105" s="89">
        <f t="shared" si="85"/>
        <v>0</v>
      </c>
      <c r="G105" s="89">
        <f t="shared" si="85"/>
        <v>0</v>
      </c>
      <c r="H105" s="89">
        <f t="shared" si="85"/>
        <v>0</v>
      </c>
      <c r="I105" s="89">
        <f t="shared" si="85"/>
        <v>0</v>
      </c>
      <c r="J105" s="89">
        <f t="shared" si="85"/>
        <v>0</v>
      </c>
      <c r="K105" s="89">
        <f t="shared" si="85"/>
        <v>0</v>
      </c>
      <c r="L105" s="89">
        <f t="shared" si="85"/>
        <v>0</v>
      </c>
      <c r="M105" s="89">
        <f t="shared" si="85"/>
        <v>0</v>
      </c>
      <c r="N105" s="89">
        <f t="shared" si="85"/>
        <v>0</v>
      </c>
      <c r="O105" s="89">
        <f t="shared" si="85"/>
        <v>0</v>
      </c>
      <c r="P105" s="89">
        <f t="shared" si="85"/>
        <v>0</v>
      </c>
      <c r="Q105" s="89">
        <f t="shared" si="85"/>
        <v>0</v>
      </c>
      <c r="R105" s="89">
        <f t="shared" si="80"/>
        <v>0</v>
      </c>
      <c r="S105" s="89">
        <f t="shared" ref="S105:T105" si="86">IF(S85&lt;0,S85*-1,0)</f>
        <v>0</v>
      </c>
      <c r="T105" s="89">
        <f t="shared" si="86"/>
        <v>0</v>
      </c>
      <c r="U105" s="89">
        <f t="shared" ref="U105:V105" si="87">IF(U85&lt;0,U85*-1,0)</f>
        <v>0</v>
      </c>
      <c r="V105" s="89">
        <f t="shared" si="87"/>
        <v>0</v>
      </c>
      <c r="W105" s="89">
        <f t="shared" ref="W105:X105" si="88">IF(W85&lt;0,W85*-1,0)</f>
        <v>0</v>
      </c>
      <c r="X105" s="89">
        <f t="shared" si="88"/>
        <v>0</v>
      </c>
      <c r="Y105" s="89">
        <f t="shared" ref="Y105:Z105" si="89">IF(Y85&lt;0,Y85*-1,0)</f>
        <v>0</v>
      </c>
      <c r="Z105" s="89">
        <f t="shared" si="89"/>
        <v>0</v>
      </c>
      <c r="AA105" s="89">
        <f t="shared" si="84"/>
        <v>0</v>
      </c>
      <c r="AB105" s="89">
        <f t="shared" si="80"/>
        <v>0</v>
      </c>
      <c r="AC105" s="89">
        <f t="shared" si="80"/>
        <v>0</v>
      </c>
      <c r="AD105" s="89">
        <f t="shared" si="80"/>
        <v>0</v>
      </c>
      <c r="AE105" s="89">
        <f t="shared" si="80"/>
        <v>0</v>
      </c>
      <c r="AF105" s="89">
        <f t="shared" si="80"/>
        <v>0</v>
      </c>
      <c r="AG105" s="66"/>
      <c r="AH105" s="48">
        <f t="shared" si="39"/>
        <v>0</v>
      </c>
      <c r="AI105" s="49">
        <f t="shared" si="40"/>
        <v>0</v>
      </c>
      <c r="AK105" s="51"/>
      <c r="BG105" s="82">
        <v>28</v>
      </c>
      <c r="BH105" s="82">
        <v>0</v>
      </c>
      <c r="BI105" s="82">
        <v>-251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79"/>
        <v>251</v>
      </c>
      <c r="C106" s="89">
        <f t="shared" si="79"/>
        <v>240</v>
      </c>
      <c r="D106" s="89">
        <f t="shared" si="79"/>
        <v>286</v>
      </c>
      <c r="E106" s="89">
        <f t="shared" si="80"/>
        <v>318</v>
      </c>
      <c r="F106" s="89">
        <f t="shared" si="80"/>
        <v>360</v>
      </c>
      <c r="G106" s="89">
        <f t="shared" si="80"/>
        <v>420</v>
      </c>
      <c r="H106" s="89">
        <f t="shared" si="80"/>
        <v>410</v>
      </c>
      <c r="I106" s="89">
        <f t="shared" si="80"/>
        <v>350</v>
      </c>
      <c r="J106" s="89">
        <f t="shared" si="80"/>
        <v>390</v>
      </c>
      <c r="K106" s="89">
        <f t="shared" si="80"/>
        <v>390</v>
      </c>
      <c r="L106" s="89">
        <f t="shared" si="80"/>
        <v>390</v>
      </c>
      <c r="M106" s="89">
        <f t="shared" si="80"/>
        <v>360</v>
      </c>
      <c r="N106" s="89">
        <f t="shared" si="80"/>
        <v>340</v>
      </c>
      <c r="O106" s="89">
        <f t="shared" si="80"/>
        <v>340</v>
      </c>
      <c r="P106" s="89">
        <f t="shared" si="80"/>
        <v>325</v>
      </c>
      <c r="Q106" s="89">
        <f t="shared" si="80"/>
        <v>340</v>
      </c>
      <c r="R106" s="89">
        <f t="shared" si="80"/>
        <v>344</v>
      </c>
      <c r="S106" s="89">
        <f t="shared" ref="S106:T106" si="90">IF(S86&lt;0,S86*-1,0)</f>
        <v>216.3</v>
      </c>
      <c r="T106" s="89">
        <f t="shared" si="90"/>
        <v>314.8</v>
      </c>
      <c r="U106" s="89">
        <f t="shared" ref="U106:V106" si="91">IF(U86&lt;0,U86*-1,0)</f>
        <v>297.10000000000002</v>
      </c>
      <c r="V106" s="89">
        <f t="shared" si="91"/>
        <v>266.7</v>
      </c>
      <c r="W106" s="89">
        <f t="shared" ref="W106:X106" si="92">IF(W86&lt;0,W86*-1,0)</f>
        <v>326.7</v>
      </c>
      <c r="X106" s="89">
        <f t="shared" si="92"/>
        <v>393.1</v>
      </c>
      <c r="Y106" s="89">
        <f t="shared" ref="Y106:Z106" si="93">IF(Y86&lt;0,Y86*-1,0)</f>
        <v>362.8</v>
      </c>
      <c r="Z106" s="89">
        <f t="shared" si="93"/>
        <v>166.1</v>
      </c>
      <c r="AA106" s="89">
        <f t="shared" si="84"/>
        <v>177.4</v>
      </c>
      <c r="AB106" s="89">
        <f t="shared" si="80"/>
        <v>197</v>
      </c>
      <c r="AC106" s="89">
        <f t="shared" si="80"/>
        <v>205.1</v>
      </c>
      <c r="AD106" s="89">
        <f t="shared" si="80"/>
        <v>172.1</v>
      </c>
      <c r="AE106" s="89">
        <f t="shared" si="80"/>
        <v>0</v>
      </c>
      <c r="AF106" s="89">
        <f t="shared" si="80"/>
        <v>0</v>
      </c>
      <c r="AG106" s="111"/>
      <c r="AH106" s="48">
        <f t="shared" si="39"/>
        <v>420</v>
      </c>
      <c r="AI106" s="49">
        <f t="shared" si="40"/>
        <v>0</v>
      </c>
    </row>
    <row r="107" spans="1:64" x14ac:dyDescent="0.25">
      <c r="A107" s="97" t="s">
        <v>107</v>
      </c>
      <c r="B107" s="89">
        <f t="shared" si="79"/>
        <v>0</v>
      </c>
      <c r="C107" s="89">
        <f t="shared" si="79"/>
        <v>0</v>
      </c>
      <c r="D107" s="89">
        <f t="shared" si="79"/>
        <v>0</v>
      </c>
      <c r="E107" s="89">
        <f t="shared" si="80"/>
        <v>0</v>
      </c>
      <c r="F107" s="89">
        <f t="shared" si="80"/>
        <v>0</v>
      </c>
      <c r="G107" s="89">
        <f t="shared" si="80"/>
        <v>0</v>
      </c>
      <c r="H107" s="89">
        <f t="shared" si="80"/>
        <v>0</v>
      </c>
      <c r="I107" s="89">
        <f t="shared" si="80"/>
        <v>0</v>
      </c>
      <c r="J107" s="89">
        <f t="shared" si="80"/>
        <v>0</v>
      </c>
      <c r="K107" s="89">
        <f t="shared" si="80"/>
        <v>0</v>
      </c>
      <c r="L107" s="89">
        <f t="shared" si="80"/>
        <v>0</v>
      </c>
      <c r="M107" s="89">
        <f t="shared" si="80"/>
        <v>0</v>
      </c>
      <c r="N107" s="89">
        <f t="shared" si="80"/>
        <v>0</v>
      </c>
      <c r="O107" s="89">
        <f t="shared" si="80"/>
        <v>0</v>
      </c>
      <c r="P107" s="89">
        <f t="shared" si="80"/>
        <v>0</v>
      </c>
      <c r="Q107" s="89">
        <f t="shared" si="80"/>
        <v>0</v>
      </c>
      <c r="R107" s="89">
        <f t="shared" si="80"/>
        <v>0</v>
      </c>
      <c r="S107" s="89">
        <f t="shared" ref="S107:T107" si="94">IF(S87&lt;0,S87*-1,0)</f>
        <v>0</v>
      </c>
      <c r="T107" s="89">
        <f t="shared" si="94"/>
        <v>0</v>
      </c>
      <c r="U107" s="89">
        <f t="shared" ref="U107:V107" si="95">IF(U87&lt;0,U87*-1,0)</f>
        <v>0</v>
      </c>
      <c r="V107" s="89">
        <f t="shared" si="95"/>
        <v>0</v>
      </c>
      <c r="W107" s="89">
        <f t="shared" ref="W107:X107" si="96">IF(W87&lt;0,W87*-1,0)</f>
        <v>0</v>
      </c>
      <c r="X107" s="89">
        <f t="shared" si="96"/>
        <v>0</v>
      </c>
      <c r="Y107" s="89">
        <f t="shared" ref="Y107:Z107" si="97">IF(Y87&lt;0,Y87*-1,0)</f>
        <v>0</v>
      </c>
      <c r="Z107" s="89">
        <f t="shared" si="97"/>
        <v>0</v>
      </c>
      <c r="AA107" s="89">
        <f t="shared" si="84"/>
        <v>0</v>
      </c>
      <c r="AB107" s="89">
        <f t="shared" si="80"/>
        <v>0</v>
      </c>
      <c r="AC107" s="89">
        <f t="shared" si="80"/>
        <v>0</v>
      </c>
      <c r="AD107" s="89">
        <f t="shared" si="80"/>
        <v>0</v>
      </c>
      <c r="AE107" s="89">
        <f t="shared" si="80"/>
        <v>0</v>
      </c>
      <c r="AF107" s="89">
        <f t="shared" si="80"/>
        <v>0</v>
      </c>
      <c r="AG107" s="111"/>
      <c r="AH107" s="48">
        <f t="shared" si="39"/>
        <v>0</v>
      </c>
      <c r="AI107" s="49">
        <f t="shared" si="40"/>
        <v>0</v>
      </c>
    </row>
    <row r="108" spans="1:64" x14ac:dyDescent="0.25">
      <c r="A108" s="97" t="s">
        <v>108</v>
      </c>
      <c r="B108" s="89">
        <f t="shared" si="79"/>
        <v>0</v>
      </c>
      <c r="C108" s="89">
        <f t="shared" si="79"/>
        <v>0</v>
      </c>
      <c r="D108" s="89">
        <f t="shared" si="79"/>
        <v>0</v>
      </c>
      <c r="E108" s="89">
        <f t="shared" si="80"/>
        <v>0</v>
      </c>
      <c r="F108" s="89">
        <f t="shared" si="80"/>
        <v>0</v>
      </c>
      <c r="G108" s="89">
        <f t="shared" si="80"/>
        <v>0</v>
      </c>
      <c r="H108" s="89">
        <f t="shared" si="80"/>
        <v>0</v>
      </c>
      <c r="I108" s="89">
        <f t="shared" si="80"/>
        <v>0</v>
      </c>
      <c r="J108" s="89">
        <f t="shared" si="80"/>
        <v>0</v>
      </c>
      <c r="K108" s="89">
        <f t="shared" si="80"/>
        <v>0</v>
      </c>
      <c r="L108" s="89">
        <f t="shared" si="80"/>
        <v>0</v>
      </c>
      <c r="M108" s="89">
        <f t="shared" si="80"/>
        <v>0</v>
      </c>
      <c r="N108" s="89">
        <f t="shared" si="80"/>
        <v>0</v>
      </c>
      <c r="O108" s="89">
        <f t="shared" si="80"/>
        <v>0</v>
      </c>
      <c r="P108" s="89">
        <f t="shared" si="80"/>
        <v>0</v>
      </c>
      <c r="Q108" s="89">
        <f t="shared" si="80"/>
        <v>0</v>
      </c>
      <c r="R108" s="89">
        <f t="shared" si="80"/>
        <v>0</v>
      </c>
      <c r="S108" s="89">
        <f t="shared" ref="S108:T108" si="98">IF(S88&lt;0,S88*-1,0)</f>
        <v>0</v>
      </c>
      <c r="T108" s="89">
        <f t="shared" si="98"/>
        <v>0</v>
      </c>
      <c r="U108" s="89">
        <f t="shared" ref="U108:V108" si="99">IF(U88&lt;0,U88*-1,0)</f>
        <v>0</v>
      </c>
      <c r="V108" s="89">
        <f t="shared" si="99"/>
        <v>0</v>
      </c>
      <c r="W108" s="89">
        <f t="shared" ref="W108:X108" si="100">IF(W88&lt;0,W88*-1,0)</f>
        <v>0</v>
      </c>
      <c r="X108" s="89">
        <f t="shared" si="100"/>
        <v>0</v>
      </c>
      <c r="Y108" s="89">
        <f t="shared" ref="Y108:Z108" si="101">IF(Y88&lt;0,Y88*-1,0)</f>
        <v>0</v>
      </c>
      <c r="Z108" s="89">
        <f t="shared" si="101"/>
        <v>0</v>
      </c>
      <c r="AA108" s="89">
        <f t="shared" si="84"/>
        <v>0</v>
      </c>
      <c r="AB108" s="89">
        <f t="shared" si="80"/>
        <v>0</v>
      </c>
      <c r="AC108" s="89">
        <f t="shared" si="80"/>
        <v>0</v>
      </c>
      <c r="AD108" s="89">
        <f t="shared" si="80"/>
        <v>0</v>
      </c>
      <c r="AE108" s="89">
        <f t="shared" si="80"/>
        <v>0</v>
      </c>
      <c r="AF108" s="89">
        <f t="shared" si="80"/>
        <v>0</v>
      </c>
      <c r="AG108" s="111"/>
      <c r="AH108" s="48">
        <f t="shared" si="39"/>
        <v>0</v>
      </c>
      <c r="AI108" s="49">
        <f t="shared" si="40"/>
        <v>0</v>
      </c>
    </row>
    <row r="109" spans="1:64" ht="15.75" thickBot="1" x14ac:dyDescent="0.3">
      <c r="A109" s="97" t="s">
        <v>117</v>
      </c>
      <c r="B109" s="89">
        <f t="shared" si="79"/>
        <v>0</v>
      </c>
      <c r="C109" s="89">
        <f t="shared" si="79"/>
        <v>0</v>
      </c>
      <c r="D109" s="89">
        <f t="shared" si="79"/>
        <v>0</v>
      </c>
      <c r="E109" s="89">
        <f t="shared" si="80"/>
        <v>0</v>
      </c>
      <c r="F109" s="89">
        <f t="shared" si="80"/>
        <v>0</v>
      </c>
      <c r="G109" s="89">
        <f t="shared" si="80"/>
        <v>0</v>
      </c>
      <c r="H109" s="89">
        <f t="shared" si="80"/>
        <v>0</v>
      </c>
      <c r="I109" s="89">
        <f t="shared" si="80"/>
        <v>0</v>
      </c>
      <c r="J109" s="89">
        <f t="shared" si="80"/>
        <v>0</v>
      </c>
      <c r="K109" s="89">
        <f t="shared" si="80"/>
        <v>0</v>
      </c>
      <c r="L109" s="89">
        <f t="shared" si="80"/>
        <v>0</v>
      </c>
      <c r="M109" s="89">
        <f t="shared" si="80"/>
        <v>0</v>
      </c>
      <c r="N109" s="89">
        <f t="shared" si="80"/>
        <v>0</v>
      </c>
      <c r="O109" s="89">
        <f t="shared" si="80"/>
        <v>0</v>
      </c>
      <c r="P109" s="89">
        <f t="shared" si="80"/>
        <v>0</v>
      </c>
      <c r="Q109" s="89">
        <f t="shared" si="80"/>
        <v>0</v>
      </c>
      <c r="R109" s="89">
        <f t="shared" si="80"/>
        <v>0</v>
      </c>
      <c r="S109" s="89">
        <f t="shared" ref="S109:T109" si="102">IF(S89&lt;0,S89*-1,0)</f>
        <v>0</v>
      </c>
      <c r="T109" s="89">
        <f t="shared" si="102"/>
        <v>0</v>
      </c>
      <c r="U109" s="89">
        <f t="shared" ref="U109:V109" si="103">IF(U89&lt;0,U89*-1,0)</f>
        <v>0</v>
      </c>
      <c r="V109" s="89">
        <f t="shared" si="103"/>
        <v>0</v>
      </c>
      <c r="W109" s="89">
        <f t="shared" ref="W109:X109" si="104">IF(W89&lt;0,W89*-1,0)</f>
        <v>0</v>
      </c>
      <c r="X109" s="89">
        <f t="shared" si="104"/>
        <v>0</v>
      </c>
      <c r="Y109" s="89">
        <f t="shared" ref="Y109:Z109" si="105">IF(Y89&lt;0,Y89*-1,0)</f>
        <v>0</v>
      </c>
      <c r="Z109" s="89">
        <f t="shared" si="105"/>
        <v>0</v>
      </c>
      <c r="AA109" s="89">
        <f t="shared" si="84"/>
        <v>0</v>
      </c>
      <c r="AB109" s="89">
        <f t="shared" si="80"/>
        <v>0</v>
      </c>
      <c r="AC109" s="89">
        <f t="shared" si="80"/>
        <v>0</v>
      </c>
      <c r="AD109" s="89">
        <f t="shared" si="80"/>
        <v>0</v>
      </c>
      <c r="AE109" s="89">
        <f t="shared" si="80"/>
        <v>0</v>
      </c>
      <c r="AF109" s="89">
        <f t="shared" si="80"/>
        <v>0</v>
      </c>
      <c r="AG109" s="98"/>
      <c r="AH109" s="48">
        <f t="shared" si="39"/>
        <v>0</v>
      </c>
      <c r="AI109" s="49">
        <f t="shared" si="40"/>
        <v>0</v>
      </c>
    </row>
    <row r="110" spans="1:64" ht="15.75" thickBot="1" x14ac:dyDescent="0.3">
      <c r="A110" s="112" t="s">
        <v>130</v>
      </c>
      <c r="B110" s="71">
        <f t="shared" ref="B110:D110" si="106">SUM(B104:B109)</f>
        <v>251</v>
      </c>
      <c r="C110" s="71">
        <f t="shared" si="106"/>
        <v>240</v>
      </c>
      <c r="D110" s="71">
        <f t="shared" si="106"/>
        <v>286</v>
      </c>
      <c r="E110" s="71">
        <f t="shared" ref="E110:AF110" si="107">SUM(E104:E109)</f>
        <v>318</v>
      </c>
      <c r="F110" s="71">
        <f t="shared" si="107"/>
        <v>360</v>
      </c>
      <c r="G110" s="71">
        <f t="shared" si="107"/>
        <v>420</v>
      </c>
      <c r="H110" s="71">
        <f t="shared" si="107"/>
        <v>410</v>
      </c>
      <c r="I110" s="71">
        <f t="shared" si="107"/>
        <v>350</v>
      </c>
      <c r="J110" s="71">
        <f t="shared" si="107"/>
        <v>390</v>
      </c>
      <c r="K110" s="71">
        <f t="shared" si="107"/>
        <v>390</v>
      </c>
      <c r="L110" s="71">
        <f t="shared" si="107"/>
        <v>390</v>
      </c>
      <c r="M110" s="71">
        <f t="shared" si="107"/>
        <v>360</v>
      </c>
      <c r="N110" s="71">
        <f t="shared" si="107"/>
        <v>340</v>
      </c>
      <c r="O110" s="71">
        <f t="shared" si="107"/>
        <v>340</v>
      </c>
      <c r="P110" s="71">
        <f t="shared" si="107"/>
        <v>325</v>
      </c>
      <c r="Q110" s="71">
        <f t="shared" si="107"/>
        <v>340</v>
      </c>
      <c r="R110" s="71">
        <f t="shared" si="107"/>
        <v>344</v>
      </c>
      <c r="S110" s="71">
        <f t="shared" ref="S110:T110" si="108">SUM(S104:S109)</f>
        <v>216.3</v>
      </c>
      <c r="T110" s="71">
        <f t="shared" si="108"/>
        <v>314.8</v>
      </c>
      <c r="U110" s="71">
        <f t="shared" ref="U110:V110" si="109">SUM(U104:U109)</f>
        <v>297.10000000000002</v>
      </c>
      <c r="V110" s="71">
        <f t="shared" si="109"/>
        <v>266.7</v>
      </c>
      <c r="W110" s="71">
        <f t="shared" ref="W110:X110" si="110">SUM(W104:W109)</f>
        <v>326.7</v>
      </c>
      <c r="X110" s="71">
        <f t="shared" si="110"/>
        <v>393.1</v>
      </c>
      <c r="Y110" s="71">
        <f t="shared" ref="Y110:AA110" si="111">SUM(Y104:Y109)</f>
        <v>362.8</v>
      </c>
      <c r="Z110" s="71">
        <f t="shared" si="111"/>
        <v>166.1</v>
      </c>
      <c r="AA110" s="71">
        <f t="shared" si="111"/>
        <v>177.4</v>
      </c>
      <c r="AB110" s="71">
        <f t="shared" si="107"/>
        <v>197</v>
      </c>
      <c r="AC110" s="71">
        <f t="shared" si="107"/>
        <v>205.1</v>
      </c>
      <c r="AD110" s="71">
        <f t="shared" si="107"/>
        <v>172.1</v>
      </c>
      <c r="AE110" s="71">
        <f t="shared" si="107"/>
        <v>0</v>
      </c>
      <c r="AF110" s="71">
        <f t="shared" si="107"/>
        <v>0</v>
      </c>
      <c r="AG110" s="101"/>
      <c r="AH110" s="48">
        <f t="shared" si="39"/>
        <v>420</v>
      </c>
      <c r="AI110" s="49">
        <f t="shared" si="40"/>
        <v>0</v>
      </c>
    </row>
    <row r="111" spans="1:64" ht="15.75" thickBot="1" x14ac:dyDescent="0.3">
      <c r="A111" s="87" t="s">
        <v>131</v>
      </c>
      <c r="B111" s="71">
        <f t="shared" ref="B111:D111" si="112">B95-B110</f>
        <v>-223</v>
      </c>
      <c r="C111" s="71">
        <f t="shared" si="112"/>
        <v>-212</v>
      </c>
      <c r="D111" s="71">
        <f t="shared" si="112"/>
        <v>-259</v>
      </c>
      <c r="E111" s="71">
        <f t="shared" ref="E111:AF111" si="113">E95-E110</f>
        <v>-290</v>
      </c>
      <c r="F111" s="71">
        <f t="shared" si="113"/>
        <v>-339.1</v>
      </c>
      <c r="G111" s="71">
        <f t="shared" si="113"/>
        <v>-403.7</v>
      </c>
      <c r="H111" s="71">
        <f t="shared" si="113"/>
        <v>-396</v>
      </c>
      <c r="I111" s="71">
        <f t="shared" si="113"/>
        <v>-311</v>
      </c>
      <c r="J111" s="71">
        <f t="shared" si="113"/>
        <v>-249</v>
      </c>
      <c r="K111" s="71">
        <f t="shared" si="113"/>
        <v>-249</v>
      </c>
      <c r="L111" s="71">
        <f t="shared" si="113"/>
        <v>-249</v>
      </c>
      <c r="M111" s="71">
        <f t="shared" si="113"/>
        <v>-162.1</v>
      </c>
      <c r="N111" s="71">
        <f t="shared" si="113"/>
        <v>-138</v>
      </c>
      <c r="O111" s="71">
        <f t="shared" si="113"/>
        <v>-118.69999999999999</v>
      </c>
      <c r="P111" s="71">
        <f t="shared" si="113"/>
        <v>-113</v>
      </c>
      <c r="Q111" s="71">
        <f t="shared" si="113"/>
        <v>-120.80000000000001</v>
      </c>
      <c r="R111" s="71">
        <f t="shared" si="113"/>
        <v>-107</v>
      </c>
      <c r="S111" s="71">
        <f t="shared" ref="S111:T111" si="114">S95-S110</f>
        <v>27.399999999999977</v>
      </c>
      <c r="T111" s="71">
        <f t="shared" si="114"/>
        <v>-89.700000000000017</v>
      </c>
      <c r="U111" s="71">
        <f t="shared" ref="U111:V111" si="115">U95-U110</f>
        <v>-64.000000000000028</v>
      </c>
      <c r="V111" s="71">
        <f t="shared" si="115"/>
        <v>-32.5</v>
      </c>
      <c r="W111" s="71">
        <f t="shared" ref="W111:X111" si="116">W95-W110</f>
        <v>-100.59999999999997</v>
      </c>
      <c r="X111" s="71">
        <f t="shared" si="116"/>
        <v>-216.50000000000003</v>
      </c>
      <c r="Y111" s="71">
        <f t="shared" ref="Y111:AA111" si="117">Y95-Y110</f>
        <v>-307.89999999999998</v>
      </c>
      <c r="Z111" s="71">
        <f t="shared" si="117"/>
        <v>-145.4</v>
      </c>
      <c r="AA111" s="71">
        <f t="shared" si="117"/>
        <v>-161</v>
      </c>
      <c r="AB111" s="71">
        <f t="shared" si="113"/>
        <v>-194.1</v>
      </c>
      <c r="AC111" s="71">
        <f t="shared" si="113"/>
        <v>-183.6</v>
      </c>
      <c r="AD111" s="71">
        <f t="shared" si="113"/>
        <v>-145.29999999999998</v>
      </c>
      <c r="AE111" s="71">
        <f t="shared" si="113"/>
        <v>0</v>
      </c>
      <c r="AF111" s="71">
        <f t="shared" si="113"/>
        <v>0</v>
      </c>
      <c r="AG111" s="101"/>
      <c r="AH111" s="48">
        <f t="shared" si="39"/>
        <v>27.399999999999977</v>
      </c>
      <c r="AI111" s="49">
        <f t="shared" si="40"/>
        <v>-403.7</v>
      </c>
    </row>
    <row r="112" spans="1:64" x14ac:dyDescent="0.25">
      <c r="A112" s="113" t="s">
        <v>132</v>
      </c>
      <c r="B112" s="114">
        <v>50.02</v>
      </c>
      <c r="C112" s="114">
        <v>50.02</v>
      </c>
      <c r="D112" s="114">
        <v>50.026000000000003</v>
      </c>
      <c r="E112" s="114">
        <v>49.993000000000002</v>
      </c>
      <c r="F112" s="114">
        <v>49.929000000000002</v>
      </c>
      <c r="G112" s="114"/>
      <c r="H112" s="114"/>
      <c r="I112" s="114">
        <v>49.938000000000002</v>
      </c>
      <c r="J112" s="114"/>
      <c r="K112" s="114"/>
      <c r="L112" s="114"/>
      <c r="M112" s="114">
        <v>50.05</v>
      </c>
      <c r="N112" s="114">
        <v>50.000999999999998</v>
      </c>
      <c r="O112" s="114">
        <v>49.99</v>
      </c>
      <c r="P112" s="114">
        <v>50.003999999999998</v>
      </c>
      <c r="Q112" s="114">
        <v>49.881999999999998</v>
      </c>
      <c r="R112" s="114">
        <v>49.822000000000003</v>
      </c>
      <c r="S112" s="114">
        <v>49.88</v>
      </c>
      <c r="T112" s="114">
        <v>49.97</v>
      </c>
      <c r="U112" s="114">
        <v>49.99</v>
      </c>
      <c r="V112" s="114">
        <v>50.04</v>
      </c>
      <c r="W112" s="114">
        <v>50</v>
      </c>
      <c r="X112" s="114">
        <v>50.04</v>
      </c>
      <c r="Y112" s="114">
        <v>50.08</v>
      </c>
      <c r="Z112" s="114">
        <v>50.03</v>
      </c>
      <c r="AA112" s="114">
        <v>50.01</v>
      </c>
      <c r="AB112" s="114">
        <v>50.085999999999999</v>
      </c>
      <c r="AC112" s="114">
        <v>50.033999999999999</v>
      </c>
      <c r="AD112" s="114">
        <v>49.996000000000002</v>
      </c>
      <c r="AE112" s="114"/>
      <c r="AF112" s="114"/>
      <c r="AG112" s="115"/>
      <c r="AH112" s="48">
        <f t="shared" si="39"/>
        <v>50.085999999999999</v>
      </c>
      <c r="AI112" s="49">
        <f t="shared" si="40"/>
        <v>49.822000000000003</v>
      </c>
    </row>
    <row r="113" spans="1:35" x14ac:dyDescent="0.25">
      <c r="A113" s="116" t="s">
        <v>133</v>
      </c>
      <c r="B113" s="76">
        <v>121</v>
      </c>
      <c r="C113" s="76">
        <v>121</v>
      </c>
      <c r="D113" s="76">
        <v>121</v>
      </c>
      <c r="E113" s="76">
        <v>121.1</v>
      </c>
      <c r="F113" s="76">
        <v>120.7</v>
      </c>
      <c r="G113" s="76"/>
      <c r="H113" s="76"/>
      <c r="I113" s="76">
        <v>122.4</v>
      </c>
      <c r="J113" s="76"/>
      <c r="K113" s="76"/>
      <c r="L113" s="76"/>
      <c r="M113" s="76">
        <v>124.5</v>
      </c>
      <c r="N113" s="76">
        <v>124.4</v>
      </c>
      <c r="O113" s="76">
        <v>124.5</v>
      </c>
      <c r="P113" s="76">
        <v>125.1</v>
      </c>
      <c r="Q113" s="76">
        <v>125.3</v>
      </c>
      <c r="R113" s="76">
        <v>125.6</v>
      </c>
      <c r="S113" s="76">
        <v>126.4</v>
      </c>
      <c r="T113" s="76">
        <v>127.6</v>
      </c>
      <c r="U113" s="76">
        <v>126.3</v>
      </c>
      <c r="V113" s="76">
        <v>126.1</v>
      </c>
      <c r="W113" s="76">
        <v>127</v>
      </c>
      <c r="X113" s="76">
        <v>126.5</v>
      </c>
      <c r="Y113" s="76">
        <v>126.5</v>
      </c>
      <c r="Z113" s="76">
        <v>123</v>
      </c>
      <c r="AA113" s="76">
        <v>123</v>
      </c>
      <c r="AB113" s="76">
        <v>123.2</v>
      </c>
      <c r="AC113" s="76">
        <v>123.2</v>
      </c>
      <c r="AD113" s="76">
        <v>123.2</v>
      </c>
      <c r="AE113" s="76"/>
      <c r="AF113" s="76"/>
      <c r="AG113" s="117"/>
      <c r="AH113" s="48">
        <f t="shared" si="39"/>
        <v>127.6</v>
      </c>
      <c r="AI113" s="49">
        <f t="shared" si="40"/>
        <v>120.7</v>
      </c>
    </row>
    <row r="114" spans="1:35" x14ac:dyDescent="0.25">
      <c r="A114" s="116" t="s">
        <v>134</v>
      </c>
      <c r="B114" s="76">
        <v>126.6</v>
      </c>
      <c r="C114" s="76">
        <v>126.6</v>
      </c>
      <c r="D114" s="76">
        <v>126.6</v>
      </c>
      <c r="E114" s="76">
        <v>126.1</v>
      </c>
      <c r="F114" s="76">
        <v>125.9</v>
      </c>
      <c r="G114" s="76"/>
      <c r="H114" s="76"/>
      <c r="I114" s="76">
        <v>127.2</v>
      </c>
      <c r="J114" s="76"/>
      <c r="K114" s="76"/>
      <c r="L114" s="76"/>
      <c r="M114" s="76">
        <v>126.5</v>
      </c>
      <c r="N114" s="76">
        <v>126.7</v>
      </c>
      <c r="O114" s="76">
        <v>127.1</v>
      </c>
      <c r="P114" s="76">
        <v>127.8</v>
      </c>
      <c r="Q114" s="76">
        <v>128.19999999999999</v>
      </c>
      <c r="R114" s="76">
        <v>128.5</v>
      </c>
      <c r="S114" s="76">
        <v>129.1</v>
      </c>
      <c r="T114" s="76">
        <v>129.9</v>
      </c>
      <c r="U114" s="76">
        <v>129</v>
      </c>
      <c r="V114" s="76">
        <v>128.19999999999999</v>
      </c>
      <c r="W114" s="76">
        <v>129</v>
      </c>
      <c r="X114" s="76">
        <v>128.80000000000001</v>
      </c>
      <c r="Y114" s="76">
        <v>128.80000000000001</v>
      </c>
      <c r="Z114" s="76">
        <v>126.1</v>
      </c>
      <c r="AA114" s="76">
        <v>125.8</v>
      </c>
      <c r="AB114" s="76">
        <v>127</v>
      </c>
      <c r="AC114" s="76">
        <v>126.6</v>
      </c>
      <c r="AD114" s="76">
        <v>127.2</v>
      </c>
      <c r="AE114" s="76"/>
      <c r="AF114" s="76"/>
      <c r="AG114" s="117"/>
      <c r="AH114" s="48">
        <f t="shared" si="39"/>
        <v>129.9</v>
      </c>
      <c r="AI114" s="49">
        <f t="shared" si="40"/>
        <v>125.8</v>
      </c>
    </row>
    <row r="115" spans="1:35" x14ac:dyDescent="0.25">
      <c r="A115" s="116" t="s">
        <v>135</v>
      </c>
      <c r="B115" s="76">
        <v>131</v>
      </c>
      <c r="C115" s="76">
        <v>131</v>
      </c>
      <c r="D115" s="76">
        <v>131</v>
      </c>
      <c r="E115" s="76">
        <v>130.6</v>
      </c>
      <c r="F115" s="76">
        <v>129.69999999999999</v>
      </c>
      <c r="G115" s="76"/>
      <c r="H115" s="76"/>
      <c r="I115" s="76">
        <v>129.69999999999999</v>
      </c>
      <c r="J115" s="76"/>
      <c r="K115" s="76"/>
      <c r="L115" s="76"/>
      <c r="M115" s="76">
        <v>128.1</v>
      </c>
      <c r="N115" s="76">
        <v>129.9</v>
      </c>
      <c r="O115" s="76">
        <v>128.6</v>
      </c>
      <c r="P115" s="76">
        <v>128.19999999999999</v>
      </c>
      <c r="Q115" s="76">
        <v>128.36000000000001</v>
      </c>
      <c r="R115" s="76">
        <v>126.3</v>
      </c>
      <c r="S115" s="76">
        <v>126</v>
      </c>
      <c r="T115" s="76">
        <v>130.30000000000001</v>
      </c>
      <c r="U115" s="76">
        <v>129.19999999999999</v>
      </c>
      <c r="V115" s="76">
        <v>130.1</v>
      </c>
      <c r="W115" s="76">
        <v>130</v>
      </c>
      <c r="X115" s="76">
        <v>132</v>
      </c>
      <c r="Y115" s="76">
        <v>132</v>
      </c>
      <c r="Z115" s="76">
        <v>131.1</v>
      </c>
      <c r="AA115" s="76">
        <v>131.80000000000001</v>
      </c>
      <c r="AB115" s="76">
        <v>132.30000000000001</v>
      </c>
      <c r="AC115" s="76">
        <v>132.1</v>
      </c>
      <c r="AD115" s="76">
        <v>129.9</v>
      </c>
      <c r="AE115" s="76"/>
      <c r="AF115" s="76"/>
      <c r="AG115" s="117"/>
      <c r="AH115" s="48">
        <f t="shared" si="39"/>
        <v>132.30000000000001</v>
      </c>
      <c r="AI115" s="49">
        <f t="shared" si="40"/>
        <v>126</v>
      </c>
    </row>
    <row r="116" spans="1:35" x14ac:dyDescent="0.25">
      <c r="A116" s="118" t="s">
        <v>136</v>
      </c>
      <c r="B116" s="76">
        <v>133</v>
      </c>
      <c r="C116" s="76">
        <v>133</v>
      </c>
      <c r="D116" s="76">
        <v>133</v>
      </c>
      <c r="E116" s="76">
        <v>130.69999999999999</v>
      </c>
      <c r="F116" s="76">
        <v>130.9</v>
      </c>
      <c r="G116" s="76"/>
      <c r="H116" s="76"/>
      <c r="I116" s="76">
        <v>130</v>
      </c>
      <c r="J116" s="76"/>
      <c r="K116" s="76"/>
      <c r="L116" s="76"/>
      <c r="M116" s="76">
        <v>129.1</v>
      </c>
      <c r="N116" s="76">
        <v>131.4</v>
      </c>
      <c r="O116" s="76">
        <v>130</v>
      </c>
      <c r="P116" s="76">
        <v>130.6</v>
      </c>
      <c r="Q116" s="76">
        <v>132</v>
      </c>
      <c r="R116" s="76">
        <v>127.2</v>
      </c>
      <c r="S116" s="76">
        <v>125.4</v>
      </c>
      <c r="T116" s="76">
        <v>133.1</v>
      </c>
      <c r="U116" s="76">
        <v>129.69999999999999</v>
      </c>
      <c r="V116" s="76">
        <v>131.9</v>
      </c>
      <c r="W116" s="76">
        <v>132.19999999999999</v>
      </c>
      <c r="X116" s="76">
        <v>132.80000000000001</v>
      </c>
      <c r="Y116" s="76">
        <v>132.80000000000001</v>
      </c>
      <c r="Z116" s="76">
        <v>133.19999999999999</v>
      </c>
      <c r="AA116" s="76">
        <v>134.19999999999999</v>
      </c>
      <c r="AB116" s="76">
        <v>134.5</v>
      </c>
      <c r="AC116" s="76">
        <v>134.19999999999999</v>
      </c>
      <c r="AD116" s="76">
        <v>130</v>
      </c>
      <c r="AE116" s="76"/>
      <c r="AF116" s="76"/>
      <c r="AG116" s="117"/>
      <c r="AH116" s="48">
        <f t="shared" si="39"/>
        <v>134.5</v>
      </c>
      <c r="AI116" s="49">
        <f t="shared" si="40"/>
        <v>125.4</v>
      </c>
    </row>
    <row r="117" spans="1:35" x14ac:dyDescent="0.25">
      <c r="A117" s="118" t="s">
        <v>137</v>
      </c>
      <c r="B117" s="119">
        <v>135</v>
      </c>
      <c r="C117" s="119">
        <v>135</v>
      </c>
      <c r="D117" s="119">
        <v>135</v>
      </c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39"/>
        <v>135</v>
      </c>
      <c r="AI117" s="49">
        <f t="shared" si="40"/>
        <v>135</v>
      </c>
    </row>
    <row r="118" spans="1:35" x14ac:dyDescent="0.25">
      <c r="A118" s="116" t="s">
        <v>138</v>
      </c>
      <c r="B118" s="76">
        <v>129</v>
      </c>
      <c r="C118" s="76">
        <v>129</v>
      </c>
      <c r="D118" s="76">
        <v>129</v>
      </c>
      <c r="E118" s="76">
        <v>124.5</v>
      </c>
      <c r="F118" s="76">
        <v>127.1</v>
      </c>
      <c r="G118" s="76"/>
      <c r="H118" s="76"/>
      <c r="I118" s="76">
        <v>131.80000000000001</v>
      </c>
      <c r="J118" s="76"/>
      <c r="K118" s="76"/>
      <c r="L118" s="76"/>
      <c r="M118" s="76">
        <v>124.6</v>
      </c>
      <c r="N118" s="76">
        <v>124.2</v>
      </c>
      <c r="O118" s="76">
        <v>131</v>
      </c>
      <c r="P118" s="76">
        <v>133.4</v>
      </c>
      <c r="Q118" s="76">
        <v>129.19999999999999</v>
      </c>
      <c r="R118" s="76">
        <v>129.69999999999999</v>
      </c>
      <c r="S118" s="76">
        <v>128.1</v>
      </c>
      <c r="T118" s="76">
        <v>132</v>
      </c>
      <c r="U118" s="76">
        <v>128.80000000000001</v>
      </c>
      <c r="V118" s="76">
        <v>126.2</v>
      </c>
      <c r="W118" s="76">
        <v>126.2</v>
      </c>
      <c r="X118" s="76">
        <v>120.2</v>
      </c>
      <c r="Y118" s="76">
        <v>120.2</v>
      </c>
      <c r="Z118" s="76">
        <v>127.4</v>
      </c>
      <c r="AA118" s="76">
        <v>125.1</v>
      </c>
      <c r="AB118" s="76">
        <v>124.4</v>
      </c>
      <c r="AC118" s="76">
        <v>119.6</v>
      </c>
      <c r="AD118" s="76">
        <v>123.5</v>
      </c>
      <c r="AE118" s="76"/>
      <c r="AF118" s="76"/>
      <c r="AG118" s="117"/>
      <c r="AH118" s="48">
        <f t="shared" si="39"/>
        <v>133.4</v>
      </c>
      <c r="AI118" s="49">
        <f t="shared" si="40"/>
        <v>119.6</v>
      </c>
    </row>
    <row r="119" spans="1:35" ht="15.75" thickBot="1" x14ac:dyDescent="0.3">
      <c r="A119" s="116" t="s">
        <v>139</v>
      </c>
      <c r="B119" s="105">
        <v>63.7</v>
      </c>
      <c r="C119" s="105">
        <v>63.7</v>
      </c>
      <c r="D119" s="105">
        <v>63.7</v>
      </c>
      <c r="E119" s="105">
        <v>63.8</v>
      </c>
      <c r="F119" s="105">
        <v>63.6</v>
      </c>
      <c r="G119" s="105"/>
      <c r="H119" s="105"/>
      <c r="I119" s="105">
        <v>63.9</v>
      </c>
      <c r="J119" s="105"/>
      <c r="K119" s="105"/>
      <c r="L119" s="105"/>
      <c r="M119" s="105">
        <v>63.4</v>
      </c>
      <c r="N119" s="105">
        <v>63.3</v>
      </c>
      <c r="O119" s="105">
        <v>63.7</v>
      </c>
      <c r="P119" s="105">
        <v>63.9</v>
      </c>
      <c r="Q119" s="105">
        <v>64.099999999999994</v>
      </c>
      <c r="R119" s="105">
        <v>64.3</v>
      </c>
      <c r="S119" s="105">
        <v>64.599999999999994</v>
      </c>
      <c r="T119" s="105">
        <v>65.099999999999994</v>
      </c>
      <c r="U119" s="105">
        <v>64.599999999999994</v>
      </c>
      <c r="V119" s="105">
        <v>64.400000000000006</v>
      </c>
      <c r="W119" s="105">
        <v>64.8</v>
      </c>
      <c r="X119" s="105">
        <v>64.5</v>
      </c>
      <c r="Y119" s="105">
        <v>64.5</v>
      </c>
      <c r="Z119" s="105">
        <v>63.4</v>
      </c>
      <c r="AA119" s="105">
        <v>63.2</v>
      </c>
      <c r="AB119" s="105">
        <v>63.9</v>
      </c>
      <c r="AC119" s="105">
        <v>63.8</v>
      </c>
      <c r="AD119" s="105">
        <v>64.2</v>
      </c>
      <c r="AE119" s="105"/>
      <c r="AF119" s="105"/>
      <c r="AG119" s="121"/>
      <c r="AH119" s="48">
        <f t="shared" si="39"/>
        <v>65.099999999999994</v>
      </c>
      <c r="AI119" s="49">
        <f t="shared" si="40"/>
        <v>63.2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39"/>
        <v>0</v>
      </c>
      <c r="AI120" s="49">
        <f t="shared" si="40"/>
        <v>0</v>
      </c>
    </row>
    <row r="121" spans="1:35" ht="15.75" thickBot="1" x14ac:dyDescent="0.3">
      <c r="A121" s="123" t="s">
        <v>141</v>
      </c>
      <c r="B121" s="124">
        <f t="shared" ref="B121:D121" si="118">SUM(B25,B31,B34:B35,B69,B71:B72,B74,B76,B122:B126,B158,B164,B170,B179,B181,B193,B200,B203:B204,B211,B213,B215,B219:B221,B223:B225,B230,B236:B237,B239:B241,B249,B254)</f>
        <v>104.54000000000002</v>
      </c>
      <c r="C121" s="124">
        <f t="shared" si="118"/>
        <v>104.54000000000002</v>
      </c>
      <c r="D121" s="124">
        <f t="shared" si="118"/>
        <v>71.04000000000002</v>
      </c>
      <c r="E121" s="124">
        <f t="shared" ref="E121:O121" si="119">SUM(E25,E31,E34:E35,E69,E71:E72,E74,E76,E122:E126,E158,E164,E170,E179,E181,E193,E200,E203:E204,E211,E213,E215,E219:E221,E223:E225,E230,E236:E237,E239:E241,E249,E254)</f>
        <v>141.44000000000003</v>
      </c>
      <c r="F121" s="124">
        <f t="shared" si="119"/>
        <v>135.34</v>
      </c>
      <c r="G121" s="124">
        <f t="shared" si="119"/>
        <v>122.54</v>
      </c>
      <c r="H121" s="124">
        <f t="shared" si="119"/>
        <v>122.54</v>
      </c>
      <c r="I121" s="124">
        <f t="shared" si="119"/>
        <v>154.14000000000001</v>
      </c>
      <c r="J121" s="124">
        <f t="shared" si="119"/>
        <v>123.74000000000001</v>
      </c>
      <c r="K121" s="124">
        <f t="shared" si="119"/>
        <v>123.74000000000001</v>
      </c>
      <c r="L121" s="124">
        <f t="shared" si="119"/>
        <v>123.74000000000001</v>
      </c>
      <c r="M121" s="124">
        <f t="shared" si="119"/>
        <v>148.04</v>
      </c>
      <c r="N121" s="124">
        <f t="shared" si="119"/>
        <v>161.34</v>
      </c>
      <c r="O121" s="124">
        <f t="shared" si="119"/>
        <v>157.34</v>
      </c>
      <c r="P121" s="124">
        <v>42</v>
      </c>
      <c r="Q121" s="124">
        <f t="shared" ref="Q121:R121" si="120">SUM(Q25,Q31,Q34:Q35,Q69,Q71:Q72,Q74,Q76,Q122:Q126,Q158,Q164,Q170,Q179,Q181,Q193,Q200,Q203:Q204,Q211,Q213,Q215,Q219:Q221,Q223:Q225,Q230,Q236:Q237,Q239:Q241,Q249,Q254)</f>
        <v>138.04</v>
      </c>
      <c r="R121" s="124">
        <f t="shared" si="120"/>
        <v>140.94</v>
      </c>
      <c r="S121" s="124">
        <f t="shared" ref="S121:T121" si="121">SUM(S25,S31,S34:S35,S69,S71:S72,S74,S76,S122:S126,S158,S164,S170,S179,S181,S193,S200,S203:S204,S211,S213,S215,S219:S221,S223:S225,S230,S236:S237,S239:S241,S249,S254)</f>
        <v>139.84</v>
      </c>
      <c r="T121" s="124">
        <f t="shared" si="121"/>
        <v>178.24</v>
      </c>
      <c r="U121" s="124">
        <f t="shared" ref="U121:V121" si="122">SUM(U25,U31,U34:U35,U69,U71:U72,U74,U76,U122:U126,U158,U164,U170,U179,U181,U193,U200,U203:U204,U211,U213,U215,U219:U221,U223:U225,U230,U236:U237,U239:U241,U249,U254)</f>
        <v>147.04000000000002</v>
      </c>
      <c r="V121" s="124">
        <f t="shared" si="122"/>
        <v>180.24</v>
      </c>
      <c r="W121" s="124">
        <f t="shared" ref="W121:X121" si="123">SUM(W25,W31,W34:W35,W69,W71:W72,W74,W76,W122:W126,W158,W164,W170,W179,W181,W193,W200,W203:W204,W211,W213,W215,W219:W221,W223:W225,W230,W236:W237,W239:W241,W249,W254)</f>
        <v>175.74</v>
      </c>
      <c r="X121" s="124">
        <f t="shared" si="123"/>
        <v>182.44000000000003</v>
      </c>
      <c r="Y121" s="124">
        <f t="shared" ref="Y121:AA121" si="124">SUM(Y25,Y31,Y34:Y35,Y69,Y71:Y72,Y74,Y76,Y122:Y126,Y158,Y164,Y170,Y179,Y181,Y193,Y200,Y203:Y204,Y211,Y213,Y215,Y219:Y221,Y223:Y225,Y230,Y236:Y237,Y239:Y241,Y249,Y254)</f>
        <v>165.54000000000005</v>
      </c>
      <c r="Z121" s="124">
        <f t="shared" si="124"/>
        <v>156.34000000000003</v>
      </c>
      <c r="AA121" s="124">
        <f t="shared" si="124"/>
        <v>178.14000000000001</v>
      </c>
      <c r="AB121" s="124">
        <f t="shared" ref="AB121:AF121" si="125">SUM(AB25,AB31,AB34:AB35,AB69,AB71:AB72,AB74,AB76,AB122:AB126,AB158,AB164,AB170,AB179,AB181,AB193,AB200,AB203:AB204,AB211,AB213,AB215,AB219:AB221,AB223:AB225,AB230,AB236:AB237,AB239:AB241,AB249,AB254)</f>
        <v>170.04000000000002</v>
      </c>
      <c r="AC121" s="124">
        <f t="shared" si="125"/>
        <v>159.14000000000001</v>
      </c>
      <c r="AD121" s="124">
        <f t="shared" si="125"/>
        <v>130.83999999999997</v>
      </c>
      <c r="AE121" s="124">
        <f t="shared" si="125"/>
        <v>0.94</v>
      </c>
      <c r="AF121" s="124">
        <f t="shared" si="125"/>
        <v>0.94</v>
      </c>
      <c r="AG121" s="125"/>
      <c r="AH121" s="48">
        <f t="shared" si="39"/>
        <v>182.44000000000003</v>
      </c>
      <c r="AI121" s="49">
        <f t="shared" si="40"/>
        <v>0.94</v>
      </c>
    </row>
    <row r="122" spans="1:35" x14ac:dyDescent="0.25">
      <c r="A122" s="126" t="s">
        <v>142</v>
      </c>
      <c r="B122" s="127">
        <v>95</v>
      </c>
      <c r="C122" s="127">
        <v>95</v>
      </c>
      <c r="D122" s="127">
        <v>84</v>
      </c>
      <c r="E122" s="127">
        <v>56</v>
      </c>
      <c r="F122" s="127">
        <v>61.8</v>
      </c>
      <c r="G122" s="127"/>
      <c r="H122" s="127"/>
      <c r="I122" s="127">
        <v>45</v>
      </c>
      <c r="J122" s="127"/>
      <c r="K122" s="127"/>
      <c r="L122" s="127"/>
      <c r="M122" s="127">
        <v>36.6</v>
      </c>
      <c r="N122" s="127">
        <v>44</v>
      </c>
      <c r="O122" s="127">
        <v>44</v>
      </c>
      <c r="P122" s="127">
        <v>38.799999999999997</v>
      </c>
      <c r="Q122" s="127">
        <v>31.7</v>
      </c>
      <c r="R122" s="127">
        <v>42.2</v>
      </c>
      <c r="S122" s="127">
        <v>9.8000000000000007</v>
      </c>
      <c r="T122" s="127">
        <v>47.7</v>
      </c>
      <c r="U122" s="127">
        <v>35.9</v>
      </c>
      <c r="V122" s="127">
        <v>36.5</v>
      </c>
      <c r="W122" s="127">
        <v>40</v>
      </c>
      <c r="X122" s="127">
        <v>47.7</v>
      </c>
      <c r="Y122" s="127">
        <v>53.7</v>
      </c>
      <c r="Z122" s="127">
        <v>26.5</v>
      </c>
      <c r="AA122" s="127">
        <v>31.3</v>
      </c>
      <c r="AB122" s="127">
        <v>39.5</v>
      </c>
      <c r="AC122" s="127">
        <v>38.799999999999997</v>
      </c>
      <c r="AD122" s="127">
        <v>36.799999999999997</v>
      </c>
      <c r="AE122" s="127"/>
      <c r="AF122" s="127"/>
      <c r="AG122" s="128">
        <v>75</v>
      </c>
      <c r="AH122" s="48">
        <f t="shared" si="39"/>
        <v>95</v>
      </c>
      <c r="AI122" s="49">
        <f t="shared" si="40"/>
        <v>9.8000000000000007</v>
      </c>
    </row>
    <row r="123" spans="1:35" x14ac:dyDescent="0.25">
      <c r="A123" s="129" t="s">
        <v>143</v>
      </c>
      <c r="B123" s="130">
        <v>66</v>
      </c>
      <c r="C123" s="130">
        <v>66</v>
      </c>
      <c r="D123" s="130">
        <v>57</v>
      </c>
      <c r="E123" s="130">
        <v>81</v>
      </c>
      <c r="F123" s="130">
        <v>89.1</v>
      </c>
      <c r="G123" s="130"/>
      <c r="H123" s="130"/>
      <c r="I123" s="130">
        <v>69.099999999999994</v>
      </c>
      <c r="J123" s="130"/>
      <c r="K123" s="130"/>
      <c r="L123" s="130"/>
      <c r="M123" s="130">
        <v>58</v>
      </c>
      <c r="N123" s="130">
        <v>65.5</v>
      </c>
      <c r="O123" s="130">
        <v>65.2</v>
      </c>
      <c r="P123" s="130">
        <v>60.4</v>
      </c>
      <c r="Q123" s="130">
        <v>55.2</v>
      </c>
      <c r="R123" s="130">
        <v>68</v>
      </c>
      <c r="S123" s="130">
        <v>21.7</v>
      </c>
      <c r="T123" s="130">
        <v>70.3</v>
      </c>
      <c r="U123" s="130">
        <v>62.7</v>
      </c>
      <c r="V123" s="130">
        <v>62.6</v>
      </c>
      <c r="W123" s="130">
        <v>67.2</v>
      </c>
      <c r="X123" s="130">
        <v>77.400000000000006</v>
      </c>
      <c r="Y123" s="130">
        <v>84.1</v>
      </c>
      <c r="Z123" s="130">
        <v>44</v>
      </c>
      <c r="AA123" s="130">
        <v>50.5</v>
      </c>
      <c r="AB123" s="130">
        <v>61.6</v>
      </c>
      <c r="AC123" s="130">
        <v>63.2</v>
      </c>
      <c r="AD123" s="130">
        <v>59.8</v>
      </c>
      <c r="AE123" s="130"/>
      <c r="AF123" s="130"/>
      <c r="AG123" s="128">
        <v>240</v>
      </c>
      <c r="AH123" s="48">
        <f t="shared" si="39"/>
        <v>89.1</v>
      </c>
      <c r="AI123" s="49">
        <f t="shared" si="40"/>
        <v>21.7</v>
      </c>
    </row>
    <row r="124" spans="1:35" x14ac:dyDescent="0.25">
      <c r="A124" s="129" t="s">
        <v>144</v>
      </c>
      <c r="B124" s="130">
        <v>-168</v>
      </c>
      <c r="C124" s="130">
        <v>-168</v>
      </c>
      <c r="D124" s="130">
        <v>-180</v>
      </c>
      <c r="E124" s="130">
        <v>-115</v>
      </c>
      <c r="F124" s="130">
        <v>-132</v>
      </c>
      <c r="G124" s="130"/>
      <c r="H124" s="130"/>
      <c r="I124" s="130">
        <v>-85</v>
      </c>
      <c r="J124" s="130"/>
      <c r="K124" s="130"/>
      <c r="L124" s="130"/>
      <c r="M124" s="130">
        <v>-78</v>
      </c>
      <c r="N124" s="130">
        <v>-80</v>
      </c>
      <c r="O124" s="130">
        <v>-83</v>
      </c>
      <c r="P124" s="130">
        <v>-80</v>
      </c>
      <c r="Q124" s="130">
        <v>-81.5</v>
      </c>
      <c r="R124" s="130">
        <v>-97</v>
      </c>
      <c r="S124" s="130">
        <v>-50.1</v>
      </c>
      <c r="T124" s="130">
        <v>-83.1</v>
      </c>
      <c r="U124" s="130">
        <v>-86</v>
      </c>
      <c r="V124" s="130">
        <v>-57.8</v>
      </c>
      <c r="W124" s="130">
        <v>-66</v>
      </c>
      <c r="X124" s="130">
        <v>-73</v>
      </c>
      <c r="Y124" s="130">
        <v>-100.5</v>
      </c>
      <c r="Z124" s="130">
        <v>-51</v>
      </c>
      <c r="AA124" s="130">
        <v>-56</v>
      </c>
      <c r="AB124" s="130">
        <v>-80</v>
      </c>
      <c r="AC124" s="130">
        <v>-90</v>
      </c>
      <c r="AD124" s="130">
        <v>-109</v>
      </c>
      <c r="AE124" s="130"/>
      <c r="AF124" s="130"/>
      <c r="AG124" s="128">
        <v>240</v>
      </c>
      <c r="AH124" s="48">
        <f t="shared" si="39"/>
        <v>-50.1</v>
      </c>
      <c r="AI124" s="49">
        <f t="shared" si="40"/>
        <v>-180</v>
      </c>
    </row>
    <row r="125" spans="1:35" ht="15.75" thickBot="1" x14ac:dyDescent="0.3">
      <c r="A125" s="129" t="s">
        <v>145</v>
      </c>
      <c r="B125" s="130">
        <v>-11</v>
      </c>
      <c r="C125" s="130">
        <v>-11</v>
      </c>
      <c r="D125" s="130">
        <v>-12.5</v>
      </c>
      <c r="E125" s="130">
        <v>-3.1</v>
      </c>
      <c r="F125" s="130">
        <v>-6.1</v>
      </c>
      <c r="G125" s="130"/>
      <c r="H125" s="130"/>
      <c r="I125" s="130">
        <v>2.5</v>
      </c>
      <c r="J125" s="130"/>
      <c r="K125" s="130"/>
      <c r="L125" s="130"/>
      <c r="M125" s="130">
        <v>7.7</v>
      </c>
      <c r="N125" s="130">
        <v>8.1</v>
      </c>
      <c r="O125" s="130">
        <v>7.4</v>
      </c>
      <c r="P125" s="130">
        <v>7.4</v>
      </c>
      <c r="Q125" s="130">
        <v>8.9</v>
      </c>
      <c r="R125" s="130">
        <v>4</v>
      </c>
      <c r="S125" s="130">
        <v>22.7</v>
      </c>
      <c r="T125" s="130">
        <v>10.9</v>
      </c>
      <c r="U125" s="130">
        <v>4.8</v>
      </c>
      <c r="V125" s="130">
        <v>10.3</v>
      </c>
      <c r="W125" s="130">
        <v>9.5</v>
      </c>
      <c r="X125" s="130">
        <v>6.8</v>
      </c>
      <c r="Y125" s="130">
        <v>5.4</v>
      </c>
      <c r="Z125" s="130">
        <v>14.3</v>
      </c>
      <c r="AA125" s="130">
        <v>29.8</v>
      </c>
      <c r="AB125" s="130">
        <v>26.4</v>
      </c>
      <c r="AC125" s="130">
        <v>24.6</v>
      </c>
      <c r="AD125" s="130">
        <v>20.7</v>
      </c>
      <c r="AE125" s="130"/>
      <c r="AF125" s="130"/>
      <c r="AG125" s="128">
        <v>60</v>
      </c>
      <c r="AH125" s="48">
        <f t="shared" si="39"/>
        <v>29.8</v>
      </c>
      <c r="AI125" s="49">
        <f t="shared" si="40"/>
        <v>-12.5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0"/>
      <c r="T126" s="130"/>
      <c r="U126" s="130"/>
      <c r="V126" s="130"/>
      <c r="W126" s="130"/>
      <c r="X126" s="130"/>
      <c r="Y126" s="130"/>
      <c r="Z126" s="130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39"/>
        <v>0</v>
      </c>
      <c r="AI126" s="49">
        <f t="shared" si="40"/>
        <v>0</v>
      </c>
    </row>
    <row r="127" spans="1:35" x14ac:dyDescent="0.25">
      <c r="A127" s="129" t="s">
        <v>147</v>
      </c>
      <c r="B127" s="131">
        <v>71</v>
      </c>
      <c r="C127" s="131">
        <v>71</v>
      </c>
      <c r="D127" s="131">
        <v>76</v>
      </c>
      <c r="E127" s="131">
        <v>37</v>
      </c>
      <c r="F127" s="131">
        <v>36.5</v>
      </c>
      <c r="G127" s="131"/>
      <c r="H127" s="131"/>
      <c r="I127" s="131">
        <v>51</v>
      </c>
      <c r="J127" s="131"/>
      <c r="K127" s="131"/>
      <c r="L127" s="131"/>
      <c r="M127" s="131">
        <v>89.6</v>
      </c>
      <c r="N127" s="131">
        <v>88</v>
      </c>
      <c r="O127" s="131">
        <v>85.6</v>
      </c>
      <c r="P127" s="131">
        <v>86.5</v>
      </c>
      <c r="Q127" s="131">
        <v>84.4</v>
      </c>
      <c r="R127" s="131">
        <v>74</v>
      </c>
      <c r="S127" s="131">
        <v>81.8</v>
      </c>
      <c r="T127" s="131">
        <v>65.099999999999994</v>
      </c>
      <c r="U127" s="131">
        <v>73.8</v>
      </c>
      <c r="V127" s="131">
        <v>83.3</v>
      </c>
      <c r="W127" s="131">
        <v>78.3</v>
      </c>
      <c r="X127" s="131">
        <v>73.599999999999994</v>
      </c>
      <c r="Y127" s="131">
        <v>75.599999999999994</v>
      </c>
      <c r="Z127" s="131">
        <v>101.1</v>
      </c>
      <c r="AA127" s="131">
        <v>102.3</v>
      </c>
      <c r="AB127" s="131">
        <v>99.8</v>
      </c>
      <c r="AC127" s="131">
        <v>98.8</v>
      </c>
      <c r="AD127" s="131">
        <v>96.9</v>
      </c>
      <c r="AE127" s="131"/>
      <c r="AF127" s="131"/>
      <c r="AG127" s="132"/>
      <c r="AH127" s="48"/>
      <c r="AI127" s="49"/>
    </row>
    <row r="128" spans="1:35" x14ac:dyDescent="0.25">
      <c r="A128" s="129" t="s">
        <v>148</v>
      </c>
      <c r="B128" s="131">
        <v>23</v>
      </c>
      <c r="C128" s="131">
        <v>23</v>
      </c>
      <c r="D128" s="131">
        <v>50</v>
      </c>
      <c r="E128" s="131">
        <v>-15</v>
      </c>
      <c r="F128" s="131">
        <v>-12.4</v>
      </c>
      <c r="G128" s="131"/>
      <c r="H128" s="131"/>
      <c r="I128" s="131">
        <v>-15.3</v>
      </c>
      <c r="J128" s="131"/>
      <c r="K128" s="131"/>
      <c r="L128" s="131"/>
      <c r="M128" s="131">
        <v>23.5</v>
      </c>
      <c r="N128" s="131">
        <v>12</v>
      </c>
      <c r="O128" s="131">
        <v>16.3</v>
      </c>
      <c r="P128" s="131">
        <v>17</v>
      </c>
      <c r="Q128" s="131">
        <v>23.5</v>
      </c>
      <c r="R128" s="131">
        <v>21</v>
      </c>
      <c r="S128" s="131">
        <v>37.700000000000003</v>
      </c>
      <c r="T128" s="131">
        <v>-6.8</v>
      </c>
      <c r="U128" s="131">
        <v>12.8</v>
      </c>
      <c r="V128" s="131">
        <v>19.600000000000001</v>
      </c>
      <c r="W128" s="131">
        <v>11.7</v>
      </c>
      <c r="X128" s="131">
        <v>-2</v>
      </c>
      <c r="Y128" s="131">
        <v>-6</v>
      </c>
      <c r="Z128" s="131">
        <v>19.8</v>
      </c>
      <c r="AA128" s="131">
        <v>6.2</v>
      </c>
      <c r="AB128" s="131">
        <v>-2.1</v>
      </c>
      <c r="AC128" s="131">
        <v>2.8</v>
      </c>
      <c r="AD128" s="131">
        <v>19.399999999999999</v>
      </c>
      <c r="AE128" s="131"/>
      <c r="AF128" s="131"/>
      <c r="AG128" s="132"/>
      <c r="AH128" s="48"/>
      <c r="AI128" s="49"/>
    </row>
    <row r="129" spans="1:37" ht="15.75" thickBot="1" x14ac:dyDescent="0.3">
      <c r="A129" s="129" t="s">
        <v>149</v>
      </c>
      <c r="B129" s="131">
        <v>52</v>
      </c>
      <c r="C129" s="131">
        <v>52</v>
      </c>
      <c r="D129" s="131">
        <v>49</v>
      </c>
      <c r="E129" s="131">
        <v>84</v>
      </c>
      <c r="F129" s="131">
        <v>68</v>
      </c>
      <c r="G129" s="131"/>
      <c r="H129" s="131"/>
      <c r="I129" s="131">
        <v>85</v>
      </c>
      <c r="J129" s="131"/>
      <c r="K129" s="131"/>
      <c r="L129" s="131"/>
      <c r="M129" s="131">
        <v>33.299999999999997</v>
      </c>
      <c r="N129" s="131">
        <v>37</v>
      </c>
      <c r="O129" s="131">
        <v>32.6</v>
      </c>
      <c r="P129" s="131">
        <v>35</v>
      </c>
      <c r="Q129" s="131">
        <v>37.700000000000003</v>
      </c>
      <c r="R129" s="131">
        <v>27</v>
      </c>
      <c r="S129" s="131">
        <v>45.3</v>
      </c>
      <c r="T129" s="131">
        <v>15.5</v>
      </c>
      <c r="U129" s="131">
        <v>32.1</v>
      </c>
      <c r="V129" s="131">
        <v>40.4</v>
      </c>
      <c r="W129" s="131">
        <v>34.200000000000003</v>
      </c>
      <c r="X129" s="131">
        <v>28.1</v>
      </c>
      <c r="Y129" s="131">
        <v>45.3</v>
      </c>
      <c r="Z129" s="131">
        <v>75.8</v>
      </c>
      <c r="AA129" s="131">
        <v>80</v>
      </c>
      <c r="AB129" s="131">
        <v>72.7</v>
      </c>
      <c r="AC129" s="131">
        <v>72.2</v>
      </c>
      <c r="AD129" s="131">
        <v>80.2</v>
      </c>
      <c r="AE129" s="131"/>
      <c r="AF129" s="131"/>
      <c r="AG129" s="128"/>
      <c r="AH129" s="48">
        <f>MAX(B129:AF129)</f>
        <v>85</v>
      </c>
      <c r="AI129" s="49">
        <f>MIN(B129:AF129)</f>
        <v>15.5</v>
      </c>
    </row>
    <row r="130" spans="1:37" x14ac:dyDescent="0.25">
      <c r="A130" s="126" t="s">
        <v>150</v>
      </c>
      <c r="B130" s="131">
        <v>-286</v>
      </c>
      <c r="C130" s="131">
        <v>-286</v>
      </c>
      <c r="D130" s="131">
        <v>-269</v>
      </c>
      <c r="E130" s="131">
        <v>-330</v>
      </c>
      <c r="F130" s="131">
        <v>-350</v>
      </c>
      <c r="G130" s="131"/>
      <c r="H130" s="131"/>
      <c r="I130" s="131">
        <v>-337</v>
      </c>
      <c r="J130" s="131"/>
      <c r="K130" s="131"/>
      <c r="L130" s="131"/>
      <c r="M130" s="131">
        <v>-292</v>
      </c>
      <c r="N130" s="131">
        <v>-282</v>
      </c>
      <c r="O130" s="131">
        <v>-278</v>
      </c>
      <c r="P130" s="131">
        <v>-276</v>
      </c>
      <c r="Q130" s="131">
        <v>-278.89999999999998</v>
      </c>
      <c r="R130" s="131">
        <v>-280</v>
      </c>
      <c r="S130" s="131">
        <v>-256.60000000000002</v>
      </c>
      <c r="T130" s="131">
        <v>-279.60000000000002</v>
      </c>
      <c r="U130" s="131">
        <v>-273.3</v>
      </c>
      <c r="V130" s="131">
        <v>-263.2</v>
      </c>
      <c r="W130" s="131">
        <v>-267</v>
      </c>
      <c r="X130" s="131">
        <v>-272.7</v>
      </c>
      <c r="Y130" s="131">
        <v>-270.2</v>
      </c>
      <c r="Z130" s="131">
        <v>-242.8</v>
      </c>
      <c r="AA130" s="131">
        <v>-240.1</v>
      </c>
      <c r="AB130" s="131">
        <v>-249</v>
      </c>
      <c r="AC130" s="131">
        <v>-251</v>
      </c>
      <c r="AD130" s="131">
        <v>-255</v>
      </c>
      <c r="AE130" s="131"/>
      <c r="AF130" s="131"/>
      <c r="AG130" s="128"/>
      <c r="AH130" s="48">
        <f>MAX(B130:AF130)</f>
        <v>-240.1</v>
      </c>
      <c r="AI130" s="49">
        <f>MIN(B130:AF130)</f>
        <v>-350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>
        <v>35</v>
      </c>
      <c r="J131" s="119"/>
      <c r="K131" s="119"/>
      <c r="L131" s="119"/>
      <c r="M131" s="119">
        <v>35.6</v>
      </c>
      <c r="N131" s="119">
        <v>37</v>
      </c>
      <c r="O131" s="119">
        <v>37</v>
      </c>
      <c r="P131" s="119">
        <v>43</v>
      </c>
      <c r="Q131" s="119">
        <v>55</v>
      </c>
      <c r="R131" s="119">
        <v>22</v>
      </c>
      <c r="S131" s="119">
        <v>8.6</v>
      </c>
      <c r="T131" s="119">
        <v>26.2</v>
      </c>
      <c r="U131" s="119">
        <v>26.6</v>
      </c>
      <c r="V131" s="119">
        <v>25.4</v>
      </c>
      <c r="W131" s="119">
        <v>33.799999999999997</v>
      </c>
      <c r="X131" s="119">
        <v>28.3</v>
      </c>
      <c r="Y131" s="119">
        <v>18.3</v>
      </c>
      <c r="Z131" s="119">
        <v>20.100000000000001</v>
      </c>
      <c r="AA131" s="119">
        <v>16.100000000000001</v>
      </c>
      <c r="AB131" s="119">
        <v>13.9</v>
      </c>
      <c r="AC131" s="119">
        <v>18.600000000000001</v>
      </c>
      <c r="AD131" s="119">
        <v>9</v>
      </c>
      <c r="AE131" s="119"/>
      <c r="AF131" s="119"/>
      <c r="AG131" s="128"/>
      <c r="AH131" s="48">
        <f>MAX(B131:AF131)</f>
        <v>55</v>
      </c>
      <c r="AI131" s="49">
        <f>MIN(B131:AF131)</f>
        <v>8.6</v>
      </c>
    </row>
    <row r="132" spans="1:37" x14ac:dyDescent="0.25">
      <c r="A132" s="129" t="s">
        <v>152</v>
      </c>
      <c r="B132" s="119">
        <v>64</v>
      </c>
      <c r="C132" s="119">
        <v>64</v>
      </c>
      <c r="D132" s="119">
        <v>60</v>
      </c>
      <c r="E132" s="119">
        <v>26.4</v>
      </c>
      <c r="F132" s="119">
        <v>41.6</v>
      </c>
      <c r="G132" s="119"/>
      <c r="H132" s="119"/>
      <c r="I132" s="119">
        <v>44</v>
      </c>
      <c r="J132" s="119"/>
      <c r="K132" s="119"/>
      <c r="L132" s="119"/>
      <c r="M132" s="119">
        <v>50</v>
      </c>
      <c r="N132" s="119">
        <v>34</v>
      </c>
      <c r="O132" s="119">
        <v>44</v>
      </c>
      <c r="P132" s="119">
        <v>44</v>
      </c>
      <c r="Q132" s="119">
        <v>41.8</v>
      </c>
      <c r="R132" s="119">
        <v>45</v>
      </c>
      <c r="S132" s="119">
        <v>74.599999999999994</v>
      </c>
      <c r="T132" s="119">
        <v>60.7</v>
      </c>
      <c r="U132" s="119">
        <v>65.2</v>
      </c>
      <c r="V132" s="119">
        <v>58.4</v>
      </c>
      <c r="W132" s="119">
        <v>47.7</v>
      </c>
      <c r="X132" s="119">
        <v>19.5</v>
      </c>
      <c r="Y132" s="119">
        <v>15.6</v>
      </c>
      <c r="Z132" s="119">
        <v>46.6</v>
      </c>
      <c r="AA132" s="119">
        <v>34.6</v>
      </c>
      <c r="AB132" s="119">
        <v>33.200000000000003</v>
      </c>
      <c r="AC132" s="119">
        <v>33.700000000000003</v>
      </c>
      <c r="AD132" s="119">
        <v>44.2</v>
      </c>
      <c r="AE132" s="119"/>
      <c r="AF132" s="119"/>
      <c r="AG132" s="128"/>
      <c r="AH132" s="48">
        <f>MAX(B132:AF132)</f>
        <v>74.599999999999994</v>
      </c>
      <c r="AI132" s="49">
        <f>MIN(B132:AF132)</f>
        <v>15.6</v>
      </c>
    </row>
    <row r="133" spans="1:37" ht="15.75" thickBot="1" x14ac:dyDescent="0.3">
      <c r="A133" s="129" t="s">
        <v>153</v>
      </c>
      <c r="B133" s="119">
        <v>76</v>
      </c>
      <c r="C133" s="119"/>
      <c r="D133" s="119">
        <v>76</v>
      </c>
      <c r="E133" s="119">
        <v>44</v>
      </c>
      <c r="F133" s="119">
        <v>52.2</v>
      </c>
      <c r="G133" s="119"/>
      <c r="H133" s="119"/>
      <c r="I133" s="119">
        <v>59</v>
      </c>
      <c r="J133" s="119"/>
      <c r="K133" s="119"/>
      <c r="L133" s="119"/>
      <c r="M133" s="119">
        <v>63.6</v>
      </c>
      <c r="N133" s="119">
        <v>61</v>
      </c>
      <c r="O133" s="119">
        <v>65</v>
      </c>
      <c r="P133" s="119">
        <v>67</v>
      </c>
      <c r="Q133" s="119">
        <v>62.8</v>
      </c>
      <c r="R133" s="119">
        <v>69</v>
      </c>
      <c r="S133" s="119">
        <v>94.8</v>
      </c>
      <c r="T133" s="119">
        <v>73.400000000000006</v>
      </c>
      <c r="U133" s="119">
        <v>78.900000000000006</v>
      </c>
      <c r="V133" s="119">
        <v>74.7</v>
      </c>
      <c r="W133" s="119">
        <v>64.8</v>
      </c>
      <c r="X133" s="119">
        <v>34.6</v>
      </c>
      <c r="Y133" s="119">
        <v>30.3</v>
      </c>
      <c r="Z133" s="119">
        <v>59.4</v>
      </c>
      <c r="AA133" s="119">
        <v>50.8</v>
      </c>
      <c r="AB133" s="119">
        <v>53.8</v>
      </c>
      <c r="AC133" s="119">
        <v>52</v>
      </c>
      <c r="AD133" s="119">
        <v>59.7</v>
      </c>
      <c r="AE133" s="119"/>
      <c r="AF133" s="119"/>
      <c r="AG133" s="128"/>
      <c r="AH133" s="48">
        <f>MAX(B133:AF133)</f>
        <v>94.8</v>
      </c>
      <c r="AI133" s="49">
        <f>MIN(B133:AF133)</f>
        <v>30.3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>
        <v>1986.7</v>
      </c>
      <c r="C135" s="137"/>
      <c r="D135" s="137"/>
      <c r="E135" s="137">
        <v>1986.61</v>
      </c>
      <c r="F135" s="137">
        <v>1986.8</v>
      </c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>
        <v>1986.35</v>
      </c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>
        <v>883.4</v>
      </c>
      <c r="D139" s="140">
        <v>883.7</v>
      </c>
      <c r="E139" s="140">
        <v>883.9</v>
      </c>
      <c r="F139" s="140">
        <v>884.4</v>
      </c>
      <c r="G139" s="140"/>
      <c r="H139" s="140"/>
      <c r="I139" s="140">
        <v>885.2</v>
      </c>
      <c r="J139" s="140"/>
      <c r="K139" s="140"/>
      <c r="L139" s="140"/>
      <c r="M139" s="140"/>
      <c r="N139" s="140"/>
      <c r="O139" s="140"/>
      <c r="P139" s="140"/>
      <c r="Q139" s="140"/>
      <c r="R139" s="140"/>
      <c r="S139" s="140">
        <v>884.2</v>
      </c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>
        <v>1485.25</v>
      </c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>
        <v>1985.3</v>
      </c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126">SUM(B142:B246)</f>
        <v>0</v>
      </c>
      <c r="C247" s="161">
        <f t="shared" si="126"/>
        <v>0</v>
      </c>
      <c r="D247" s="161">
        <f t="shared" si="126"/>
        <v>0</v>
      </c>
      <c r="E247" s="161">
        <f t="shared" si="126"/>
        <v>0</v>
      </c>
      <c r="F247" s="161">
        <f t="shared" si="126"/>
        <v>0</v>
      </c>
      <c r="G247" s="161">
        <f t="shared" si="126"/>
        <v>0</v>
      </c>
      <c r="H247" s="161">
        <f t="shared" si="126"/>
        <v>0</v>
      </c>
      <c r="I247" s="161">
        <f t="shared" si="126"/>
        <v>0</v>
      </c>
      <c r="J247" s="161">
        <f t="shared" si="126"/>
        <v>0</v>
      </c>
      <c r="K247" s="161">
        <f t="shared" si="126"/>
        <v>0</v>
      </c>
      <c r="L247" s="161">
        <f t="shared" si="126"/>
        <v>0</v>
      </c>
      <c r="M247" s="161">
        <f t="shared" si="126"/>
        <v>0</v>
      </c>
      <c r="N247" s="161">
        <f t="shared" si="126"/>
        <v>0</v>
      </c>
      <c r="O247" s="161">
        <f t="shared" si="126"/>
        <v>0</v>
      </c>
      <c r="P247" s="161">
        <f t="shared" si="126"/>
        <v>0</v>
      </c>
      <c r="Q247" s="161">
        <f t="shared" si="126"/>
        <v>0</v>
      </c>
      <c r="R247" s="161">
        <f t="shared" si="126"/>
        <v>0</v>
      </c>
      <c r="S247" s="161">
        <f t="shared" si="126"/>
        <v>0</v>
      </c>
      <c r="T247" s="161">
        <f t="shared" si="126"/>
        <v>0</v>
      </c>
      <c r="U247" s="161">
        <f t="shared" si="126"/>
        <v>0</v>
      </c>
      <c r="V247" s="161">
        <f t="shared" si="126"/>
        <v>0</v>
      </c>
      <c r="W247" s="161">
        <f t="shared" si="126"/>
        <v>0</v>
      </c>
      <c r="X247" s="161">
        <f t="shared" si="126"/>
        <v>0</v>
      </c>
      <c r="Y247" s="161">
        <f t="shared" si="126"/>
        <v>0</v>
      </c>
      <c r="Z247" s="161">
        <f t="shared" si="126"/>
        <v>0</v>
      </c>
      <c r="AA247" s="161">
        <f t="shared" si="126"/>
        <v>0</v>
      </c>
      <c r="AB247" s="161">
        <f t="shared" si="126"/>
        <v>0</v>
      </c>
      <c r="AC247" s="161">
        <f t="shared" si="126"/>
        <v>0</v>
      </c>
      <c r="AD247" s="161">
        <f t="shared" si="126"/>
        <v>0</v>
      </c>
      <c r="AE247" s="161">
        <f t="shared" si="126"/>
        <v>0</v>
      </c>
      <c r="AF247" s="162">
        <f t="shared" si="126"/>
        <v>0</v>
      </c>
      <c r="AG247" s="163">
        <f t="shared" si="126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127">AF249</f>
        <v>0.3</v>
      </c>
      <c r="C249" s="166">
        <v>0.3</v>
      </c>
      <c r="D249" s="166">
        <f t="shared" ref="D249:S254" si="128">C249</f>
        <v>0.3</v>
      </c>
      <c r="E249" s="166">
        <f t="shared" si="128"/>
        <v>0.3</v>
      </c>
      <c r="F249" s="166">
        <f t="shared" si="128"/>
        <v>0.3</v>
      </c>
      <c r="G249" s="166">
        <f t="shared" si="128"/>
        <v>0.3</v>
      </c>
      <c r="H249" s="166">
        <f t="shared" si="128"/>
        <v>0.3</v>
      </c>
      <c r="I249" s="166">
        <f t="shared" si="128"/>
        <v>0.3</v>
      </c>
      <c r="J249" s="166">
        <f t="shared" si="128"/>
        <v>0.3</v>
      </c>
      <c r="K249" s="166">
        <f t="shared" si="128"/>
        <v>0.3</v>
      </c>
      <c r="L249" s="166">
        <f t="shared" si="128"/>
        <v>0.3</v>
      </c>
      <c r="M249" s="166">
        <f t="shared" si="128"/>
        <v>0.3</v>
      </c>
      <c r="N249" s="166">
        <f t="shared" si="128"/>
        <v>0.3</v>
      </c>
      <c r="O249" s="166">
        <f t="shared" si="128"/>
        <v>0.3</v>
      </c>
      <c r="P249" s="166">
        <f t="shared" si="128"/>
        <v>0.3</v>
      </c>
      <c r="Q249" s="166">
        <f t="shared" si="128"/>
        <v>0.3</v>
      </c>
      <c r="R249" s="166">
        <f t="shared" si="128"/>
        <v>0.3</v>
      </c>
      <c r="S249" s="166">
        <f t="shared" si="128"/>
        <v>0.3</v>
      </c>
      <c r="T249" s="166">
        <f t="shared" ref="T249:AF254" si="129">S249</f>
        <v>0.3</v>
      </c>
      <c r="U249" s="166">
        <f t="shared" si="129"/>
        <v>0.3</v>
      </c>
      <c r="V249" s="166">
        <f t="shared" si="129"/>
        <v>0.3</v>
      </c>
      <c r="W249" s="166">
        <f t="shared" si="129"/>
        <v>0.3</v>
      </c>
      <c r="X249" s="166">
        <f t="shared" si="129"/>
        <v>0.3</v>
      </c>
      <c r="Y249" s="166">
        <f t="shared" si="129"/>
        <v>0.3</v>
      </c>
      <c r="Z249" s="166">
        <f t="shared" si="129"/>
        <v>0.3</v>
      </c>
      <c r="AA249" s="166">
        <f t="shared" si="129"/>
        <v>0.3</v>
      </c>
      <c r="AB249" s="166">
        <f t="shared" si="129"/>
        <v>0.3</v>
      </c>
      <c r="AC249" s="166">
        <f t="shared" si="129"/>
        <v>0.3</v>
      </c>
      <c r="AD249" s="166">
        <f t="shared" si="129"/>
        <v>0.3</v>
      </c>
      <c r="AE249" s="166">
        <f t="shared" si="129"/>
        <v>0.3</v>
      </c>
      <c r="AF249" s="166">
        <f t="shared" si="129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127"/>
        <v>0.4</v>
      </c>
      <c r="C250" s="152">
        <v>0.4</v>
      </c>
      <c r="D250" s="152">
        <f t="shared" si="128"/>
        <v>0.4</v>
      </c>
      <c r="E250" s="152">
        <f t="shared" si="128"/>
        <v>0.4</v>
      </c>
      <c r="F250" s="152">
        <f t="shared" si="128"/>
        <v>0.4</v>
      </c>
      <c r="G250" s="152">
        <f t="shared" si="128"/>
        <v>0.4</v>
      </c>
      <c r="H250" s="152">
        <f t="shared" si="128"/>
        <v>0.4</v>
      </c>
      <c r="I250" s="152">
        <f t="shared" si="128"/>
        <v>0.4</v>
      </c>
      <c r="J250" s="152">
        <f t="shared" si="128"/>
        <v>0.4</v>
      </c>
      <c r="K250" s="152">
        <f t="shared" si="128"/>
        <v>0.4</v>
      </c>
      <c r="L250" s="152">
        <f t="shared" si="128"/>
        <v>0.4</v>
      </c>
      <c r="M250" s="152">
        <f t="shared" si="128"/>
        <v>0.4</v>
      </c>
      <c r="N250" s="152">
        <f t="shared" si="128"/>
        <v>0.4</v>
      </c>
      <c r="O250" s="152">
        <f t="shared" si="128"/>
        <v>0.4</v>
      </c>
      <c r="P250" s="152">
        <f t="shared" si="128"/>
        <v>0.4</v>
      </c>
      <c r="Q250" s="152">
        <f t="shared" si="128"/>
        <v>0.4</v>
      </c>
      <c r="R250" s="152">
        <f t="shared" si="128"/>
        <v>0.4</v>
      </c>
      <c r="S250" s="152">
        <f t="shared" si="128"/>
        <v>0.4</v>
      </c>
      <c r="T250" s="152">
        <f t="shared" si="129"/>
        <v>0.4</v>
      </c>
      <c r="U250" s="152">
        <f t="shared" si="129"/>
        <v>0.4</v>
      </c>
      <c r="V250" s="152">
        <f t="shared" si="129"/>
        <v>0.4</v>
      </c>
      <c r="W250" s="152">
        <f t="shared" si="129"/>
        <v>0.4</v>
      </c>
      <c r="X250" s="152">
        <f t="shared" si="129"/>
        <v>0.4</v>
      </c>
      <c r="Y250" s="152">
        <f t="shared" si="129"/>
        <v>0.4</v>
      </c>
      <c r="Z250" s="152">
        <f t="shared" si="129"/>
        <v>0.4</v>
      </c>
      <c r="AA250" s="152">
        <f t="shared" si="129"/>
        <v>0.4</v>
      </c>
      <c r="AB250" s="152">
        <f t="shared" si="129"/>
        <v>0.4</v>
      </c>
      <c r="AC250" s="152">
        <f t="shared" si="129"/>
        <v>0.4</v>
      </c>
      <c r="AD250" s="152">
        <f t="shared" si="129"/>
        <v>0.4</v>
      </c>
      <c r="AE250" s="152">
        <f t="shared" si="129"/>
        <v>0.4</v>
      </c>
      <c r="AF250" s="152">
        <f t="shared" si="129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127"/>
        <v>1.5</v>
      </c>
      <c r="C251" s="152">
        <v>1.5</v>
      </c>
      <c r="D251" s="152">
        <f t="shared" si="128"/>
        <v>1.5</v>
      </c>
      <c r="E251" s="152">
        <f t="shared" si="128"/>
        <v>1.5</v>
      </c>
      <c r="F251" s="152">
        <f t="shared" si="128"/>
        <v>1.5</v>
      </c>
      <c r="G251" s="152">
        <f t="shared" si="128"/>
        <v>1.5</v>
      </c>
      <c r="H251" s="152">
        <f t="shared" si="128"/>
        <v>1.5</v>
      </c>
      <c r="I251" s="152">
        <f t="shared" si="128"/>
        <v>1.5</v>
      </c>
      <c r="J251" s="152">
        <f t="shared" si="128"/>
        <v>1.5</v>
      </c>
      <c r="K251" s="152">
        <f t="shared" si="128"/>
        <v>1.5</v>
      </c>
      <c r="L251" s="152">
        <f t="shared" si="128"/>
        <v>1.5</v>
      </c>
      <c r="M251" s="152">
        <f t="shared" si="128"/>
        <v>1.5</v>
      </c>
      <c r="N251" s="152">
        <f t="shared" si="128"/>
        <v>1.5</v>
      </c>
      <c r="O251" s="152">
        <f t="shared" si="128"/>
        <v>1.5</v>
      </c>
      <c r="P251" s="152">
        <f t="shared" si="128"/>
        <v>1.5</v>
      </c>
      <c r="Q251" s="152">
        <f t="shared" si="128"/>
        <v>1.5</v>
      </c>
      <c r="R251" s="152">
        <f t="shared" si="128"/>
        <v>1.5</v>
      </c>
      <c r="S251" s="152">
        <f t="shared" si="128"/>
        <v>1.5</v>
      </c>
      <c r="T251" s="152">
        <f t="shared" si="129"/>
        <v>1.5</v>
      </c>
      <c r="U251" s="152">
        <f t="shared" si="129"/>
        <v>1.5</v>
      </c>
      <c r="V251" s="152">
        <f t="shared" si="129"/>
        <v>1.5</v>
      </c>
      <c r="W251" s="152">
        <f t="shared" si="129"/>
        <v>1.5</v>
      </c>
      <c r="X251" s="152">
        <f t="shared" si="129"/>
        <v>1.5</v>
      </c>
      <c r="Y251" s="152">
        <f t="shared" si="129"/>
        <v>1.5</v>
      </c>
      <c r="Z251" s="152">
        <f t="shared" si="129"/>
        <v>1.5</v>
      </c>
      <c r="AA251" s="152">
        <f t="shared" si="129"/>
        <v>1.5</v>
      </c>
      <c r="AB251" s="152">
        <f t="shared" si="129"/>
        <v>1.5</v>
      </c>
      <c r="AC251" s="152">
        <f t="shared" si="129"/>
        <v>1.5</v>
      </c>
      <c r="AD251" s="152">
        <f t="shared" si="129"/>
        <v>1.5</v>
      </c>
      <c r="AE251" s="152">
        <f t="shared" si="129"/>
        <v>1.5</v>
      </c>
      <c r="AF251" s="152">
        <f t="shared" si="129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127"/>
        <v>0.3</v>
      </c>
      <c r="C252" s="152">
        <v>0.3</v>
      </c>
      <c r="D252" s="152">
        <f t="shared" si="128"/>
        <v>0.3</v>
      </c>
      <c r="E252" s="152">
        <f t="shared" si="128"/>
        <v>0.3</v>
      </c>
      <c r="F252" s="152">
        <f t="shared" si="128"/>
        <v>0.3</v>
      </c>
      <c r="G252" s="152">
        <f t="shared" si="128"/>
        <v>0.3</v>
      </c>
      <c r="H252" s="152">
        <f t="shared" si="128"/>
        <v>0.3</v>
      </c>
      <c r="I252" s="152">
        <f t="shared" si="128"/>
        <v>0.3</v>
      </c>
      <c r="J252" s="152">
        <f t="shared" si="128"/>
        <v>0.3</v>
      </c>
      <c r="K252" s="152">
        <f t="shared" si="128"/>
        <v>0.3</v>
      </c>
      <c r="L252" s="152">
        <f t="shared" si="128"/>
        <v>0.3</v>
      </c>
      <c r="M252" s="152">
        <f t="shared" si="128"/>
        <v>0.3</v>
      </c>
      <c r="N252" s="152">
        <f t="shared" si="128"/>
        <v>0.3</v>
      </c>
      <c r="O252" s="152">
        <f t="shared" si="128"/>
        <v>0.3</v>
      </c>
      <c r="P252" s="152">
        <f t="shared" si="128"/>
        <v>0.3</v>
      </c>
      <c r="Q252" s="152">
        <f t="shared" si="128"/>
        <v>0.3</v>
      </c>
      <c r="R252" s="152">
        <f t="shared" si="128"/>
        <v>0.3</v>
      </c>
      <c r="S252" s="152">
        <f t="shared" si="128"/>
        <v>0.3</v>
      </c>
      <c r="T252" s="152">
        <f t="shared" si="129"/>
        <v>0.3</v>
      </c>
      <c r="U252" s="152">
        <f t="shared" si="129"/>
        <v>0.3</v>
      </c>
      <c r="V252" s="152">
        <f t="shared" si="129"/>
        <v>0.3</v>
      </c>
      <c r="W252" s="152">
        <f t="shared" si="129"/>
        <v>0.3</v>
      </c>
      <c r="X252" s="152">
        <f t="shared" si="129"/>
        <v>0.3</v>
      </c>
      <c r="Y252" s="152">
        <f t="shared" si="129"/>
        <v>0.3</v>
      </c>
      <c r="Z252" s="152">
        <f t="shared" si="129"/>
        <v>0.3</v>
      </c>
      <c r="AA252" s="152">
        <f t="shared" si="129"/>
        <v>0.3</v>
      </c>
      <c r="AB252" s="152">
        <f t="shared" si="129"/>
        <v>0.3</v>
      </c>
      <c r="AC252" s="152">
        <f t="shared" si="129"/>
        <v>0.3</v>
      </c>
      <c r="AD252" s="152">
        <f t="shared" si="129"/>
        <v>0.3</v>
      </c>
      <c r="AE252" s="152">
        <f t="shared" si="129"/>
        <v>0.3</v>
      </c>
      <c r="AF252" s="152">
        <f t="shared" si="129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127"/>
        <v>0.4</v>
      </c>
      <c r="C253" s="152">
        <v>0.4</v>
      </c>
      <c r="D253" s="152">
        <f t="shared" si="128"/>
        <v>0.4</v>
      </c>
      <c r="E253" s="152">
        <f t="shared" si="128"/>
        <v>0.4</v>
      </c>
      <c r="F253" s="152">
        <f t="shared" si="128"/>
        <v>0.4</v>
      </c>
      <c r="G253" s="152">
        <f t="shared" si="128"/>
        <v>0.4</v>
      </c>
      <c r="H253" s="152">
        <f t="shared" si="128"/>
        <v>0.4</v>
      </c>
      <c r="I253" s="152">
        <f t="shared" si="128"/>
        <v>0.4</v>
      </c>
      <c r="J253" s="152">
        <f t="shared" si="128"/>
        <v>0.4</v>
      </c>
      <c r="K253" s="152">
        <f t="shared" si="128"/>
        <v>0.4</v>
      </c>
      <c r="L253" s="152">
        <f t="shared" si="128"/>
        <v>0.4</v>
      </c>
      <c r="M253" s="152">
        <f t="shared" si="128"/>
        <v>0.4</v>
      </c>
      <c r="N253" s="152">
        <f t="shared" si="128"/>
        <v>0.4</v>
      </c>
      <c r="O253" s="152">
        <f t="shared" si="128"/>
        <v>0.4</v>
      </c>
      <c r="P253" s="152">
        <f t="shared" si="128"/>
        <v>0.4</v>
      </c>
      <c r="Q253" s="152">
        <f t="shared" si="128"/>
        <v>0.4</v>
      </c>
      <c r="R253" s="152">
        <f t="shared" si="128"/>
        <v>0.4</v>
      </c>
      <c r="S253" s="152">
        <f t="shared" si="128"/>
        <v>0.4</v>
      </c>
      <c r="T253" s="152">
        <f t="shared" si="129"/>
        <v>0.4</v>
      </c>
      <c r="U253" s="152">
        <f t="shared" si="129"/>
        <v>0.4</v>
      </c>
      <c r="V253" s="152">
        <f t="shared" si="129"/>
        <v>0.4</v>
      </c>
      <c r="W253" s="152">
        <f t="shared" si="129"/>
        <v>0.4</v>
      </c>
      <c r="X253" s="152">
        <f t="shared" si="129"/>
        <v>0.4</v>
      </c>
      <c r="Y253" s="152">
        <f t="shared" si="129"/>
        <v>0.4</v>
      </c>
      <c r="Z253" s="152">
        <f t="shared" si="129"/>
        <v>0.4</v>
      </c>
      <c r="AA253" s="152">
        <f t="shared" si="129"/>
        <v>0.4</v>
      </c>
      <c r="AB253" s="152">
        <f t="shared" si="129"/>
        <v>0.4</v>
      </c>
      <c r="AC253" s="152">
        <f t="shared" si="129"/>
        <v>0.4</v>
      </c>
      <c r="AD253" s="152">
        <f t="shared" si="129"/>
        <v>0.4</v>
      </c>
      <c r="AE253" s="152">
        <f t="shared" si="129"/>
        <v>0.4</v>
      </c>
      <c r="AF253" s="152">
        <f t="shared" si="129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127"/>
        <v>0.64</v>
      </c>
      <c r="C254" s="157">
        <v>0.64</v>
      </c>
      <c r="D254" s="157">
        <f t="shared" si="128"/>
        <v>0.64</v>
      </c>
      <c r="E254" s="157">
        <f t="shared" si="128"/>
        <v>0.64</v>
      </c>
      <c r="F254" s="157">
        <f t="shared" si="128"/>
        <v>0.64</v>
      </c>
      <c r="G254" s="157">
        <f t="shared" si="128"/>
        <v>0.64</v>
      </c>
      <c r="H254" s="157">
        <f t="shared" si="128"/>
        <v>0.64</v>
      </c>
      <c r="I254" s="157">
        <f t="shared" si="128"/>
        <v>0.64</v>
      </c>
      <c r="J254" s="157">
        <f t="shared" si="128"/>
        <v>0.64</v>
      </c>
      <c r="K254" s="157">
        <f t="shared" si="128"/>
        <v>0.64</v>
      </c>
      <c r="L254" s="157">
        <f t="shared" si="128"/>
        <v>0.64</v>
      </c>
      <c r="M254" s="157">
        <f t="shared" si="128"/>
        <v>0.64</v>
      </c>
      <c r="N254" s="157">
        <f t="shared" si="128"/>
        <v>0.64</v>
      </c>
      <c r="O254" s="157">
        <f t="shared" si="128"/>
        <v>0.64</v>
      </c>
      <c r="P254" s="157">
        <f t="shared" si="128"/>
        <v>0.64</v>
      </c>
      <c r="Q254" s="157">
        <f t="shared" si="128"/>
        <v>0.64</v>
      </c>
      <c r="R254" s="157">
        <f t="shared" si="128"/>
        <v>0.64</v>
      </c>
      <c r="S254" s="157">
        <f t="shared" si="128"/>
        <v>0.64</v>
      </c>
      <c r="T254" s="157">
        <f t="shared" si="129"/>
        <v>0.64</v>
      </c>
      <c r="U254" s="157">
        <f t="shared" si="129"/>
        <v>0.64</v>
      </c>
      <c r="V254" s="157">
        <f t="shared" si="129"/>
        <v>0.64</v>
      </c>
      <c r="W254" s="157">
        <f t="shared" si="129"/>
        <v>0.64</v>
      </c>
      <c r="X254" s="157">
        <f t="shared" si="129"/>
        <v>0.64</v>
      </c>
      <c r="Y254" s="157">
        <f t="shared" si="129"/>
        <v>0.64</v>
      </c>
      <c r="Z254" s="157">
        <f t="shared" si="129"/>
        <v>0.64</v>
      </c>
      <c r="AA254" s="157">
        <f t="shared" si="129"/>
        <v>0.64</v>
      </c>
      <c r="AB254" s="157">
        <f t="shared" si="129"/>
        <v>0.64</v>
      </c>
      <c r="AC254" s="157">
        <f t="shared" si="129"/>
        <v>0.64</v>
      </c>
      <c r="AD254" s="157">
        <f t="shared" si="129"/>
        <v>0.64</v>
      </c>
      <c r="AE254" s="157">
        <f t="shared" si="129"/>
        <v>0.64</v>
      </c>
      <c r="AF254" s="157">
        <f t="shared" si="129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130">SUM(B249:B254)</f>
        <v>3.54</v>
      </c>
      <c r="C255" s="161">
        <f t="shared" si="130"/>
        <v>3.54</v>
      </c>
      <c r="D255" s="161">
        <f t="shared" si="130"/>
        <v>3.54</v>
      </c>
      <c r="E255" s="161">
        <f t="shared" si="130"/>
        <v>3.54</v>
      </c>
      <c r="F255" s="161">
        <f t="shared" si="130"/>
        <v>3.54</v>
      </c>
      <c r="G255" s="161">
        <f t="shared" si="130"/>
        <v>3.54</v>
      </c>
      <c r="H255" s="161">
        <f t="shared" si="130"/>
        <v>3.54</v>
      </c>
      <c r="I255" s="161">
        <f t="shared" si="130"/>
        <v>3.54</v>
      </c>
      <c r="J255" s="161">
        <f t="shared" si="130"/>
        <v>3.54</v>
      </c>
      <c r="K255" s="161">
        <f t="shared" si="130"/>
        <v>3.54</v>
      </c>
      <c r="L255" s="161">
        <f t="shared" si="130"/>
        <v>3.54</v>
      </c>
      <c r="M255" s="161">
        <f t="shared" si="130"/>
        <v>3.54</v>
      </c>
      <c r="N255" s="161">
        <f t="shared" si="130"/>
        <v>3.54</v>
      </c>
      <c r="O255" s="161">
        <f t="shared" si="130"/>
        <v>3.54</v>
      </c>
      <c r="P255" s="161">
        <f t="shared" si="130"/>
        <v>3.54</v>
      </c>
      <c r="Q255" s="161">
        <f t="shared" si="130"/>
        <v>3.54</v>
      </c>
      <c r="R255" s="161">
        <f t="shared" si="130"/>
        <v>3.54</v>
      </c>
      <c r="S255" s="161">
        <f t="shared" si="130"/>
        <v>3.54</v>
      </c>
      <c r="T255" s="161">
        <f t="shared" si="130"/>
        <v>3.54</v>
      </c>
      <c r="U255" s="161">
        <f t="shared" si="130"/>
        <v>3.54</v>
      </c>
      <c r="V255" s="161">
        <f t="shared" si="130"/>
        <v>3.54</v>
      </c>
      <c r="W255" s="161">
        <f t="shared" si="130"/>
        <v>3.54</v>
      </c>
      <c r="X255" s="161">
        <f t="shared" si="130"/>
        <v>3.54</v>
      </c>
      <c r="Y255" s="161">
        <f t="shared" si="130"/>
        <v>3.54</v>
      </c>
      <c r="Z255" s="161">
        <f t="shared" si="130"/>
        <v>3.54</v>
      </c>
      <c r="AA255" s="161">
        <f t="shared" si="130"/>
        <v>3.54</v>
      </c>
      <c r="AB255" s="161">
        <f t="shared" si="130"/>
        <v>3.54</v>
      </c>
      <c r="AC255" s="161">
        <f t="shared" si="130"/>
        <v>3.54</v>
      </c>
      <c r="AD255" s="161">
        <f t="shared" si="130"/>
        <v>3.54</v>
      </c>
      <c r="AE255" s="161">
        <f t="shared" si="130"/>
        <v>3.54</v>
      </c>
      <c r="AF255" s="161">
        <f t="shared" si="130"/>
        <v>3.54</v>
      </c>
      <c r="AG255" s="171">
        <f t="shared" si="130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1989.54</v>
      </c>
      <c r="C259" s="174">
        <f>INDEX(G9:N9,1,MATCH(MAX(G102:N102),G102:N102,0))</f>
        <v>0.27083333333333331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e">
        <f ca="1">"Pie Chart of Daily Peak Demand(Inclusive of Export) of Nepal ("&amp;A4&amp;" "&amp;B4&amp;")"</f>
        <v>#VALUE!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N90:AN91"/>
    <mergeCell ref="AB9:AB10"/>
    <mergeCell ref="AC9:AC10"/>
    <mergeCell ref="AD9:AD10"/>
    <mergeCell ref="AE9:AE10"/>
    <mergeCell ref="AF9:AF10"/>
    <mergeCell ref="AG9:AG10"/>
    <mergeCell ref="N9:N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89 A95:A133 A135:A256">
    <cfRule type="expression" dxfId="389" priority="80">
      <formula>$AH11=0</formula>
    </cfRule>
  </conditionalFormatting>
  <conditionalFormatting sqref="A89">
    <cfRule type="expression" dxfId="388" priority="138">
      <formula>$AH94=0</formula>
    </cfRule>
  </conditionalFormatting>
  <conditionalFormatting sqref="A90:A94">
    <cfRule type="expression" dxfId="387" priority="81">
      <formula>$AH89=0</formula>
    </cfRule>
  </conditionalFormatting>
  <conditionalFormatting sqref="B8">
    <cfRule type="expression" dxfId="386" priority="134">
      <formula>AND(C$9&gt;=14/24,C$9&lt;20/24)</formula>
    </cfRule>
    <cfRule type="expression" dxfId="385" priority="135">
      <formula>AND(C$9&gt;=8/24,C$9&lt;14/24)</formula>
    </cfRule>
    <cfRule type="expression" dxfId="384" priority="136">
      <formula>C$9&lt;8/24</formula>
    </cfRule>
    <cfRule type="expression" dxfId="383" priority="137">
      <formula>C$9&gt;=20/24</formula>
    </cfRule>
  </conditionalFormatting>
  <conditionalFormatting sqref="B11:P57 Q13:Z57 E62:P64 C62:D71 B62:B77 E66:Z77 C72:F77 AA72:AF77 B80:AF102 B9:AF10 B104:AF120 B122:AF140 B247:AF247 B249:B255">
    <cfRule type="expression" dxfId="382" priority="41">
      <formula>B$9&gt;=20/24</formula>
    </cfRule>
  </conditionalFormatting>
  <conditionalFormatting sqref="B9:AF10 B11:P57 Q13:Z57 E62:P64 C62:D71 B62:B77 E66:Z77 C72:F77 AA72:AF77 B80:AF102 B104:AF120 B122:AF140 B247:AF247 B249:B255">
    <cfRule type="expression" dxfId="381" priority="42">
      <formula>AND(B$9&gt;=14/24,B$9&lt;20/24)</formula>
    </cfRule>
    <cfRule type="expression" dxfId="380" priority="43">
      <formula>AND(B$9&gt;=8/24,B$9&lt;14/24)</formula>
    </cfRule>
    <cfRule type="expression" dxfId="379" priority="44">
      <formula>B$9&lt;8/24</formula>
    </cfRule>
  </conditionalFormatting>
  <conditionalFormatting sqref="B58:AF60">
    <cfRule type="expression" dxfId="378" priority="37">
      <formula>B$9&gt;=20/24</formula>
    </cfRule>
    <cfRule type="expression" dxfId="377" priority="38">
      <formula>AND(B$9&gt;=14/24,B$9&lt;20/24)</formula>
    </cfRule>
    <cfRule type="expression" dxfId="376" priority="39">
      <formula>AND(B$9&gt;=8/24,B$9&lt;14/24)</formula>
    </cfRule>
    <cfRule type="expression" dxfId="375" priority="49">
      <formula>B$9&lt;8/24</formula>
    </cfRule>
  </conditionalFormatting>
  <conditionalFormatting sqref="D249:AF255">
    <cfRule type="expression" dxfId="374" priority="119">
      <formula>D$9&gt;=20/24</formula>
    </cfRule>
    <cfRule type="expression" dxfId="373" priority="120">
      <formula>AND(D$9&gt;=14/24,D$9&lt;20/24)</formula>
    </cfRule>
    <cfRule type="expression" dxfId="372" priority="121">
      <formula>AND(D$9&gt;=8/24,D$9&lt;14/24)</formula>
    </cfRule>
    <cfRule type="expression" dxfId="371" priority="122">
      <formula>D$9&lt;8/24</formula>
    </cfRule>
  </conditionalFormatting>
  <conditionalFormatting sqref="E62:AF71">
    <cfRule type="expression" dxfId="370" priority="45">
      <formula>E$9&gt;=20/24</formula>
    </cfRule>
    <cfRule type="expression" dxfId="369" priority="46">
      <formula>AND(E$9&gt;=14/24,E$9&lt;20/24)</formula>
    </cfRule>
    <cfRule type="expression" dxfId="368" priority="47">
      <formula>AND(E$9&gt;=8/24,E$9&lt;14/24)</formula>
    </cfRule>
    <cfRule type="expression" dxfId="367" priority="48">
      <formula>E$9&lt;8/24</formula>
    </cfRule>
  </conditionalFormatting>
  <conditionalFormatting sqref="F66:Z68">
    <cfRule type="expression" dxfId="366" priority="72">
      <formula>F$9&gt;=20/24</formula>
    </cfRule>
    <cfRule type="expression" dxfId="365" priority="73">
      <formula>AND(F$9&gt;=14/24,F$9&lt;20/24)</formula>
    </cfRule>
    <cfRule type="expression" dxfId="364" priority="74">
      <formula>AND(F$9&gt;=8/24,F$9&lt;14/24)</formula>
    </cfRule>
    <cfRule type="expression" dxfId="363" priority="75">
      <formula>F$9&lt;8/24</formula>
    </cfRule>
  </conditionalFormatting>
  <conditionalFormatting sqref="H11:P60 AA11:AF60 B11:G83 Q13:R60 S13:Z83 AA61:AG61 H61:R83 AA62:AF64 AA65:AG65 AA66:AF83 AG83">
    <cfRule type="expression" dxfId="362" priority="40">
      <formula>B11&gt;$AG11</formula>
    </cfRule>
  </conditionalFormatting>
  <conditionalFormatting sqref="L71:Z71">
    <cfRule type="expression" dxfId="361" priority="68">
      <formula>L$9&gt;=20/24</formula>
    </cfRule>
    <cfRule type="expression" dxfId="360" priority="69">
      <formula>AND(L$9&gt;=14/24,L$9&lt;20/24)</formula>
    </cfRule>
    <cfRule type="expression" dxfId="359" priority="70">
      <formula>AND(L$9&gt;=8/24,L$9&lt;14/24)</formula>
    </cfRule>
    <cfRule type="expression" dxfId="358" priority="71">
      <formula>L$9&lt;8/24</formula>
    </cfRule>
  </conditionalFormatting>
  <conditionalFormatting sqref="M8 S8 AB8">
    <cfRule type="expression" dxfId="357" priority="126">
      <formula>AND(N$9&gt;=14/24,N$9&lt;20/24)</formula>
    </cfRule>
    <cfRule type="expression" dxfId="356" priority="127">
      <formula>AND(N$9&gt;=8/24,N$9&lt;14/24)</formula>
    </cfRule>
    <cfRule type="expression" dxfId="355" priority="128">
      <formula>N$9&lt;8/24</formula>
    </cfRule>
  </conditionalFormatting>
  <conditionalFormatting sqref="M66:Z70">
    <cfRule type="expression" dxfId="354" priority="76">
      <formula>M$9&gt;=20/24</formula>
    </cfRule>
    <cfRule type="expression" dxfId="353" priority="77">
      <formula>AND(M$9&gt;=14/24,M$9&lt;20/24)</formula>
    </cfRule>
    <cfRule type="expression" dxfId="352" priority="78">
      <formula>AND(M$9&gt;=8/24,M$9&lt;14/24)</formula>
    </cfRule>
    <cfRule type="expression" dxfId="351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Q11:Z12 AA11:AF57">
    <cfRule type="expression" dxfId="350" priority="55">
      <formula>Q$9&gt;=20/24</formula>
    </cfRule>
    <cfRule type="expression" dxfId="349" priority="56">
      <formula>AND(Q$9&gt;=14/24,Q$9&lt;20/24)</formula>
    </cfRule>
    <cfRule type="expression" dxfId="348" priority="57">
      <formula>AND(Q$9&gt;=8/24,Q$9&lt;14/24)</formula>
    </cfRule>
    <cfRule type="expression" dxfId="347" priority="58">
      <formula>Q$9&lt;8/24</formula>
    </cfRule>
  </conditionalFormatting>
  <conditionalFormatting sqref="Q11:Z12">
    <cfRule type="expression" dxfId="346" priority="54">
      <formula>Q11&gt;$AG11</formula>
    </cfRule>
  </conditionalFormatting>
  <conditionalFormatting sqref="S8 AB8 M8">
    <cfRule type="expression" dxfId="345" priority="125">
      <formula>N$9&gt;=20/24</formula>
    </cfRule>
  </conditionalFormatting>
  <conditionalFormatting sqref="S8">
    <cfRule type="expression" dxfId="344" priority="112">
      <formula>U$9&gt;=20/24</formula>
    </cfRule>
    <cfRule type="expression" dxfId="343" priority="113">
      <formula>AND(U$9&gt;=14/24,U$9&lt;20/24)</formula>
    </cfRule>
    <cfRule type="expression" dxfId="342" priority="114">
      <formula>AND(U$9&gt;=8/24,U$9&lt;14/24)</formula>
    </cfRule>
    <cfRule type="expression" dxfId="341" priority="115">
      <formula>U$9&lt;8/24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40" priority="108">
      <formula>AD$9&gt;=20/24</formula>
    </cfRule>
    <cfRule type="expression" dxfId="339" priority="109">
      <formula>AND(AD$9&gt;=14/24,AD$9&lt;20/24)</formula>
    </cfRule>
    <cfRule type="expression" dxfId="338" priority="110">
      <formula>AND(AD$9&gt;=8/24,AD$9&lt;14/24)</formula>
    </cfRule>
    <cfRule type="expression" dxfId="337" priority="111">
      <formula>AD$9&lt;8/24</formula>
    </cfRule>
  </conditionalFormatting>
  <conditionalFormatting sqref="AG65">
    <cfRule type="expression" dxfId="336" priority="87">
      <formula>AG$9&gt;=20/24</formula>
    </cfRule>
    <cfRule type="expression" dxfId="335" priority="88">
      <formula>AND(AG$9&gt;=14/24,AG$9&lt;20/24)</formula>
    </cfRule>
    <cfRule type="expression" dxfId="334" priority="89">
      <formula>AND(AG$9&gt;=8/24,AG$9&lt;14/24)</formula>
    </cfRule>
    <cfRule type="expression" dxfId="333" priority="90">
      <formula>AG$9&lt;8/24</formula>
    </cfRule>
  </conditionalFormatting>
  <conditionalFormatting sqref="AG78:AG79">
    <cfRule type="expression" dxfId="332" priority="82">
      <formula>AG78&gt;$AG78</formula>
    </cfRule>
  </conditionalFormatting>
  <conditionalFormatting sqref="AG83">
    <cfRule type="expression" dxfId="331" priority="83">
      <formula>AG$9&gt;=20/24</formula>
    </cfRule>
    <cfRule type="expression" dxfId="330" priority="84">
      <formula>AND(AG$9&gt;=14/24,AG$9&lt;20/24)</formula>
    </cfRule>
    <cfRule type="expression" dxfId="329" priority="85">
      <formula>AND(AG$9&gt;=8/24,AG$9&lt;14/24)</formula>
    </cfRule>
    <cfRule type="expression" dxfId="328" priority="86">
      <formula>AG$9&lt;8/24</formula>
    </cfRule>
  </conditionalFormatting>
  <conditionalFormatting sqref="AG100">
    <cfRule type="expression" dxfId="327" priority="104">
      <formula>AG$9&gt;=20/24</formula>
    </cfRule>
    <cfRule type="expression" dxfId="326" priority="105">
      <formula>AND(AG$9&gt;=14/24,AG$9&lt;20/24)</formula>
    </cfRule>
    <cfRule type="expression" dxfId="325" priority="106">
      <formula>AND(AG$9&gt;=8/24,AG$9&lt;14/24)</formula>
    </cfRule>
    <cfRule type="expression" dxfId="324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323" priority="129">
      <formula>AJ$9&gt;=20/24</formula>
    </cfRule>
    <cfRule type="expression" dxfId="322" priority="130">
      <formula>AND(AJ$9&gt;=14/24,AJ$9&lt;20/24)</formula>
    </cfRule>
    <cfRule type="expression" dxfId="321" priority="131">
      <formula>AND(AJ$9&gt;=8/24,AJ$9&lt;14/24)</formula>
    </cfRule>
    <cfRule type="expression" dxfId="320" priority="132">
      <formula>AJ$9&lt;8/24</formula>
    </cfRule>
  </conditionalFormatting>
  <conditionalFormatting sqref="AL86:AN86 AL92:AN92">
    <cfRule type="expression" dxfId="319" priority="97">
      <formula>AL$9&gt;=20/24</formula>
    </cfRule>
    <cfRule type="expression" dxfId="318" priority="98">
      <formula>AND(AL$9&gt;=14/24,AL$9&lt;20/24)</formula>
    </cfRule>
    <cfRule type="expression" dxfId="317" priority="99">
      <formula>AND(AL$9&gt;=8/24,AL$9&lt;14/24)</formula>
    </cfRule>
    <cfRule type="expression" dxfId="316" priority="100">
      <formula>AL$9&lt;8/24</formula>
    </cfRule>
  </conditionalFormatting>
  <conditionalFormatting sqref="AM15:AM21 AN16:AR21">
    <cfRule type="expression" dxfId="315" priority="13">
      <formula>AX$9&gt;=20/24</formula>
    </cfRule>
    <cfRule type="expression" dxfId="314" priority="14">
      <formula>AND(AX$9&gt;=14/24,AX$9&lt;20/24)</formula>
    </cfRule>
    <cfRule type="expression" dxfId="313" priority="15">
      <formula>AND(AX$9&gt;=8/24,AX$9&lt;14/24)</formula>
    </cfRule>
    <cfRule type="expression" dxfId="312" priority="16">
      <formula>AX$9&lt;8/24</formula>
    </cfRule>
  </conditionalFormatting>
  <conditionalFormatting sqref="AN87:AN90">
    <cfRule type="expression" dxfId="311" priority="93">
      <formula>AN$9&gt;=20/24</formula>
    </cfRule>
    <cfRule type="expression" dxfId="310" priority="94">
      <formula>AND(AN$9&gt;=14/24,AN$9&lt;20/24)</formula>
    </cfRule>
    <cfRule type="expression" dxfId="309" priority="95">
      <formula>AND(AN$9&gt;=8/24,AN$9&lt;14/24)</formula>
    </cfRule>
    <cfRule type="expression" dxfId="308" priority="96">
      <formula>AN$9&lt;8/24</formula>
    </cfRule>
  </conditionalFormatting>
  <conditionalFormatting sqref="AN15:AR15">
    <cfRule type="expression" dxfId="307" priority="1">
      <formula>U$9&gt;=20/24</formula>
    </cfRule>
    <cfRule type="expression" dxfId="306" priority="2">
      <formula>AND(U$9&gt;=14/24,U$9&lt;20/24)</formula>
    </cfRule>
    <cfRule type="expression" dxfId="305" priority="3">
      <formula>AND(U$9&gt;=8/24,U$9&lt;14/24)</formula>
    </cfRule>
    <cfRule type="expression" dxfId="304" priority="4">
      <formula>U$9&lt;8/24</formula>
    </cfRule>
  </conditionalFormatting>
  <conditionalFormatting sqref="AS15">
    <cfRule type="expression" dxfId="303" priority="9">
      <formula>AA$9&gt;=20/24</formula>
    </cfRule>
    <cfRule type="expression" dxfId="302" priority="10">
      <formula>AND(AA$9&gt;=14/24,AA$9&lt;20/24)</formula>
    </cfRule>
    <cfRule type="expression" dxfId="301" priority="11">
      <formula>AND(AA$9&gt;=8/24,AA$9&lt;14/24)</formula>
    </cfRule>
    <cfRule type="expression" dxfId="300" priority="12">
      <formula>AA$9&lt;8/24</formula>
    </cfRule>
  </conditionalFormatting>
  <conditionalFormatting sqref="AS16:AS21">
    <cfRule type="expression" dxfId="299" priority="17">
      <formula>BE$9&gt;=20/24</formula>
    </cfRule>
    <cfRule type="expression" dxfId="298" priority="18">
      <formula>AND(BE$9&gt;=14/24,BE$9&lt;20/24)</formula>
    </cfRule>
    <cfRule type="expression" dxfId="297" priority="19">
      <formula>AND(BE$9&gt;=8/24,BE$9&lt;14/24)</formula>
    </cfRule>
    <cfRule type="expression" dxfId="296" priority="20">
      <formula>BE$9&lt;8/24</formula>
    </cfRule>
  </conditionalFormatting>
  <conditionalFormatting sqref="AT15 AX15:BJ15">
    <cfRule type="expression" dxfId="295" priority="21">
      <formula>AC$9&gt;=20/24</formula>
    </cfRule>
    <cfRule type="expression" dxfId="294" priority="22">
      <formula>AND(AC$9&gt;=14/24,AC$9&lt;20/24)</formula>
    </cfRule>
    <cfRule type="expression" dxfId="293" priority="23">
      <formula>AND(AC$9&gt;=8/24,AC$9&lt;14/24)</formula>
    </cfRule>
    <cfRule type="expression" dxfId="292" priority="24">
      <formula>AC$9&lt;8/24</formula>
    </cfRule>
  </conditionalFormatting>
  <conditionalFormatting sqref="AT16:AT21">
    <cfRule type="expression" dxfId="291" priority="25">
      <formula>BG$9&gt;=20/24</formula>
    </cfRule>
    <cfRule type="expression" dxfId="290" priority="26">
      <formula>AND(BG$9&gt;=14/24,BG$9&lt;20/24)</formula>
    </cfRule>
    <cfRule type="expression" dxfId="289" priority="27">
      <formula>AND(BG$9&gt;=8/24,BG$9&lt;14/24)</formula>
    </cfRule>
    <cfRule type="expression" dxfId="288" priority="28">
      <formula>BG$9&lt;8/24</formula>
    </cfRule>
  </conditionalFormatting>
  <conditionalFormatting sqref="AU15:AV15">
    <cfRule type="expression" dxfId="287" priority="29">
      <formula>AE$9&gt;=20/24</formula>
    </cfRule>
    <cfRule type="expression" dxfId="286" priority="30">
      <formula>AND(AE$9&gt;=14/24,AE$9&lt;20/24)</formula>
    </cfRule>
    <cfRule type="expression" dxfId="285" priority="31">
      <formula>AND(AE$9&gt;=8/24,AE$9&lt;14/24)</formula>
    </cfRule>
    <cfRule type="expression" dxfId="284" priority="32">
      <formula>AE$9&lt;8/24</formula>
    </cfRule>
  </conditionalFormatting>
  <conditionalFormatting sqref="AU16:BJ21">
    <cfRule type="expression" dxfId="283" priority="33">
      <formula>BI$9&gt;=20/24</formula>
    </cfRule>
    <cfRule type="expression" dxfId="282" priority="34">
      <formula>AND(BI$9&gt;=14/24,BI$9&lt;20/24)</formula>
    </cfRule>
    <cfRule type="expression" dxfId="281" priority="35">
      <formula>AND(BI$9&gt;=8/24,BI$9&lt;14/24)</formula>
    </cfRule>
    <cfRule type="expression" dxfId="280" priority="36">
      <formula>BI$9&lt;8/24</formula>
    </cfRule>
  </conditionalFormatting>
  <conditionalFormatting sqref="AW15">
    <cfRule type="expression" dxfId="279" priority="5">
      <formula>B$9&gt;=20/24</formula>
    </cfRule>
    <cfRule type="expression" dxfId="278" priority="6">
      <formula>AND(B$9&gt;=14/24,B$9&lt;20/24)</formula>
    </cfRule>
    <cfRule type="expression" dxfId="277" priority="7">
      <formula>AND(B$9&gt;=8/24,B$9&lt;14/24)</formula>
    </cfRule>
    <cfRule type="expression" dxfId="276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65B8-D683-4D2E-AD16-C79868E6FA7E}">
  <sheetPr codeName="Sheet31"/>
  <dimension ref="A1:CJ297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G27" sqref="G2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AG61</f>
        <v>1466.0300000000002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AG79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e">
        <f ca="1">"2080/"&amp;"10/"&amp;INT(MID(CELL("filename",D6),FIND("]",CELL("filename",D6))+1,200))</f>
        <v>#VALUE!</v>
      </c>
      <c r="C4" s="187"/>
      <c r="D4" s="187"/>
      <c r="E4" s="188" t="e">
        <f ca="1">"2080/"&amp;"10/"&amp;INT(MID(CELL("filename",G6),FIND("]",CELL("filename",G6))+1,200))</f>
        <v>#VALUE!</v>
      </c>
      <c r="F4" s="188"/>
      <c r="G4" s="188"/>
      <c r="H4" s="188" t="e">
        <f ca="1">TEXT(E4,"dddd")</f>
        <v>#VALUE!</v>
      </c>
      <c r="I4" s="188"/>
      <c r="J4" s="26"/>
      <c r="K4" s="1" t="str">
        <f>"Total Peak Supply(Inclusive of Export) ("&amp;ROUND(B267,0)&amp;" MW)"&amp;"    IPP   = "&amp;ROUND(B262,0)&amp;" MW     NEA RoR = "&amp;ROUND(B263,0)&amp;" MWImport   = "&amp;ROUND(B265,0)&amp;" MW      KL1+KL2+K3 = "&amp;ROUND(B264,0) &amp;" MW    EXPORT = "&amp;ROUND(B266,0)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AG83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C95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B95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"&amp;ROUND(B267,0)&amp;"MW at "&amp;TRUNC(B268*24,0)&amp;":"&amp;ROUND((B268*24-TRUNC(B268*24,0))*60,0)&amp;"hr at "&amp;ROUND(B269,1)&amp;"Hz     "&amp;A259&amp;" "&amp;ROUND(B259,0)&amp;"MW at "&amp;TRUNC(C259*24,0)&amp;":"&amp;ROUND((C259*24-TRUNC(C259*24,0))*6,0)&amp;"0hr"</f>
        <v>Evening Peak 0MW at 0:0hr at 0Hz     Morning Peak 154MW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2061.9400000000005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B103</f>
        <v>153.54</v>
      </c>
      <c r="C7" s="35">
        <f t="shared" si="1"/>
        <v>153.54</v>
      </c>
      <c r="D7" s="35">
        <f t="shared" si="1"/>
        <v>153.54</v>
      </c>
      <c r="E7" s="35">
        <f t="shared" si="1"/>
        <v>153.54</v>
      </c>
      <c r="F7" s="35">
        <f t="shared" si="1"/>
        <v>153.54</v>
      </c>
      <c r="G7" s="35">
        <f t="shared" si="1"/>
        <v>153.54</v>
      </c>
      <c r="H7" s="35">
        <f t="shared" si="1"/>
        <v>153.54</v>
      </c>
      <c r="I7" s="35">
        <f t="shared" si="1"/>
        <v>153.54</v>
      </c>
      <c r="J7" s="35">
        <f t="shared" si="1"/>
        <v>153.54</v>
      </c>
      <c r="K7" s="35">
        <f t="shared" si="1"/>
        <v>153.54</v>
      </c>
      <c r="L7" s="35">
        <f t="shared" si="1"/>
        <v>153.54</v>
      </c>
      <c r="M7" s="35">
        <f t="shared" si="1"/>
        <v>153.54</v>
      </c>
      <c r="N7" s="35">
        <f t="shared" si="1"/>
        <v>153.54</v>
      </c>
      <c r="O7" s="35">
        <f t="shared" si="1"/>
        <v>153.54</v>
      </c>
      <c r="P7" s="35">
        <f t="shared" si="1"/>
        <v>153.54</v>
      </c>
      <c r="Q7" s="35">
        <f t="shared" si="1"/>
        <v>153.54</v>
      </c>
      <c r="R7" s="35">
        <f t="shared" si="1"/>
        <v>153.54</v>
      </c>
      <c r="S7" s="35">
        <f t="shared" si="1"/>
        <v>153.54</v>
      </c>
      <c r="T7" s="35">
        <f t="shared" si="1"/>
        <v>153.54</v>
      </c>
      <c r="U7" s="35">
        <f t="shared" si="1"/>
        <v>153.54</v>
      </c>
      <c r="V7" s="35">
        <f t="shared" si="1"/>
        <v>153.54</v>
      </c>
      <c r="W7" s="35">
        <f t="shared" si="1"/>
        <v>153.54</v>
      </c>
      <c r="X7" s="35">
        <f t="shared" si="1"/>
        <v>153.54</v>
      </c>
      <c r="Y7" s="35">
        <f t="shared" si="1"/>
        <v>153.5</v>
      </c>
      <c r="Z7" s="35">
        <f t="shared" si="1"/>
        <v>155.5</v>
      </c>
      <c r="AA7" s="35">
        <f t="shared" si="1"/>
        <v>153.54</v>
      </c>
      <c r="AB7" s="35">
        <f t="shared" si="1"/>
        <v>153.54</v>
      </c>
      <c r="AC7" s="35">
        <f t="shared" si="1"/>
        <v>153.54</v>
      </c>
      <c r="AD7" s="35">
        <f t="shared" si="1"/>
        <v>153.54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155.5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74" si="2">MAX(B11:AF11)</f>
        <v>0</v>
      </c>
      <c r="AI11" s="49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305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77</v>
      </c>
      <c r="AH12" s="48">
        <f t="shared" si="2"/>
        <v>0</v>
      </c>
      <c r="AI12" s="49">
        <f t="shared" si="3"/>
        <v>0</v>
      </c>
      <c r="AK12" s="51"/>
      <c r="AL12" s="52" t="str">
        <f ca="1">MID(CELL("filename",C7),FIND("]",CELL("filename",C7))+1,600)</f>
        <v>NewSample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306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73</v>
      </c>
      <c r="AH13" s="48">
        <f t="shared" si="2"/>
        <v>0</v>
      </c>
      <c r="AI13" s="49">
        <f t="shared" si="3"/>
        <v>0</v>
      </c>
      <c r="AK13" s="51"/>
      <c r="AL13" s="52" t="e">
        <f ca="1">"Daily Load Curve(Excluding of Export) of Nepal ("&amp;A4&amp;" "&amp;B4&amp;")"</f>
        <v>#VALUE!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307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50">
        <v>71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50">
        <v>54</v>
      </c>
      <c r="AH15" s="48">
        <f t="shared" si="2"/>
        <v>0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54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B61</f>
        <v>150</v>
      </c>
      <c r="AN16" s="59">
        <f t="shared" si="4"/>
        <v>150</v>
      </c>
      <c r="AO16" s="59">
        <f t="shared" si="4"/>
        <v>150</v>
      </c>
      <c r="AP16" s="59">
        <f t="shared" si="4"/>
        <v>150</v>
      </c>
      <c r="AQ16" s="59">
        <f t="shared" si="4"/>
        <v>150</v>
      </c>
      <c r="AR16" s="59">
        <f t="shared" si="4"/>
        <v>150</v>
      </c>
      <c r="AS16" s="59">
        <f>I61</f>
        <v>150</v>
      </c>
      <c r="AT16" s="59">
        <f>K61</f>
        <v>150</v>
      </c>
      <c r="AU16" s="59">
        <f t="shared" ref="AU16:BD16" si="5">M61</f>
        <v>150</v>
      </c>
      <c r="AV16" s="59">
        <f t="shared" si="5"/>
        <v>150</v>
      </c>
      <c r="AW16" s="59">
        <f t="shared" si="5"/>
        <v>150</v>
      </c>
      <c r="AX16" s="59">
        <f t="shared" si="5"/>
        <v>150</v>
      </c>
      <c r="AY16" s="59">
        <f t="shared" si="5"/>
        <v>150</v>
      </c>
      <c r="AZ16" s="59">
        <f t="shared" si="5"/>
        <v>150</v>
      </c>
      <c r="BA16" s="59">
        <f t="shared" si="5"/>
        <v>150</v>
      </c>
      <c r="BB16" s="59">
        <f t="shared" si="5"/>
        <v>150</v>
      </c>
      <c r="BC16" s="59">
        <f t="shared" si="5"/>
        <v>150</v>
      </c>
      <c r="BD16" s="59">
        <f t="shared" si="5"/>
        <v>150</v>
      </c>
      <c r="BE16" s="60">
        <f>X61</f>
        <v>150</v>
      </c>
      <c r="BF16" s="60">
        <f>Z61</f>
        <v>150</v>
      </c>
      <c r="BG16" s="60">
        <f>AB61</f>
        <v>150</v>
      </c>
      <c r="BH16" s="60">
        <f>AD61</f>
        <v>150</v>
      </c>
      <c r="BI16" s="60">
        <f>AE61</f>
        <v>150</v>
      </c>
      <c r="BJ16" s="60">
        <f>AF61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7">
        <v>52.4</v>
      </c>
      <c r="AH17" s="48">
        <f t="shared" si="2"/>
        <v>0</v>
      </c>
      <c r="AI17" s="49">
        <f t="shared" si="3"/>
        <v>0</v>
      </c>
      <c r="AK17" s="51"/>
      <c r="AL17" s="54" t="s">
        <v>27</v>
      </c>
      <c r="AM17" s="59">
        <f t="shared" ref="AM17:AR17" si="6">B65</f>
        <v>0</v>
      </c>
      <c r="AN17" s="59">
        <f t="shared" si="6"/>
        <v>0</v>
      </c>
      <c r="AO17" s="59">
        <f t="shared" si="6"/>
        <v>0</v>
      </c>
      <c r="AP17" s="59">
        <f t="shared" si="6"/>
        <v>0</v>
      </c>
      <c r="AQ17" s="59">
        <f t="shared" si="6"/>
        <v>0</v>
      </c>
      <c r="AR17" s="59">
        <f t="shared" si="6"/>
        <v>0</v>
      </c>
      <c r="AS17" s="59">
        <f>I65</f>
        <v>0</v>
      </c>
      <c r="AT17" s="59">
        <f>K65</f>
        <v>0</v>
      </c>
      <c r="AU17" s="59">
        <f t="shared" ref="AU17:BD17" si="7">M65</f>
        <v>0</v>
      </c>
      <c r="AV17" s="59">
        <f t="shared" si="7"/>
        <v>0</v>
      </c>
      <c r="AW17" s="59">
        <f t="shared" si="7"/>
        <v>0</v>
      </c>
      <c r="AX17" s="59">
        <f t="shared" si="7"/>
        <v>0</v>
      </c>
      <c r="AY17" s="59">
        <f t="shared" si="7"/>
        <v>0</v>
      </c>
      <c r="AZ17" s="59">
        <f t="shared" si="7"/>
        <v>0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X65</f>
        <v>0</v>
      </c>
      <c r="BF17" s="60">
        <f>Z65</f>
        <v>0</v>
      </c>
      <c r="BG17" s="60">
        <f>AB65</f>
        <v>0</v>
      </c>
      <c r="BH17" s="60">
        <f>AD65</f>
        <v>0</v>
      </c>
      <c r="BI17" s="60">
        <f>AE65</f>
        <v>0</v>
      </c>
      <c r="BJ17" s="60">
        <f>AF65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0">
        <v>50</v>
      </c>
      <c r="AH18" s="48">
        <f t="shared" si="2"/>
        <v>0</v>
      </c>
      <c r="AI18" s="49">
        <f t="shared" si="3"/>
        <v>0</v>
      </c>
      <c r="AK18" s="51"/>
      <c r="AL18" s="54" t="s">
        <v>29</v>
      </c>
      <c r="AM18" s="59">
        <f t="shared" ref="AM18:AR18" si="8">B79</f>
        <v>3.54</v>
      </c>
      <c r="AN18" s="59">
        <f t="shared" si="8"/>
        <v>3.54</v>
      </c>
      <c r="AO18" s="59">
        <f t="shared" si="8"/>
        <v>3.54</v>
      </c>
      <c r="AP18" s="59">
        <f t="shared" si="8"/>
        <v>3.54</v>
      </c>
      <c r="AQ18" s="59">
        <f t="shared" si="8"/>
        <v>3.54</v>
      </c>
      <c r="AR18" s="59">
        <f t="shared" si="8"/>
        <v>3.54</v>
      </c>
      <c r="AS18" s="59">
        <f>I79</f>
        <v>3.54</v>
      </c>
      <c r="AT18" s="59">
        <f>K79</f>
        <v>3.54</v>
      </c>
      <c r="AU18" s="59">
        <f t="shared" ref="AU18:BD18" si="9">M79</f>
        <v>3.54</v>
      </c>
      <c r="AV18" s="59">
        <f t="shared" si="9"/>
        <v>3.54</v>
      </c>
      <c r="AW18" s="59">
        <f t="shared" si="9"/>
        <v>3.54</v>
      </c>
      <c r="AX18" s="59">
        <f t="shared" si="9"/>
        <v>3.54</v>
      </c>
      <c r="AY18" s="59">
        <f t="shared" si="9"/>
        <v>3.54</v>
      </c>
      <c r="AZ18" s="59">
        <f t="shared" si="9"/>
        <v>3.54</v>
      </c>
      <c r="BA18" s="59">
        <f t="shared" si="9"/>
        <v>3.54</v>
      </c>
      <c r="BB18" s="59">
        <f t="shared" si="9"/>
        <v>3.54</v>
      </c>
      <c r="BC18" s="59">
        <f t="shared" si="9"/>
        <v>3.54</v>
      </c>
      <c r="BD18" s="59">
        <f t="shared" si="9"/>
        <v>3.54</v>
      </c>
      <c r="BE18" s="60">
        <f>X79</f>
        <v>3.54</v>
      </c>
      <c r="BF18" s="60">
        <f>Z79</f>
        <v>5.5</v>
      </c>
      <c r="BG18" s="60">
        <f>AB79</f>
        <v>3.54</v>
      </c>
      <c r="BH18" s="60">
        <f>AD79</f>
        <v>3.54</v>
      </c>
      <c r="BI18" s="60">
        <f>AE79</f>
        <v>3.54</v>
      </c>
      <c r="BJ18" s="60">
        <f>AF79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45</v>
      </c>
      <c r="AH19" s="48">
        <f t="shared" si="2"/>
        <v>0</v>
      </c>
      <c r="AI19" s="49">
        <f t="shared" si="3"/>
        <v>0</v>
      </c>
      <c r="AK19" s="51"/>
      <c r="AL19" s="54" t="s">
        <v>31</v>
      </c>
      <c r="AM19" s="59">
        <f t="shared" ref="AM19:AR19" si="10">B95</f>
        <v>0</v>
      </c>
      <c r="AN19" s="59">
        <f t="shared" si="10"/>
        <v>0</v>
      </c>
      <c r="AO19" s="59">
        <f t="shared" si="10"/>
        <v>0</v>
      </c>
      <c r="AP19" s="59">
        <f t="shared" si="10"/>
        <v>0</v>
      </c>
      <c r="AQ19" s="59">
        <f t="shared" si="10"/>
        <v>0</v>
      </c>
      <c r="AR19" s="59">
        <f t="shared" si="10"/>
        <v>0</v>
      </c>
      <c r="AS19" s="59">
        <f>I95</f>
        <v>0</v>
      </c>
      <c r="AT19" s="59">
        <f>K95</f>
        <v>0</v>
      </c>
      <c r="AU19" s="59">
        <f t="shared" ref="AU19:BD19" si="11">M95</f>
        <v>0</v>
      </c>
      <c r="AV19" s="59">
        <f t="shared" si="11"/>
        <v>0</v>
      </c>
      <c r="AW19" s="59">
        <f t="shared" si="11"/>
        <v>0</v>
      </c>
      <c r="AX19" s="59">
        <f t="shared" si="11"/>
        <v>0</v>
      </c>
      <c r="AY19" s="59">
        <f t="shared" si="11"/>
        <v>0</v>
      </c>
      <c r="AZ19" s="59">
        <f t="shared" si="11"/>
        <v>0</v>
      </c>
      <c r="BA19" s="59">
        <f t="shared" si="11"/>
        <v>0</v>
      </c>
      <c r="BB19" s="59">
        <f t="shared" si="11"/>
        <v>0</v>
      </c>
      <c r="BC19" s="59">
        <f t="shared" si="11"/>
        <v>0</v>
      </c>
      <c r="BD19" s="59">
        <f t="shared" si="11"/>
        <v>0</v>
      </c>
      <c r="BE19" s="60">
        <f>X95</f>
        <v>0</v>
      </c>
      <c r="BF19" s="60">
        <f>Z95</f>
        <v>0</v>
      </c>
      <c r="BG19" s="60">
        <f>AB95</f>
        <v>0</v>
      </c>
      <c r="BH19" s="60">
        <f>AD95</f>
        <v>0</v>
      </c>
      <c r="BI19" s="60">
        <f>AE95</f>
        <v>0</v>
      </c>
      <c r="BJ19" s="60">
        <f>AF95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44</v>
      </c>
      <c r="AH20" s="48">
        <f t="shared" si="2"/>
        <v>0</v>
      </c>
      <c r="AI20" s="49">
        <f t="shared" si="3"/>
        <v>0</v>
      </c>
      <c r="AK20" s="51"/>
      <c r="AL20" s="54" t="s">
        <v>33</v>
      </c>
      <c r="AM20" s="59">
        <f t="shared" ref="AM20:AR20" si="12">B83</f>
        <v>0</v>
      </c>
      <c r="AN20" s="59">
        <f t="shared" si="12"/>
        <v>0</v>
      </c>
      <c r="AO20" s="59">
        <f t="shared" si="12"/>
        <v>0</v>
      </c>
      <c r="AP20" s="59">
        <f t="shared" si="12"/>
        <v>0</v>
      </c>
      <c r="AQ20" s="59">
        <f t="shared" si="12"/>
        <v>0</v>
      </c>
      <c r="AR20" s="59">
        <f t="shared" si="12"/>
        <v>0</v>
      </c>
      <c r="AS20" s="59">
        <f>I83</f>
        <v>0</v>
      </c>
      <c r="AT20" s="59">
        <f>K83</f>
        <v>0</v>
      </c>
      <c r="AU20" s="59">
        <f t="shared" ref="AU20:BD20" si="13">M83</f>
        <v>0</v>
      </c>
      <c r="AV20" s="59">
        <f t="shared" si="13"/>
        <v>0</v>
      </c>
      <c r="AW20" s="59">
        <f t="shared" si="13"/>
        <v>0</v>
      </c>
      <c r="AX20" s="59">
        <f t="shared" si="13"/>
        <v>0</v>
      </c>
      <c r="AY20" s="59">
        <f t="shared" si="13"/>
        <v>0</v>
      </c>
      <c r="AZ20" s="59">
        <f t="shared" si="13"/>
        <v>0</v>
      </c>
      <c r="BA20" s="59">
        <f t="shared" si="13"/>
        <v>0</v>
      </c>
      <c r="BB20" s="59">
        <f t="shared" si="13"/>
        <v>0</v>
      </c>
      <c r="BC20" s="59">
        <f t="shared" si="13"/>
        <v>0</v>
      </c>
      <c r="BD20" s="59">
        <f t="shared" si="13"/>
        <v>0</v>
      </c>
      <c r="BE20" s="60">
        <f>X83</f>
        <v>0</v>
      </c>
      <c r="BF20" s="60">
        <f>Z83</f>
        <v>0</v>
      </c>
      <c r="BG20" s="60">
        <f>AB83</f>
        <v>0</v>
      </c>
      <c r="BH20" s="60">
        <f>AD83</f>
        <v>0</v>
      </c>
      <c r="BI20" s="60">
        <f>AE83</f>
        <v>0</v>
      </c>
      <c r="BJ20" s="60">
        <f>AF83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42</v>
      </c>
      <c r="AH21" s="48">
        <f t="shared" si="2"/>
        <v>0</v>
      </c>
      <c r="AI21" s="49">
        <f t="shared" si="3"/>
        <v>0</v>
      </c>
      <c r="AK21" s="51"/>
      <c r="AL21" s="54" t="s">
        <v>35</v>
      </c>
      <c r="AM21" s="59">
        <f t="shared" ref="AM21:AR21" si="14">B101</f>
        <v>0</v>
      </c>
      <c r="AN21" s="59">
        <f t="shared" si="14"/>
        <v>0</v>
      </c>
      <c r="AO21" s="59">
        <f t="shared" si="14"/>
        <v>0</v>
      </c>
      <c r="AP21" s="59">
        <f t="shared" si="14"/>
        <v>0</v>
      </c>
      <c r="AQ21" s="59">
        <f t="shared" si="14"/>
        <v>0</v>
      </c>
      <c r="AR21" s="59">
        <f t="shared" si="14"/>
        <v>0</v>
      </c>
      <c r="AS21" s="59">
        <f>I101</f>
        <v>0</v>
      </c>
      <c r="AT21" s="59">
        <f>K101</f>
        <v>0</v>
      </c>
      <c r="AU21" s="59">
        <f t="shared" ref="AU21:BD21" si="15">M101</f>
        <v>0</v>
      </c>
      <c r="AV21" s="59">
        <f t="shared" si="15"/>
        <v>0</v>
      </c>
      <c r="AW21" s="59">
        <f t="shared" si="15"/>
        <v>0</v>
      </c>
      <c r="AX21" s="59">
        <f t="shared" si="15"/>
        <v>0</v>
      </c>
      <c r="AY21" s="59">
        <f t="shared" si="15"/>
        <v>0</v>
      </c>
      <c r="AZ21" s="59">
        <f t="shared" si="15"/>
        <v>0</v>
      </c>
      <c r="BA21" s="59">
        <f t="shared" si="15"/>
        <v>0</v>
      </c>
      <c r="BB21" s="59">
        <f t="shared" si="15"/>
        <v>0</v>
      </c>
      <c r="BC21" s="59">
        <f t="shared" si="15"/>
        <v>0</v>
      </c>
      <c r="BD21" s="59">
        <f t="shared" si="15"/>
        <v>0</v>
      </c>
      <c r="BE21" s="60">
        <f>X101</f>
        <v>0</v>
      </c>
      <c r="BF21" s="60">
        <f>Z101</f>
        <v>0</v>
      </c>
      <c r="BG21" s="60">
        <f>AB101</f>
        <v>0</v>
      </c>
      <c r="BH21" s="60">
        <f>AD101</f>
        <v>0</v>
      </c>
      <c r="BI21" s="60">
        <f>AE101</f>
        <v>0</v>
      </c>
      <c r="BJ21" s="60">
        <f>AF101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50">
        <v>38.46</v>
      </c>
      <c r="AH22" s="48">
        <f t="shared" si="2"/>
        <v>0</v>
      </c>
      <c r="AI22" s="49">
        <f t="shared" si="3"/>
        <v>0</v>
      </c>
      <c r="AK22" s="51"/>
      <c r="AL22" s="62" t="s">
        <v>37</v>
      </c>
      <c r="AM22" s="63">
        <f t="shared" ref="AM22:BJ22" si="16">SUM(AM16:AM21)</f>
        <v>153.54</v>
      </c>
      <c r="AN22" s="63">
        <f t="shared" si="16"/>
        <v>153.54</v>
      </c>
      <c r="AO22" s="63">
        <f t="shared" si="16"/>
        <v>153.54</v>
      </c>
      <c r="AP22" s="63">
        <f t="shared" si="16"/>
        <v>153.54</v>
      </c>
      <c r="AQ22" s="63">
        <f t="shared" si="16"/>
        <v>153.54</v>
      </c>
      <c r="AR22" s="63">
        <f t="shared" si="16"/>
        <v>153.54</v>
      </c>
      <c r="AS22" s="63">
        <f t="shared" si="16"/>
        <v>153.54</v>
      </c>
      <c r="AT22" s="63">
        <f t="shared" si="16"/>
        <v>153.54</v>
      </c>
      <c r="AU22" s="63">
        <f t="shared" si="16"/>
        <v>153.54</v>
      </c>
      <c r="AV22" s="63">
        <f t="shared" si="16"/>
        <v>153.54</v>
      </c>
      <c r="AW22" s="63">
        <f t="shared" si="16"/>
        <v>153.54</v>
      </c>
      <c r="AX22" s="63">
        <f t="shared" si="16"/>
        <v>153.54</v>
      </c>
      <c r="AY22" s="63">
        <f t="shared" si="16"/>
        <v>153.54</v>
      </c>
      <c r="AZ22" s="63">
        <f t="shared" si="16"/>
        <v>153.54</v>
      </c>
      <c r="BA22" s="63">
        <f t="shared" si="16"/>
        <v>153.54</v>
      </c>
      <c r="BB22" s="63">
        <f t="shared" si="16"/>
        <v>153.54</v>
      </c>
      <c r="BC22" s="63">
        <f t="shared" si="16"/>
        <v>153.54</v>
      </c>
      <c r="BD22" s="63">
        <f t="shared" si="16"/>
        <v>153.54</v>
      </c>
      <c r="BE22" s="63">
        <f t="shared" si="16"/>
        <v>153.54</v>
      </c>
      <c r="BF22" s="63">
        <f t="shared" si="16"/>
        <v>155.5</v>
      </c>
      <c r="BG22" s="63">
        <f t="shared" si="16"/>
        <v>153.54</v>
      </c>
      <c r="BH22" s="63">
        <f t="shared" si="16"/>
        <v>153.54</v>
      </c>
      <c r="BI22" s="63">
        <f t="shared" si="16"/>
        <v>153.54</v>
      </c>
      <c r="BJ22" s="63">
        <f t="shared" si="16"/>
        <v>153.54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32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38.46</v>
      </c>
      <c r="AH23" s="48">
        <f t="shared" si="2"/>
        <v>0</v>
      </c>
      <c r="AI23" s="49">
        <f t="shared" si="3"/>
        <v>0</v>
      </c>
      <c r="AK23" s="51"/>
      <c r="AL23" s="62" t="s">
        <v>39</v>
      </c>
      <c r="AM23" s="63">
        <f t="shared" ref="AM23:AR23" si="17">B110*-1</f>
        <v>0</v>
      </c>
      <c r="AN23" s="63">
        <f t="shared" si="17"/>
        <v>0</v>
      </c>
      <c r="AO23" s="63">
        <f t="shared" si="17"/>
        <v>0</v>
      </c>
      <c r="AP23" s="63">
        <f t="shared" si="17"/>
        <v>0</v>
      </c>
      <c r="AQ23" s="63">
        <f t="shared" si="17"/>
        <v>0</v>
      </c>
      <c r="AR23" s="63">
        <f t="shared" si="17"/>
        <v>0</v>
      </c>
      <c r="AS23" s="63">
        <f>I110*-1</f>
        <v>0</v>
      </c>
      <c r="AT23" s="63">
        <f>K110*-1</f>
        <v>0</v>
      </c>
      <c r="AU23" s="63">
        <f t="shared" ref="AU23:BD23" si="18">M110*-1</f>
        <v>0</v>
      </c>
      <c r="AV23" s="63">
        <f t="shared" si="18"/>
        <v>0</v>
      </c>
      <c r="AW23" s="63">
        <f t="shared" si="18"/>
        <v>0</v>
      </c>
      <c r="AX23" s="63">
        <f t="shared" si="18"/>
        <v>0</v>
      </c>
      <c r="AY23" s="63">
        <f t="shared" si="18"/>
        <v>0</v>
      </c>
      <c r="AZ23" s="63">
        <f t="shared" si="18"/>
        <v>0</v>
      </c>
      <c r="BA23" s="63">
        <f t="shared" si="18"/>
        <v>0</v>
      </c>
      <c r="BB23" s="63">
        <f t="shared" si="18"/>
        <v>0</v>
      </c>
      <c r="BC23" s="63">
        <f t="shared" si="18"/>
        <v>0</v>
      </c>
      <c r="BD23" s="63">
        <f t="shared" si="18"/>
        <v>0</v>
      </c>
      <c r="BE23" s="63">
        <f>X110*-1</f>
        <v>0</v>
      </c>
      <c r="BF23" s="63">
        <f>Z110*-1</f>
        <v>0</v>
      </c>
      <c r="BG23" s="63">
        <f>AB110*-1</f>
        <v>0</v>
      </c>
      <c r="BH23" s="63">
        <f>AD110*-1</f>
        <v>0</v>
      </c>
      <c r="BI23" s="63">
        <f>AE110*-1</f>
        <v>0</v>
      </c>
      <c r="BJ23" s="63">
        <f>AF110*-1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34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36</v>
      </c>
      <c r="AH24" s="48">
        <f t="shared" si="2"/>
        <v>0</v>
      </c>
      <c r="AI24" s="49">
        <f t="shared" si="3"/>
        <v>0</v>
      </c>
      <c r="AK24" s="51"/>
      <c r="AL24" s="62" t="s">
        <v>41</v>
      </c>
      <c r="AM24" s="63">
        <f t="shared" ref="AM24:BJ24" si="19">AM22+AM23</f>
        <v>153.54</v>
      </c>
      <c r="AN24" s="63">
        <f t="shared" si="19"/>
        <v>153.54</v>
      </c>
      <c r="AO24" s="63">
        <f t="shared" si="19"/>
        <v>153.54</v>
      </c>
      <c r="AP24" s="63">
        <f t="shared" si="19"/>
        <v>153.54</v>
      </c>
      <c r="AQ24" s="63">
        <f t="shared" si="19"/>
        <v>153.54</v>
      </c>
      <c r="AR24" s="63">
        <f t="shared" si="19"/>
        <v>153.54</v>
      </c>
      <c r="AS24" s="63">
        <f t="shared" si="19"/>
        <v>153.54</v>
      </c>
      <c r="AT24" s="63">
        <f t="shared" si="19"/>
        <v>153.54</v>
      </c>
      <c r="AU24" s="63">
        <f t="shared" si="19"/>
        <v>153.54</v>
      </c>
      <c r="AV24" s="63">
        <f t="shared" si="19"/>
        <v>153.54</v>
      </c>
      <c r="AW24" s="63">
        <f t="shared" si="19"/>
        <v>153.54</v>
      </c>
      <c r="AX24" s="63">
        <f t="shared" si="19"/>
        <v>153.54</v>
      </c>
      <c r="AY24" s="63">
        <f t="shared" si="19"/>
        <v>153.54</v>
      </c>
      <c r="AZ24" s="63">
        <f t="shared" si="19"/>
        <v>153.54</v>
      </c>
      <c r="BA24" s="63">
        <f t="shared" si="19"/>
        <v>153.54</v>
      </c>
      <c r="BB24" s="63">
        <f t="shared" si="19"/>
        <v>153.54</v>
      </c>
      <c r="BC24" s="63">
        <f t="shared" si="19"/>
        <v>153.54</v>
      </c>
      <c r="BD24" s="63">
        <f t="shared" si="19"/>
        <v>153.54</v>
      </c>
      <c r="BE24" s="63">
        <f t="shared" si="19"/>
        <v>153.54</v>
      </c>
      <c r="BF24" s="63">
        <f t="shared" si="19"/>
        <v>155.5</v>
      </c>
      <c r="BG24" s="63">
        <f t="shared" si="19"/>
        <v>153.54</v>
      </c>
      <c r="BH24" s="63">
        <f t="shared" si="19"/>
        <v>153.54</v>
      </c>
      <c r="BI24" s="63">
        <f t="shared" si="19"/>
        <v>153.54</v>
      </c>
      <c r="BJ24" s="63">
        <f t="shared" si="19"/>
        <v>153.54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36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2"/>
        <v>0</v>
      </c>
      <c r="AI25" s="49">
        <f t="shared" si="3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38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24.2</v>
      </c>
      <c r="AH26" s="48">
        <f t="shared" si="2"/>
        <v>0</v>
      </c>
      <c r="AI26" s="49">
        <f t="shared" si="3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40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28</v>
      </c>
      <c r="AH27" s="48">
        <f t="shared" si="2"/>
        <v>0</v>
      </c>
      <c r="AI27" s="49">
        <f t="shared" si="3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42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61">
        <v>30</v>
      </c>
      <c r="AH28" s="48">
        <f t="shared" si="2"/>
        <v>0</v>
      </c>
      <c r="AI28" s="49">
        <f t="shared" si="3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43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2"/>
        <v>0</v>
      </c>
      <c r="AI29" s="49">
        <f t="shared" si="3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44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25</v>
      </c>
      <c r="AH30" s="48">
        <f t="shared" si="2"/>
        <v>0</v>
      </c>
      <c r="AI30" s="49">
        <f t="shared" si="3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45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25</v>
      </c>
      <c r="AH31" s="48">
        <f t="shared" si="2"/>
        <v>0</v>
      </c>
      <c r="AI31" s="49">
        <f t="shared" si="3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25</v>
      </c>
      <c r="AH32" s="48">
        <f t="shared" si="2"/>
        <v>0</v>
      </c>
      <c r="AI32" s="49">
        <f t="shared" si="3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47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23.5</v>
      </c>
      <c r="AH33" s="48">
        <f t="shared" si="2"/>
        <v>0</v>
      </c>
      <c r="AI33" s="49">
        <f t="shared" si="3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48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22.2</v>
      </c>
      <c r="AH34" s="48">
        <f t="shared" si="2"/>
        <v>0</v>
      </c>
      <c r="AI34" s="49">
        <f t="shared" si="3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49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22.1</v>
      </c>
      <c r="AH35" s="48">
        <f t="shared" si="2"/>
        <v>0</v>
      </c>
      <c r="AI35" s="49">
        <f t="shared" si="3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22</v>
      </c>
      <c r="AH36" s="48">
        <f t="shared" si="2"/>
        <v>0</v>
      </c>
      <c r="AI36" s="49">
        <f t="shared" si="3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51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22</v>
      </c>
      <c r="AH37" s="48">
        <f t="shared" si="2"/>
        <v>0</v>
      </c>
      <c r="AI37" s="49">
        <f t="shared" si="3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20</v>
      </c>
      <c r="AH38" s="48">
        <f t="shared" si="2"/>
        <v>0</v>
      </c>
      <c r="AI38" s="49">
        <f t="shared" si="3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20</v>
      </c>
      <c r="AH39" s="48">
        <f t="shared" si="2"/>
        <v>0</v>
      </c>
      <c r="AI39" s="49">
        <f t="shared" si="3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54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18</v>
      </c>
      <c r="AH40" s="48">
        <f t="shared" si="2"/>
        <v>0</v>
      </c>
      <c r="AI40" s="49">
        <f t="shared" si="3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15.33</v>
      </c>
      <c r="AH41" s="48">
        <f t="shared" si="2"/>
        <v>0</v>
      </c>
      <c r="AI41" s="49">
        <f t="shared" si="3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56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14.9</v>
      </c>
      <c r="AH42" s="48">
        <f t="shared" si="2"/>
        <v>0</v>
      </c>
      <c r="AI42" s="49">
        <f t="shared" si="3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308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14.9</v>
      </c>
      <c r="AH43" s="48">
        <f t="shared" si="2"/>
        <v>0</v>
      </c>
      <c r="AI43" s="49">
        <f t="shared" si="3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57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14.8</v>
      </c>
      <c r="AH44" s="48">
        <f t="shared" si="2"/>
        <v>0</v>
      </c>
      <c r="AI44" s="49">
        <f t="shared" si="3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309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14.3</v>
      </c>
      <c r="AH45" s="48">
        <f t="shared" si="2"/>
        <v>0</v>
      </c>
      <c r="AI45" s="49">
        <f t="shared" si="3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58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14</v>
      </c>
      <c r="AH46" s="48">
        <f t="shared" si="2"/>
        <v>0</v>
      </c>
      <c r="AI46" s="49">
        <f t="shared" si="3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59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50">
        <v>13.6</v>
      </c>
      <c r="AH47" s="48">
        <f t="shared" si="2"/>
        <v>0</v>
      </c>
      <c r="AI47" s="49">
        <f t="shared" si="3"/>
        <v>0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50">
        <v>13</v>
      </c>
      <c r="AH48" s="48">
        <f t="shared" si="2"/>
        <v>0</v>
      </c>
      <c r="AI48" s="49">
        <f t="shared" si="3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45" t="s">
        <v>61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50">
        <v>12</v>
      </c>
      <c r="AH49" s="48">
        <f t="shared" si="2"/>
        <v>0</v>
      </c>
      <c r="AI49" s="49">
        <f t="shared" si="3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45" t="s">
        <v>62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50">
        <v>12</v>
      </c>
      <c r="AH50" s="48">
        <f t="shared" si="2"/>
        <v>0</v>
      </c>
      <c r="AI50" s="49">
        <f t="shared" si="3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45" t="s">
        <v>63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50">
        <v>12</v>
      </c>
      <c r="AH51" s="48">
        <f t="shared" si="2"/>
        <v>0</v>
      </c>
      <c r="AI51" s="49">
        <f t="shared" si="3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45" t="s">
        <v>64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4">
        <v>22</v>
      </c>
      <c r="AH52" s="48">
        <f t="shared" si="2"/>
        <v>0</v>
      </c>
      <c r="AI52" s="49">
        <f t="shared" si="3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5" t="s">
        <v>65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1">
        <v>11.88</v>
      </c>
      <c r="AH53" s="48">
        <f t="shared" si="2"/>
        <v>0</v>
      </c>
      <c r="AI53" s="49">
        <f t="shared" si="3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66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11</v>
      </c>
      <c r="AH54" s="48">
        <f t="shared" si="2"/>
        <v>0</v>
      </c>
      <c r="AI54" s="49">
        <f t="shared" si="3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67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11</v>
      </c>
      <c r="AH55" s="48">
        <f t="shared" si="2"/>
        <v>0</v>
      </c>
      <c r="AI55" s="49">
        <f t="shared" si="3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5" t="s">
        <v>68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66">
        <v>11</v>
      </c>
      <c r="AH56" s="48">
        <f t="shared" si="2"/>
        <v>0</v>
      </c>
      <c r="AI56" s="49">
        <f t="shared" si="3"/>
        <v>0</v>
      </c>
      <c r="AK56" s="51"/>
    </row>
    <row r="57" spans="1:88" x14ac:dyDescent="0.25">
      <c r="A57" s="65" t="s">
        <v>69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66">
        <v>10</v>
      </c>
      <c r="AH57" s="48">
        <f t="shared" si="2"/>
        <v>0</v>
      </c>
      <c r="AI57" s="49">
        <f t="shared" si="3"/>
        <v>0</v>
      </c>
      <c r="AK57" s="51"/>
    </row>
    <row r="58" spans="1:88" x14ac:dyDescent="0.25">
      <c r="A58" s="65" t="s">
        <v>70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66">
        <v>10</v>
      </c>
      <c r="AH58" s="48">
        <f t="shared" si="2"/>
        <v>0</v>
      </c>
      <c r="AI58" s="49">
        <f t="shared" si="3"/>
        <v>0</v>
      </c>
      <c r="AK58" s="51"/>
    </row>
    <row r="59" spans="1:88" x14ac:dyDescent="0.25">
      <c r="A59" s="67" t="s">
        <v>73</v>
      </c>
      <c r="B59" s="68">
        <v>150</v>
      </c>
      <c r="C59" s="68">
        <v>150</v>
      </c>
      <c r="D59" s="68">
        <v>150</v>
      </c>
      <c r="E59" s="68">
        <v>150</v>
      </c>
      <c r="F59" s="68">
        <v>150</v>
      </c>
      <c r="G59" s="68">
        <v>150</v>
      </c>
      <c r="H59" s="68">
        <v>150</v>
      </c>
      <c r="I59" s="68">
        <v>150</v>
      </c>
      <c r="J59" s="68">
        <v>150</v>
      </c>
      <c r="K59" s="68">
        <v>150</v>
      </c>
      <c r="L59" s="68">
        <v>150</v>
      </c>
      <c r="M59" s="68">
        <v>150</v>
      </c>
      <c r="N59" s="68">
        <v>150</v>
      </c>
      <c r="O59" s="68">
        <v>150</v>
      </c>
      <c r="P59" s="68">
        <v>150</v>
      </c>
      <c r="Q59" s="68">
        <v>150</v>
      </c>
      <c r="R59" s="68">
        <v>150</v>
      </c>
      <c r="S59" s="68">
        <v>150</v>
      </c>
      <c r="T59" s="68">
        <v>150</v>
      </c>
      <c r="U59" s="68">
        <v>150</v>
      </c>
      <c r="V59" s="68">
        <v>150</v>
      </c>
      <c r="W59" s="68">
        <v>150</v>
      </c>
      <c r="X59" s="68">
        <v>150</v>
      </c>
      <c r="Y59" s="68">
        <v>150</v>
      </c>
      <c r="Z59" s="68">
        <v>150</v>
      </c>
      <c r="AA59" s="68">
        <v>150</v>
      </c>
      <c r="AB59" s="68">
        <v>150</v>
      </c>
      <c r="AC59" s="68">
        <v>150</v>
      </c>
      <c r="AD59" s="68">
        <v>150</v>
      </c>
      <c r="AE59" s="68">
        <v>150</v>
      </c>
      <c r="AF59" s="68">
        <v>150</v>
      </c>
      <c r="AG59" s="66">
        <v>85</v>
      </c>
      <c r="AH59" s="48">
        <f t="shared" si="2"/>
        <v>150</v>
      </c>
      <c r="AI59" s="49">
        <f t="shared" si="3"/>
        <v>150</v>
      </c>
      <c r="AK59" s="51"/>
    </row>
    <row r="60" spans="1:88" ht="15.75" thickBot="1" x14ac:dyDescent="0.3">
      <c r="A60" s="69" t="s">
        <v>74</v>
      </c>
      <c r="B60" s="68"/>
      <c r="C60" s="68"/>
      <c r="D60" s="68"/>
      <c r="E60" s="68"/>
      <c r="F60" s="68"/>
      <c r="G60" s="68"/>
      <c r="H60" s="68"/>
      <c r="I60" s="68"/>
      <c r="J60" s="68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68"/>
      <c r="Z60" s="68"/>
      <c r="AA60" s="68"/>
      <c r="AB60" s="68"/>
      <c r="AC60" s="68"/>
      <c r="AD60" s="68"/>
      <c r="AE60" s="68"/>
      <c r="AF60" s="68"/>
      <c r="AG60" s="66">
        <v>240</v>
      </c>
      <c r="AH60" s="48">
        <f t="shared" si="2"/>
        <v>0</v>
      </c>
      <c r="AI60" s="49">
        <f t="shared" si="3"/>
        <v>0</v>
      </c>
      <c r="AK60" s="51"/>
    </row>
    <row r="61" spans="1:88" ht="15.75" thickBot="1" x14ac:dyDescent="0.3">
      <c r="A61" s="70" t="s">
        <v>75</v>
      </c>
      <c r="B61" s="71">
        <f>SUM(B11:B59)</f>
        <v>150</v>
      </c>
      <c r="C61" s="71">
        <f t="shared" ref="C61:AG61" si="20">SUM(C11:C59)</f>
        <v>150</v>
      </c>
      <c r="D61" s="71">
        <f t="shared" si="20"/>
        <v>150</v>
      </c>
      <c r="E61" s="71">
        <f t="shared" si="20"/>
        <v>150</v>
      </c>
      <c r="F61" s="71">
        <f t="shared" si="20"/>
        <v>150</v>
      </c>
      <c r="G61" s="71">
        <f t="shared" si="20"/>
        <v>150</v>
      </c>
      <c r="H61" s="71">
        <f t="shared" si="20"/>
        <v>150</v>
      </c>
      <c r="I61" s="71">
        <f t="shared" si="20"/>
        <v>150</v>
      </c>
      <c r="J61" s="71">
        <f t="shared" si="20"/>
        <v>150</v>
      </c>
      <c r="K61" s="71">
        <f t="shared" si="20"/>
        <v>150</v>
      </c>
      <c r="L61" s="71">
        <f t="shared" si="20"/>
        <v>150</v>
      </c>
      <c r="M61" s="71">
        <f t="shared" si="20"/>
        <v>150</v>
      </c>
      <c r="N61" s="71">
        <f t="shared" si="20"/>
        <v>150</v>
      </c>
      <c r="O61" s="71">
        <f t="shared" si="20"/>
        <v>150</v>
      </c>
      <c r="P61" s="71">
        <f t="shared" si="20"/>
        <v>150</v>
      </c>
      <c r="Q61" s="71">
        <f t="shared" si="20"/>
        <v>150</v>
      </c>
      <c r="R61" s="71">
        <f t="shared" si="20"/>
        <v>150</v>
      </c>
      <c r="S61" s="71">
        <f t="shared" si="20"/>
        <v>150</v>
      </c>
      <c r="T61" s="71">
        <f t="shared" si="20"/>
        <v>150</v>
      </c>
      <c r="U61" s="71">
        <f t="shared" si="20"/>
        <v>150</v>
      </c>
      <c r="V61" s="71">
        <f t="shared" si="20"/>
        <v>150</v>
      </c>
      <c r="W61" s="71">
        <f t="shared" si="20"/>
        <v>150</v>
      </c>
      <c r="X61" s="71">
        <f t="shared" si="20"/>
        <v>150</v>
      </c>
      <c r="Y61" s="71">
        <f t="shared" si="20"/>
        <v>150</v>
      </c>
      <c r="Z61" s="71">
        <f t="shared" si="20"/>
        <v>150</v>
      </c>
      <c r="AA61" s="71">
        <f t="shared" si="20"/>
        <v>150</v>
      </c>
      <c r="AB61" s="71">
        <f t="shared" si="20"/>
        <v>150</v>
      </c>
      <c r="AC61" s="71">
        <f t="shared" si="20"/>
        <v>150</v>
      </c>
      <c r="AD61" s="71">
        <f t="shared" si="20"/>
        <v>150</v>
      </c>
      <c r="AE61" s="71">
        <f t="shared" si="20"/>
        <v>150</v>
      </c>
      <c r="AF61" s="71">
        <f t="shared" si="20"/>
        <v>150</v>
      </c>
      <c r="AG61" s="71">
        <f t="shared" si="20"/>
        <v>1466.0300000000002</v>
      </c>
      <c r="AH61" s="48">
        <f t="shared" si="2"/>
        <v>150</v>
      </c>
      <c r="AI61" s="49">
        <f t="shared" si="3"/>
        <v>150</v>
      </c>
      <c r="AK61" s="51"/>
    </row>
    <row r="62" spans="1:88" x14ac:dyDescent="0.25">
      <c r="A62" s="73" t="s">
        <v>76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74"/>
      <c r="O62" s="74"/>
      <c r="P62" s="74"/>
      <c r="Q62" s="74"/>
      <c r="R62" s="74"/>
      <c r="S62" s="74"/>
      <c r="T62" s="74"/>
      <c r="U62" s="74"/>
      <c r="V62" s="74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61">
        <v>456</v>
      </c>
      <c r="AH62" s="48">
        <f t="shared" si="2"/>
        <v>0</v>
      </c>
      <c r="AI62" s="49">
        <f t="shared" si="3"/>
        <v>0</v>
      </c>
      <c r="AK62" s="51"/>
    </row>
    <row r="63" spans="1:88" x14ac:dyDescent="0.25">
      <c r="A63" s="75" t="s">
        <v>77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66">
        <v>60</v>
      </c>
      <c r="AH63" s="48">
        <f t="shared" si="2"/>
        <v>0</v>
      </c>
      <c r="AI63" s="49">
        <f t="shared" si="3"/>
        <v>0</v>
      </c>
      <c r="AK63" s="51"/>
    </row>
    <row r="64" spans="1:88" ht="15.75" thickBot="1" x14ac:dyDescent="0.3">
      <c r="A64" s="77" t="s">
        <v>78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9">
        <v>22.1</v>
      </c>
      <c r="AH64" s="48">
        <f t="shared" si="2"/>
        <v>0</v>
      </c>
      <c r="AI64" s="49">
        <f t="shared" si="3"/>
        <v>0</v>
      </c>
      <c r="AK64" s="51"/>
    </row>
    <row r="65" spans="1:75" ht="15.75" thickBot="1" x14ac:dyDescent="0.3">
      <c r="A65" s="80" t="s">
        <v>79</v>
      </c>
      <c r="B65" s="71">
        <f t="shared" ref="B65:AG65" si="21">SUM(B62:B64)</f>
        <v>0</v>
      </c>
      <c r="C65" s="71">
        <f t="shared" si="21"/>
        <v>0</v>
      </c>
      <c r="D65" s="71">
        <f t="shared" si="21"/>
        <v>0</v>
      </c>
      <c r="E65" s="71">
        <f t="shared" si="21"/>
        <v>0</v>
      </c>
      <c r="F65" s="71">
        <f t="shared" si="21"/>
        <v>0</v>
      </c>
      <c r="G65" s="71">
        <f t="shared" si="21"/>
        <v>0</v>
      </c>
      <c r="H65" s="71">
        <f t="shared" si="21"/>
        <v>0</v>
      </c>
      <c r="I65" s="71">
        <f t="shared" si="21"/>
        <v>0</v>
      </c>
      <c r="J65" s="71">
        <f t="shared" si="21"/>
        <v>0</v>
      </c>
      <c r="K65" s="71">
        <f t="shared" si="21"/>
        <v>0</v>
      </c>
      <c r="L65" s="71">
        <f t="shared" si="21"/>
        <v>0</v>
      </c>
      <c r="M65" s="71">
        <f t="shared" si="21"/>
        <v>0</v>
      </c>
      <c r="N65" s="71">
        <f t="shared" si="21"/>
        <v>0</v>
      </c>
      <c r="O65" s="71">
        <f t="shared" si="21"/>
        <v>0</v>
      </c>
      <c r="P65" s="71">
        <f t="shared" si="21"/>
        <v>0</v>
      </c>
      <c r="Q65" s="71">
        <f t="shared" si="21"/>
        <v>0</v>
      </c>
      <c r="R65" s="71">
        <f t="shared" si="21"/>
        <v>0</v>
      </c>
      <c r="S65" s="71">
        <f t="shared" si="21"/>
        <v>0</v>
      </c>
      <c r="T65" s="71">
        <f t="shared" si="21"/>
        <v>0</v>
      </c>
      <c r="U65" s="71">
        <f>SUM(U62:U64)</f>
        <v>0</v>
      </c>
      <c r="V65" s="71">
        <f t="shared" si="21"/>
        <v>0</v>
      </c>
      <c r="W65" s="71">
        <f t="shared" si="21"/>
        <v>0</v>
      </c>
      <c r="X65" s="71">
        <f t="shared" si="21"/>
        <v>0</v>
      </c>
      <c r="Y65" s="71">
        <f t="shared" si="21"/>
        <v>0</v>
      </c>
      <c r="Z65" s="71">
        <f t="shared" si="21"/>
        <v>0</v>
      </c>
      <c r="AA65" s="71">
        <f t="shared" si="21"/>
        <v>0</v>
      </c>
      <c r="AB65" s="71">
        <f t="shared" si="21"/>
        <v>0</v>
      </c>
      <c r="AC65" s="71">
        <f t="shared" si="21"/>
        <v>0</v>
      </c>
      <c r="AD65" s="71">
        <f t="shared" si="21"/>
        <v>0</v>
      </c>
      <c r="AE65" s="71">
        <f t="shared" si="21"/>
        <v>0</v>
      </c>
      <c r="AF65" s="71">
        <f t="shared" si="21"/>
        <v>0</v>
      </c>
      <c r="AG65" s="72">
        <f t="shared" si="21"/>
        <v>538.1</v>
      </c>
      <c r="AH65" s="48">
        <f t="shared" si="2"/>
        <v>0</v>
      </c>
      <c r="AI65" s="49">
        <f t="shared" si="3"/>
        <v>0</v>
      </c>
      <c r="AK65" s="51"/>
      <c r="AZ65" s="81">
        <v>1</v>
      </c>
      <c r="BA65" s="81">
        <v>2</v>
      </c>
      <c r="BB65" s="81">
        <v>3</v>
      </c>
      <c r="BC65" s="81">
        <v>4</v>
      </c>
      <c r="BD65" s="81">
        <v>5</v>
      </c>
      <c r="BE65" s="81">
        <v>6</v>
      </c>
      <c r="BF65" s="81">
        <v>7</v>
      </c>
      <c r="BG65" s="81">
        <v>8</v>
      </c>
      <c r="BH65" s="81">
        <v>9</v>
      </c>
      <c r="BI65" s="81">
        <v>10</v>
      </c>
      <c r="BJ65" s="81">
        <v>11</v>
      </c>
      <c r="BK65" s="81">
        <v>12</v>
      </c>
      <c r="BL65" s="81">
        <v>13</v>
      </c>
      <c r="BM65" s="81">
        <v>14</v>
      </c>
      <c r="BN65" s="81">
        <v>15</v>
      </c>
      <c r="BO65" s="81">
        <v>16</v>
      </c>
      <c r="BP65" s="81">
        <v>17</v>
      </c>
      <c r="BQ65" s="81">
        <v>18</v>
      </c>
      <c r="BR65" s="81">
        <v>19</v>
      </c>
      <c r="BS65" s="81">
        <v>20</v>
      </c>
      <c r="BT65" s="81">
        <v>21</v>
      </c>
      <c r="BU65" s="81">
        <v>22</v>
      </c>
      <c r="BV65" s="81">
        <v>23</v>
      </c>
      <c r="BW65" s="81">
        <v>24</v>
      </c>
    </row>
    <row r="66" spans="1:75" x14ac:dyDescent="0.25">
      <c r="A66" s="45" t="s">
        <v>80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1">
        <v>144</v>
      </c>
      <c r="AH66" s="48">
        <f t="shared" si="2"/>
        <v>0</v>
      </c>
      <c r="AI66" s="49">
        <f t="shared" si="3"/>
        <v>0</v>
      </c>
      <c r="AK66" s="51"/>
      <c r="AY66" s="1" t="s">
        <v>86</v>
      </c>
      <c r="AZ66" s="82">
        <f>ROUND(C84,0)</f>
        <v>0</v>
      </c>
      <c r="BA66" s="81">
        <f t="shared" ref="BA66:BD70" si="22">D84</f>
        <v>0</v>
      </c>
      <c r="BB66" s="81">
        <f t="shared" si="22"/>
        <v>0</v>
      </c>
      <c r="BC66" s="81">
        <f t="shared" si="22"/>
        <v>0</v>
      </c>
      <c r="BD66" s="81">
        <f t="shared" si="22"/>
        <v>0</v>
      </c>
      <c r="BE66" s="82">
        <f>I84</f>
        <v>0</v>
      </c>
      <c r="BF66" s="82">
        <f>K84</f>
        <v>0</v>
      </c>
      <c r="BG66" s="82">
        <f t="shared" ref="BG66:BP70" si="23">M84</f>
        <v>0</v>
      </c>
      <c r="BH66" s="82">
        <f t="shared" si="23"/>
        <v>0</v>
      </c>
      <c r="BI66" s="82">
        <f t="shared" si="23"/>
        <v>0</v>
      </c>
      <c r="BJ66" s="82">
        <f t="shared" si="23"/>
        <v>0</v>
      </c>
      <c r="BK66" s="82">
        <f t="shared" si="23"/>
        <v>0</v>
      </c>
      <c r="BL66" s="82">
        <f t="shared" si="23"/>
        <v>0</v>
      </c>
      <c r="BM66" s="82">
        <f t="shared" si="23"/>
        <v>0</v>
      </c>
      <c r="BN66" s="82">
        <f t="shared" si="23"/>
        <v>0</v>
      </c>
      <c r="BO66" s="82">
        <f t="shared" si="23"/>
        <v>0</v>
      </c>
      <c r="BP66" s="82">
        <f t="shared" si="23"/>
        <v>0</v>
      </c>
      <c r="BQ66" s="82">
        <f>X84</f>
        <v>0</v>
      </c>
      <c r="BR66" s="82">
        <f>Z84</f>
        <v>0</v>
      </c>
      <c r="BS66" s="81">
        <f>AB84</f>
        <v>0</v>
      </c>
      <c r="BT66" s="81">
        <f t="shared" ref="BT66:BV70" si="24">AD84</f>
        <v>0</v>
      </c>
      <c r="BU66" s="81">
        <f t="shared" si="24"/>
        <v>0</v>
      </c>
      <c r="BV66" s="81">
        <f t="shared" si="24"/>
        <v>0</v>
      </c>
      <c r="BW66" s="81">
        <f>B84</f>
        <v>0</v>
      </c>
    </row>
    <row r="67" spans="1:75" x14ac:dyDescent="0.25">
      <c r="A67" s="65" t="s">
        <v>81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70</v>
      </c>
      <c r="AH67" s="48">
        <f t="shared" si="2"/>
        <v>0</v>
      </c>
      <c r="AI67" s="49">
        <f t="shared" si="3"/>
        <v>0</v>
      </c>
      <c r="AK67" s="51"/>
      <c r="AY67" s="1" t="s">
        <v>88</v>
      </c>
      <c r="AZ67" s="82">
        <f>ROUND(C85,0)</f>
        <v>0</v>
      </c>
      <c r="BA67" s="81">
        <f t="shared" si="22"/>
        <v>0</v>
      </c>
      <c r="BB67" s="81">
        <f t="shared" si="22"/>
        <v>0</v>
      </c>
      <c r="BC67" s="81">
        <f t="shared" si="22"/>
        <v>0</v>
      </c>
      <c r="BD67" s="81">
        <f t="shared" si="22"/>
        <v>0</v>
      </c>
      <c r="BE67" s="82">
        <f>I85</f>
        <v>0</v>
      </c>
      <c r="BF67" s="82">
        <f>K85</f>
        <v>0</v>
      </c>
      <c r="BG67" s="82">
        <f t="shared" si="23"/>
        <v>0</v>
      </c>
      <c r="BH67" s="82">
        <f t="shared" si="23"/>
        <v>0</v>
      </c>
      <c r="BI67" s="82">
        <f t="shared" si="23"/>
        <v>0</v>
      </c>
      <c r="BJ67" s="82">
        <f t="shared" si="23"/>
        <v>0</v>
      </c>
      <c r="BK67" s="82">
        <f t="shared" si="23"/>
        <v>0</v>
      </c>
      <c r="BL67" s="82">
        <f t="shared" si="23"/>
        <v>0</v>
      </c>
      <c r="BM67" s="82">
        <f t="shared" si="23"/>
        <v>0</v>
      </c>
      <c r="BN67" s="82">
        <f t="shared" si="23"/>
        <v>0</v>
      </c>
      <c r="BO67" s="82">
        <f t="shared" si="23"/>
        <v>0</v>
      </c>
      <c r="BP67" s="82">
        <f t="shared" si="23"/>
        <v>0</v>
      </c>
      <c r="BQ67" s="82">
        <f>X85</f>
        <v>0</v>
      </c>
      <c r="BR67" s="82">
        <f>Z85</f>
        <v>0</v>
      </c>
      <c r="BS67" s="81">
        <f>AB85</f>
        <v>0</v>
      </c>
      <c r="BT67" s="81">
        <f t="shared" si="24"/>
        <v>0</v>
      </c>
      <c r="BU67" s="81">
        <f t="shared" si="24"/>
        <v>0</v>
      </c>
      <c r="BV67" s="81">
        <f t="shared" si="24"/>
        <v>0</v>
      </c>
      <c r="BW67" s="81">
        <f>B85</f>
        <v>0</v>
      </c>
    </row>
    <row r="68" spans="1:75" x14ac:dyDescent="0.25">
      <c r="A68" s="65" t="s">
        <v>82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69</v>
      </c>
      <c r="AH68" s="48">
        <f t="shared" si="2"/>
        <v>0</v>
      </c>
      <c r="AI68" s="49">
        <f t="shared" si="3"/>
        <v>0</v>
      </c>
      <c r="AK68" s="51"/>
      <c r="AL68" s="83"/>
      <c r="AO68" s="83"/>
      <c r="AY68" s="1" t="s">
        <v>90</v>
      </c>
      <c r="AZ68" s="82">
        <f>ROUND(C86,0)</f>
        <v>0</v>
      </c>
      <c r="BA68" s="81">
        <f t="shared" si="22"/>
        <v>0</v>
      </c>
      <c r="BB68" s="81">
        <f t="shared" si="22"/>
        <v>0</v>
      </c>
      <c r="BC68" s="81">
        <f t="shared" si="22"/>
        <v>0</v>
      </c>
      <c r="BD68" s="81">
        <f t="shared" si="22"/>
        <v>0</v>
      </c>
      <c r="BE68" s="82">
        <f>I86</f>
        <v>0</v>
      </c>
      <c r="BF68" s="82">
        <f>K86</f>
        <v>0</v>
      </c>
      <c r="BG68" s="82">
        <f t="shared" si="23"/>
        <v>0</v>
      </c>
      <c r="BH68" s="82">
        <f t="shared" si="23"/>
        <v>0</v>
      </c>
      <c r="BI68" s="82">
        <f t="shared" si="23"/>
        <v>0</v>
      </c>
      <c r="BJ68" s="82">
        <f t="shared" si="23"/>
        <v>0</v>
      </c>
      <c r="BK68" s="82">
        <f t="shared" si="23"/>
        <v>0</v>
      </c>
      <c r="BL68" s="82">
        <f t="shared" si="23"/>
        <v>0</v>
      </c>
      <c r="BM68" s="82">
        <f t="shared" si="23"/>
        <v>0</v>
      </c>
      <c r="BN68" s="82">
        <f t="shared" si="23"/>
        <v>0</v>
      </c>
      <c r="BO68" s="82">
        <f t="shared" si="23"/>
        <v>0</v>
      </c>
      <c r="BP68" s="82">
        <f t="shared" si="23"/>
        <v>0</v>
      </c>
      <c r="BQ68" s="82">
        <f>X86</f>
        <v>0</v>
      </c>
      <c r="BR68" s="82">
        <f>Z86</f>
        <v>0</v>
      </c>
      <c r="BS68" s="81">
        <f>AB86</f>
        <v>0</v>
      </c>
      <c r="BT68" s="81">
        <f t="shared" si="24"/>
        <v>0</v>
      </c>
      <c r="BU68" s="81">
        <f t="shared" si="24"/>
        <v>0</v>
      </c>
      <c r="BV68" s="81">
        <f t="shared" si="24"/>
        <v>0</v>
      </c>
      <c r="BW68" s="81">
        <f>B86</f>
        <v>0</v>
      </c>
    </row>
    <row r="69" spans="1:75" s="83" customFormat="1" x14ac:dyDescent="0.25">
      <c r="A69" s="65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68"/>
      <c r="L69" s="68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66">
        <v>60</v>
      </c>
      <c r="AH69" s="48">
        <f t="shared" si="2"/>
        <v>0</v>
      </c>
      <c r="AI69" s="49">
        <f t="shared" si="3"/>
        <v>0</v>
      </c>
      <c r="AJ69" s="1"/>
      <c r="AK69" s="51"/>
      <c r="AL69" s="1"/>
      <c r="AM69" s="1"/>
      <c r="AN69" s="1"/>
      <c r="AO69" s="1"/>
      <c r="AY69" s="83" t="s">
        <v>92</v>
      </c>
      <c r="AZ69" s="82">
        <f>ROUND(C87,0)</f>
        <v>0</v>
      </c>
      <c r="BA69" s="81">
        <f t="shared" si="22"/>
        <v>0</v>
      </c>
      <c r="BB69" s="81">
        <f t="shared" si="22"/>
        <v>0</v>
      </c>
      <c r="BC69" s="81">
        <f t="shared" si="22"/>
        <v>0</v>
      </c>
      <c r="BD69" s="81">
        <f t="shared" si="22"/>
        <v>0</v>
      </c>
      <c r="BE69" s="82">
        <f>I87</f>
        <v>0</v>
      </c>
      <c r="BF69" s="82">
        <f>K87</f>
        <v>0</v>
      </c>
      <c r="BG69" s="82">
        <f t="shared" si="23"/>
        <v>0</v>
      </c>
      <c r="BH69" s="82">
        <f t="shared" si="23"/>
        <v>0</v>
      </c>
      <c r="BI69" s="82">
        <f t="shared" si="23"/>
        <v>0</v>
      </c>
      <c r="BJ69" s="82">
        <f t="shared" si="23"/>
        <v>0</v>
      </c>
      <c r="BK69" s="82">
        <f t="shared" si="23"/>
        <v>0</v>
      </c>
      <c r="BL69" s="82">
        <f t="shared" si="23"/>
        <v>0</v>
      </c>
      <c r="BM69" s="82">
        <f t="shared" si="23"/>
        <v>0</v>
      </c>
      <c r="BN69" s="82">
        <f t="shared" si="23"/>
        <v>0</v>
      </c>
      <c r="BO69" s="82">
        <f t="shared" si="23"/>
        <v>0</v>
      </c>
      <c r="BP69" s="82">
        <f t="shared" si="23"/>
        <v>0</v>
      </c>
      <c r="BQ69" s="82">
        <f>X87</f>
        <v>0</v>
      </c>
      <c r="BR69" s="82">
        <f>Z87</f>
        <v>0</v>
      </c>
      <c r="BS69" s="81">
        <f>AB87</f>
        <v>0</v>
      </c>
      <c r="BT69" s="81">
        <f t="shared" si="24"/>
        <v>0</v>
      </c>
      <c r="BU69" s="81">
        <f t="shared" si="24"/>
        <v>0</v>
      </c>
      <c r="BV69" s="81">
        <f t="shared" si="24"/>
        <v>0</v>
      </c>
      <c r="BW69" s="81">
        <f>B87</f>
        <v>0</v>
      </c>
    </row>
    <row r="70" spans="1:75" x14ac:dyDescent="0.25">
      <c r="A70" s="65" t="s">
        <v>84</v>
      </c>
      <c r="B70" s="46"/>
      <c r="C70" s="46"/>
      <c r="D70" s="46"/>
      <c r="E70" s="76"/>
      <c r="F70" s="76"/>
      <c r="G70" s="76"/>
      <c r="H70" s="76"/>
      <c r="I70" s="76"/>
      <c r="J70" s="76"/>
      <c r="K70" s="76"/>
      <c r="L70" s="68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66">
        <v>30</v>
      </c>
      <c r="AH70" s="48">
        <f t="shared" si="2"/>
        <v>0</v>
      </c>
      <c r="AI70" s="49">
        <f t="shared" si="3"/>
        <v>0</v>
      </c>
      <c r="AK70" s="51"/>
      <c r="AY70" s="1" t="s">
        <v>94</v>
      </c>
      <c r="AZ70" s="82">
        <f>ROUND(C88,0)</f>
        <v>0</v>
      </c>
      <c r="BA70" s="81">
        <f t="shared" si="22"/>
        <v>0</v>
      </c>
      <c r="BB70" s="81">
        <f t="shared" si="22"/>
        <v>0</v>
      </c>
      <c r="BC70" s="81">
        <f t="shared" si="22"/>
        <v>0</v>
      </c>
      <c r="BD70" s="81">
        <f t="shared" si="22"/>
        <v>0</v>
      </c>
      <c r="BE70" s="82">
        <f>I88</f>
        <v>0</v>
      </c>
      <c r="BF70" s="82">
        <f>K88</f>
        <v>0</v>
      </c>
      <c r="BG70" s="82">
        <f t="shared" si="23"/>
        <v>0</v>
      </c>
      <c r="BH70" s="82">
        <f t="shared" si="23"/>
        <v>0</v>
      </c>
      <c r="BI70" s="82">
        <f t="shared" si="23"/>
        <v>0</v>
      </c>
      <c r="BJ70" s="82">
        <f t="shared" si="23"/>
        <v>0</v>
      </c>
      <c r="BK70" s="82">
        <f t="shared" si="23"/>
        <v>0</v>
      </c>
      <c r="BL70" s="82">
        <f t="shared" si="23"/>
        <v>0</v>
      </c>
      <c r="BM70" s="82">
        <f t="shared" si="23"/>
        <v>0</v>
      </c>
      <c r="BN70" s="82">
        <f t="shared" si="23"/>
        <v>0</v>
      </c>
      <c r="BO70" s="82">
        <f t="shared" si="23"/>
        <v>0</v>
      </c>
      <c r="BP70" s="82">
        <f t="shared" si="23"/>
        <v>0</v>
      </c>
      <c r="BQ70" s="82">
        <f>X88</f>
        <v>0</v>
      </c>
      <c r="BR70" s="82">
        <f>Z88</f>
        <v>0</v>
      </c>
      <c r="BS70" s="81">
        <f>AB88</f>
        <v>0</v>
      </c>
      <c r="BT70" s="81">
        <f t="shared" si="24"/>
        <v>0</v>
      </c>
      <c r="BU70" s="81">
        <f t="shared" si="24"/>
        <v>0</v>
      </c>
      <c r="BV70" s="81">
        <f t="shared" si="24"/>
        <v>0</v>
      </c>
      <c r="BW70" s="81">
        <f>B88</f>
        <v>0</v>
      </c>
    </row>
    <row r="71" spans="1:75" x14ac:dyDescent="0.25">
      <c r="A71" s="65" t="s">
        <v>85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66">
        <v>25</v>
      </c>
      <c r="AH71" s="48">
        <f t="shared" si="2"/>
        <v>0</v>
      </c>
      <c r="AI71" s="49">
        <f t="shared" si="3"/>
        <v>0</v>
      </c>
      <c r="AK71" s="51"/>
      <c r="AY71" s="1" t="s">
        <v>96</v>
      </c>
      <c r="AZ71" s="82">
        <f>ROUND(C94,0)</f>
        <v>0</v>
      </c>
      <c r="BA71" s="82">
        <f>D94</f>
        <v>0</v>
      </c>
      <c r="BB71" s="82">
        <f>E94</f>
        <v>0</v>
      </c>
      <c r="BC71" s="82">
        <f>F94</f>
        <v>0</v>
      </c>
      <c r="BD71" s="82">
        <f>G94</f>
        <v>0</v>
      </c>
      <c r="BE71" s="82">
        <f>I94</f>
        <v>0</v>
      </c>
      <c r="BF71" s="82">
        <f>K94</f>
        <v>0</v>
      </c>
      <c r="BG71" s="82">
        <f t="shared" ref="BG71:BP71" si="25">M94</f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X94</f>
        <v>0</v>
      </c>
      <c r="BR71" s="82">
        <f>Z94</f>
        <v>0</v>
      </c>
      <c r="BS71" s="82">
        <f>AB94</f>
        <v>0</v>
      </c>
      <c r="BT71" s="82">
        <f>AD94</f>
        <v>0</v>
      </c>
      <c r="BU71" s="82">
        <f>AE94</f>
        <v>0</v>
      </c>
      <c r="BV71" s="82">
        <f>AF94</f>
        <v>0</v>
      </c>
      <c r="BW71" s="82">
        <f>B94</f>
        <v>0</v>
      </c>
    </row>
    <row r="72" spans="1:75" x14ac:dyDescent="0.25">
      <c r="A72" s="65" t="s">
        <v>87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24</v>
      </c>
      <c r="AH72" s="48">
        <f t="shared" si="2"/>
        <v>0</v>
      </c>
      <c r="AI72" s="49">
        <f t="shared" si="3"/>
        <v>0</v>
      </c>
      <c r="AK72" s="51"/>
      <c r="AZ72" s="82"/>
      <c r="BA72" s="81"/>
      <c r="BB72" s="81"/>
      <c r="BC72" s="81"/>
      <c r="BD72" s="81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1"/>
      <c r="BT72" s="81"/>
      <c r="BU72" s="81"/>
      <c r="BV72" s="81"/>
      <c r="BW72" s="81"/>
    </row>
    <row r="73" spans="1:75" x14ac:dyDescent="0.25">
      <c r="A73" s="65" t="s">
        <v>89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15</v>
      </c>
      <c r="AH73" s="48">
        <f t="shared" si="2"/>
        <v>0</v>
      </c>
      <c r="AI73" s="49">
        <f t="shared" si="3"/>
        <v>0</v>
      </c>
      <c r="AK73" s="51"/>
      <c r="AZ73" s="82">
        <f t="shared" ref="AZ73:BW78" si="26">VALUE(AZ66)</f>
        <v>0</v>
      </c>
      <c r="BA73" s="82">
        <f t="shared" si="26"/>
        <v>0</v>
      </c>
      <c r="BB73" s="82">
        <f t="shared" si="26"/>
        <v>0</v>
      </c>
      <c r="BC73" s="82">
        <f t="shared" si="26"/>
        <v>0</v>
      </c>
      <c r="BD73" s="82">
        <f t="shared" si="26"/>
        <v>0</v>
      </c>
      <c r="BE73" s="82">
        <f t="shared" si="26"/>
        <v>0</v>
      </c>
      <c r="BF73" s="82">
        <f t="shared" si="26"/>
        <v>0</v>
      </c>
      <c r="BG73" s="82">
        <f t="shared" si="26"/>
        <v>0</v>
      </c>
      <c r="BH73" s="82">
        <f t="shared" si="26"/>
        <v>0</v>
      </c>
      <c r="BI73" s="82">
        <f t="shared" si="26"/>
        <v>0</v>
      </c>
      <c r="BJ73" s="82">
        <f t="shared" si="26"/>
        <v>0</v>
      </c>
      <c r="BK73" s="82">
        <f t="shared" si="26"/>
        <v>0</v>
      </c>
      <c r="BL73" s="82">
        <f t="shared" si="26"/>
        <v>0</v>
      </c>
      <c r="BM73" s="82">
        <f t="shared" si="26"/>
        <v>0</v>
      </c>
      <c r="BN73" s="82">
        <f t="shared" si="26"/>
        <v>0</v>
      </c>
      <c r="BO73" s="82">
        <f t="shared" si="26"/>
        <v>0</v>
      </c>
      <c r="BP73" s="82">
        <f t="shared" si="26"/>
        <v>0</v>
      </c>
      <c r="BQ73" s="82">
        <f t="shared" si="26"/>
        <v>0</v>
      </c>
      <c r="BR73" s="82">
        <f t="shared" si="26"/>
        <v>0</v>
      </c>
      <c r="BS73" s="82">
        <f t="shared" si="26"/>
        <v>0</v>
      </c>
      <c r="BT73" s="82">
        <f t="shared" si="26"/>
        <v>0</v>
      </c>
      <c r="BU73" s="82">
        <f t="shared" si="26"/>
        <v>0</v>
      </c>
      <c r="BV73" s="82">
        <f t="shared" si="26"/>
        <v>0</v>
      </c>
      <c r="BW73" s="82">
        <f t="shared" si="26"/>
        <v>0</v>
      </c>
    </row>
    <row r="74" spans="1:75" x14ac:dyDescent="0.25">
      <c r="A74" s="65" t="s">
        <v>91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14.1</v>
      </c>
      <c r="AH74" s="48">
        <f t="shared" si="2"/>
        <v>0</v>
      </c>
      <c r="AI74" s="49">
        <f t="shared" si="3"/>
        <v>0</v>
      </c>
      <c r="AK74" s="51"/>
      <c r="AZ74" s="82">
        <f t="shared" si="26"/>
        <v>0</v>
      </c>
      <c r="BA74" s="82">
        <f t="shared" si="26"/>
        <v>0</v>
      </c>
      <c r="BB74" s="82">
        <f t="shared" si="26"/>
        <v>0</v>
      </c>
      <c r="BC74" s="82">
        <f t="shared" si="26"/>
        <v>0</v>
      </c>
      <c r="BD74" s="82">
        <f t="shared" si="26"/>
        <v>0</v>
      </c>
      <c r="BE74" s="82">
        <f t="shared" si="26"/>
        <v>0</v>
      </c>
      <c r="BF74" s="82">
        <f t="shared" si="26"/>
        <v>0</v>
      </c>
      <c r="BG74" s="82">
        <f t="shared" si="26"/>
        <v>0</v>
      </c>
      <c r="BH74" s="82">
        <f t="shared" si="26"/>
        <v>0</v>
      </c>
      <c r="BI74" s="82">
        <f t="shared" si="26"/>
        <v>0</v>
      </c>
      <c r="BJ74" s="82">
        <f t="shared" si="26"/>
        <v>0</v>
      </c>
      <c r="BK74" s="82">
        <f t="shared" si="26"/>
        <v>0</v>
      </c>
      <c r="BL74" s="82">
        <f t="shared" si="26"/>
        <v>0</v>
      </c>
      <c r="BM74" s="82">
        <f t="shared" si="26"/>
        <v>0</v>
      </c>
      <c r="BN74" s="82">
        <f t="shared" si="26"/>
        <v>0</v>
      </c>
      <c r="BO74" s="82">
        <f t="shared" si="26"/>
        <v>0</v>
      </c>
      <c r="BP74" s="82">
        <f t="shared" si="26"/>
        <v>0</v>
      </c>
      <c r="BQ74" s="82">
        <f t="shared" si="26"/>
        <v>0</v>
      </c>
      <c r="BR74" s="82">
        <f t="shared" si="26"/>
        <v>0</v>
      </c>
      <c r="BS74" s="82">
        <f t="shared" si="26"/>
        <v>0</v>
      </c>
      <c r="BT74" s="82">
        <f t="shared" si="26"/>
        <v>0</v>
      </c>
      <c r="BU74" s="82">
        <f t="shared" si="26"/>
        <v>0</v>
      </c>
      <c r="BV74" s="82">
        <f t="shared" si="26"/>
        <v>0</v>
      </c>
      <c r="BW74" s="82">
        <f t="shared" si="26"/>
        <v>0</v>
      </c>
    </row>
    <row r="75" spans="1:75" x14ac:dyDescent="0.25">
      <c r="A75" s="84" t="s">
        <v>93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66">
        <v>14</v>
      </c>
      <c r="AH75" s="48">
        <f t="shared" ref="AH75:AH126" si="27">MAX(B75:AF75)</f>
        <v>0</v>
      </c>
      <c r="AI75" s="49">
        <f t="shared" ref="AI75:AI126" si="28">MIN(B75:AF75)</f>
        <v>0</v>
      </c>
      <c r="AK75" s="51"/>
      <c r="AZ75" s="82">
        <f t="shared" si="26"/>
        <v>0</v>
      </c>
      <c r="BA75" s="82">
        <f t="shared" si="26"/>
        <v>0</v>
      </c>
      <c r="BB75" s="82">
        <f t="shared" si="26"/>
        <v>0</v>
      </c>
      <c r="BC75" s="82">
        <f t="shared" si="26"/>
        <v>0</v>
      </c>
      <c r="BD75" s="82">
        <f t="shared" si="26"/>
        <v>0</v>
      </c>
      <c r="BE75" s="82">
        <f t="shared" si="26"/>
        <v>0</v>
      </c>
      <c r="BF75" s="82">
        <f t="shared" si="26"/>
        <v>0</v>
      </c>
      <c r="BG75" s="82">
        <f t="shared" si="26"/>
        <v>0</v>
      </c>
      <c r="BH75" s="82">
        <f t="shared" si="26"/>
        <v>0</v>
      </c>
      <c r="BI75" s="82">
        <f t="shared" si="26"/>
        <v>0</v>
      </c>
      <c r="BJ75" s="82">
        <f t="shared" si="26"/>
        <v>0</v>
      </c>
      <c r="BK75" s="82">
        <f t="shared" si="26"/>
        <v>0</v>
      </c>
      <c r="BL75" s="82">
        <f t="shared" si="26"/>
        <v>0</v>
      </c>
      <c r="BM75" s="82">
        <f t="shared" si="26"/>
        <v>0</v>
      </c>
      <c r="BN75" s="82">
        <f t="shared" si="26"/>
        <v>0</v>
      </c>
      <c r="BO75" s="82">
        <f t="shared" si="26"/>
        <v>0</v>
      </c>
      <c r="BP75" s="82">
        <f t="shared" si="26"/>
        <v>0</v>
      </c>
      <c r="BQ75" s="82">
        <f t="shared" si="26"/>
        <v>0</v>
      </c>
      <c r="BR75" s="82">
        <f t="shared" si="26"/>
        <v>0</v>
      </c>
      <c r="BS75" s="82">
        <f t="shared" si="26"/>
        <v>0</v>
      </c>
      <c r="BT75" s="82">
        <f t="shared" si="26"/>
        <v>0</v>
      </c>
      <c r="BU75" s="82">
        <f t="shared" si="26"/>
        <v>0</v>
      </c>
      <c r="BV75" s="82">
        <f t="shared" si="26"/>
        <v>0</v>
      </c>
      <c r="BW75" s="82">
        <f t="shared" si="26"/>
        <v>0</v>
      </c>
    </row>
    <row r="76" spans="1:75" x14ac:dyDescent="0.25">
      <c r="A76" s="65" t="s">
        <v>95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66">
        <v>10.050000000000001</v>
      </c>
      <c r="AH76" s="48">
        <f t="shared" si="27"/>
        <v>0</v>
      </c>
      <c r="AI76" s="49">
        <f t="shared" si="28"/>
        <v>0</v>
      </c>
      <c r="AK76" s="51"/>
      <c r="AZ76" s="82">
        <f t="shared" si="26"/>
        <v>0</v>
      </c>
      <c r="BA76" s="82">
        <f t="shared" si="26"/>
        <v>0</v>
      </c>
      <c r="BB76" s="82">
        <f t="shared" si="26"/>
        <v>0</v>
      </c>
      <c r="BC76" s="82">
        <f t="shared" si="26"/>
        <v>0</v>
      </c>
      <c r="BD76" s="82">
        <f t="shared" si="26"/>
        <v>0</v>
      </c>
      <c r="BE76" s="82">
        <f t="shared" si="26"/>
        <v>0</v>
      </c>
      <c r="BF76" s="82">
        <f t="shared" si="26"/>
        <v>0</v>
      </c>
      <c r="BG76" s="82">
        <f t="shared" si="26"/>
        <v>0</v>
      </c>
      <c r="BH76" s="82">
        <f t="shared" si="26"/>
        <v>0</v>
      </c>
      <c r="BI76" s="82">
        <f t="shared" si="26"/>
        <v>0</v>
      </c>
      <c r="BJ76" s="82">
        <f t="shared" si="26"/>
        <v>0</v>
      </c>
      <c r="BK76" s="82">
        <f t="shared" si="26"/>
        <v>0</v>
      </c>
      <c r="BL76" s="82">
        <f t="shared" si="26"/>
        <v>0</v>
      </c>
      <c r="BM76" s="82">
        <f t="shared" si="26"/>
        <v>0</v>
      </c>
      <c r="BN76" s="82">
        <f t="shared" si="26"/>
        <v>0</v>
      </c>
      <c r="BO76" s="82">
        <f t="shared" si="26"/>
        <v>0</v>
      </c>
      <c r="BP76" s="82">
        <f t="shared" si="26"/>
        <v>0</v>
      </c>
      <c r="BQ76" s="82">
        <f t="shared" si="26"/>
        <v>0</v>
      </c>
      <c r="BR76" s="82">
        <f t="shared" si="26"/>
        <v>0</v>
      </c>
      <c r="BS76" s="82">
        <f t="shared" si="26"/>
        <v>0</v>
      </c>
      <c r="BT76" s="82">
        <f t="shared" si="26"/>
        <v>0</v>
      </c>
      <c r="BU76" s="82">
        <f t="shared" si="26"/>
        <v>0</v>
      </c>
      <c r="BV76" s="82">
        <f t="shared" si="26"/>
        <v>0</v>
      </c>
      <c r="BW76" s="82">
        <f t="shared" si="26"/>
        <v>0</v>
      </c>
    </row>
    <row r="77" spans="1:75" x14ac:dyDescent="0.25">
      <c r="A77" s="65" t="s">
        <v>97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66">
        <v>6.2</v>
      </c>
      <c r="AH77" s="48">
        <f t="shared" si="27"/>
        <v>0</v>
      </c>
      <c r="AI77" s="49">
        <f t="shared" si="28"/>
        <v>0</v>
      </c>
      <c r="AK77" s="51"/>
      <c r="AZ77" s="82">
        <f t="shared" si="26"/>
        <v>0</v>
      </c>
      <c r="BA77" s="82">
        <f t="shared" si="26"/>
        <v>0</v>
      </c>
      <c r="BB77" s="82">
        <f t="shared" si="26"/>
        <v>0</v>
      </c>
      <c r="BC77" s="82">
        <f t="shared" si="26"/>
        <v>0</v>
      </c>
      <c r="BD77" s="82">
        <f t="shared" si="26"/>
        <v>0</v>
      </c>
      <c r="BE77" s="82">
        <f t="shared" si="26"/>
        <v>0</v>
      </c>
      <c r="BF77" s="82">
        <f t="shared" si="26"/>
        <v>0</v>
      </c>
      <c r="BG77" s="82">
        <f t="shared" si="26"/>
        <v>0</v>
      </c>
      <c r="BH77" s="82">
        <f t="shared" si="26"/>
        <v>0</v>
      </c>
      <c r="BI77" s="82">
        <f t="shared" si="26"/>
        <v>0</v>
      </c>
      <c r="BJ77" s="82">
        <f t="shared" si="26"/>
        <v>0</v>
      </c>
      <c r="BK77" s="82">
        <f t="shared" si="26"/>
        <v>0</v>
      </c>
      <c r="BL77" s="82">
        <f t="shared" si="26"/>
        <v>0</v>
      </c>
      <c r="BM77" s="82">
        <f t="shared" si="26"/>
        <v>0</v>
      </c>
      <c r="BN77" s="82">
        <f t="shared" si="26"/>
        <v>0</v>
      </c>
      <c r="BO77" s="82">
        <f t="shared" si="26"/>
        <v>0</v>
      </c>
      <c r="BP77" s="82">
        <f t="shared" si="26"/>
        <v>0</v>
      </c>
      <c r="BQ77" s="82">
        <f t="shared" si="26"/>
        <v>0</v>
      </c>
      <c r="BR77" s="82">
        <f t="shared" si="26"/>
        <v>0</v>
      </c>
      <c r="BS77" s="82">
        <f t="shared" si="26"/>
        <v>0</v>
      </c>
      <c r="BT77" s="82">
        <f t="shared" si="26"/>
        <v>0</v>
      </c>
      <c r="BU77" s="82">
        <f t="shared" si="26"/>
        <v>0</v>
      </c>
      <c r="BV77" s="82">
        <f t="shared" si="26"/>
        <v>0</v>
      </c>
      <c r="BW77" s="82">
        <f t="shared" si="26"/>
        <v>0</v>
      </c>
    </row>
    <row r="78" spans="1:75" ht="15.75" thickBot="1" x14ac:dyDescent="0.3">
      <c r="A78" s="67" t="s">
        <v>98</v>
      </c>
      <c r="B78" s="85">
        <v>3.54</v>
      </c>
      <c r="C78" s="85">
        <v>3.54</v>
      </c>
      <c r="D78" s="85">
        <v>3.54</v>
      </c>
      <c r="E78" s="85">
        <v>3.54</v>
      </c>
      <c r="F78" s="85">
        <v>3.54</v>
      </c>
      <c r="G78" s="85">
        <v>3.54</v>
      </c>
      <c r="H78" s="85">
        <v>3.54</v>
      </c>
      <c r="I78" s="85">
        <v>3.54</v>
      </c>
      <c r="J78" s="85">
        <v>3.54</v>
      </c>
      <c r="K78" s="85">
        <v>3.54</v>
      </c>
      <c r="L78" s="85">
        <v>3.54</v>
      </c>
      <c r="M78" s="85">
        <v>3.54</v>
      </c>
      <c r="N78" s="85">
        <v>3.54</v>
      </c>
      <c r="O78" s="85">
        <v>3.54</v>
      </c>
      <c r="P78" s="85">
        <v>3.54</v>
      </c>
      <c r="Q78" s="85">
        <v>3.54</v>
      </c>
      <c r="R78" s="85">
        <v>3.54</v>
      </c>
      <c r="S78" s="85">
        <v>3.54</v>
      </c>
      <c r="T78" s="85">
        <v>3.54</v>
      </c>
      <c r="U78" s="85">
        <v>3.54</v>
      </c>
      <c r="V78" s="85">
        <v>3.54</v>
      </c>
      <c r="W78" s="85">
        <v>3.54</v>
      </c>
      <c r="X78" s="85">
        <v>3.54</v>
      </c>
      <c r="Y78" s="85">
        <v>3.5</v>
      </c>
      <c r="Z78" s="85">
        <v>5.5</v>
      </c>
      <c r="AA78" s="85">
        <v>3.54</v>
      </c>
      <c r="AB78" s="85">
        <v>3.54</v>
      </c>
      <c r="AC78" s="85">
        <v>3.54</v>
      </c>
      <c r="AD78" s="85">
        <v>3.54</v>
      </c>
      <c r="AE78" s="85">
        <v>3.54</v>
      </c>
      <c r="AF78" s="85">
        <v>3.54</v>
      </c>
      <c r="AG78" s="86">
        <f>AG255</f>
        <v>8.56</v>
      </c>
      <c r="AH78" s="48">
        <f t="shared" si="27"/>
        <v>5.5</v>
      </c>
      <c r="AI78" s="49">
        <f t="shared" si="28"/>
        <v>3.5</v>
      </c>
      <c r="AK78" s="51"/>
      <c r="AZ78" s="82">
        <f t="shared" si="26"/>
        <v>0</v>
      </c>
      <c r="BA78" s="82">
        <f t="shared" si="26"/>
        <v>0</v>
      </c>
      <c r="BB78" s="82">
        <f t="shared" si="26"/>
        <v>0</v>
      </c>
      <c r="BC78" s="82">
        <f t="shared" si="26"/>
        <v>0</v>
      </c>
      <c r="BD78" s="82">
        <f t="shared" si="26"/>
        <v>0</v>
      </c>
      <c r="BE78" s="82">
        <f t="shared" si="26"/>
        <v>0</v>
      </c>
      <c r="BF78" s="82">
        <f t="shared" si="26"/>
        <v>0</v>
      </c>
      <c r="BG78" s="82">
        <f t="shared" si="26"/>
        <v>0</v>
      </c>
      <c r="BH78" s="82">
        <f t="shared" si="26"/>
        <v>0</v>
      </c>
      <c r="BI78" s="82">
        <f t="shared" si="26"/>
        <v>0</v>
      </c>
      <c r="BJ78" s="82">
        <f t="shared" si="26"/>
        <v>0</v>
      </c>
      <c r="BK78" s="82">
        <f t="shared" si="26"/>
        <v>0</v>
      </c>
      <c r="BL78" s="82">
        <f t="shared" si="26"/>
        <v>0</v>
      </c>
      <c r="BM78" s="82">
        <f t="shared" si="26"/>
        <v>0</v>
      </c>
      <c r="BN78" s="82">
        <f t="shared" si="26"/>
        <v>0</v>
      </c>
      <c r="BO78" s="82">
        <f t="shared" si="26"/>
        <v>0</v>
      </c>
      <c r="BP78" s="82">
        <f t="shared" si="26"/>
        <v>0</v>
      </c>
      <c r="BQ78" s="82">
        <f t="shared" si="26"/>
        <v>0</v>
      </c>
      <c r="BR78" s="82">
        <f t="shared" si="26"/>
        <v>0</v>
      </c>
      <c r="BS78" s="82">
        <f t="shared" si="26"/>
        <v>0</v>
      </c>
      <c r="BT78" s="82">
        <f t="shared" si="26"/>
        <v>0</v>
      </c>
      <c r="BU78" s="82">
        <f t="shared" si="26"/>
        <v>0</v>
      </c>
      <c r="BV78" s="82">
        <f t="shared" si="26"/>
        <v>0</v>
      </c>
      <c r="BW78" s="82">
        <f t="shared" si="26"/>
        <v>0</v>
      </c>
    </row>
    <row r="79" spans="1:75" ht="15.75" thickBot="1" x14ac:dyDescent="0.3">
      <c r="A79" s="87" t="s">
        <v>99</v>
      </c>
      <c r="B79" s="71">
        <f t="shared" ref="B79:AG79" si="29">SUM(B66:B78)</f>
        <v>3.54</v>
      </c>
      <c r="C79" s="71">
        <f t="shared" si="29"/>
        <v>3.54</v>
      </c>
      <c r="D79" s="71">
        <f t="shared" si="29"/>
        <v>3.54</v>
      </c>
      <c r="E79" s="71">
        <f t="shared" si="29"/>
        <v>3.54</v>
      </c>
      <c r="F79" s="71">
        <f t="shared" si="29"/>
        <v>3.54</v>
      </c>
      <c r="G79" s="71">
        <f t="shared" si="29"/>
        <v>3.54</v>
      </c>
      <c r="H79" s="71">
        <f t="shared" si="29"/>
        <v>3.54</v>
      </c>
      <c r="I79" s="71">
        <f t="shared" si="29"/>
        <v>3.54</v>
      </c>
      <c r="J79" s="71">
        <f t="shared" si="29"/>
        <v>3.54</v>
      </c>
      <c r="K79" s="71">
        <f t="shared" si="29"/>
        <v>3.54</v>
      </c>
      <c r="L79" s="71">
        <f t="shared" si="29"/>
        <v>3.54</v>
      </c>
      <c r="M79" s="71">
        <f t="shared" si="29"/>
        <v>3.54</v>
      </c>
      <c r="N79" s="71">
        <f t="shared" si="29"/>
        <v>3.54</v>
      </c>
      <c r="O79" s="71">
        <f t="shared" si="29"/>
        <v>3.54</v>
      </c>
      <c r="P79" s="71">
        <f t="shared" si="29"/>
        <v>3.54</v>
      </c>
      <c r="Q79" s="71">
        <f t="shared" si="29"/>
        <v>3.54</v>
      </c>
      <c r="R79" s="71">
        <f t="shared" si="29"/>
        <v>3.54</v>
      </c>
      <c r="S79" s="71">
        <f t="shared" si="29"/>
        <v>3.54</v>
      </c>
      <c r="T79" s="71">
        <f t="shared" si="29"/>
        <v>3.54</v>
      </c>
      <c r="U79" s="71">
        <f t="shared" si="29"/>
        <v>3.54</v>
      </c>
      <c r="V79" s="71">
        <f t="shared" si="29"/>
        <v>3.54</v>
      </c>
      <c r="W79" s="71">
        <f t="shared" si="29"/>
        <v>3.54</v>
      </c>
      <c r="X79" s="71">
        <f t="shared" si="29"/>
        <v>3.54</v>
      </c>
      <c r="Y79" s="71">
        <f t="shared" si="29"/>
        <v>3.5</v>
      </c>
      <c r="Z79" s="71">
        <f t="shared" si="29"/>
        <v>5.5</v>
      </c>
      <c r="AA79" s="71">
        <f t="shared" si="29"/>
        <v>3.54</v>
      </c>
      <c r="AB79" s="71">
        <f t="shared" si="29"/>
        <v>3.54</v>
      </c>
      <c r="AC79" s="71">
        <f t="shared" si="29"/>
        <v>3.54</v>
      </c>
      <c r="AD79" s="71">
        <f t="shared" si="29"/>
        <v>3.54</v>
      </c>
      <c r="AE79" s="71">
        <f t="shared" si="29"/>
        <v>3.54</v>
      </c>
      <c r="AF79" s="71">
        <f t="shared" si="29"/>
        <v>3.54</v>
      </c>
      <c r="AG79" s="72">
        <f t="shared" si="29"/>
        <v>489.91</v>
      </c>
      <c r="AH79" s="48">
        <f t="shared" si="27"/>
        <v>5.5</v>
      </c>
      <c r="AI79" s="49">
        <f t="shared" si="28"/>
        <v>3.5</v>
      </c>
      <c r="AK79" s="51"/>
      <c r="AY79" s="82"/>
    </row>
    <row r="80" spans="1:75" x14ac:dyDescent="0.25">
      <c r="A80" s="45" t="s">
        <v>100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61">
        <v>60</v>
      </c>
      <c r="AH80" s="48">
        <f t="shared" si="27"/>
        <v>0</v>
      </c>
      <c r="AI80" s="49">
        <f t="shared" si="28"/>
        <v>0</v>
      </c>
      <c r="AK80" s="51"/>
      <c r="AY80" s="82"/>
      <c r="BF80" s="82"/>
      <c r="BG80" s="82"/>
      <c r="BH80" s="82"/>
      <c r="BI80" s="82"/>
      <c r="BJ80" s="82"/>
      <c r="BK80" s="82"/>
    </row>
    <row r="81" spans="1:64" x14ac:dyDescent="0.25">
      <c r="A81" s="65" t="s">
        <v>101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66">
        <v>32</v>
      </c>
      <c r="AH81" s="48">
        <f t="shared" si="27"/>
        <v>0</v>
      </c>
      <c r="AI81" s="49">
        <f t="shared" si="28"/>
        <v>0</v>
      </c>
      <c r="AK81" s="51"/>
      <c r="AY81" s="82"/>
      <c r="BF81" s="81"/>
      <c r="BG81" s="81"/>
      <c r="BH81" s="81"/>
      <c r="BI81" s="81"/>
      <c r="BJ81" s="81"/>
      <c r="BK81" s="82"/>
    </row>
    <row r="82" spans="1:64" ht="15.75" thickBot="1" x14ac:dyDescent="0.3">
      <c r="A82" s="84" t="s">
        <v>102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9">
        <v>14</v>
      </c>
      <c r="AH82" s="48">
        <f t="shared" si="27"/>
        <v>0</v>
      </c>
      <c r="AI82" s="49">
        <f t="shared" si="28"/>
        <v>0</v>
      </c>
      <c r="AK82" s="51"/>
      <c r="AY82" s="82"/>
      <c r="BF82" s="81"/>
      <c r="BG82" s="82">
        <f t="array" ref="BG82:BL105">TRANSPOSE(AZ66:BW71)</f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</row>
    <row r="83" spans="1:64" ht="15.75" thickBot="1" x14ac:dyDescent="0.3">
      <c r="A83" s="87" t="s">
        <v>103</v>
      </c>
      <c r="B83" s="71">
        <f t="shared" ref="B83:AF83" si="30">B80+B81+B82</f>
        <v>0</v>
      </c>
      <c r="C83" s="71">
        <f t="shared" si="30"/>
        <v>0</v>
      </c>
      <c r="D83" s="71">
        <f t="shared" si="30"/>
        <v>0</v>
      </c>
      <c r="E83" s="71">
        <f t="shared" si="30"/>
        <v>0</v>
      </c>
      <c r="F83" s="71">
        <f t="shared" si="30"/>
        <v>0</v>
      </c>
      <c r="G83" s="71">
        <f t="shared" si="30"/>
        <v>0</v>
      </c>
      <c r="H83" s="71">
        <f t="shared" si="30"/>
        <v>0</v>
      </c>
      <c r="I83" s="71">
        <f t="shared" si="30"/>
        <v>0</v>
      </c>
      <c r="J83" s="71">
        <f t="shared" si="30"/>
        <v>0</v>
      </c>
      <c r="K83" s="71">
        <f t="shared" si="30"/>
        <v>0</v>
      </c>
      <c r="L83" s="71">
        <f t="shared" si="30"/>
        <v>0</v>
      </c>
      <c r="M83" s="71">
        <f t="shared" si="30"/>
        <v>0</v>
      </c>
      <c r="N83" s="71">
        <f t="shared" si="30"/>
        <v>0</v>
      </c>
      <c r="O83" s="71">
        <f t="shared" si="30"/>
        <v>0</v>
      </c>
      <c r="P83" s="71">
        <f t="shared" si="30"/>
        <v>0</v>
      </c>
      <c r="Q83" s="71">
        <f t="shared" si="30"/>
        <v>0</v>
      </c>
      <c r="R83" s="71">
        <f t="shared" si="30"/>
        <v>0</v>
      </c>
      <c r="S83" s="71">
        <f t="shared" si="30"/>
        <v>0</v>
      </c>
      <c r="T83" s="71">
        <f t="shared" si="30"/>
        <v>0</v>
      </c>
      <c r="U83" s="71">
        <f t="shared" si="30"/>
        <v>0</v>
      </c>
      <c r="V83" s="71">
        <f t="shared" si="30"/>
        <v>0</v>
      </c>
      <c r="W83" s="71">
        <f t="shared" si="30"/>
        <v>0</v>
      </c>
      <c r="X83" s="71">
        <f t="shared" si="30"/>
        <v>0</v>
      </c>
      <c r="Y83" s="71">
        <f t="shared" si="30"/>
        <v>0</v>
      </c>
      <c r="Z83" s="71">
        <f t="shared" si="30"/>
        <v>0</v>
      </c>
      <c r="AA83" s="71">
        <f t="shared" si="30"/>
        <v>0</v>
      </c>
      <c r="AB83" s="71">
        <f t="shared" si="30"/>
        <v>0</v>
      </c>
      <c r="AC83" s="71">
        <f t="shared" si="30"/>
        <v>0</v>
      </c>
      <c r="AD83" s="71">
        <f t="shared" si="30"/>
        <v>0</v>
      </c>
      <c r="AE83" s="71">
        <f t="shared" si="30"/>
        <v>0</v>
      </c>
      <c r="AF83" s="71">
        <f t="shared" si="30"/>
        <v>0</v>
      </c>
      <c r="AG83" s="72">
        <f>SUM(AG80:AG82)</f>
        <v>106</v>
      </c>
      <c r="AH83" s="48">
        <f t="shared" si="27"/>
        <v>0</v>
      </c>
      <c r="AI83" s="49">
        <f t="shared" si="28"/>
        <v>0</v>
      </c>
      <c r="AK83" s="51"/>
      <c r="AY83" s="82"/>
      <c r="BF83" s="81"/>
      <c r="BG83" s="82">
        <v>0</v>
      </c>
      <c r="BH83" s="82">
        <v>0</v>
      </c>
      <c r="BI83" s="82">
        <v>0</v>
      </c>
      <c r="BJ83" s="82">
        <v>0</v>
      </c>
      <c r="BK83" s="82">
        <v>0</v>
      </c>
      <c r="BL83" s="82">
        <v>0</v>
      </c>
    </row>
    <row r="84" spans="1:64" x14ac:dyDescent="0.25">
      <c r="A84" s="45" t="s">
        <v>104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61"/>
      <c r="AH84" s="48">
        <f t="shared" si="27"/>
        <v>0</v>
      </c>
      <c r="AI84" s="49">
        <f t="shared" si="28"/>
        <v>0</v>
      </c>
      <c r="AK84" s="51"/>
      <c r="AY84" s="82"/>
      <c r="BF84" s="81"/>
      <c r="BG84" s="82"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</row>
    <row r="85" spans="1:64" ht="15.75" thickBot="1" x14ac:dyDescent="0.3">
      <c r="A85" s="65" t="s">
        <v>105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66"/>
      <c r="AH85" s="48">
        <f t="shared" si="27"/>
        <v>0</v>
      </c>
      <c r="AI85" s="49">
        <f t="shared" si="28"/>
        <v>0</v>
      </c>
      <c r="AK85" s="51"/>
      <c r="AL85" s="91" t="s">
        <v>111</v>
      </c>
      <c r="AM85" s="91"/>
      <c r="AY85" s="82"/>
      <c r="BF85" s="82"/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106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88"/>
      <c r="AH86" s="48">
        <f t="shared" si="27"/>
        <v>0</v>
      </c>
      <c r="AI86" s="49">
        <f t="shared" si="28"/>
        <v>0</v>
      </c>
      <c r="AK86" s="92"/>
      <c r="AL86" s="93"/>
      <c r="AM86" s="93"/>
      <c r="AN86" s="94"/>
      <c r="AY86" s="82"/>
      <c r="BF86" s="82"/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</row>
    <row r="87" spans="1:64" x14ac:dyDescent="0.25">
      <c r="A87" s="65" t="s">
        <v>107</v>
      </c>
      <c r="B87" s="76"/>
      <c r="C87" s="76"/>
      <c r="D87" s="76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8"/>
      <c r="AH87" s="48">
        <f t="shared" si="27"/>
        <v>0</v>
      </c>
      <c r="AI87" s="49">
        <f t="shared" si="28"/>
        <v>0</v>
      </c>
      <c r="AK87" s="95" t="s">
        <v>114</v>
      </c>
      <c r="AL87" s="76"/>
      <c r="AM87" s="89"/>
      <c r="AN87" s="96"/>
      <c r="AY87" s="82"/>
      <c r="BF87" s="82"/>
      <c r="BG87" s="82">
        <v>0</v>
      </c>
      <c r="BH87" s="82">
        <v>0</v>
      </c>
      <c r="BI87" s="82">
        <v>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108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88"/>
      <c r="AH88" s="48">
        <f t="shared" si="27"/>
        <v>0</v>
      </c>
      <c r="AI88" s="49">
        <f t="shared" si="28"/>
        <v>0</v>
      </c>
      <c r="AK88" s="95" t="s">
        <v>116</v>
      </c>
      <c r="AL88" s="89"/>
      <c r="AM88" s="89"/>
      <c r="AN88" s="96"/>
      <c r="AY88" s="82"/>
      <c r="BF88" s="82"/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</row>
    <row r="89" spans="1:64" ht="15.75" thickBot="1" x14ac:dyDescent="0.3">
      <c r="A89" s="97" t="s">
        <v>117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>MAX(B89:AF89)</f>
        <v>0</v>
      </c>
      <c r="AI89" s="49">
        <f t="shared" si="28"/>
        <v>0</v>
      </c>
      <c r="AK89" s="99"/>
      <c r="AL89" s="46"/>
      <c r="AM89" s="46"/>
      <c r="AN89" s="100"/>
      <c r="AY89" s="82"/>
      <c r="BF89" s="82"/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</row>
    <row r="90" spans="1:64" x14ac:dyDescent="0.25">
      <c r="A90" s="65" t="s">
        <v>109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88"/>
      <c r="AH90" s="48">
        <f t="shared" si="27"/>
        <v>0</v>
      </c>
      <c r="AI90" s="49">
        <f t="shared" si="28"/>
        <v>0</v>
      </c>
      <c r="AK90" s="99"/>
      <c r="AL90" s="90"/>
      <c r="AM90" s="102"/>
      <c r="AN90" s="202"/>
      <c r="AY90" s="82"/>
      <c r="BF90" s="82"/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</row>
    <row r="91" spans="1:64" x14ac:dyDescent="0.25">
      <c r="A91" s="65" t="s">
        <v>110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88"/>
      <c r="AH91" s="48">
        <f t="shared" si="27"/>
        <v>0</v>
      </c>
      <c r="AI91" s="49">
        <f t="shared" si="28"/>
        <v>0</v>
      </c>
      <c r="AK91" s="99"/>
      <c r="AL91" s="90"/>
      <c r="AM91" s="90"/>
      <c r="AN91" s="203"/>
      <c r="BF91" s="82"/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65" t="s">
        <v>112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88"/>
      <c r="AH92" s="48">
        <f t="shared" si="27"/>
        <v>0</v>
      </c>
      <c r="AI92" s="49">
        <f t="shared" si="28"/>
        <v>0</v>
      </c>
      <c r="AK92" s="104"/>
      <c r="AL92" s="105"/>
      <c r="AM92" s="105"/>
      <c r="AN92" s="106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65" t="s">
        <v>113</v>
      </c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8"/>
      <c r="AH93" s="48">
        <f t="shared" si="27"/>
        <v>0</v>
      </c>
      <c r="AI93" s="49">
        <f t="shared" si="28"/>
        <v>0</v>
      </c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97" t="s">
        <v>115</v>
      </c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8"/>
      <c r="AH94" s="48">
        <f t="shared" si="27"/>
        <v>0</v>
      </c>
      <c r="AI94" s="49">
        <f t="shared" si="28"/>
        <v>0</v>
      </c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87" t="s">
        <v>118</v>
      </c>
      <c r="B95" s="71">
        <f>SUMIF(B84:B94,"&gt;0")</f>
        <v>0</v>
      </c>
      <c r="C95" s="71">
        <f>SUMIF(C84:C94,"&gt;0")</f>
        <v>0</v>
      </c>
      <c r="D95" s="71">
        <f t="shared" ref="D95:AF95" si="31">SUMIF(D84:D94,"&gt;0")</f>
        <v>0</v>
      </c>
      <c r="E95" s="71">
        <f t="shared" si="31"/>
        <v>0</v>
      </c>
      <c r="F95" s="71">
        <f t="shared" si="31"/>
        <v>0</v>
      </c>
      <c r="G95" s="71">
        <f t="shared" si="31"/>
        <v>0</v>
      </c>
      <c r="H95" s="71">
        <f t="shared" si="31"/>
        <v>0</v>
      </c>
      <c r="I95" s="71">
        <f t="shared" si="31"/>
        <v>0</v>
      </c>
      <c r="J95" s="71">
        <f t="shared" si="31"/>
        <v>0</v>
      </c>
      <c r="K95" s="71">
        <f t="shared" si="31"/>
        <v>0</v>
      </c>
      <c r="L95" s="71">
        <f t="shared" si="31"/>
        <v>0</v>
      </c>
      <c r="M95" s="71">
        <f t="shared" si="31"/>
        <v>0</v>
      </c>
      <c r="N95" s="71">
        <f t="shared" si="31"/>
        <v>0</v>
      </c>
      <c r="O95" s="71">
        <f t="shared" si="31"/>
        <v>0</v>
      </c>
      <c r="P95" s="71">
        <f t="shared" si="31"/>
        <v>0</v>
      </c>
      <c r="Q95" s="71">
        <f t="shared" si="31"/>
        <v>0</v>
      </c>
      <c r="R95" s="71">
        <f t="shared" si="31"/>
        <v>0</v>
      </c>
      <c r="S95" s="71">
        <f t="shared" si="31"/>
        <v>0</v>
      </c>
      <c r="T95" s="71">
        <f t="shared" si="31"/>
        <v>0</v>
      </c>
      <c r="U95" s="71">
        <f>SUMIF(U84:U94,"&gt;0")</f>
        <v>0</v>
      </c>
      <c r="V95" s="71">
        <f t="shared" si="31"/>
        <v>0</v>
      </c>
      <c r="W95" s="71">
        <f t="shared" si="31"/>
        <v>0</v>
      </c>
      <c r="X95" s="71">
        <f t="shared" si="31"/>
        <v>0</v>
      </c>
      <c r="Y95" s="71">
        <f t="shared" si="31"/>
        <v>0</v>
      </c>
      <c r="Z95" s="71">
        <f t="shared" si="31"/>
        <v>0</v>
      </c>
      <c r="AA95" s="71">
        <f t="shared" si="31"/>
        <v>0</v>
      </c>
      <c r="AB95" s="71">
        <f t="shared" si="31"/>
        <v>0</v>
      </c>
      <c r="AC95" s="71">
        <f t="shared" si="31"/>
        <v>0</v>
      </c>
      <c r="AD95" s="71">
        <f t="shared" si="31"/>
        <v>0</v>
      </c>
      <c r="AE95" s="71">
        <f t="shared" si="31"/>
        <v>0</v>
      </c>
      <c r="AF95" s="71">
        <f t="shared" si="31"/>
        <v>0</v>
      </c>
      <c r="AG95" s="101">
        <f>SUM(AG84:AG94)</f>
        <v>0</v>
      </c>
      <c r="AH95" s="48">
        <f t="shared" si="27"/>
        <v>0</v>
      </c>
      <c r="AI95" s="49">
        <f t="shared" si="28"/>
        <v>0</v>
      </c>
      <c r="BF95" s="82"/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64" x14ac:dyDescent="0.25">
      <c r="A96" s="45" t="s">
        <v>119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103">
        <v>39</v>
      </c>
      <c r="AH96" s="48">
        <f t="shared" si="27"/>
        <v>0</v>
      </c>
      <c r="AI96" s="49">
        <f t="shared" si="28"/>
        <v>0</v>
      </c>
      <c r="BF96" s="82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65" t="s">
        <v>120</v>
      </c>
      <c r="B97" s="90">
        <v>0</v>
      </c>
      <c r="C97" s="90">
        <v>0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88">
        <v>14.4</v>
      </c>
      <c r="AH97" s="48">
        <f t="shared" si="27"/>
        <v>0</v>
      </c>
      <c r="AI97" s="49">
        <f t="shared" si="28"/>
        <v>0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97" t="s">
        <v>121</v>
      </c>
      <c r="B98" s="107">
        <v>0</v>
      </c>
      <c r="C98" s="107">
        <v>0</v>
      </c>
      <c r="D98" s="107">
        <v>0</v>
      </c>
      <c r="E98" s="107">
        <v>0</v>
      </c>
      <c r="F98" s="107">
        <v>0</v>
      </c>
      <c r="G98" s="107">
        <v>0</v>
      </c>
      <c r="H98" s="107">
        <v>0</v>
      </c>
      <c r="I98" s="107">
        <v>0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7">
        <v>0</v>
      </c>
      <c r="Q98" s="107">
        <v>0</v>
      </c>
      <c r="R98" s="107">
        <v>0</v>
      </c>
      <c r="S98" s="107">
        <v>0</v>
      </c>
      <c r="T98" s="107">
        <v>0</v>
      </c>
      <c r="U98" s="107">
        <v>0</v>
      </c>
      <c r="V98" s="107">
        <v>0</v>
      </c>
      <c r="W98" s="107">
        <v>0</v>
      </c>
      <c r="X98" s="107">
        <v>0</v>
      </c>
      <c r="Y98" s="107">
        <v>0</v>
      </c>
      <c r="Z98" s="107">
        <v>0</v>
      </c>
      <c r="AA98" s="107">
        <v>0</v>
      </c>
      <c r="AB98" s="107">
        <v>0</v>
      </c>
      <c r="AC98" s="107">
        <v>0</v>
      </c>
      <c r="AD98" s="107">
        <v>0</v>
      </c>
      <c r="AE98" s="107">
        <v>0</v>
      </c>
      <c r="AF98" s="107">
        <v>0</v>
      </c>
      <c r="AG98" s="98">
        <v>2</v>
      </c>
      <c r="AH98" s="48">
        <f t="shared" si="27"/>
        <v>0</v>
      </c>
      <c r="AI98" s="49">
        <f t="shared" si="28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122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>
        <v>0</v>
      </c>
      <c r="Y99" s="71"/>
      <c r="Z99" s="71"/>
      <c r="AA99" s="71"/>
      <c r="AB99" s="71"/>
      <c r="AC99" s="71"/>
      <c r="AD99" s="71"/>
      <c r="AE99" s="71"/>
      <c r="AF99" s="71"/>
      <c r="AG99" s="101">
        <f>SUM(AG96:AG98)</f>
        <v>55.4</v>
      </c>
      <c r="AH99" s="48">
        <f t="shared" si="27"/>
        <v>0</v>
      </c>
      <c r="AI99" s="49">
        <f t="shared" si="28"/>
        <v>0</v>
      </c>
      <c r="BF99" s="81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123</v>
      </c>
      <c r="B100" s="108">
        <f t="shared" ref="B100:AG100" si="32">B61+B65+B83+B79+B95+B99</f>
        <v>153.54</v>
      </c>
      <c r="C100" s="108">
        <f t="shared" si="32"/>
        <v>153.54</v>
      </c>
      <c r="D100" s="108">
        <f t="shared" si="32"/>
        <v>153.54</v>
      </c>
      <c r="E100" s="108">
        <f t="shared" si="32"/>
        <v>153.54</v>
      </c>
      <c r="F100" s="108">
        <f t="shared" si="32"/>
        <v>153.54</v>
      </c>
      <c r="G100" s="108">
        <f t="shared" si="32"/>
        <v>153.54</v>
      </c>
      <c r="H100" s="108">
        <f t="shared" si="32"/>
        <v>153.54</v>
      </c>
      <c r="I100" s="108">
        <f t="shared" si="32"/>
        <v>153.54</v>
      </c>
      <c r="J100" s="108">
        <f t="shared" si="32"/>
        <v>153.54</v>
      </c>
      <c r="K100" s="108">
        <f t="shared" si="32"/>
        <v>153.54</v>
      </c>
      <c r="L100" s="108">
        <f t="shared" si="32"/>
        <v>153.54</v>
      </c>
      <c r="M100" s="108">
        <f t="shared" si="32"/>
        <v>153.54</v>
      </c>
      <c r="N100" s="108">
        <f t="shared" si="32"/>
        <v>153.54</v>
      </c>
      <c r="O100" s="108">
        <f t="shared" si="32"/>
        <v>153.54</v>
      </c>
      <c r="P100" s="108">
        <f t="shared" si="32"/>
        <v>153.54</v>
      </c>
      <c r="Q100" s="108">
        <f t="shared" si="32"/>
        <v>153.54</v>
      </c>
      <c r="R100" s="108">
        <f t="shared" si="32"/>
        <v>153.54</v>
      </c>
      <c r="S100" s="108">
        <f t="shared" si="32"/>
        <v>153.54</v>
      </c>
      <c r="T100" s="108">
        <f t="shared" si="32"/>
        <v>153.54</v>
      </c>
      <c r="U100" s="108">
        <f t="shared" si="32"/>
        <v>153.54</v>
      </c>
      <c r="V100" s="108">
        <f t="shared" si="32"/>
        <v>153.54</v>
      </c>
      <c r="W100" s="108">
        <f t="shared" si="32"/>
        <v>153.54</v>
      </c>
      <c r="X100" s="108">
        <f t="shared" si="32"/>
        <v>153.54</v>
      </c>
      <c r="Y100" s="108">
        <f t="shared" si="32"/>
        <v>153.5</v>
      </c>
      <c r="Z100" s="108">
        <f t="shared" si="32"/>
        <v>155.5</v>
      </c>
      <c r="AA100" s="108">
        <f t="shared" si="32"/>
        <v>153.54</v>
      </c>
      <c r="AB100" s="108">
        <f t="shared" si="32"/>
        <v>153.54</v>
      </c>
      <c r="AC100" s="108">
        <f t="shared" si="32"/>
        <v>153.54</v>
      </c>
      <c r="AD100" s="108">
        <f t="shared" si="32"/>
        <v>153.54</v>
      </c>
      <c r="AE100" s="108">
        <f t="shared" si="32"/>
        <v>153.54</v>
      </c>
      <c r="AF100" s="108">
        <f t="shared" si="32"/>
        <v>153.54</v>
      </c>
      <c r="AG100" s="72">
        <f t="shared" si="32"/>
        <v>2655.44</v>
      </c>
      <c r="AH100" s="48">
        <f t="shared" si="27"/>
        <v>155.5</v>
      </c>
      <c r="AI100" s="49">
        <f t="shared" si="28"/>
        <v>153.5</v>
      </c>
      <c r="BF100" s="81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ht="15.75" thickBot="1" x14ac:dyDescent="0.3">
      <c r="A101" s="109" t="s">
        <v>124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01"/>
      <c r="AH101" s="48">
        <f t="shared" si="27"/>
        <v>0</v>
      </c>
      <c r="AI101" s="49">
        <f t="shared" si="28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87" t="s">
        <v>125</v>
      </c>
      <c r="B102" s="108">
        <f>B100+B101</f>
        <v>153.54</v>
      </c>
      <c r="C102" s="108">
        <f t="shared" ref="C102:AF102" si="33">C100+C101</f>
        <v>153.54</v>
      </c>
      <c r="D102" s="108">
        <f t="shared" si="33"/>
        <v>153.54</v>
      </c>
      <c r="E102" s="108">
        <f t="shared" si="33"/>
        <v>153.54</v>
      </c>
      <c r="F102" s="108">
        <f t="shared" si="33"/>
        <v>153.54</v>
      </c>
      <c r="G102" s="108">
        <f t="shared" si="33"/>
        <v>153.54</v>
      </c>
      <c r="H102" s="108">
        <f t="shared" si="33"/>
        <v>153.54</v>
      </c>
      <c r="I102" s="108">
        <f t="shared" si="33"/>
        <v>153.54</v>
      </c>
      <c r="J102" s="108">
        <f t="shared" si="33"/>
        <v>153.54</v>
      </c>
      <c r="K102" s="108">
        <f t="shared" si="33"/>
        <v>153.54</v>
      </c>
      <c r="L102" s="108">
        <f t="shared" si="33"/>
        <v>153.54</v>
      </c>
      <c r="M102" s="108">
        <f t="shared" si="33"/>
        <v>153.54</v>
      </c>
      <c r="N102" s="108">
        <f t="shared" si="33"/>
        <v>153.54</v>
      </c>
      <c r="O102" s="108">
        <f t="shared" si="33"/>
        <v>153.54</v>
      </c>
      <c r="P102" s="108">
        <f t="shared" si="33"/>
        <v>153.54</v>
      </c>
      <c r="Q102" s="108">
        <f t="shared" si="33"/>
        <v>153.54</v>
      </c>
      <c r="R102" s="108">
        <f t="shared" si="33"/>
        <v>153.54</v>
      </c>
      <c r="S102" s="108">
        <f t="shared" si="33"/>
        <v>153.54</v>
      </c>
      <c r="T102" s="108">
        <f t="shared" si="33"/>
        <v>153.54</v>
      </c>
      <c r="U102" s="108">
        <f t="shared" si="33"/>
        <v>153.54</v>
      </c>
      <c r="V102" s="108">
        <f t="shared" si="33"/>
        <v>153.54</v>
      </c>
      <c r="W102" s="108">
        <f t="shared" si="33"/>
        <v>153.54</v>
      </c>
      <c r="X102" s="108">
        <f t="shared" si="33"/>
        <v>153.54</v>
      </c>
      <c r="Y102" s="108">
        <f t="shared" si="33"/>
        <v>153.5</v>
      </c>
      <c r="Z102" s="108">
        <f t="shared" si="33"/>
        <v>155.5</v>
      </c>
      <c r="AA102" s="108">
        <f t="shared" si="33"/>
        <v>153.54</v>
      </c>
      <c r="AB102" s="108">
        <f t="shared" si="33"/>
        <v>153.54</v>
      </c>
      <c r="AC102" s="108">
        <f t="shared" si="33"/>
        <v>153.54</v>
      </c>
      <c r="AD102" s="108">
        <f t="shared" si="33"/>
        <v>153.54</v>
      </c>
      <c r="AE102" s="108">
        <f t="shared" si="33"/>
        <v>153.54</v>
      </c>
      <c r="AF102" s="108">
        <f t="shared" si="33"/>
        <v>153.54</v>
      </c>
      <c r="AG102" s="101">
        <f>AG99+AG95+AG83+AG79+AG61+AG101</f>
        <v>2117.34</v>
      </c>
      <c r="AH102" s="48">
        <f t="shared" si="27"/>
        <v>155.5</v>
      </c>
      <c r="AI102" s="49">
        <f t="shared" si="28"/>
        <v>153.5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ht="15.75" thickBot="1" x14ac:dyDescent="0.3">
      <c r="A103" s="87" t="s">
        <v>126</v>
      </c>
      <c r="B103" s="108">
        <f>B102-(B110)</f>
        <v>153.54</v>
      </c>
      <c r="C103" s="108">
        <f t="shared" ref="C103:AF103" si="34">C102-(C110)</f>
        <v>153.54</v>
      </c>
      <c r="D103" s="108">
        <f t="shared" si="34"/>
        <v>153.54</v>
      </c>
      <c r="E103" s="108">
        <f t="shared" si="34"/>
        <v>153.54</v>
      </c>
      <c r="F103" s="108">
        <f t="shared" si="34"/>
        <v>153.54</v>
      </c>
      <c r="G103" s="108">
        <f t="shared" si="34"/>
        <v>153.54</v>
      </c>
      <c r="H103" s="108">
        <f t="shared" si="34"/>
        <v>153.54</v>
      </c>
      <c r="I103" s="108">
        <f t="shared" si="34"/>
        <v>153.54</v>
      </c>
      <c r="J103" s="108">
        <f t="shared" si="34"/>
        <v>153.54</v>
      </c>
      <c r="K103" s="108">
        <f t="shared" si="34"/>
        <v>153.54</v>
      </c>
      <c r="L103" s="108">
        <f t="shared" si="34"/>
        <v>153.54</v>
      </c>
      <c r="M103" s="108">
        <f t="shared" si="34"/>
        <v>153.54</v>
      </c>
      <c r="N103" s="108">
        <f t="shared" si="34"/>
        <v>153.54</v>
      </c>
      <c r="O103" s="108">
        <f t="shared" si="34"/>
        <v>153.54</v>
      </c>
      <c r="P103" s="108">
        <f t="shared" si="34"/>
        <v>153.54</v>
      </c>
      <c r="Q103" s="108">
        <f t="shared" si="34"/>
        <v>153.54</v>
      </c>
      <c r="R103" s="108">
        <f t="shared" si="34"/>
        <v>153.54</v>
      </c>
      <c r="S103" s="108">
        <f t="shared" si="34"/>
        <v>153.54</v>
      </c>
      <c r="T103" s="108">
        <f t="shared" si="34"/>
        <v>153.54</v>
      </c>
      <c r="U103" s="108">
        <f t="shared" si="34"/>
        <v>153.54</v>
      </c>
      <c r="V103" s="108">
        <f t="shared" si="34"/>
        <v>153.54</v>
      </c>
      <c r="W103" s="108">
        <f t="shared" si="34"/>
        <v>153.54</v>
      </c>
      <c r="X103" s="108">
        <f t="shared" si="34"/>
        <v>153.54</v>
      </c>
      <c r="Y103" s="108">
        <f t="shared" si="34"/>
        <v>153.5</v>
      </c>
      <c r="Z103" s="108">
        <f t="shared" si="34"/>
        <v>155.5</v>
      </c>
      <c r="AA103" s="108">
        <f t="shared" si="34"/>
        <v>153.54</v>
      </c>
      <c r="AB103" s="108">
        <f t="shared" si="34"/>
        <v>153.54</v>
      </c>
      <c r="AC103" s="108">
        <f t="shared" si="34"/>
        <v>153.54</v>
      </c>
      <c r="AD103" s="108">
        <f t="shared" si="34"/>
        <v>153.54</v>
      </c>
      <c r="AE103" s="108">
        <f t="shared" si="34"/>
        <v>153.54</v>
      </c>
      <c r="AF103" s="108">
        <f t="shared" si="34"/>
        <v>153.54</v>
      </c>
      <c r="AG103" s="101"/>
      <c r="AH103" s="48">
        <f t="shared" si="27"/>
        <v>155.5</v>
      </c>
      <c r="AI103" s="49">
        <f t="shared" si="28"/>
        <v>153.5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45" t="s">
        <v>104</v>
      </c>
      <c r="B104" s="89">
        <f>IF(B84&lt;0,B84*-1,0)</f>
        <v>0</v>
      </c>
      <c r="C104" s="89">
        <f t="shared" ref="C104:AF109" si="35">IF(C84&lt;0,C84*-1,0)</f>
        <v>0</v>
      </c>
      <c r="D104" s="89">
        <f t="shared" si="35"/>
        <v>0</v>
      </c>
      <c r="E104" s="89">
        <f t="shared" si="35"/>
        <v>0</v>
      </c>
      <c r="F104" s="89">
        <f t="shared" si="35"/>
        <v>0</v>
      </c>
      <c r="G104" s="89">
        <f t="shared" si="35"/>
        <v>0</v>
      </c>
      <c r="H104" s="89">
        <f t="shared" si="35"/>
        <v>0</v>
      </c>
      <c r="I104" s="89">
        <f t="shared" si="35"/>
        <v>0</v>
      </c>
      <c r="J104" s="89">
        <f t="shared" si="35"/>
        <v>0</v>
      </c>
      <c r="K104" s="89">
        <f t="shared" si="35"/>
        <v>0</v>
      </c>
      <c r="L104" s="89">
        <f t="shared" si="35"/>
        <v>0</v>
      </c>
      <c r="M104" s="89">
        <f t="shared" si="35"/>
        <v>0</v>
      </c>
      <c r="N104" s="89">
        <f t="shared" si="35"/>
        <v>0</v>
      </c>
      <c r="O104" s="89">
        <f t="shared" si="35"/>
        <v>0</v>
      </c>
      <c r="P104" s="89">
        <f t="shared" si="35"/>
        <v>0</v>
      </c>
      <c r="Q104" s="89">
        <f t="shared" si="35"/>
        <v>0</v>
      </c>
      <c r="R104" s="89">
        <f t="shared" si="35"/>
        <v>0</v>
      </c>
      <c r="S104" s="89">
        <f t="shared" si="35"/>
        <v>0</v>
      </c>
      <c r="T104" s="89">
        <f t="shared" si="35"/>
        <v>0</v>
      </c>
      <c r="U104" s="89">
        <f t="shared" si="35"/>
        <v>0</v>
      </c>
      <c r="V104" s="89">
        <f t="shared" si="35"/>
        <v>0</v>
      </c>
      <c r="W104" s="89">
        <f t="shared" si="35"/>
        <v>0</v>
      </c>
      <c r="X104" s="89">
        <f t="shared" si="35"/>
        <v>0</v>
      </c>
      <c r="Y104" s="89">
        <f t="shared" si="35"/>
        <v>0</v>
      </c>
      <c r="Z104" s="89">
        <f t="shared" si="35"/>
        <v>0</v>
      </c>
      <c r="AA104" s="89">
        <f t="shared" si="35"/>
        <v>0</v>
      </c>
      <c r="AB104" s="89">
        <f t="shared" si="35"/>
        <v>0</v>
      </c>
      <c r="AC104" s="89">
        <f t="shared" si="35"/>
        <v>0</v>
      </c>
      <c r="AD104" s="89">
        <f t="shared" si="35"/>
        <v>0</v>
      </c>
      <c r="AE104" s="89">
        <f t="shared" si="35"/>
        <v>0</v>
      </c>
      <c r="AF104" s="89">
        <f t="shared" si="35"/>
        <v>0</v>
      </c>
      <c r="AG104" s="61"/>
      <c r="AH104" s="48">
        <f t="shared" si="27"/>
        <v>0</v>
      </c>
      <c r="AI104" s="49">
        <f t="shared" si="28"/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65" t="s">
        <v>105</v>
      </c>
      <c r="B105" s="89">
        <f t="shared" ref="B105:Q109" si="36">IF(B85&lt;0,B85*-1,0)</f>
        <v>0</v>
      </c>
      <c r="C105" s="89">
        <f t="shared" si="36"/>
        <v>0</v>
      </c>
      <c r="D105" s="89">
        <f t="shared" si="36"/>
        <v>0</v>
      </c>
      <c r="E105" s="89">
        <f t="shared" si="36"/>
        <v>0</v>
      </c>
      <c r="F105" s="89">
        <f t="shared" si="36"/>
        <v>0</v>
      </c>
      <c r="G105" s="89">
        <f t="shared" si="36"/>
        <v>0</v>
      </c>
      <c r="H105" s="89">
        <f t="shared" si="36"/>
        <v>0</v>
      </c>
      <c r="I105" s="89">
        <f t="shared" si="36"/>
        <v>0</v>
      </c>
      <c r="J105" s="89">
        <f t="shared" si="36"/>
        <v>0</v>
      </c>
      <c r="K105" s="89">
        <f t="shared" si="36"/>
        <v>0</v>
      </c>
      <c r="L105" s="89">
        <f t="shared" si="36"/>
        <v>0</v>
      </c>
      <c r="M105" s="89">
        <f t="shared" si="36"/>
        <v>0</v>
      </c>
      <c r="N105" s="89">
        <f t="shared" si="36"/>
        <v>0</v>
      </c>
      <c r="O105" s="89">
        <f t="shared" si="36"/>
        <v>0</v>
      </c>
      <c r="P105" s="89">
        <f t="shared" si="36"/>
        <v>0</v>
      </c>
      <c r="Q105" s="89">
        <f t="shared" si="36"/>
        <v>0</v>
      </c>
      <c r="R105" s="89">
        <f t="shared" si="35"/>
        <v>0</v>
      </c>
      <c r="S105" s="89">
        <f t="shared" si="35"/>
        <v>0</v>
      </c>
      <c r="T105" s="89">
        <f t="shared" si="35"/>
        <v>0</v>
      </c>
      <c r="U105" s="89">
        <f t="shared" si="35"/>
        <v>0</v>
      </c>
      <c r="V105" s="89">
        <f t="shared" si="35"/>
        <v>0</v>
      </c>
      <c r="W105" s="89">
        <f t="shared" si="35"/>
        <v>0</v>
      </c>
      <c r="X105" s="89">
        <f t="shared" si="35"/>
        <v>0</v>
      </c>
      <c r="Y105" s="89">
        <f t="shared" si="35"/>
        <v>0</v>
      </c>
      <c r="Z105" s="89">
        <f t="shared" si="35"/>
        <v>0</v>
      </c>
      <c r="AA105" s="89">
        <f t="shared" si="35"/>
        <v>0</v>
      </c>
      <c r="AB105" s="89">
        <f t="shared" si="35"/>
        <v>0</v>
      </c>
      <c r="AC105" s="89">
        <f t="shared" si="35"/>
        <v>0</v>
      </c>
      <c r="AD105" s="89">
        <f t="shared" si="35"/>
        <v>0</v>
      </c>
      <c r="AE105" s="89">
        <f t="shared" si="35"/>
        <v>0</v>
      </c>
      <c r="AF105" s="89">
        <f t="shared" si="35"/>
        <v>0</v>
      </c>
      <c r="AG105" s="66"/>
      <c r="AH105" s="48">
        <f t="shared" si="27"/>
        <v>0</v>
      </c>
      <c r="AI105" s="49">
        <f t="shared" si="28"/>
        <v>0</v>
      </c>
      <c r="AK105" s="5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97" t="s">
        <v>106</v>
      </c>
      <c r="B106" s="89">
        <f t="shared" si="36"/>
        <v>0</v>
      </c>
      <c r="C106" s="89">
        <f t="shared" si="35"/>
        <v>0</v>
      </c>
      <c r="D106" s="89">
        <f t="shared" si="35"/>
        <v>0</v>
      </c>
      <c r="E106" s="89">
        <f t="shared" si="35"/>
        <v>0</v>
      </c>
      <c r="F106" s="89">
        <f t="shared" si="35"/>
        <v>0</v>
      </c>
      <c r="G106" s="89">
        <f t="shared" si="35"/>
        <v>0</v>
      </c>
      <c r="H106" s="89">
        <f t="shared" si="35"/>
        <v>0</v>
      </c>
      <c r="I106" s="89">
        <f t="shared" si="35"/>
        <v>0</v>
      </c>
      <c r="J106" s="89">
        <f t="shared" si="35"/>
        <v>0</v>
      </c>
      <c r="K106" s="89">
        <f t="shared" si="35"/>
        <v>0</v>
      </c>
      <c r="L106" s="89">
        <f t="shared" si="35"/>
        <v>0</v>
      </c>
      <c r="M106" s="89">
        <f t="shared" si="35"/>
        <v>0</v>
      </c>
      <c r="N106" s="89">
        <f t="shared" si="35"/>
        <v>0</v>
      </c>
      <c r="O106" s="89">
        <f t="shared" si="35"/>
        <v>0</v>
      </c>
      <c r="P106" s="89">
        <f t="shared" si="35"/>
        <v>0</v>
      </c>
      <c r="Q106" s="89">
        <f t="shared" si="35"/>
        <v>0</v>
      </c>
      <c r="R106" s="89">
        <f t="shared" si="35"/>
        <v>0</v>
      </c>
      <c r="S106" s="89">
        <f t="shared" si="35"/>
        <v>0</v>
      </c>
      <c r="T106" s="89">
        <f t="shared" si="35"/>
        <v>0</v>
      </c>
      <c r="U106" s="89">
        <f t="shared" si="35"/>
        <v>0</v>
      </c>
      <c r="V106" s="89">
        <f t="shared" si="35"/>
        <v>0</v>
      </c>
      <c r="W106" s="89">
        <f t="shared" si="35"/>
        <v>0</v>
      </c>
      <c r="X106" s="89">
        <f t="shared" si="35"/>
        <v>0</v>
      </c>
      <c r="Y106" s="89">
        <f t="shared" si="35"/>
        <v>0</v>
      </c>
      <c r="Z106" s="89">
        <f t="shared" si="35"/>
        <v>0</v>
      </c>
      <c r="AA106" s="89">
        <f t="shared" si="35"/>
        <v>0</v>
      </c>
      <c r="AB106" s="89">
        <f t="shared" si="35"/>
        <v>0</v>
      </c>
      <c r="AC106" s="89">
        <f t="shared" si="35"/>
        <v>0</v>
      </c>
      <c r="AD106" s="89">
        <f t="shared" si="35"/>
        <v>0</v>
      </c>
      <c r="AE106" s="89">
        <f t="shared" si="35"/>
        <v>0</v>
      </c>
      <c r="AF106" s="89">
        <f t="shared" si="35"/>
        <v>0</v>
      </c>
      <c r="AG106" s="111"/>
      <c r="AH106" s="48">
        <f t="shared" si="27"/>
        <v>0</v>
      </c>
      <c r="AI106" s="49">
        <f t="shared" si="28"/>
        <v>0</v>
      </c>
    </row>
    <row r="107" spans="1:64" x14ac:dyDescent="0.25">
      <c r="A107" s="97" t="s">
        <v>107</v>
      </c>
      <c r="B107" s="89">
        <f t="shared" si="36"/>
        <v>0</v>
      </c>
      <c r="C107" s="89">
        <f t="shared" si="35"/>
        <v>0</v>
      </c>
      <c r="D107" s="89">
        <f t="shared" si="35"/>
        <v>0</v>
      </c>
      <c r="E107" s="89">
        <f t="shared" si="35"/>
        <v>0</v>
      </c>
      <c r="F107" s="89">
        <f t="shared" si="35"/>
        <v>0</v>
      </c>
      <c r="G107" s="89">
        <f t="shared" si="35"/>
        <v>0</v>
      </c>
      <c r="H107" s="89">
        <f t="shared" si="35"/>
        <v>0</v>
      </c>
      <c r="I107" s="89">
        <f t="shared" si="35"/>
        <v>0</v>
      </c>
      <c r="J107" s="89">
        <f t="shared" si="35"/>
        <v>0</v>
      </c>
      <c r="K107" s="89">
        <f t="shared" si="35"/>
        <v>0</v>
      </c>
      <c r="L107" s="89">
        <f t="shared" si="35"/>
        <v>0</v>
      </c>
      <c r="M107" s="89">
        <f t="shared" si="35"/>
        <v>0</v>
      </c>
      <c r="N107" s="89">
        <f t="shared" si="35"/>
        <v>0</v>
      </c>
      <c r="O107" s="89">
        <f t="shared" si="35"/>
        <v>0</v>
      </c>
      <c r="P107" s="89">
        <f t="shared" si="35"/>
        <v>0</v>
      </c>
      <c r="Q107" s="89">
        <f t="shared" si="35"/>
        <v>0</v>
      </c>
      <c r="R107" s="89">
        <f t="shared" si="35"/>
        <v>0</v>
      </c>
      <c r="S107" s="89">
        <f t="shared" si="35"/>
        <v>0</v>
      </c>
      <c r="T107" s="89">
        <f t="shared" si="35"/>
        <v>0</v>
      </c>
      <c r="U107" s="89">
        <f t="shared" si="35"/>
        <v>0</v>
      </c>
      <c r="V107" s="89">
        <f t="shared" si="35"/>
        <v>0</v>
      </c>
      <c r="W107" s="89">
        <f t="shared" si="35"/>
        <v>0</v>
      </c>
      <c r="X107" s="89">
        <f t="shared" si="35"/>
        <v>0</v>
      </c>
      <c r="Y107" s="89">
        <f t="shared" si="35"/>
        <v>0</v>
      </c>
      <c r="Z107" s="89">
        <f t="shared" si="35"/>
        <v>0</v>
      </c>
      <c r="AA107" s="89">
        <f t="shared" si="35"/>
        <v>0</v>
      </c>
      <c r="AB107" s="89">
        <f t="shared" si="35"/>
        <v>0</v>
      </c>
      <c r="AC107" s="89">
        <f t="shared" si="35"/>
        <v>0</v>
      </c>
      <c r="AD107" s="89">
        <f t="shared" si="35"/>
        <v>0</v>
      </c>
      <c r="AE107" s="89">
        <f t="shared" si="35"/>
        <v>0</v>
      </c>
      <c r="AF107" s="89">
        <f t="shared" si="35"/>
        <v>0</v>
      </c>
      <c r="AG107" s="111"/>
      <c r="AH107" s="48">
        <f t="shared" si="27"/>
        <v>0</v>
      </c>
      <c r="AI107" s="49">
        <f t="shared" si="28"/>
        <v>0</v>
      </c>
    </row>
    <row r="108" spans="1:64" x14ac:dyDescent="0.25">
      <c r="A108" s="97" t="s">
        <v>108</v>
      </c>
      <c r="B108" s="89">
        <f t="shared" si="36"/>
        <v>0</v>
      </c>
      <c r="C108" s="89">
        <f t="shared" si="35"/>
        <v>0</v>
      </c>
      <c r="D108" s="89">
        <f t="shared" si="35"/>
        <v>0</v>
      </c>
      <c r="E108" s="89">
        <f t="shared" si="35"/>
        <v>0</v>
      </c>
      <c r="F108" s="89">
        <f t="shared" si="35"/>
        <v>0</v>
      </c>
      <c r="G108" s="89">
        <f t="shared" si="35"/>
        <v>0</v>
      </c>
      <c r="H108" s="89">
        <f t="shared" si="35"/>
        <v>0</v>
      </c>
      <c r="I108" s="89">
        <f t="shared" si="35"/>
        <v>0</v>
      </c>
      <c r="J108" s="89">
        <f t="shared" si="35"/>
        <v>0</v>
      </c>
      <c r="K108" s="89">
        <f t="shared" si="35"/>
        <v>0</v>
      </c>
      <c r="L108" s="89">
        <f t="shared" si="35"/>
        <v>0</v>
      </c>
      <c r="M108" s="89">
        <f t="shared" si="35"/>
        <v>0</v>
      </c>
      <c r="N108" s="89">
        <f t="shared" si="35"/>
        <v>0</v>
      </c>
      <c r="O108" s="89">
        <f t="shared" si="35"/>
        <v>0</v>
      </c>
      <c r="P108" s="89">
        <f t="shared" si="35"/>
        <v>0</v>
      </c>
      <c r="Q108" s="89">
        <f t="shared" si="35"/>
        <v>0</v>
      </c>
      <c r="R108" s="89">
        <f t="shared" si="35"/>
        <v>0</v>
      </c>
      <c r="S108" s="89">
        <f t="shared" si="35"/>
        <v>0</v>
      </c>
      <c r="T108" s="89">
        <f t="shared" si="35"/>
        <v>0</v>
      </c>
      <c r="U108" s="89">
        <f t="shared" si="35"/>
        <v>0</v>
      </c>
      <c r="V108" s="89">
        <f t="shared" si="35"/>
        <v>0</v>
      </c>
      <c r="W108" s="89">
        <f t="shared" si="35"/>
        <v>0</v>
      </c>
      <c r="X108" s="89">
        <f t="shared" si="35"/>
        <v>0</v>
      </c>
      <c r="Y108" s="89">
        <f t="shared" si="35"/>
        <v>0</v>
      </c>
      <c r="Z108" s="89">
        <f t="shared" si="35"/>
        <v>0</v>
      </c>
      <c r="AA108" s="89">
        <f t="shared" si="35"/>
        <v>0</v>
      </c>
      <c r="AB108" s="89">
        <f t="shared" si="35"/>
        <v>0</v>
      </c>
      <c r="AC108" s="89">
        <f t="shared" si="35"/>
        <v>0</v>
      </c>
      <c r="AD108" s="89">
        <f t="shared" si="35"/>
        <v>0</v>
      </c>
      <c r="AE108" s="89">
        <f t="shared" si="35"/>
        <v>0</v>
      </c>
      <c r="AF108" s="89">
        <f t="shared" si="35"/>
        <v>0</v>
      </c>
      <c r="AG108" s="111"/>
      <c r="AH108" s="48">
        <f t="shared" si="27"/>
        <v>0</v>
      </c>
      <c r="AI108" s="49">
        <f t="shared" si="28"/>
        <v>0</v>
      </c>
    </row>
    <row r="109" spans="1:64" ht="15.75" thickBot="1" x14ac:dyDescent="0.3">
      <c r="A109" s="97" t="s">
        <v>117</v>
      </c>
      <c r="B109" s="89">
        <f t="shared" si="36"/>
        <v>0</v>
      </c>
      <c r="C109" s="89">
        <f t="shared" si="35"/>
        <v>0</v>
      </c>
      <c r="D109" s="89">
        <f t="shared" si="35"/>
        <v>0</v>
      </c>
      <c r="E109" s="89">
        <f t="shared" si="35"/>
        <v>0</v>
      </c>
      <c r="F109" s="89">
        <f t="shared" si="35"/>
        <v>0</v>
      </c>
      <c r="G109" s="89">
        <f t="shared" si="35"/>
        <v>0</v>
      </c>
      <c r="H109" s="89">
        <f t="shared" si="35"/>
        <v>0</v>
      </c>
      <c r="I109" s="89">
        <f t="shared" si="35"/>
        <v>0</v>
      </c>
      <c r="J109" s="89">
        <f t="shared" si="35"/>
        <v>0</v>
      </c>
      <c r="K109" s="89">
        <f t="shared" si="35"/>
        <v>0</v>
      </c>
      <c r="L109" s="89">
        <f t="shared" si="35"/>
        <v>0</v>
      </c>
      <c r="M109" s="89">
        <f t="shared" si="35"/>
        <v>0</v>
      </c>
      <c r="N109" s="89">
        <f t="shared" si="35"/>
        <v>0</v>
      </c>
      <c r="O109" s="89">
        <f t="shared" si="35"/>
        <v>0</v>
      </c>
      <c r="P109" s="89">
        <f t="shared" si="35"/>
        <v>0</v>
      </c>
      <c r="Q109" s="89">
        <f t="shared" si="35"/>
        <v>0</v>
      </c>
      <c r="R109" s="89">
        <f t="shared" si="35"/>
        <v>0</v>
      </c>
      <c r="S109" s="89">
        <f t="shared" si="35"/>
        <v>0</v>
      </c>
      <c r="T109" s="89">
        <f t="shared" si="35"/>
        <v>0</v>
      </c>
      <c r="U109" s="89">
        <f t="shared" si="35"/>
        <v>0</v>
      </c>
      <c r="V109" s="89">
        <f t="shared" si="35"/>
        <v>0</v>
      </c>
      <c r="W109" s="89">
        <f t="shared" si="35"/>
        <v>0</v>
      </c>
      <c r="X109" s="89">
        <f t="shared" si="35"/>
        <v>0</v>
      </c>
      <c r="Y109" s="89">
        <f t="shared" si="35"/>
        <v>0</v>
      </c>
      <c r="Z109" s="89">
        <f t="shared" si="35"/>
        <v>0</v>
      </c>
      <c r="AA109" s="89">
        <f t="shared" si="35"/>
        <v>0</v>
      </c>
      <c r="AB109" s="89">
        <f t="shared" si="35"/>
        <v>0</v>
      </c>
      <c r="AC109" s="89">
        <f t="shared" si="35"/>
        <v>0</v>
      </c>
      <c r="AD109" s="89">
        <f t="shared" si="35"/>
        <v>0</v>
      </c>
      <c r="AE109" s="89">
        <f t="shared" si="35"/>
        <v>0</v>
      </c>
      <c r="AF109" s="89">
        <f t="shared" si="35"/>
        <v>0</v>
      </c>
      <c r="AG109" s="98"/>
      <c r="AH109" s="48">
        <f t="shared" si="27"/>
        <v>0</v>
      </c>
      <c r="AI109" s="49">
        <f t="shared" si="28"/>
        <v>0</v>
      </c>
    </row>
    <row r="110" spans="1:64" ht="15.75" thickBot="1" x14ac:dyDescent="0.3">
      <c r="A110" s="112" t="s">
        <v>130</v>
      </c>
      <c r="B110" s="71">
        <f>SUM(B104:B109)</f>
        <v>0</v>
      </c>
      <c r="C110" s="71">
        <f t="shared" ref="C110:AF110" si="37">SUM(C104:C109)</f>
        <v>0</v>
      </c>
      <c r="D110" s="71">
        <f t="shared" si="37"/>
        <v>0</v>
      </c>
      <c r="E110" s="71">
        <f t="shared" si="37"/>
        <v>0</v>
      </c>
      <c r="F110" s="71">
        <f t="shared" si="37"/>
        <v>0</v>
      </c>
      <c r="G110" s="71">
        <f t="shared" si="37"/>
        <v>0</v>
      </c>
      <c r="H110" s="71">
        <f t="shared" si="37"/>
        <v>0</v>
      </c>
      <c r="I110" s="71">
        <f t="shared" si="37"/>
        <v>0</v>
      </c>
      <c r="J110" s="71">
        <f t="shared" si="37"/>
        <v>0</v>
      </c>
      <c r="K110" s="71">
        <f t="shared" si="37"/>
        <v>0</v>
      </c>
      <c r="L110" s="71">
        <f t="shared" si="37"/>
        <v>0</v>
      </c>
      <c r="M110" s="71">
        <f t="shared" si="37"/>
        <v>0</v>
      </c>
      <c r="N110" s="71">
        <f t="shared" si="37"/>
        <v>0</v>
      </c>
      <c r="O110" s="71">
        <f t="shared" si="37"/>
        <v>0</v>
      </c>
      <c r="P110" s="71">
        <f t="shared" si="37"/>
        <v>0</v>
      </c>
      <c r="Q110" s="71">
        <f t="shared" si="37"/>
        <v>0</v>
      </c>
      <c r="R110" s="71">
        <f t="shared" si="37"/>
        <v>0</v>
      </c>
      <c r="S110" s="71">
        <f t="shared" si="37"/>
        <v>0</v>
      </c>
      <c r="T110" s="71">
        <f t="shared" si="37"/>
        <v>0</v>
      </c>
      <c r="U110" s="71">
        <f t="shared" si="37"/>
        <v>0</v>
      </c>
      <c r="V110" s="71">
        <f t="shared" si="37"/>
        <v>0</v>
      </c>
      <c r="W110" s="71">
        <f t="shared" si="37"/>
        <v>0</v>
      </c>
      <c r="X110" s="71">
        <f t="shared" si="37"/>
        <v>0</v>
      </c>
      <c r="Y110" s="71">
        <f t="shared" si="37"/>
        <v>0</v>
      </c>
      <c r="Z110" s="71">
        <f t="shared" si="37"/>
        <v>0</v>
      </c>
      <c r="AA110" s="71">
        <f t="shared" si="37"/>
        <v>0</v>
      </c>
      <c r="AB110" s="71">
        <f t="shared" si="37"/>
        <v>0</v>
      </c>
      <c r="AC110" s="71">
        <f t="shared" si="37"/>
        <v>0</v>
      </c>
      <c r="AD110" s="71">
        <f t="shared" si="37"/>
        <v>0</v>
      </c>
      <c r="AE110" s="71">
        <f t="shared" si="37"/>
        <v>0</v>
      </c>
      <c r="AF110" s="71">
        <f t="shared" si="37"/>
        <v>0</v>
      </c>
      <c r="AG110" s="101"/>
      <c r="AH110" s="48">
        <f t="shared" si="27"/>
        <v>0</v>
      </c>
      <c r="AI110" s="49">
        <f t="shared" si="28"/>
        <v>0</v>
      </c>
    </row>
    <row r="111" spans="1:64" ht="15.75" thickBot="1" x14ac:dyDescent="0.3">
      <c r="A111" s="87" t="s">
        <v>131</v>
      </c>
      <c r="B111" s="71">
        <f t="shared" ref="B111:AF111" si="38">B95-B110</f>
        <v>0</v>
      </c>
      <c r="C111" s="71">
        <f t="shared" si="38"/>
        <v>0</v>
      </c>
      <c r="D111" s="71">
        <f t="shared" si="38"/>
        <v>0</v>
      </c>
      <c r="E111" s="71">
        <f t="shared" si="38"/>
        <v>0</v>
      </c>
      <c r="F111" s="71">
        <f t="shared" si="38"/>
        <v>0</v>
      </c>
      <c r="G111" s="71">
        <f t="shared" si="38"/>
        <v>0</v>
      </c>
      <c r="H111" s="71">
        <f t="shared" si="38"/>
        <v>0</v>
      </c>
      <c r="I111" s="71">
        <f t="shared" si="38"/>
        <v>0</v>
      </c>
      <c r="J111" s="71">
        <f t="shared" si="38"/>
        <v>0</v>
      </c>
      <c r="K111" s="71">
        <f t="shared" si="38"/>
        <v>0</v>
      </c>
      <c r="L111" s="71">
        <f t="shared" si="38"/>
        <v>0</v>
      </c>
      <c r="M111" s="71">
        <f t="shared" si="38"/>
        <v>0</v>
      </c>
      <c r="N111" s="71">
        <f t="shared" si="38"/>
        <v>0</v>
      </c>
      <c r="O111" s="71">
        <f t="shared" si="38"/>
        <v>0</v>
      </c>
      <c r="P111" s="71">
        <f t="shared" si="38"/>
        <v>0</v>
      </c>
      <c r="Q111" s="71">
        <f t="shared" si="38"/>
        <v>0</v>
      </c>
      <c r="R111" s="71">
        <f t="shared" si="38"/>
        <v>0</v>
      </c>
      <c r="S111" s="71">
        <f t="shared" si="38"/>
        <v>0</v>
      </c>
      <c r="T111" s="71">
        <f t="shared" si="38"/>
        <v>0</v>
      </c>
      <c r="U111" s="71">
        <f t="shared" si="38"/>
        <v>0</v>
      </c>
      <c r="V111" s="71">
        <f t="shared" si="38"/>
        <v>0</v>
      </c>
      <c r="W111" s="71">
        <f t="shared" si="38"/>
        <v>0</v>
      </c>
      <c r="X111" s="71">
        <f t="shared" si="38"/>
        <v>0</v>
      </c>
      <c r="Y111" s="71">
        <f t="shared" si="38"/>
        <v>0</v>
      </c>
      <c r="Z111" s="71">
        <f t="shared" si="38"/>
        <v>0</v>
      </c>
      <c r="AA111" s="71">
        <f t="shared" si="38"/>
        <v>0</v>
      </c>
      <c r="AB111" s="71">
        <f t="shared" si="38"/>
        <v>0</v>
      </c>
      <c r="AC111" s="71">
        <f t="shared" si="38"/>
        <v>0</v>
      </c>
      <c r="AD111" s="71">
        <f t="shared" si="38"/>
        <v>0</v>
      </c>
      <c r="AE111" s="71">
        <f t="shared" si="38"/>
        <v>0</v>
      </c>
      <c r="AF111" s="71">
        <f t="shared" si="38"/>
        <v>0</v>
      </c>
      <c r="AG111" s="101"/>
      <c r="AH111" s="48">
        <f t="shared" si="27"/>
        <v>0</v>
      </c>
      <c r="AI111" s="49">
        <f t="shared" si="28"/>
        <v>0</v>
      </c>
    </row>
    <row r="112" spans="1:64" x14ac:dyDescent="0.25">
      <c r="A112" s="113" t="s">
        <v>132</v>
      </c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5"/>
      <c r="AH112" s="48">
        <f t="shared" si="27"/>
        <v>0</v>
      </c>
      <c r="AI112" s="49">
        <f t="shared" si="28"/>
        <v>0</v>
      </c>
    </row>
    <row r="113" spans="1:35" x14ac:dyDescent="0.25">
      <c r="A113" s="116" t="s">
        <v>133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27"/>
        <v>0</v>
      </c>
      <c r="AI113" s="49">
        <f t="shared" si="28"/>
        <v>0</v>
      </c>
    </row>
    <row r="114" spans="1:35" x14ac:dyDescent="0.25">
      <c r="A114" s="116" t="s">
        <v>134</v>
      </c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117"/>
      <c r="AH114" s="48">
        <f t="shared" si="27"/>
        <v>0</v>
      </c>
      <c r="AI114" s="49">
        <f t="shared" si="28"/>
        <v>0</v>
      </c>
    </row>
    <row r="115" spans="1:35" x14ac:dyDescent="0.25">
      <c r="A115" s="116" t="s">
        <v>135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27"/>
        <v>0</v>
      </c>
      <c r="AI115" s="49">
        <f t="shared" si="28"/>
        <v>0</v>
      </c>
    </row>
    <row r="116" spans="1:35" x14ac:dyDescent="0.25">
      <c r="A116" s="118" t="s">
        <v>136</v>
      </c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117"/>
      <c r="AH116" s="48">
        <f t="shared" si="27"/>
        <v>0</v>
      </c>
      <c r="AI116" s="49">
        <f t="shared" si="28"/>
        <v>0</v>
      </c>
    </row>
    <row r="117" spans="1:35" x14ac:dyDescent="0.25">
      <c r="A117" s="118" t="s">
        <v>137</v>
      </c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48">
        <f t="shared" si="27"/>
        <v>0</v>
      </c>
      <c r="AI117" s="49">
        <f t="shared" si="28"/>
        <v>0</v>
      </c>
    </row>
    <row r="118" spans="1:35" x14ac:dyDescent="0.25">
      <c r="A118" s="116" t="s">
        <v>138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117"/>
      <c r="AH118" s="48">
        <f t="shared" si="27"/>
        <v>0</v>
      </c>
      <c r="AI118" s="49">
        <f t="shared" si="28"/>
        <v>0</v>
      </c>
    </row>
    <row r="119" spans="1:35" ht="15.75" thickBot="1" x14ac:dyDescent="0.3">
      <c r="A119" s="116" t="s">
        <v>139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21"/>
      <c r="AH119" s="48">
        <f t="shared" si="27"/>
        <v>0</v>
      </c>
      <c r="AI119" s="49">
        <f t="shared" si="28"/>
        <v>0</v>
      </c>
    </row>
    <row r="120" spans="1:35" ht="15.75" thickBot="1" x14ac:dyDescent="0.3">
      <c r="A120" s="122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 t="s">
        <v>140</v>
      </c>
      <c r="Y120" s="105"/>
      <c r="Z120" s="105"/>
      <c r="AA120" s="105"/>
      <c r="AB120" s="105"/>
      <c r="AC120" s="105"/>
      <c r="AD120" s="105"/>
      <c r="AE120" s="105"/>
      <c r="AF120" s="105"/>
      <c r="AG120" s="121"/>
      <c r="AH120" s="48">
        <f t="shared" si="27"/>
        <v>0</v>
      </c>
      <c r="AI120" s="49">
        <f t="shared" si="28"/>
        <v>0</v>
      </c>
    </row>
    <row r="121" spans="1:35" ht="15.75" thickBot="1" x14ac:dyDescent="0.3">
      <c r="A121" s="123" t="s">
        <v>141</v>
      </c>
      <c r="B121" s="124">
        <f t="shared" ref="B121:O121" si="39">SUM(B25,B31,B34:B35,B69,B71:B72,B74,B76,B122:B126,B158,B164,B170,B179,B181,B193,B200,B203:B204,B211,B213,B215,B219:B221,B223:B225,B230,B236:B237,B239:B241,B249,B254)</f>
        <v>0.94</v>
      </c>
      <c r="C121" s="124">
        <f t="shared" si="39"/>
        <v>0.94</v>
      </c>
      <c r="D121" s="124">
        <f t="shared" si="39"/>
        <v>0.94</v>
      </c>
      <c r="E121" s="124">
        <f t="shared" si="39"/>
        <v>0.94</v>
      </c>
      <c r="F121" s="124">
        <f t="shared" si="39"/>
        <v>0.94</v>
      </c>
      <c r="G121" s="124">
        <f t="shared" si="39"/>
        <v>0.94</v>
      </c>
      <c r="H121" s="124">
        <f t="shared" si="39"/>
        <v>0.94</v>
      </c>
      <c r="I121" s="124">
        <f t="shared" si="39"/>
        <v>0.94</v>
      </c>
      <c r="J121" s="124">
        <f t="shared" si="39"/>
        <v>0.94</v>
      </c>
      <c r="K121" s="124">
        <f t="shared" si="39"/>
        <v>0.94</v>
      </c>
      <c r="L121" s="124">
        <f t="shared" si="39"/>
        <v>0.94</v>
      </c>
      <c r="M121" s="124">
        <f t="shared" si="39"/>
        <v>0.94</v>
      </c>
      <c r="N121" s="124">
        <f t="shared" si="39"/>
        <v>0.94</v>
      </c>
      <c r="O121" s="124">
        <f t="shared" si="39"/>
        <v>0.94</v>
      </c>
      <c r="P121" s="124">
        <v>42</v>
      </c>
      <c r="Q121" s="124">
        <f t="shared" ref="Q121:X121" si="40">SUM(Q25,Q31,Q34:Q35,Q69,Q71:Q72,Q74,Q76,Q122:Q126,Q158,Q164,Q170,Q179,Q181,Q193,Q200,Q203:Q204,Q211,Q213,Q215,Q219:Q221,Q223:Q225,Q230,Q236:Q237,Q239:Q241,Q249,Q254)</f>
        <v>0.94</v>
      </c>
      <c r="R121" s="124">
        <f t="shared" si="40"/>
        <v>0.94</v>
      </c>
      <c r="S121" s="124">
        <f t="shared" si="40"/>
        <v>0.94</v>
      </c>
      <c r="T121" s="124">
        <f t="shared" si="40"/>
        <v>0.94</v>
      </c>
      <c r="U121" s="124">
        <f t="shared" si="40"/>
        <v>0.94</v>
      </c>
      <c r="V121" s="124">
        <f t="shared" si="40"/>
        <v>0.94</v>
      </c>
      <c r="W121" s="124">
        <f t="shared" si="40"/>
        <v>0.94</v>
      </c>
      <c r="X121" s="124">
        <f t="shared" si="40"/>
        <v>0.94</v>
      </c>
      <c r="Y121" s="124">
        <f>SUM(Y23,Y29,Y40:Y41,Y69,Y71:Y72,Y74,Y76,Y122:Y126,Y151,Y157,Y163,Y172,Y174,Y186,Y193,Y196:Y197,Y204,Y206,Y208,Y212:Y214,Y216:Y218,Y223,Y229:Y230,Y232:Y234,Y242,Y247)</f>
        <v>0</v>
      </c>
      <c r="Z121" s="124">
        <f>SUM(Z23,Z29,Z40:Z41,Z69,Z71:Z72,Z74,Z76,Z122:Z126,Z151,Z157,Z163,Z172,Z174,Z186,Z193,Z196:Z197,Z204,Z206,Z208,Z212:Z214,Z216:Z218,Z223,Z229:Z230,Z232:Z234,Z242,Z247)</f>
        <v>0</v>
      </c>
      <c r="AA121" s="124">
        <f t="shared" ref="AA121:AF121" si="41">SUM(AA25,AA31,AA34:AA35,AA69,AA71:AA72,AA74,AA76,AA122:AA126,AA158,AA164,AA170,AA179,AA181,AA193,AA200,AA203:AA204,AA211,AA213,AA215,AA219:AA221,AA223:AA225,AA230,AA236:AA237,AA239:AA241,AA249,AA254)</f>
        <v>0.94</v>
      </c>
      <c r="AB121" s="124">
        <f t="shared" si="41"/>
        <v>0.94</v>
      </c>
      <c r="AC121" s="124">
        <f t="shared" si="41"/>
        <v>0.94</v>
      </c>
      <c r="AD121" s="124">
        <f t="shared" si="41"/>
        <v>0.94</v>
      </c>
      <c r="AE121" s="124">
        <f t="shared" si="41"/>
        <v>0.94</v>
      </c>
      <c r="AF121" s="124">
        <f t="shared" si="41"/>
        <v>0.94</v>
      </c>
      <c r="AG121" s="125"/>
      <c r="AH121" s="48">
        <f t="shared" si="27"/>
        <v>42</v>
      </c>
      <c r="AI121" s="49">
        <f t="shared" si="28"/>
        <v>0</v>
      </c>
    </row>
    <row r="122" spans="1:35" x14ac:dyDescent="0.25">
      <c r="A122" s="126" t="s">
        <v>142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8">
        <v>75</v>
      </c>
      <c r="AH122" s="48">
        <f t="shared" si="27"/>
        <v>0</v>
      </c>
      <c r="AI122" s="49">
        <f t="shared" si="28"/>
        <v>0</v>
      </c>
    </row>
    <row r="123" spans="1:35" x14ac:dyDescent="0.25">
      <c r="A123" s="129" t="s">
        <v>143</v>
      </c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28">
        <v>240</v>
      </c>
      <c r="AH123" s="48">
        <f t="shared" si="27"/>
        <v>0</v>
      </c>
      <c r="AI123" s="49">
        <f t="shared" si="28"/>
        <v>0</v>
      </c>
    </row>
    <row r="124" spans="1:35" x14ac:dyDescent="0.25">
      <c r="A124" s="129" t="s">
        <v>144</v>
      </c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28">
        <v>240</v>
      </c>
      <c r="AH124" s="48">
        <f t="shared" si="27"/>
        <v>0</v>
      </c>
      <c r="AI124" s="49">
        <f t="shared" si="28"/>
        <v>0</v>
      </c>
    </row>
    <row r="125" spans="1:35" ht="15.75" thickBot="1" x14ac:dyDescent="0.3">
      <c r="A125" s="129" t="s">
        <v>145</v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28">
        <v>60</v>
      </c>
      <c r="AH125" s="48">
        <f t="shared" si="27"/>
        <v>0</v>
      </c>
      <c r="AI125" s="49">
        <f t="shared" si="28"/>
        <v>0</v>
      </c>
    </row>
    <row r="126" spans="1:35" x14ac:dyDescent="0.25">
      <c r="A126" s="126" t="s">
        <v>146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2">
        <v>120</v>
      </c>
      <c r="AH126" s="48">
        <f t="shared" si="27"/>
        <v>0</v>
      </c>
      <c r="AI126" s="49">
        <f t="shared" si="28"/>
        <v>0</v>
      </c>
    </row>
    <row r="127" spans="1:35" x14ac:dyDescent="0.25">
      <c r="A127" s="129" t="s">
        <v>147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2"/>
      <c r="AH127" s="48"/>
      <c r="AI127" s="49"/>
    </row>
    <row r="128" spans="1:35" x14ac:dyDescent="0.25">
      <c r="A128" s="129" t="s">
        <v>148</v>
      </c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2"/>
      <c r="AH128" s="48"/>
      <c r="AI128" s="49"/>
    </row>
    <row r="129" spans="1:37" ht="15.75" thickBot="1" x14ac:dyDescent="0.3">
      <c r="A129" s="129" t="s">
        <v>149</v>
      </c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28"/>
      <c r="AH129" s="48">
        <f>MAX(B129:AF129)</f>
        <v>0</v>
      </c>
      <c r="AI129" s="49">
        <f>MIN(B129:AF129)</f>
        <v>0</v>
      </c>
    </row>
    <row r="130" spans="1:37" x14ac:dyDescent="0.25">
      <c r="A130" s="126" t="s">
        <v>150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28"/>
      <c r="AH130" s="48">
        <f>MAX(B130:AF130)</f>
        <v>0</v>
      </c>
      <c r="AI130" s="49">
        <f>MIN(B130:AF130)</f>
        <v>0</v>
      </c>
    </row>
    <row r="131" spans="1:37" x14ac:dyDescent="0.25">
      <c r="A131" s="129" t="s">
        <v>151</v>
      </c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28"/>
      <c r="AH131" s="48">
        <f>MAX(B131:AF131)</f>
        <v>0</v>
      </c>
      <c r="AI131" s="49">
        <f>MIN(B131:AF131)</f>
        <v>0</v>
      </c>
    </row>
    <row r="132" spans="1:37" x14ac:dyDescent="0.25">
      <c r="A132" s="129" t="s">
        <v>152</v>
      </c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28"/>
      <c r="AH132" s="48">
        <f>MAX(B132:AF132)</f>
        <v>0</v>
      </c>
      <c r="AI132" s="49">
        <f>MIN(B132:AF132)</f>
        <v>0</v>
      </c>
    </row>
    <row r="133" spans="1:37" ht="15.75" thickBot="1" x14ac:dyDescent="0.3">
      <c r="A133" s="129" t="s">
        <v>153</v>
      </c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28"/>
      <c r="AH133" s="48">
        <f>MAX(B133:AF133)</f>
        <v>0</v>
      </c>
      <c r="AI133" s="49">
        <f>MIN(B133:AF133)</f>
        <v>0</v>
      </c>
    </row>
    <row r="134" spans="1:37" x14ac:dyDescent="0.25">
      <c r="A134" s="133" t="s">
        <v>154</v>
      </c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5"/>
      <c r="AG134" s="44"/>
      <c r="AH134" s="48"/>
      <c r="AI134" s="49"/>
    </row>
    <row r="135" spans="1:37" x14ac:dyDescent="0.25">
      <c r="A135" s="136" t="s">
        <v>155</v>
      </c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8"/>
      <c r="AG135" s="139"/>
      <c r="AH135" s="48"/>
      <c r="AI135" s="49"/>
    </row>
    <row r="136" spans="1:37" x14ac:dyDescent="0.25">
      <c r="A136" s="136" t="s">
        <v>156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  <c r="AK136" s="51"/>
    </row>
    <row r="137" spans="1:37" x14ac:dyDescent="0.25">
      <c r="A137" s="136" t="s">
        <v>157</v>
      </c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1"/>
      <c r="AG137" s="139"/>
      <c r="AH137" s="48"/>
      <c r="AI137" s="49"/>
      <c r="AK137" s="51"/>
    </row>
    <row r="138" spans="1:37" x14ac:dyDescent="0.25">
      <c r="A138" s="136" t="s">
        <v>158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1"/>
      <c r="AG138" s="139"/>
      <c r="AH138" s="48"/>
      <c r="AI138" s="49"/>
      <c r="AK138" s="51"/>
    </row>
    <row r="139" spans="1:37" x14ac:dyDescent="0.25">
      <c r="A139" s="136" t="s">
        <v>159</v>
      </c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1"/>
      <c r="AG139" s="139"/>
      <c r="AH139" s="48"/>
      <c r="AI139" s="49"/>
      <c r="AK139" s="51"/>
    </row>
    <row r="140" spans="1:37" ht="15.75" thickBot="1" x14ac:dyDescent="0.3">
      <c r="A140" s="136" t="s">
        <v>160</v>
      </c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3"/>
      <c r="AG140" s="139"/>
      <c r="AH140" s="48"/>
      <c r="AI140" s="49"/>
      <c r="AK140" s="51"/>
    </row>
    <row r="141" spans="1:37" ht="15.75" thickBot="1" x14ac:dyDescent="0.3">
      <c r="A141" s="144" t="s">
        <v>161</v>
      </c>
      <c r="B141" s="145"/>
      <c r="C141" s="145"/>
      <c r="D141" s="145"/>
      <c r="E141" s="145"/>
      <c r="F141" s="146" t="s">
        <v>162</v>
      </c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7"/>
      <c r="AH141" s="48"/>
      <c r="AI141" s="49"/>
      <c r="AK141" s="51"/>
    </row>
    <row r="142" spans="1:37" x14ac:dyDescent="0.25">
      <c r="A142" s="148" t="s">
        <v>163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>
        <v>9.94</v>
      </c>
      <c r="AH142" s="48"/>
      <c r="AI142" s="49"/>
      <c r="AK142" s="51"/>
    </row>
    <row r="143" spans="1:37" x14ac:dyDescent="0.25">
      <c r="A143" s="116" t="s">
        <v>164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165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166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167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168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169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170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171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172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173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174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175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176</v>
      </c>
      <c r="B155" s="149"/>
      <c r="C155" s="150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51"/>
      <c r="AH155" s="48"/>
      <c r="AI155" s="49"/>
      <c r="AK155" s="51"/>
    </row>
    <row r="156" spans="1:37" x14ac:dyDescent="0.25">
      <c r="A156" s="116" t="s">
        <v>177</v>
      </c>
      <c r="B156" s="149"/>
      <c r="C156" s="150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51"/>
      <c r="AH156" s="48"/>
      <c r="AI156" s="49"/>
      <c r="AK156" s="51"/>
    </row>
    <row r="157" spans="1:37" x14ac:dyDescent="0.25">
      <c r="A157" s="116" t="s">
        <v>178</v>
      </c>
      <c r="B157" s="149"/>
      <c r="C157" s="150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51"/>
      <c r="AH157" s="48"/>
      <c r="AI157" s="49"/>
      <c r="AK157" s="51"/>
    </row>
    <row r="158" spans="1:37" x14ac:dyDescent="0.25">
      <c r="A158" s="116" t="s">
        <v>179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>
        <v>9.9</v>
      </c>
      <c r="AH158" s="48"/>
      <c r="AI158" s="49"/>
      <c r="AK158" s="51"/>
    </row>
    <row r="159" spans="1:37" x14ac:dyDescent="0.25">
      <c r="A159" s="155" t="s">
        <v>180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9.6579999999999995</v>
      </c>
      <c r="AH159" s="48"/>
      <c r="AI159" s="49"/>
      <c r="AK159" s="51"/>
    </row>
    <row r="160" spans="1:37" x14ac:dyDescent="0.25">
      <c r="A160" s="155" t="s">
        <v>181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9.6</v>
      </c>
      <c r="AH160" s="48"/>
      <c r="AI160" s="49"/>
      <c r="AK160" s="51"/>
    </row>
    <row r="161" spans="1:37" x14ac:dyDescent="0.25">
      <c r="A161" s="155" t="s">
        <v>182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9.51</v>
      </c>
      <c r="AH161" s="48"/>
      <c r="AI161" s="49"/>
      <c r="AK161" s="51"/>
    </row>
    <row r="162" spans="1:37" ht="13.5" customHeight="1" x14ac:dyDescent="0.25">
      <c r="A162" s="155" t="s">
        <v>183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9.4</v>
      </c>
      <c r="AH162" s="48"/>
      <c r="AI162" s="49"/>
      <c r="AK162" s="51"/>
    </row>
    <row r="163" spans="1:37" x14ac:dyDescent="0.25">
      <c r="A163" s="155" t="s">
        <v>184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8.8000000000000007</v>
      </c>
      <c r="AH163" s="48"/>
      <c r="AI163" s="49"/>
      <c r="AK163" s="51"/>
    </row>
    <row r="164" spans="1:37" x14ac:dyDescent="0.25">
      <c r="A164" s="155" t="s">
        <v>185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8.5</v>
      </c>
      <c r="AH164" s="48"/>
      <c r="AI164" s="49"/>
      <c r="AK164" s="51"/>
    </row>
    <row r="165" spans="1:37" x14ac:dyDescent="0.25">
      <c r="A165" s="155" t="s">
        <v>186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8.5</v>
      </c>
      <c r="AH165" s="48"/>
      <c r="AI165" s="49"/>
      <c r="AK165" s="51"/>
    </row>
    <row r="166" spans="1:37" x14ac:dyDescent="0.25">
      <c r="A166" s="155" t="s">
        <v>187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8.4</v>
      </c>
      <c r="AH166" s="48"/>
      <c r="AI166" s="49"/>
      <c r="AK166" s="51"/>
    </row>
    <row r="167" spans="1:37" x14ac:dyDescent="0.25">
      <c r="A167" s="155" t="s">
        <v>188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8</v>
      </c>
      <c r="AH167" s="48"/>
      <c r="AI167" s="49"/>
      <c r="AK167" s="51"/>
    </row>
    <row r="168" spans="1:37" x14ac:dyDescent="0.25">
      <c r="A168" s="155" t="s">
        <v>189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8</v>
      </c>
      <c r="AH168" s="48"/>
      <c r="AI168" s="49"/>
      <c r="AK168" s="51"/>
    </row>
    <row r="169" spans="1:37" x14ac:dyDescent="0.25">
      <c r="A169" s="155" t="s">
        <v>190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8</v>
      </c>
      <c r="AH169" s="48"/>
      <c r="AI169" s="49"/>
      <c r="AK169" s="51"/>
    </row>
    <row r="170" spans="1:37" x14ac:dyDescent="0.25">
      <c r="A170" s="155" t="s">
        <v>191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7.8</v>
      </c>
      <c r="AH170" s="48"/>
      <c r="AI170" s="49"/>
      <c r="AK170" s="51"/>
    </row>
    <row r="171" spans="1:37" x14ac:dyDescent="0.25">
      <c r="A171" s="155" t="s">
        <v>192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7.6</v>
      </c>
      <c r="AH171" s="48"/>
      <c r="AI171" s="49"/>
      <c r="AK171" s="51"/>
    </row>
    <row r="172" spans="1:37" x14ac:dyDescent="0.25">
      <c r="A172" s="155" t="s">
        <v>193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7.5</v>
      </c>
      <c r="AH172" s="48"/>
      <c r="AI172" s="49"/>
      <c r="AK172" s="51"/>
    </row>
    <row r="173" spans="1:37" x14ac:dyDescent="0.25">
      <c r="A173" s="155" t="s">
        <v>194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7.5</v>
      </c>
      <c r="AH173" s="48"/>
      <c r="AI173" s="49"/>
      <c r="AK173" s="51"/>
    </row>
    <row r="174" spans="1:37" x14ac:dyDescent="0.25">
      <c r="A174" s="155" t="s">
        <v>195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196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7</v>
      </c>
      <c r="AH175" s="48"/>
      <c r="AI175" s="49"/>
      <c r="AK175" s="51"/>
    </row>
    <row r="176" spans="1:37" x14ac:dyDescent="0.25">
      <c r="A176" s="155" t="s">
        <v>197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7</v>
      </c>
      <c r="AH176" s="48"/>
      <c r="AI176" s="49"/>
      <c r="AK176" s="51"/>
    </row>
    <row r="177" spans="1:37" x14ac:dyDescent="0.25">
      <c r="A177" s="155" t="s">
        <v>198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7</v>
      </c>
      <c r="AH177" s="48"/>
      <c r="AI177" s="49"/>
      <c r="AK177" s="51"/>
    </row>
    <row r="178" spans="1:37" x14ac:dyDescent="0.25">
      <c r="A178" s="155" t="s">
        <v>199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6.6</v>
      </c>
      <c r="AH178" s="48"/>
      <c r="AI178" s="49"/>
      <c r="AK178" s="51"/>
    </row>
    <row r="179" spans="1:37" x14ac:dyDescent="0.25">
      <c r="A179" s="155" t="s">
        <v>200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6.6</v>
      </c>
      <c r="AH179" s="48"/>
      <c r="AI179" s="49"/>
      <c r="AK179" s="51"/>
    </row>
    <row r="180" spans="1:37" x14ac:dyDescent="0.25">
      <c r="A180" s="155" t="s">
        <v>201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6.4</v>
      </c>
      <c r="AH180" s="48"/>
      <c r="AI180" s="49"/>
      <c r="AK180" s="51"/>
    </row>
    <row r="181" spans="1:37" x14ac:dyDescent="0.25">
      <c r="A181" s="155" t="s">
        <v>202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6">
        <v>6</v>
      </c>
      <c r="AH181" s="48"/>
      <c r="AI181" s="49"/>
      <c r="AK181" s="51"/>
    </row>
    <row r="182" spans="1:37" x14ac:dyDescent="0.25">
      <c r="A182" s="155" t="s">
        <v>203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5.0999999999999996</v>
      </c>
      <c r="AH182" s="48"/>
      <c r="AI182" s="49"/>
      <c r="AK182" s="51"/>
    </row>
    <row r="183" spans="1:37" x14ac:dyDescent="0.25">
      <c r="A183" s="155" t="s">
        <v>204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16" t="s">
        <v>205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4">
        <v>5</v>
      </c>
      <c r="AH184" s="48"/>
      <c r="AI184" s="49"/>
      <c r="AK184" s="51"/>
    </row>
    <row r="185" spans="1:37" x14ac:dyDescent="0.25">
      <c r="A185" s="155" t="s">
        <v>206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207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208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5</v>
      </c>
      <c r="AH187" s="48"/>
      <c r="AI187" s="49"/>
      <c r="AK187" s="51"/>
    </row>
    <row r="188" spans="1:37" x14ac:dyDescent="0.25">
      <c r="A188" s="155" t="s">
        <v>209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5</v>
      </c>
      <c r="AH188" s="48"/>
      <c r="AI188" s="49"/>
      <c r="AK188" s="51"/>
    </row>
    <row r="189" spans="1:37" x14ac:dyDescent="0.25">
      <c r="A189" s="155" t="s">
        <v>210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5</v>
      </c>
      <c r="AH189" s="48"/>
      <c r="AI189" s="49"/>
      <c r="AK189" s="51"/>
    </row>
    <row r="190" spans="1:37" x14ac:dyDescent="0.25">
      <c r="A190" s="155" t="s">
        <v>211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4.9930000000000003</v>
      </c>
      <c r="AH190" s="48"/>
      <c r="AI190" s="49"/>
      <c r="AK190" s="51"/>
    </row>
    <row r="191" spans="1:37" x14ac:dyDescent="0.25">
      <c r="A191" s="155" t="s">
        <v>212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4.9800000000000004</v>
      </c>
      <c r="AH191" s="48"/>
      <c r="AI191" s="49"/>
      <c r="AK191" s="51"/>
    </row>
    <row r="192" spans="1:37" x14ac:dyDescent="0.25">
      <c r="A192" s="155" t="s">
        <v>213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4.95</v>
      </c>
      <c r="AH192" s="48"/>
      <c r="AI192" s="49"/>
      <c r="AK192" s="51"/>
    </row>
    <row r="193" spans="1:37" x14ac:dyDescent="0.25">
      <c r="A193" s="155" t="s">
        <v>214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4.95</v>
      </c>
      <c r="AH193" s="48"/>
      <c r="AI193" s="49"/>
      <c r="AK193" s="51"/>
    </row>
    <row r="194" spans="1:37" x14ac:dyDescent="0.25">
      <c r="A194" s="155" t="s">
        <v>215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4.8</v>
      </c>
      <c r="AH194" s="48"/>
      <c r="AI194" s="49"/>
      <c r="AK194" s="51"/>
    </row>
    <row r="195" spans="1:37" x14ac:dyDescent="0.25">
      <c r="A195" s="155" t="s">
        <v>216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4.8</v>
      </c>
      <c r="AH195" s="48"/>
      <c r="AI195" s="49"/>
      <c r="AK195" s="51"/>
    </row>
    <row r="196" spans="1:37" x14ac:dyDescent="0.25">
      <c r="A196" s="155" t="s">
        <v>217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4.8</v>
      </c>
      <c r="AH196" s="48"/>
      <c r="AI196" s="49"/>
      <c r="AK196" s="51"/>
    </row>
    <row r="197" spans="1:37" x14ac:dyDescent="0.25">
      <c r="A197" s="155" t="s">
        <v>218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4.5</v>
      </c>
      <c r="AH197" s="48"/>
      <c r="AI197" s="49"/>
      <c r="AK197" s="51"/>
    </row>
    <row r="198" spans="1:37" x14ac:dyDescent="0.25">
      <c r="A198" s="155" t="s">
        <v>219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4.5</v>
      </c>
      <c r="AH198" s="48"/>
      <c r="AI198" s="49"/>
      <c r="AK198" s="51"/>
    </row>
    <row r="199" spans="1:37" x14ac:dyDescent="0.25">
      <c r="A199" s="155" t="s">
        <v>220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4.4550000000000001</v>
      </c>
      <c r="AH199" s="48"/>
      <c r="AI199" s="49"/>
      <c r="AK199" s="51"/>
    </row>
    <row r="200" spans="1:37" x14ac:dyDescent="0.25">
      <c r="A200" s="155" t="s">
        <v>221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4.41</v>
      </c>
      <c r="AH200" s="48"/>
      <c r="AI200" s="49"/>
      <c r="AK200" s="51"/>
    </row>
    <row r="201" spans="1:37" x14ac:dyDescent="0.25">
      <c r="A201" s="155" t="s">
        <v>222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4.4000000000000004</v>
      </c>
      <c r="AH201" s="48"/>
      <c r="AI201" s="49"/>
      <c r="AK201" s="51"/>
    </row>
    <row r="202" spans="1:37" x14ac:dyDescent="0.25">
      <c r="A202" s="155" t="s">
        <v>223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4.3600000000000003</v>
      </c>
      <c r="AH202" s="48"/>
      <c r="AI202" s="49"/>
      <c r="AK202" s="51"/>
    </row>
    <row r="203" spans="1:37" x14ac:dyDescent="0.25">
      <c r="A203" s="155" t="s">
        <v>224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4.2</v>
      </c>
      <c r="AH203" s="48"/>
      <c r="AI203" s="49"/>
      <c r="AK203" s="51"/>
    </row>
    <row r="204" spans="1:37" x14ac:dyDescent="0.25">
      <c r="A204" s="155" t="s">
        <v>225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226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227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228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229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230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4</v>
      </c>
      <c r="AH209" s="48"/>
      <c r="AI209" s="49"/>
      <c r="AK209" s="51"/>
    </row>
    <row r="210" spans="1:37" x14ac:dyDescent="0.25">
      <c r="A210" s="155" t="s">
        <v>231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4</v>
      </c>
      <c r="AH210" s="48"/>
      <c r="AI210" s="49"/>
      <c r="AK210" s="51"/>
    </row>
    <row r="211" spans="1:37" x14ac:dyDescent="0.25">
      <c r="A211" s="155" t="s">
        <v>232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4</v>
      </c>
      <c r="AH211" s="48"/>
      <c r="AI211" s="49"/>
      <c r="AK211" s="51"/>
    </row>
    <row r="212" spans="1:37" x14ac:dyDescent="0.25">
      <c r="A212" s="155" t="s">
        <v>233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3.75</v>
      </c>
      <c r="AH212" s="48"/>
      <c r="AI212" s="49"/>
      <c r="AK212" s="51"/>
    </row>
    <row r="213" spans="1:37" x14ac:dyDescent="0.25">
      <c r="A213" s="155" t="s">
        <v>234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3.52</v>
      </c>
      <c r="AH213" s="48"/>
      <c r="AI213" s="49"/>
      <c r="AK213" s="51"/>
    </row>
    <row r="214" spans="1:37" x14ac:dyDescent="0.25">
      <c r="A214" s="155" t="s">
        <v>235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3.33</v>
      </c>
      <c r="AH214" s="48"/>
      <c r="AI214" s="49"/>
      <c r="AK214" s="51"/>
    </row>
    <row r="215" spans="1:37" x14ac:dyDescent="0.25">
      <c r="A215" s="155" t="s">
        <v>236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3.2</v>
      </c>
      <c r="AH215" s="48"/>
      <c r="AI215" s="49"/>
      <c r="AK215" s="51"/>
    </row>
    <row r="216" spans="1:37" x14ac:dyDescent="0.25">
      <c r="A216" s="155" t="s">
        <v>237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238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239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240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241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242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3</v>
      </c>
      <c r="AH221" s="48"/>
      <c r="AI221" s="49"/>
      <c r="AK221" s="51"/>
    </row>
    <row r="222" spans="1:37" x14ac:dyDescent="0.25">
      <c r="A222" s="155" t="s">
        <v>243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3</v>
      </c>
      <c r="AH222" s="48"/>
      <c r="AI222" s="49"/>
      <c r="AK222" s="51"/>
    </row>
    <row r="223" spans="1:37" x14ac:dyDescent="0.25">
      <c r="A223" s="155" t="s">
        <v>244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3</v>
      </c>
      <c r="AH223" s="48"/>
      <c r="AI223" s="49"/>
      <c r="AK223" s="51"/>
    </row>
    <row r="224" spans="1:37" x14ac:dyDescent="0.25">
      <c r="A224" s="155" t="s">
        <v>245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2.83</v>
      </c>
      <c r="AH224" s="48"/>
      <c r="AI224" s="49"/>
      <c r="AK224" s="51"/>
    </row>
    <row r="225" spans="1:37" x14ac:dyDescent="0.25">
      <c r="A225" s="155" t="s">
        <v>246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2.5</v>
      </c>
      <c r="AH225" s="48"/>
      <c r="AI225" s="49"/>
      <c r="AK225" s="51"/>
    </row>
    <row r="226" spans="1:37" x14ac:dyDescent="0.25">
      <c r="A226" s="155" t="s">
        <v>247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2.5</v>
      </c>
      <c r="AH226" s="48"/>
      <c r="AI226" s="49"/>
      <c r="AK226" s="51"/>
    </row>
    <row r="227" spans="1:37" x14ac:dyDescent="0.25">
      <c r="A227" s="155" t="s">
        <v>248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2.4</v>
      </c>
      <c r="AH227" s="48"/>
      <c r="AI227" s="49"/>
      <c r="AK227" s="51"/>
    </row>
    <row r="228" spans="1:37" x14ac:dyDescent="0.25">
      <c r="A228" s="155" t="s">
        <v>249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2.4</v>
      </c>
      <c r="AH228" s="48"/>
      <c r="AI228" s="49"/>
      <c r="AK228" s="51"/>
    </row>
    <row r="229" spans="1:37" x14ac:dyDescent="0.25">
      <c r="A229" s="155" t="s">
        <v>250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2.2000000000000002</v>
      </c>
      <c r="AH229" s="48"/>
      <c r="AI229" s="49"/>
      <c r="AK229" s="51"/>
    </row>
    <row r="230" spans="1:37" x14ac:dyDescent="0.25">
      <c r="A230" s="155" t="s">
        <v>251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2</v>
      </c>
      <c r="AH230" s="48"/>
      <c r="AI230" s="49"/>
      <c r="AK230" s="51"/>
    </row>
    <row r="231" spans="1:37" x14ac:dyDescent="0.25">
      <c r="A231" s="155" t="s">
        <v>252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2</v>
      </c>
      <c r="AH231" s="48"/>
      <c r="AI231" s="49"/>
      <c r="AK231" s="51"/>
    </row>
    <row r="232" spans="1:37" x14ac:dyDescent="0.25">
      <c r="A232" s="155" t="s">
        <v>253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2</v>
      </c>
      <c r="AH232" s="48"/>
      <c r="AI232" s="49"/>
      <c r="AK232" s="51"/>
    </row>
    <row r="233" spans="1:37" x14ac:dyDescent="0.25">
      <c r="A233" s="155" t="s">
        <v>254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1.8</v>
      </c>
      <c r="AH233" s="48"/>
      <c r="AI233" s="49"/>
      <c r="AK233" s="51"/>
    </row>
    <row r="234" spans="1:37" x14ac:dyDescent="0.25">
      <c r="A234" s="155" t="s">
        <v>255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1.8</v>
      </c>
      <c r="AH234" s="48"/>
      <c r="AI234" s="49"/>
      <c r="AK234" s="51"/>
    </row>
    <row r="235" spans="1:37" x14ac:dyDescent="0.25">
      <c r="A235" s="155" t="s">
        <v>256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1.65</v>
      </c>
      <c r="AH235" s="48"/>
      <c r="AI235" s="49"/>
      <c r="AK235" s="51"/>
    </row>
    <row r="236" spans="1:37" x14ac:dyDescent="0.25">
      <c r="A236" s="155" t="s">
        <v>257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1.5</v>
      </c>
      <c r="AH236" s="48"/>
      <c r="AI236" s="49"/>
      <c r="AK236" s="51"/>
    </row>
    <row r="237" spans="1:37" x14ac:dyDescent="0.25">
      <c r="A237" s="155" t="s">
        <v>258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0.998</v>
      </c>
      <c r="AH237" s="48"/>
      <c r="AI237" s="49"/>
      <c r="AK237" s="51"/>
    </row>
    <row r="238" spans="1:37" x14ac:dyDescent="0.25">
      <c r="A238" s="155" t="s">
        <v>259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0.997</v>
      </c>
      <c r="AH238" s="48"/>
      <c r="AI238" s="49"/>
      <c r="AK238" s="51"/>
    </row>
    <row r="239" spans="1:37" x14ac:dyDescent="0.25">
      <c r="A239" s="155" t="s">
        <v>260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0.997</v>
      </c>
      <c r="AH239" s="48"/>
      <c r="AI239" s="49"/>
      <c r="AK239" s="51"/>
    </row>
    <row r="240" spans="1:37" x14ac:dyDescent="0.25">
      <c r="A240" s="155" t="s">
        <v>261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0.996</v>
      </c>
      <c r="AH240" s="48"/>
      <c r="AI240" s="49"/>
      <c r="AK240" s="51"/>
    </row>
    <row r="241" spans="1:37" x14ac:dyDescent="0.25">
      <c r="A241" s="155" t="s">
        <v>262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0.996</v>
      </c>
      <c r="AH241" s="48"/>
      <c r="AI241" s="49"/>
      <c r="AK241" s="51"/>
    </row>
    <row r="242" spans="1:37" x14ac:dyDescent="0.25">
      <c r="A242" s="155" t="s">
        <v>263</v>
      </c>
      <c r="B242" s="152"/>
      <c r="C242" s="153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0.996</v>
      </c>
      <c r="AH242" s="48"/>
      <c r="AI242" s="49"/>
      <c r="AK242" s="51"/>
    </row>
    <row r="243" spans="1:37" x14ac:dyDescent="0.25">
      <c r="A243" s="155" t="s">
        <v>264</v>
      </c>
      <c r="B243" s="152"/>
      <c r="C243" s="153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6">
        <v>0.995</v>
      </c>
      <c r="AH243" s="48"/>
      <c r="AI243" s="49"/>
      <c r="AK243" s="51"/>
    </row>
    <row r="244" spans="1:37" x14ac:dyDescent="0.25">
      <c r="A244" s="155" t="s">
        <v>265</v>
      </c>
      <c r="B244" s="152"/>
      <c r="C244" s="153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6">
        <v>0.99299999999999999</v>
      </c>
      <c r="AH244" s="48"/>
      <c r="AI244" s="49"/>
      <c r="AK244" s="51"/>
    </row>
    <row r="245" spans="1:37" x14ac:dyDescent="0.25">
      <c r="A245" s="155" t="s">
        <v>266</v>
      </c>
      <c r="B245" s="152"/>
      <c r="C245" s="150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6">
        <v>0.99</v>
      </c>
      <c r="AH245" s="48"/>
      <c r="AI245" s="49"/>
      <c r="AK245" s="51"/>
    </row>
    <row r="246" spans="1:37" ht="15.75" thickBot="1" x14ac:dyDescent="0.3">
      <c r="A246" s="155" t="s">
        <v>267</v>
      </c>
      <c r="B246" s="157"/>
      <c r="C246" s="158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6">
        <v>0.97899999999999998</v>
      </c>
      <c r="AH246" s="48"/>
      <c r="AI246" s="49"/>
      <c r="AK246" s="51"/>
    </row>
    <row r="247" spans="1:37" ht="15.75" thickBot="1" x14ac:dyDescent="0.3">
      <c r="A247" s="159" t="s">
        <v>268</v>
      </c>
      <c r="B247" s="160">
        <f t="shared" ref="B247:AG247" si="42">SUM(B142:B246)</f>
        <v>0</v>
      </c>
      <c r="C247" s="161">
        <f t="shared" si="42"/>
        <v>0</v>
      </c>
      <c r="D247" s="161">
        <f t="shared" si="42"/>
        <v>0</v>
      </c>
      <c r="E247" s="161">
        <f t="shared" si="42"/>
        <v>0</v>
      </c>
      <c r="F247" s="161">
        <f t="shared" si="42"/>
        <v>0</v>
      </c>
      <c r="G247" s="161">
        <f t="shared" si="42"/>
        <v>0</v>
      </c>
      <c r="H247" s="161">
        <f t="shared" si="42"/>
        <v>0</v>
      </c>
      <c r="I247" s="161">
        <f t="shared" si="42"/>
        <v>0</v>
      </c>
      <c r="J247" s="161">
        <f t="shared" si="42"/>
        <v>0</v>
      </c>
      <c r="K247" s="161">
        <f t="shared" si="42"/>
        <v>0</v>
      </c>
      <c r="L247" s="161">
        <f t="shared" si="42"/>
        <v>0</v>
      </c>
      <c r="M247" s="161">
        <f t="shared" si="42"/>
        <v>0</v>
      </c>
      <c r="N247" s="161">
        <f t="shared" si="42"/>
        <v>0</v>
      </c>
      <c r="O247" s="161">
        <f t="shared" si="42"/>
        <v>0</v>
      </c>
      <c r="P247" s="161">
        <f t="shared" si="42"/>
        <v>0</v>
      </c>
      <c r="Q247" s="161">
        <f t="shared" si="42"/>
        <v>0</v>
      </c>
      <c r="R247" s="161">
        <f t="shared" si="42"/>
        <v>0</v>
      </c>
      <c r="S247" s="161">
        <f t="shared" si="42"/>
        <v>0</v>
      </c>
      <c r="T247" s="161">
        <f t="shared" si="42"/>
        <v>0</v>
      </c>
      <c r="U247" s="161">
        <f t="shared" si="42"/>
        <v>0</v>
      </c>
      <c r="V247" s="161">
        <f t="shared" si="42"/>
        <v>0</v>
      </c>
      <c r="W247" s="161">
        <f t="shared" si="42"/>
        <v>0</v>
      </c>
      <c r="X247" s="161">
        <f t="shared" si="42"/>
        <v>0</v>
      </c>
      <c r="Y247" s="161">
        <f t="shared" si="42"/>
        <v>0</v>
      </c>
      <c r="Z247" s="161">
        <f t="shared" si="42"/>
        <v>0</v>
      </c>
      <c r="AA247" s="161">
        <f t="shared" si="42"/>
        <v>0</v>
      </c>
      <c r="AB247" s="161">
        <f t="shared" si="42"/>
        <v>0</v>
      </c>
      <c r="AC247" s="161">
        <f t="shared" si="42"/>
        <v>0</v>
      </c>
      <c r="AD247" s="161">
        <f t="shared" si="42"/>
        <v>0</v>
      </c>
      <c r="AE247" s="161">
        <f t="shared" si="42"/>
        <v>0</v>
      </c>
      <c r="AF247" s="162">
        <f t="shared" si="42"/>
        <v>0</v>
      </c>
      <c r="AG247" s="163">
        <f t="shared" si="42"/>
        <v>412.72299999999984</v>
      </c>
      <c r="AH247" s="48"/>
      <c r="AI247" s="49"/>
      <c r="AK247" s="51"/>
    </row>
    <row r="248" spans="1:37" ht="15.75" thickBot="1" x14ac:dyDescent="0.3">
      <c r="A248" s="26" t="s">
        <v>98</v>
      </c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5"/>
      <c r="AH248" s="48"/>
      <c r="AI248" s="49"/>
      <c r="AK248" s="51"/>
    </row>
    <row r="249" spans="1:37" x14ac:dyDescent="0.25">
      <c r="A249" s="113" t="s">
        <v>269</v>
      </c>
      <c r="B249" s="166">
        <f t="shared" ref="B249:B254" si="43">AF249</f>
        <v>0.3</v>
      </c>
      <c r="C249" s="166">
        <v>0.3</v>
      </c>
      <c r="D249" s="166">
        <f t="shared" ref="D249:S254" si="44">C249</f>
        <v>0.3</v>
      </c>
      <c r="E249" s="166">
        <f t="shared" si="44"/>
        <v>0.3</v>
      </c>
      <c r="F249" s="166">
        <f t="shared" si="44"/>
        <v>0.3</v>
      </c>
      <c r="G249" s="166">
        <f t="shared" si="44"/>
        <v>0.3</v>
      </c>
      <c r="H249" s="166">
        <f t="shared" si="44"/>
        <v>0.3</v>
      </c>
      <c r="I249" s="166">
        <f t="shared" si="44"/>
        <v>0.3</v>
      </c>
      <c r="J249" s="166">
        <f t="shared" si="44"/>
        <v>0.3</v>
      </c>
      <c r="K249" s="166">
        <f t="shared" si="44"/>
        <v>0.3</v>
      </c>
      <c r="L249" s="166">
        <f t="shared" si="44"/>
        <v>0.3</v>
      </c>
      <c r="M249" s="166">
        <f t="shared" si="44"/>
        <v>0.3</v>
      </c>
      <c r="N249" s="166">
        <f t="shared" si="44"/>
        <v>0.3</v>
      </c>
      <c r="O249" s="166">
        <f t="shared" si="44"/>
        <v>0.3</v>
      </c>
      <c r="P249" s="166">
        <f t="shared" si="44"/>
        <v>0.3</v>
      </c>
      <c r="Q249" s="166">
        <f t="shared" si="44"/>
        <v>0.3</v>
      </c>
      <c r="R249" s="166">
        <f t="shared" si="44"/>
        <v>0.3</v>
      </c>
      <c r="S249" s="166">
        <f t="shared" si="44"/>
        <v>0.3</v>
      </c>
      <c r="T249" s="166">
        <f t="shared" ref="T249:AF254" si="45">S249</f>
        <v>0.3</v>
      </c>
      <c r="U249" s="166">
        <f t="shared" si="45"/>
        <v>0.3</v>
      </c>
      <c r="V249" s="166">
        <f t="shared" si="45"/>
        <v>0.3</v>
      </c>
      <c r="W249" s="166">
        <f t="shared" si="45"/>
        <v>0.3</v>
      </c>
      <c r="X249" s="166">
        <f t="shared" si="45"/>
        <v>0.3</v>
      </c>
      <c r="Y249" s="166">
        <f t="shared" si="45"/>
        <v>0.3</v>
      </c>
      <c r="Z249" s="166">
        <f t="shared" si="45"/>
        <v>0.3</v>
      </c>
      <c r="AA249" s="166">
        <f t="shared" si="45"/>
        <v>0.3</v>
      </c>
      <c r="AB249" s="166">
        <f t="shared" si="45"/>
        <v>0.3</v>
      </c>
      <c r="AC249" s="166">
        <f t="shared" si="45"/>
        <v>0.3</v>
      </c>
      <c r="AD249" s="166">
        <f t="shared" si="45"/>
        <v>0.3</v>
      </c>
      <c r="AE249" s="166">
        <f t="shared" si="45"/>
        <v>0.3</v>
      </c>
      <c r="AF249" s="166">
        <f t="shared" si="45"/>
        <v>0.3</v>
      </c>
      <c r="AG249" s="167">
        <v>2.4</v>
      </c>
      <c r="AH249" s="48"/>
      <c r="AI249" s="49"/>
    </row>
    <row r="250" spans="1:37" x14ac:dyDescent="0.25">
      <c r="A250" s="116" t="s">
        <v>270</v>
      </c>
      <c r="B250" s="152">
        <f t="shared" si="43"/>
        <v>0.4</v>
      </c>
      <c r="C250" s="152">
        <v>0.4</v>
      </c>
      <c r="D250" s="152">
        <f t="shared" si="44"/>
        <v>0.4</v>
      </c>
      <c r="E250" s="152">
        <f t="shared" si="44"/>
        <v>0.4</v>
      </c>
      <c r="F250" s="152">
        <f t="shared" si="44"/>
        <v>0.4</v>
      </c>
      <c r="G250" s="152">
        <f t="shared" si="44"/>
        <v>0.4</v>
      </c>
      <c r="H250" s="152">
        <f t="shared" si="44"/>
        <v>0.4</v>
      </c>
      <c r="I250" s="152">
        <f t="shared" si="44"/>
        <v>0.4</v>
      </c>
      <c r="J250" s="152">
        <f t="shared" si="44"/>
        <v>0.4</v>
      </c>
      <c r="K250" s="152">
        <f t="shared" si="44"/>
        <v>0.4</v>
      </c>
      <c r="L250" s="152">
        <f t="shared" si="44"/>
        <v>0.4</v>
      </c>
      <c r="M250" s="152">
        <f t="shared" si="44"/>
        <v>0.4</v>
      </c>
      <c r="N250" s="152">
        <f t="shared" si="44"/>
        <v>0.4</v>
      </c>
      <c r="O250" s="152">
        <f t="shared" si="44"/>
        <v>0.4</v>
      </c>
      <c r="P250" s="152">
        <f t="shared" si="44"/>
        <v>0.4</v>
      </c>
      <c r="Q250" s="152">
        <f t="shared" si="44"/>
        <v>0.4</v>
      </c>
      <c r="R250" s="152">
        <f t="shared" si="44"/>
        <v>0.4</v>
      </c>
      <c r="S250" s="152">
        <f t="shared" si="44"/>
        <v>0.4</v>
      </c>
      <c r="T250" s="152">
        <f t="shared" si="45"/>
        <v>0.4</v>
      </c>
      <c r="U250" s="152">
        <f t="shared" si="45"/>
        <v>0.4</v>
      </c>
      <c r="V250" s="152">
        <f t="shared" si="45"/>
        <v>0.4</v>
      </c>
      <c r="W250" s="152">
        <f t="shared" si="45"/>
        <v>0.4</v>
      </c>
      <c r="X250" s="152">
        <f t="shared" si="45"/>
        <v>0.4</v>
      </c>
      <c r="Y250" s="152">
        <f t="shared" si="45"/>
        <v>0.4</v>
      </c>
      <c r="Z250" s="152">
        <f t="shared" si="45"/>
        <v>0.4</v>
      </c>
      <c r="AA250" s="152">
        <f t="shared" si="45"/>
        <v>0.4</v>
      </c>
      <c r="AB250" s="152">
        <f t="shared" si="45"/>
        <v>0.4</v>
      </c>
      <c r="AC250" s="152">
        <f t="shared" si="45"/>
        <v>0.4</v>
      </c>
      <c r="AD250" s="152">
        <f t="shared" si="45"/>
        <v>0.4</v>
      </c>
      <c r="AE250" s="152">
        <f t="shared" si="45"/>
        <v>0.4</v>
      </c>
      <c r="AF250" s="152">
        <f t="shared" si="45"/>
        <v>0.4</v>
      </c>
      <c r="AG250" s="168">
        <v>2</v>
      </c>
      <c r="AH250" s="48"/>
      <c r="AI250" s="49"/>
    </row>
    <row r="251" spans="1:37" x14ac:dyDescent="0.25">
      <c r="A251" s="116" t="s">
        <v>271</v>
      </c>
      <c r="B251" s="152">
        <f t="shared" si="43"/>
        <v>1.5</v>
      </c>
      <c r="C251" s="152">
        <v>1.5</v>
      </c>
      <c r="D251" s="152">
        <f t="shared" si="44"/>
        <v>1.5</v>
      </c>
      <c r="E251" s="152">
        <f t="shared" si="44"/>
        <v>1.5</v>
      </c>
      <c r="F251" s="152">
        <f t="shared" si="44"/>
        <v>1.5</v>
      </c>
      <c r="G251" s="152">
        <f t="shared" si="44"/>
        <v>1.5</v>
      </c>
      <c r="H251" s="152">
        <f t="shared" si="44"/>
        <v>1.5</v>
      </c>
      <c r="I251" s="152">
        <f t="shared" si="44"/>
        <v>1.5</v>
      </c>
      <c r="J251" s="152">
        <f t="shared" si="44"/>
        <v>1.5</v>
      </c>
      <c r="K251" s="152">
        <f t="shared" si="44"/>
        <v>1.5</v>
      </c>
      <c r="L251" s="152">
        <f t="shared" si="44"/>
        <v>1.5</v>
      </c>
      <c r="M251" s="152">
        <f t="shared" si="44"/>
        <v>1.5</v>
      </c>
      <c r="N251" s="152">
        <f t="shared" si="44"/>
        <v>1.5</v>
      </c>
      <c r="O251" s="152">
        <f t="shared" si="44"/>
        <v>1.5</v>
      </c>
      <c r="P251" s="152">
        <f t="shared" si="44"/>
        <v>1.5</v>
      </c>
      <c r="Q251" s="152">
        <f t="shared" si="44"/>
        <v>1.5</v>
      </c>
      <c r="R251" s="152">
        <f t="shared" si="44"/>
        <v>1.5</v>
      </c>
      <c r="S251" s="152">
        <f t="shared" si="44"/>
        <v>1.5</v>
      </c>
      <c r="T251" s="152">
        <f t="shared" si="45"/>
        <v>1.5</v>
      </c>
      <c r="U251" s="152">
        <f t="shared" si="45"/>
        <v>1.5</v>
      </c>
      <c r="V251" s="152">
        <f t="shared" si="45"/>
        <v>1.5</v>
      </c>
      <c r="W251" s="152">
        <f t="shared" si="45"/>
        <v>1.5</v>
      </c>
      <c r="X251" s="152">
        <f t="shared" si="45"/>
        <v>1.5</v>
      </c>
      <c r="Y251" s="152">
        <f t="shared" si="45"/>
        <v>1.5</v>
      </c>
      <c r="Z251" s="152">
        <f t="shared" si="45"/>
        <v>1.5</v>
      </c>
      <c r="AA251" s="152">
        <f t="shared" si="45"/>
        <v>1.5</v>
      </c>
      <c r="AB251" s="152">
        <f t="shared" si="45"/>
        <v>1.5</v>
      </c>
      <c r="AC251" s="152">
        <f t="shared" si="45"/>
        <v>1.5</v>
      </c>
      <c r="AD251" s="152">
        <f t="shared" si="45"/>
        <v>1.5</v>
      </c>
      <c r="AE251" s="152">
        <f t="shared" si="45"/>
        <v>1.5</v>
      </c>
      <c r="AF251" s="152">
        <f t="shared" si="45"/>
        <v>1.5</v>
      </c>
      <c r="AG251" s="168">
        <v>1.5</v>
      </c>
      <c r="AH251" s="48"/>
      <c r="AI251" s="49"/>
    </row>
    <row r="252" spans="1:37" x14ac:dyDescent="0.25">
      <c r="A252" s="116" t="s">
        <v>272</v>
      </c>
      <c r="B252" s="152">
        <f t="shared" si="43"/>
        <v>0.3</v>
      </c>
      <c r="C252" s="152">
        <v>0.3</v>
      </c>
      <c r="D252" s="152">
        <f t="shared" si="44"/>
        <v>0.3</v>
      </c>
      <c r="E252" s="152">
        <f t="shared" si="44"/>
        <v>0.3</v>
      </c>
      <c r="F252" s="152">
        <f t="shared" si="44"/>
        <v>0.3</v>
      </c>
      <c r="G252" s="152">
        <f t="shared" si="44"/>
        <v>0.3</v>
      </c>
      <c r="H252" s="152">
        <f t="shared" si="44"/>
        <v>0.3</v>
      </c>
      <c r="I252" s="152">
        <f t="shared" si="44"/>
        <v>0.3</v>
      </c>
      <c r="J252" s="152">
        <f t="shared" si="44"/>
        <v>0.3</v>
      </c>
      <c r="K252" s="152">
        <f t="shared" si="44"/>
        <v>0.3</v>
      </c>
      <c r="L252" s="152">
        <f t="shared" si="44"/>
        <v>0.3</v>
      </c>
      <c r="M252" s="152">
        <f t="shared" si="44"/>
        <v>0.3</v>
      </c>
      <c r="N252" s="152">
        <f t="shared" si="44"/>
        <v>0.3</v>
      </c>
      <c r="O252" s="152">
        <f t="shared" si="44"/>
        <v>0.3</v>
      </c>
      <c r="P252" s="152">
        <f t="shared" si="44"/>
        <v>0.3</v>
      </c>
      <c r="Q252" s="152">
        <f t="shared" si="44"/>
        <v>0.3</v>
      </c>
      <c r="R252" s="152">
        <f t="shared" si="44"/>
        <v>0.3</v>
      </c>
      <c r="S252" s="152">
        <f t="shared" si="44"/>
        <v>0.3</v>
      </c>
      <c r="T252" s="152">
        <f t="shared" si="45"/>
        <v>0.3</v>
      </c>
      <c r="U252" s="152">
        <f t="shared" si="45"/>
        <v>0.3</v>
      </c>
      <c r="V252" s="152">
        <f t="shared" si="45"/>
        <v>0.3</v>
      </c>
      <c r="W252" s="152">
        <f t="shared" si="45"/>
        <v>0.3</v>
      </c>
      <c r="X252" s="152">
        <f t="shared" si="45"/>
        <v>0.3</v>
      </c>
      <c r="Y252" s="152">
        <f t="shared" si="45"/>
        <v>0.3</v>
      </c>
      <c r="Z252" s="152">
        <f t="shared" si="45"/>
        <v>0.3</v>
      </c>
      <c r="AA252" s="152">
        <f t="shared" si="45"/>
        <v>0.3</v>
      </c>
      <c r="AB252" s="152">
        <f t="shared" si="45"/>
        <v>0.3</v>
      </c>
      <c r="AC252" s="152">
        <f t="shared" si="45"/>
        <v>0.3</v>
      </c>
      <c r="AD252" s="152">
        <f t="shared" si="45"/>
        <v>0.3</v>
      </c>
      <c r="AE252" s="152">
        <f t="shared" si="45"/>
        <v>0.3</v>
      </c>
      <c r="AF252" s="152">
        <f t="shared" si="45"/>
        <v>0.3</v>
      </c>
      <c r="AG252" s="168">
        <v>1</v>
      </c>
      <c r="AH252" s="48"/>
      <c r="AI252" s="49"/>
    </row>
    <row r="253" spans="1:37" x14ac:dyDescent="0.25">
      <c r="A253" s="116" t="s">
        <v>273</v>
      </c>
      <c r="B253" s="152">
        <f t="shared" si="43"/>
        <v>0.4</v>
      </c>
      <c r="C253" s="152">
        <v>0.4</v>
      </c>
      <c r="D253" s="152">
        <f t="shared" si="44"/>
        <v>0.4</v>
      </c>
      <c r="E253" s="152">
        <f t="shared" si="44"/>
        <v>0.4</v>
      </c>
      <c r="F253" s="152">
        <f t="shared" si="44"/>
        <v>0.4</v>
      </c>
      <c r="G253" s="152">
        <f t="shared" si="44"/>
        <v>0.4</v>
      </c>
      <c r="H253" s="152">
        <f t="shared" si="44"/>
        <v>0.4</v>
      </c>
      <c r="I253" s="152">
        <f t="shared" si="44"/>
        <v>0.4</v>
      </c>
      <c r="J253" s="152">
        <f t="shared" si="44"/>
        <v>0.4</v>
      </c>
      <c r="K253" s="152">
        <f t="shared" si="44"/>
        <v>0.4</v>
      </c>
      <c r="L253" s="152">
        <f t="shared" si="44"/>
        <v>0.4</v>
      </c>
      <c r="M253" s="152">
        <f t="shared" si="44"/>
        <v>0.4</v>
      </c>
      <c r="N253" s="152">
        <f t="shared" si="44"/>
        <v>0.4</v>
      </c>
      <c r="O253" s="152">
        <f t="shared" si="44"/>
        <v>0.4</v>
      </c>
      <c r="P253" s="152">
        <f t="shared" si="44"/>
        <v>0.4</v>
      </c>
      <c r="Q253" s="152">
        <f t="shared" si="44"/>
        <v>0.4</v>
      </c>
      <c r="R253" s="152">
        <f t="shared" si="44"/>
        <v>0.4</v>
      </c>
      <c r="S253" s="152">
        <f t="shared" si="44"/>
        <v>0.4</v>
      </c>
      <c r="T253" s="152">
        <f t="shared" si="45"/>
        <v>0.4</v>
      </c>
      <c r="U253" s="152">
        <f t="shared" si="45"/>
        <v>0.4</v>
      </c>
      <c r="V253" s="152">
        <f t="shared" si="45"/>
        <v>0.4</v>
      </c>
      <c r="W253" s="152">
        <f t="shared" si="45"/>
        <v>0.4</v>
      </c>
      <c r="X253" s="152">
        <f t="shared" si="45"/>
        <v>0.4</v>
      </c>
      <c r="Y253" s="152">
        <f t="shared" si="45"/>
        <v>0.4</v>
      </c>
      <c r="Z253" s="152">
        <f t="shared" si="45"/>
        <v>0.4</v>
      </c>
      <c r="AA253" s="152">
        <f t="shared" si="45"/>
        <v>0.4</v>
      </c>
      <c r="AB253" s="152">
        <f t="shared" si="45"/>
        <v>0.4</v>
      </c>
      <c r="AC253" s="152">
        <f t="shared" si="45"/>
        <v>0.4</v>
      </c>
      <c r="AD253" s="152">
        <f t="shared" si="45"/>
        <v>0.4</v>
      </c>
      <c r="AE253" s="152">
        <f t="shared" si="45"/>
        <v>0.4</v>
      </c>
      <c r="AF253" s="152">
        <f t="shared" si="45"/>
        <v>0.4</v>
      </c>
      <c r="AG253" s="168">
        <v>1</v>
      </c>
      <c r="AH253" s="48"/>
      <c r="AI253" s="49"/>
    </row>
    <row r="254" spans="1:37" ht="15.75" thickBot="1" x14ac:dyDescent="0.3">
      <c r="A254" s="155" t="s">
        <v>274</v>
      </c>
      <c r="B254" s="157">
        <f t="shared" si="43"/>
        <v>0.64</v>
      </c>
      <c r="C254" s="157">
        <v>0.64</v>
      </c>
      <c r="D254" s="157">
        <f t="shared" si="44"/>
        <v>0.64</v>
      </c>
      <c r="E254" s="157">
        <f t="shared" si="44"/>
        <v>0.64</v>
      </c>
      <c r="F254" s="157">
        <f t="shared" si="44"/>
        <v>0.64</v>
      </c>
      <c r="G254" s="157">
        <f t="shared" si="44"/>
        <v>0.64</v>
      </c>
      <c r="H254" s="157">
        <f t="shared" si="44"/>
        <v>0.64</v>
      </c>
      <c r="I254" s="157">
        <f t="shared" si="44"/>
        <v>0.64</v>
      </c>
      <c r="J254" s="157">
        <f t="shared" si="44"/>
        <v>0.64</v>
      </c>
      <c r="K254" s="157">
        <f t="shared" si="44"/>
        <v>0.64</v>
      </c>
      <c r="L254" s="157">
        <f t="shared" si="44"/>
        <v>0.64</v>
      </c>
      <c r="M254" s="157">
        <f t="shared" si="44"/>
        <v>0.64</v>
      </c>
      <c r="N254" s="157">
        <f t="shared" si="44"/>
        <v>0.64</v>
      </c>
      <c r="O254" s="157">
        <f t="shared" si="44"/>
        <v>0.64</v>
      </c>
      <c r="P254" s="157">
        <f t="shared" si="44"/>
        <v>0.64</v>
      </c>
      <c r="Q254" s="157">
        <f t="shared" si="44"/>
        <v>0.64</v>
      </c>
      <c r="R254" s="157">
        <f t="shared" si="44"/>
        <v>0.64</v>
      </c>
      <c r="S254" s="157">
        <f t="shared" si="44"/>
        <v>0.64</v>
      </c>
      <c r="T254" s="157">
        <f t="shared" si="45"/>
        <v>0.64</v>
      </c>
      <c r="U254" s="157">
        <f t="shared" si="45"/>
        <v>0.64</v>
      </c>
      <c r="V254" s="157">
        <f t="shared" si="45"/>
        <v>0.64</v>
      </c>
      <c r="W254" s="157">
        <f t="shared" si="45"/>
        <v>0.64</v>
      </c>
      <c r="X254" s="157">
        <f t="shared" si="45"/>
        <v>0.64</v>
      </c>
      <c r="Y254" s="157">
        <f t="shared" si="45"/>
        <v>0.64</v>
      </c>
      <c r="Z254" s="157">
        <f t="shared" si="45"/>
        <v>0.64</v>
      </c>
      <c r="AA254" s="157">
        <f t="shared" si="45"/>
        <v>0.64</v>
      </c>
      <c r="AB254" s="157">
        <f t="shared" si="45"/>
        <v>0.64</v>
      </c>
      <c r="AC254" s="157">
        <f t="shared" si="45"/>
        <v>0.64</v>
      </c>
      <c r="AD254" s="157">
        <f t="shared" si="45"/>
        <v>0.64</v>
      </c>
      <c r="AE254" s="157">
        <f t="shared" si="45"/>
        <v>0.64</v>
      </c>
      <c r="AF254" s="157">
        <f t="shared" si="45"/>
        <v>0.64</v>
      </c>
      <c r="AG254" s="169">
        <v>0.66</v>
      </c>
      <c r="AH254" s="48"/>
      <c r="AI254" s="49"/>
    </row>
    <row r="255" spans="1:37" ht="15.75" thickBot="1" x14ac:dyDescent="0.3">
      <c r="A255" s="170" t="s">
        <v>98</v>
      </c>
      <c r="B255" s="161">
        <f t="shared" ref="B255:AG255" si="46">SUM(B249:B254)</f>
        <v>3.54</v>
      </c>
      <c r="C255" s="161">
        <f t="shared" si="46"/>
        <v>3.54</v>
      </c>
      <c r="D255" s="161">
        <f t="shared" si="46"/>
        <v>3.54</v>
      </c>
      <c r="E255" s="161">
        <f t="shared" si="46"/>
        <v>3.54</v>
      </c>
      <c r="F255" s="161">
        <f t="shared" si="46"/>
        <v>3.54</v>
      </c>
      <c r="G255" s="161">
        <f t="shared" si="46"/>
        <v>3.54</v>
      </c>
      <c r="H255" s="161">
        <f t="shared" si="46"/>
        <v>3.54</v>
      </c>
      <c r="I255" s="161">
        <f t="shared" si="46"/>
        <v>3.54</v>
      </c>
      <c r="J255" s="161">
        <f t="shared" si="46"/>
        <v>3.54</v>
      </c>
      <c r="K255" s="161">
        <f t="shared" si="46"/>
        <v>3.54</v>
      </c>
      <c r="L255" s="161">
        <f t="shared" si="46"/>
        <v>3.54</v>
      </c>
      <c r="M255" s="161">
        <f t="shared" si="46"/>
        <v>3.54</v>
      </c>
      <c r="N255" s="161">
        <f t="shared" si="46"/>
        <v>3.54</v>
      </c>
      <c r="O255" s="161">
        <f t="shared" si="46"/>
        <v>3.54</v>
      </c>
      <c r="P255" s="161">
        <f t="shared" si="46"/>
        <v>3.54</v>
      </c>
      <c r="Q255" s="161">
        <f t="shared" si="46"/>
        <v>3.54</v>
      </c>
      <c r="R255" s="161">
        <f t="shared" si="46"/>
        <v>3.54</v>
      </c>
      <c r="S255" s="161">
        <f t="shared" si="46"/>
        <v>3.54</v>
      </c>
      <c r="T255" s="161">
        <f t="shared" si="46"/>
        <v>3.54</v>
      </c>
      <c r="U255" s="161">
        <f t="shared" si="46"/>
        <v>3.54</v>
      </c>
      <c r="V255" s="161">
        <f t="shared" si="46"/>
        <v>3.54</v>
      </c>
      <c r="W255" s="161">
        <f t="shared" si="46"/>
        <v>3.54</v>
      </c>
      <c r="X255" s="161">
        <f t="shared" si="46"/>
        <v>3.54</v>
      </c>
      <c r="Y255" s="161">
        <f t="shared" si="46"/>
        <v>3.54</v>
      </c>
      <c r="Z255" s="161">
        <f t="shared" si="46"/>
        <v>3.54</v>
      </c>
      <c r="AA255" s="161">
        <f t="shared" si="46"/>
        <v>3.54</v>
      </c>
      <c r="AB255" s="161">
        <f t="shared" si="46"/>
        <v>3.54</v>
      </c>
      <c r="AC255" s="161">
        <f t="shared" si="46"/>
        <v>3.54</v>
      </c>
      <c r="AD255" s="161">
        <f t="shared" si="46"/>
        <v>3.54</v>
      </c>
      <c r="AE255" s="161">
        <f t="shared" si="46"/>
        <v>3.54</v>
      </c>
      <c r="AF255" s="161">
        <f t="shared" si="46"/>
        <v>3.54</v>
      </c>
      <c r="AG255" s="171">
        <f t="shared" si="46"/>
        <v>8.56</v>
      </c>
      <c r="AH255" s="48"/>
      <c r="AI255" s="49"/>
    </row>
    <row r="256" spans="1:37" x14ac:dyDescent="0.25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164"/>
      <c r="AH256" s="44"/>
    </row>
    <row r="257" spans="1:34" ht="12.75" customHeight="1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x14ac:dyDescent="0.25">
      <c r="A259" s="172" t="s">
        <v>275</v>
      </c>
      <c r="B259" s="173">
        <f>MAX(G102:N102)</f>
        <v>153.54</v>
      </c>
      <c r="C259" s="174">
        <f>INDEX(G9:N9,1,MATCH(MAX(G102:N102),G102:N102,0))</f>
        <v>0.20833333333333301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x14ac:dyDescent="0.25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9" t="s">
        <v>276</v>
      </c>
      <c r="B261" s="179"/>
      <c r="C261" s="44"/>
      <c r="D261" s="52" t="e">
        <f ca="1">"Pie Chart of Daily Peak Demand(Inclusive of Export) of Nepal ("&amp;A4&amp;" "&amp;B4&amp;")"</f>
        <v>#VALUE!</v>
      </c>
      <c r="E261" s="44"/>
      <c r="F261" s="44"/>
      <c r="G261" s="52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ht="15" customHeight="1" x14ac:dyDescent="0.25">
      <c r="A262" s="175" t="s">
        <v>7</v>
      </c>
      <c r="B262" s="176"/>
      <c r="C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ht="26.25" customHeight="1" x14ac:dyDescent="0.25">
      <c r="A263" s="175" t="s">
        <v>277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x14ac:dyDescent="0.25">
      <c r="A264" s="175" t="s">
        <v>278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x14ac:dyDescent="0.25">
      <c r="A265" s="175" t="s">
        <v>279</v>
      </c>
      <c r="B265" s="17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39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A267" s="175" t="s">
        <v>280</v>
      </c>
      <c r="B267" s="17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A268" s="175" t="s">
        <v>281</v>
      </c>
      <c r="B268" s="177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A269" s="175" t="s">
        <v>282</v>
      </c>
      <c r="B269" s="17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2:34" x14ac:dyDescent="0.25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2:34" x14ac:dyDescent="0.25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2:34" x14ac:dyDescent="0.25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2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2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2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2:34" x14ac:dyDescent="0.25"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2:34" x14ac:dyDescent="0.25"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2:34" x14ac:dyDescent="0.25"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W9:W10"/>
    <mergeCell ref="X9:X10"/>
    <mergeCell ref="Y9:Y10"/>
    <mergeCell ref="Z9:Z10"/>
    <mergeCell ref="AB8:AF8"/>
    <mergeCell ref="O9:O10"/>
    <mergeCell ref="AN90:AN91"/>
    <mergeCell ref="AB9:AB10"/>
    <mergeCell ref="AC9:AC10"/>
    <mergeCell ref="AD9:AD10"/>
    <mergeCell ref="AE9:AE10"/>
    <mergeCell ref="AF9:AF10"/>
    <mergeCell ref="AG9:AG10"/>
    <mergeCell ref="AA9:AA10"/>
    <mergeCell ref="P9:P10"/>
    <mergeCell ref="Q9:Q10"/>
    <mergeCell ref="R9:R10"/>
    <mergeCell ref="S9:S10"/>
    <mergeCell ref="T9:T10"/>
    <mergeCell ref="U9:U10"/>
    <mergeCell ref="V9:V10"/>
  </mergeCells>
  <conditionalFormatting sqref="A11:A89 A95:A133 A135:A256">
    <cfRule type="expression" dxfId="275" priority="80">
      <formula>$AH11=0</formula>
    </cfRule>
  </conditionalFormatting>
  <conditionalFormatting sqref="A89">
    <cfRule type="expression" dxfId="274" priority="138">
      <formula>$AH94=0</formula>
    </cfRule>
  </conditionalFormatting>
  <conditionalFormatting sqref="A90:A94">
    <cfRule type="expression" dxfId="273" priority="81">
      <formula>$AH89=0</formula>
    </cfRule>
  </conditionalFormatting>
  <conditionalFormatting sqref="B8">
    <cfRule type="expression" dxfId="272" priority="134">
      <formula>AND(C$9&gt;=14/24,C$9&lt;20/24)</formula>
    </cfRule>
    <cfRule type="expression" dxfId="271" priority="135">
      <formula>AND(C$9&gt;=8/24,C$9&lt;14/24)</formula>
    </cfRule>
    <cfRule type="expression" dxfId="270" priority="136">
      <formula>C$9&lt;8/24</formula>
    </cfRule>
    <cfRule type="expression" dxfId="269" priority="137">
      <formula>C$9&gt;=20/24</formula>
    </cfRule>
  </conditionalFormatting>
  <conditionalFormatting sqref="B11:E11 B12:J42 K15:X42 B43:X57 B62:D71 B72:AF77 B80:AF102 B9:AF10 B104:AF120 B122:AF140 B247:AF247 B249:B255">
    <cfRule type="expression" dxfId="268" priority="41">
      <formula>B$9&gt;=20/24</formula>
    </cfRule>
  </conditionalFormatting>
  <conditionalFormatting sqref="B9:AF10 B11:E11 B12:J42 K15:X42 B43:X57 B62:D71 B72:AF77 B80:AF102 B104:AF120 B122:AF140 B247:AF247 B249:B255">
    <cfRule type="expression" dxfId="267" priority="42">
      <formula>AND(B$9&gt;=14/24,B$9&lt;20/24)</formula>
    </cfRule>
    <cfRule type="expression" dxfId="266" priority="43">
      <formula>AND(B$9&gt;=8/24,B$9&lt;14/24)</formula>
    </cfRule>
    <cfRule type="expression" dxfId="265" priority="44">
      <formula>B$9&lt;8/24</formula>
    </cfRule>
  </conditionalFormatting>
  <conditionalFormatting sqref="B58:AF60">
    <cfRule type="expression" dxfId="264" priority="37">
      <formula>B$9&gt;=20/24</formula>
    </cfRule>
    <cfRule type="expression" dxfId="263" priority="38">
      <formula>AND(B$9&gt;=14/24,B$9&lt;20/24)</formula>
    </cfRule>
    <cfRule type="expression" dxfId="262" priority="39">
      <formula>AND(B$9&gt;=8/24,B$9&lt;14/24)</formula>
    </cfRule>
    <cfRule type="expression" dxfId="261" priority="49">
      <formula>B$9&lt;8/24</formula>
    </cfRule>
  </conditionalFormatting>
  <conditionalFormatting sqref="D249:AF255">
    <cfRule type="expression" dxfId="260" priority="119">
      <formula>D$9&gt;=20/24</formula>
    </cfRule>
    <cfRule type="expression" dxfId="259" priority="120">
      <formula>AND(D$9&gt;=14/24,D$9&lt;20/24)</formula>
    </cfRule>
    <cfRule type="expression" dxfId="258" priority="121">
      <formula>AND(D$9&gt;=8/24,D$9&lt;14/24)</formula>
    </cfRule>
    <cfRule type="expression" dxfId="257" priority="122">
      <formula>D$9&lt;8/24</formula>
    </cfRule>
  </conditionalFormatting>
  <conditionalFormatting sqref="E66:I70 J67:J70 K70">
    <cfRule type="expression" dxfId="256" priority="50">
      <formula>E$9&gt;=20/24</formula>
    </cfRule>
    <cfRule type="expression" dxfId="255" priority="51">
      <formula>AND(E$9&gt;=14/24,E$9&lt;20/24)</formula>
    </cfRule>
    <cfRule type="expression" dxfId="254" priority="52">
      <formula>AND(E$9&gt;=8/24,E$9&lt;14/24)</formula>
    </cfRule>
    <cfRule type="expression" dxfId="253" priority="53">
      <formula>E$9&lt;8/24</formula>
    </cfRule>
  </conditionalFormatting>
  <conditionalFormatting sqref="E71:K71">
    <cfRule type="expression" dxfId="252" priority="45">
      <formula>E$9&gt;=20/24</formula>
    </cfRule>
    <cfRule type="expression" dxfId="251" priority="46">
      <formula>AND(E$9&gt;=14/24,E$9&lt;20/24)</formula>
    </cfRule>
    <cfRule type="expression" dxfId="250" priority="47">
      <formula>AND(E$9&gt;=8/24,E$9&lt;14/24)</formula>
    </cfRule>
    <cfRule type="expression" dxfId="249" priority="48">
      <formula>E$9&lt;8/24</formula>
    </cfRule>
  </conditionalFormatting>
  <conditionalFormatting sqref="E11:AF11 K12:AF14 Y15:AF57">
    <cfRule type="expression" dxfId="248" priority="55">
      <formula>E$9&gt;=20/24</formula>
    </cfRule>
    <cfRule type="expression" dxfId="247" priority="56">
      <formula>AND(E$9&gt;=14/24,E$9&lt;20/24)</formula>
    </cfRule>
    <cfRule type="expression" dxfId="246" priority="57">
      <formula>AND(E$9&gt;=8/24,E$9&lt;14/24)</formula>
    </cfRule>
    <cfRule type="expression" dxfId="245" priority="58">
      <formula>E$9&lt;8/24</formula>
    </cfRule>
  </conditionalFormatting>
  <conditionalFormatting sqref="E11:AF11 K12:AF14">
    <cfRule type="expression" dxfId="244" priority="54">
      <formula>E11&gt;$AG11</formula>
    </cfRule>
  </conditionalFormatting>
  <conditionalFormatting sqref="E62:AF65">
    <cfRule type="expression" dxfId="243" priority="60">
      <formula>E$9&gt;=20/24</formula>
    </cfRule>
    <cfRule type="expression" dxfId="242" priority="61">
      <formula>AND(E$9&gt;=14/24,E$9&lt;20/24)</formula>
    </cfRule>
    <cfRule type="expression" dxfId="241" priority="62">
      <formula>AND(E$9&gt;=8/24,E$9&lt;14/24)</formula>
    </cfRule>
    <cfRule type="expression" dxfId="240" priority="63">
      <formula>E$9&lt;8/24</formula>
    </cfRule>
  </conditionalFormatting>
  <conditionalFormatting sqref="F66:L68">
    <cfRule type="expression" dxfId="239" priority="72">
      <formula>F$9&gt;=20/24</formula>
    </cfRule>
    <cfRule type="expression" dxfId="238" priority="73">
      <formula>AND(F$9&gt;=14/24,F$9&lt;20/24)</formula>
    </cfRule>
    <cfRule type="expression" dxfId="237" priority="74">
      <formula>AND(F$9&gt;=8/24,F$9&lt;14/24)</formula>
    </cfRule>
    <cfRule type="expression" dxfId="236" priority="75">
      <formula>F$9&lt;8/24</formula>
    </cfRule>
  </conditionalFormatting>
  <conditionalFormatting sqref="L71:V71">
    <cfRule type="expression" dxfId="235" priority="68">
      <formula>L$9&gt;=20/24</formula>
    </cfRule>
    <cfRule type="expression" dxfId="234" priority="69">
      <formula>AND(L$9&gt;=14/24,L$9&lt;20/24)</formula>
    </cfRule>
    <cfRule type="expression" dxfId="233" priority="70">
      <formula>AND(L$9&gt;=8/24,L$9&lt;14/24)</formula>
    </cfRule>
    <cfRule type="expression" dxfId="232" priority="71">
      <formula>L$9&lt;8/24</formula>
    </cfRule>
  </conditionalFormatting>
  <conditionalFormatting sqref="M8 S8 AB8">
    <cfRule type="expression" dxfId="231" priority="126">
      <formula>AND(N$9&gt;=14/24,N$9&lt;20/24)</formula>
    </cfRule>
    <cfRule type="expression" dxfId="230" priority="127">
      <formula>AND(N$9&gt;=8/24,N$9&lt;14/24)</formula>
    </cfRule>
    <cfRule type="expression" dxfId="229" priority="128">
      <formula>N$9&lt;8/24</formula>
    </cfRule>
  </conditionalFormatting>
  <conditionalFormatting sqref="M66:V70">
    <cfRule type="expression" dxfId="228" priority="76">
      <formula>M$9&gt;=20/24</formula>
    </cfRule>
    <cfRule type="expression" dxfId="227" priority="77">
      <formula>AND(M$9&gt;=14/24,M$9&lt;20/24)</formula>
    </cfRule>
    <cfRule type="expression" dxfId="226" priority="78">
      <formula>AND(M$9&gt;=8/24,M$9&lt;14/24)</formula>
    </cfRule>
    <cfRule type="expression" dxfId="225" priority="79">
      <formula>M$9&lt;8/24</formula>
    </cfRule>
  </conditionalFormatting>
  <conditionalFormatting sqref="O3:P3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4" priority="125">
      <formula>N$9&gt;=20/24</formula>
    </cfRule>
  </conditionalFormatting>
  <conditionalFormatting sqref="S8">
    <cfRule type="expression" dxfId="223" priority="112">
      <formula>U$9&gt;=20/24</formula>
    </cfRule>
    <cfRule type="expression" dxfId="222" priority="113">
      <formula>AND(U$9&gt;=14/24,U$9&lt;20/24)</formula>
    </cfRule>
    <cfRule type="expression" dxfId="221" priority="114">
      <formula>AND(U$9&gt;=8/24,U$9&lt;14/24)</formula>
    </cfRule>
    <cfRule type="expression" dxfId="220" priority="115">
      <formula>U$9&lt;8/24</formula>
    </cfRule>
  </conditionalFormatting>
  <conditionalFormatting sqref="T66:AF71">
    <cfRule type="expression" dxfId="219" priority="64">
      <formula>T$9&gt;=20/24</formula>
    </cfRule>
    <cfRule type="expression" dxfId="218" priority="65">
      <formula>AND(T$9&gt;=14/24,T$9&lt;20/24)</formula>
    </cfRule>
    <cfRule type="expression" dxfId="217" priority="66">
      <formula>AND(T$9&gt;=8/24,T$9&lt;14/24)</formula>
    </cfRule>
    <cfRule type="expression" dxfId="216" priority="67">
      <formula>T$9&lt;8/24</formula>
    </cfRule>
  </conditionalFormatting>
  <conditionalFormatting sqref="V3 AB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Y59:Z60">
    <cfRule type="expression" dxfId="215" priority="59">
      <formula>Y59&gt;$AG59</formula>
    </cfRule>
  </conditionalFormatting>
  <conditionalFormatting sqref="Y15:AF58 B43:X60 AA59:AF60 B11:E11 B12:J21 K15:V21 W15:X42 B22:V42 B61:AG61 B62:AF64 B65:AG65 B66:AF83 AG83">
    <cfRule type="expression" dxfId="214" priority="40">
      <formula>B11&gt;$AG11</formula>
    </cfRule>
  </conditionalFormatting>
  <conditionalFormatting sqref="AB8">
    <cfRule type="expression" dxfId="213" priority="108">
      <formula>AD$9&gt;=20/24</formula>
    </cfRule>
    <cfRule type="expression" dxfId="212" priority="109">
      <formula>AND(AD$9&gt;=14/24,AD$9&lt;20/24)</formula>
    </cfRule>
    <cfRule type="expression" dxfId="211" priority="110">
      <formula>AND(AD$9&gt;=8/24,AD$9&lt;14/24)</formula>
    </cfRule>
    <cfRule type="expression" dxfId="210" priority="111">
      <formula>AD$9&lt;8/24</formula>
    </cfRule>
  </conditionalFormatting>
  <conditionalFormatting sqref="AG65">
    <cfRule type="expression" dxfId="209" priority="87">
      <formula>AG$9&gt;=20/24</formula>
    </cfRule>
    <cfRule type="expression" dxfId="208" priority="88">
      <formula>AND(AG$9&gt;=14/24,AG$9&lt;20/24)</formula>
    </cfRule>
    <cfRule type="expression" dxfId="207" priority="89">
      <formula>AND(AG$9&gt;=8/24,AG$9&lt;14/24)</formula>
    </cfRule>
    <cfRule type="expression" dxfId="206" priority="90">
      <formula>AG$9&lt;8/24</formula>
    </cfRule>
  </conditionalFormatting>
  <conditionalFormatting sqref="AG78:AG79">
    <cfRule type="expression" dxfId="205" priority="82">
      <formula>AG78&gt;$AG78</formula>
    </cfRule>
  </conditionalFormatting>
  <conditionalFormatting sqref="AG83">
    <cfRule type="expression" dxfId="204" priority="83">
      <formula>AG$9&gt;=20/24</formula>
    </cfRule>
    <cfRule type="expression" dxfId="203" priority="84">
      <formula>AND(AG$9&gt;=14/24,AG$9&lt;20/24)</formula>
    </cfRule>
    <cfRule type="expression" dxfId="202" priority="85">
      <formula>AND(AG$9&gt;=8/24,AG$9&lt;14/24)</formula>
    </cfRule>
    <cfRule type="expression" dxfId="201" priority="86">
      <formula>AG$9&lt;8/24</formula>
    </cfRule>
  </conditionalFormatting>
  <conditionalFormatting sqref="AG100">
    <cfRule type="expression" dxfId="200" priority="104">
      <formula>AG$9&gt;=20/24</formula>
    </cfRule>
    <cfRule type="expression" dxfId="199" priority="105">
      <formula>AND(AG$9&gt;=14/24,AG$9&lt;20/24)</formula>
    </cfRule>
    <cfRule type="expression" dxfId="198" priority="106">
      <formula>AND(AG$9&gt;=8/24,AG$9&lt;14/24)</formula>
    </cfRule>
    <cfRule type="expression" dxfId="197" priority="107">
      <formula>AG$9&lt;8/24</formula>
    </cfRule>
  </conditionalFormatting>
  <conditionalFormatting sqref="AL4:AL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87:AM91">
    <cfRule type="expression" dxfId="196" priority="129">
      <formula>AJ$9&gt;=20/24</formula>
    </cfRule>
    <cfRule type="expression" dxfId="195" priority="130">
      <formula>AND(AJ$9&gt;=14/24,AJ$9&lt;20/24)</formula>
    </cfRule>
    <cfRule type="expression" dxfId="194" priority="131">
      <formula>AND(AJ$9&gt;=8/24,AJ$9&lt;14/24)</formula>
    </cfRule>
    <cfRule type="expression" dxfId="193" priority="132">
      <formula>AJ$9&lt;8/24</formula>
    </cfRule>
  </conditionalFormatting>
  <conditionalFormatting sqref="AL86:AN86 AL92:AN92">
    <cfRule type="expression" dxfId="192" priority="97">
      <formula>AL$9&gt;=20/24</formula>
    </cfRule>
    <cfRule type="expression" dxfId="191" priority="98">
      <formula>AND(AL$9&gt;=14/24,AL$9&lt;20/24)</formula>
    </cfRule>
    <cfRule type="expression" dxfId="190" priority="99">
      <formula>AND(AL$9&gt;=8/24,AL$9&lt;14/24)</formula>
    </cfRule>
    <cfRule type="expression" dxfId="189" priority="100">
      <formula>AL$9&lt;8/24</formula>
    </cfRule>
  </conditionalFormatting>
  <conditionalFormatting sqref="AM15:AM21 AN16:AR21">
    <cfRule type="expression" dxfId="188" priority="13">
      <formula>AX$9&gt;=20/24</formula>
    </cfRule>
    <cfRule type="expression" dxfId="187" priority="14">
      <formula>AND(AX$9&gt;=14/24,AX$9&lt;20/24)</formula>
    </cfRule>
    <cfRule type="expression" dxfId="186" priority="15">
      <formula>AND(AX$9&gt;=8/24,AX$9&lt;14/24)</formula>
    </cfRule>
    <cfRule type="expression" dxfId="185" priority="16">
      <formula>AX$9&lt;8/24</formula>
    </cfRule>
  </conditionalFormatting>
  <conditionalFormatting sqref="AN87:AN90">
    <cfRule type="expression" dxfId="184" priority="93">
      <formula>AN$9&gt;=20/24</formula>
    </cfRule>
    <cfRule type="expression" dxfId="183" priority="94">
      <formula>AND(AN$9&gt;=14/24,AN$9&lt;20/24)</formula>
    </cfRule>
    <cfRule type="expression" dxfId="182" priority="95">
      <formula>AND(AN$9&gt;=8/24,AN$9&lt;14/24)</formula>
    </cfRule>
    <cfRule type="expression" dxfId="181" priority="96">
      <formula>AN$9&lt;8/24</formula>
    </cfRule>
  </conditionalFormatting>
  <conditionalFormatting sqref="AN15:AR15">
    <cfRule type="expression" dxfId="180" priority="1">
      <formula>U$9&gt;=20/24</formula>
    </cfRule>
    <cfRule type="expression" dxfId="179" priority="2">
      <formula>AND(U$9&gt;=14/24,U$9&lt;20/24)</formula>
    </cfRule>
    <cfRule type="expression" dxfId="178" priority="3">
      <formula>AND(U$9&gt;=8/24,U$9&lt;14/24)</formula>
    </cfRule>
    <cfRule type="expression" dxfId="177" priority="4">
      <formula>U$9&lt;8/24</formula>
    </cfRule>
  </conditionalFormatting>
  <conditionalFormatting sqref="AS15">
    <cfRule type="expression" dxfId="176" priority="9">
      <formula>AA$9&gt;=20/24</formula>
    </cfRule>
    <cfRule type="expression" dxfId="175" priority="10">
      <formula>AND(AA$9&gt;=14/24,AA$9&lt;20/24)</formula>
    </cfRule>
    <cfRule type="expression" dxfId="174" priority="11">
      <formula>AND(AA$9&gt;=8/24,AA$9&lt;14/24)</formula>
    </cfRule>
    <cfRule type="expression" dxfId="173" priority="12">
      <formula>AA$9&lt;8/24</formula>
    </cfRule>
  </conditionalFormatting>
  <conditionalFormatting sqref="AS16:AS21">
    <cfRule type="expression" dxfId="172" priority="17">
      <formula>BE$9&gt;=20/24</formula>
    </cfRule>
    <cfRule type="expression" dxfId="171" priority="18">
      <formula>AND(BE$9&gt;=14/24,BE$9&lt;20/24)</formula>
    </cfRule>
    <cfRule type="expression" dxfId="170" priority="19">
      <formula>AND(BE$9&gt;=8/24,BE$9&lt;14/24)</formula>
    </cfRule>
    <cfRule type="expression" dxfId="169" priority="20">
      <formula>BE$9&lt;8/24</formula>
    </cfRule>
  </conditionalFormatting>
  <conditionalFormatting sqref="AT15 AX15:BJ15">
    <cfRule type="expression" dxfId="168" priority="21">
      <formula>AC$9&gt;=20/24</formula>
    </cfRule>
    <cfRule type="expression" dxfId="167" priority="22">
      <formula>AND(AC$9&gt;=14/24,AC$9&lt;20/24)</formula>
    </cfRule>
    <cfRule type="expression" dxfId="166" priority="23">
      <formula>AND(AC$9&gt;=8/24,AC$9&lt;14/24)</formula>
    </cfRule>
    <cfRule type="expression" dxfId="165" priority="24">
      <formula>AC$9&lt;8/24</formula>
    </cfRule>
  </conditionalFormatting>
  <conditionalFormatting sqref="AT16:AT21">
    <cfRule type="expression" dxfId="164" priority="25">
      <formula>BG$9&gt;=20/24</formula>
    </cfRule>
    <cfRule type="expression" dxfId="163" priority="26">
      <formula>AND(BG$9&gt;=14/24,BG$9&lt;20/24)</formula>
    </cfRule>
    <cfRule type="expression" dxfId="162" priority="27">
      <formula>AND(BG$9&gt;=8/24,BG$9&lt;14/24)</formula>
    </cfRule>
    <cfRule type="expression" dxfId="161" priority="28">
      <formula>BG$9&lt;8/24</formula>
    </cfRule>
  </conditionalFormatting>
  <conditionalFormatting sqref="AU15:AV15">
    <cfRule type="expression" dxfId="160" priority="29">
      <formula>AE$9&gt;=20/24</formula>
    </cfRule>
    <cfRule type="expression" dxfId="159" priority="30">
      <formula>AND(AE$9&gt;=14/24,AE$9&lt;20/24)</formula>
    </cfRule>
    <cfRule type="expression" dxfId="158" priority="31">
      <formula>AND(AE$9&gt;=8/24,AE$9&lt;14/24)</formula>
    </cfRule>
    <cfRule type="expression" dxfId="157" priority="32">
      <formula>AE$9&lt;8/24</formula>
    </cfRule>
  </conditionalFormatting>
  <conditionalFormatting sqref="AU16:BJ21">
    <cfRule type="expression" dxfId="156" priority="33">
      <formula>BI$9&gt;=20/24</formula>
    </cfRule>
    <cfRule type="expression" dxfId="155" priority="34">
      <formula>AND(BI$9&gt;=14/24,BI$9&lt;20/24)</formula>
    </cfRule>
    <cfRule type="expression" dxfId="154" priority="35">
      <formula>AND(BI$9&gt;=8/24,BI$9&lt;14/24)</formula>
    </cfRule>
    <cfRule type="expression" dxfId="153" priority="36">
      <formula>BI$9&lt;8/24</formula>
    </cfRule>
  </conditionalFormatting>
  <conditionalFormatting sqref="AW15">
    <cfRule type="expression" dxfId="152" priority="5">
      <formula>B$9&gt;=20/24</formula>
    </cfRule>
    <cfRule type="expression" dxfId="151" priority="6">
      <formula>AND(B$9&gt;=14/24,B$9&lt;20/24)</formula>
    </cfRule>
    <cfRule type="expression" dxfId="150" priority="7">
      <formula>AND(B$9&gt;=8/24,B$9&lt;14/24)</formula>
    </cfRule>
    <cfRule type="expression" dxfId="14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3678-2F1B-4080-BF7A-795AA2FC6B51}">
  <sheetPr codeName="Sheet32"/>
  <dimension ref="A1:CJ294"/>
  <sheetViews>
    <sheetView zoomScale="106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V22" sqref="V2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hidden="1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187" t="e">
        <f ca="1">"2080/"&amp;"10/"&amp;INT(MID(CELL("filename",D6),FIND("]",CELL("filename",D6))+1,200))</f>
        <v>#VALUE!</v>
      </c>
      <c r="C4" s="187"/>
      <c r="D4" s="187"/>
      <c r="E4" s="188" t="e">
        <f ca="1">"2080/"&amp;"10/"&amp;INT(MID(CELL("filename",G6),FIND("]",CELL("filename",G6))+1,200))</f>
        <v>#VALUE!</v>
      </c>
      <c r="F4" s="188"/>
      <c r="G4" s="188"/>
      <c r="H4" s="188" t="e">
        <f ca="1">TEXT(E4,"dddd")</f>
        <v>#VALUE!</v>
      </c>
      <c r="I4" s="188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 t="shared" ref="B5:AE5" si="0">C92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 t="shared" ref="B7:AF7" si="1">B100</f>
        <v>153.54</v>
      </c>
      <c r="C7" s="35">
        <f t="shared" si="1"/>
        <v>153.54</v>
      </c>
      <c r="D7" s="35">
        <f t="shared" si="1"/>
        <v>153.54</v>
      </c>
      <c r="E7" s="35">
        <f t="shared" si="1"/>
        <v>153.54</v>
      </c>
      <c r="F7" s="35">
        <f t="shared" si="1"/>
        <v>153.54</v>
      </c>
      <c r="G7" s="35">
        <f t="shared" si="1"/>
        <v>153.54</v>
      </c>
      <c r="H7" s="35">
        <f t="shared" si="1"/>
        <v>153.54</v>
      </c>
      <c r="I7" s="35">
        <f t="shared" si="1"/>
        <v>153.54</v>
      </c>
      <c r="J7" s="35">
        <f t="shared" si="1"/>
        <v>153.54</v>
      </c>
      <c r="K7" s="35">
        <f t="shared" si="1"/>
        <v>153.54</v>
      </c>
      <c r="L7" s="35">
        <f t="shared" si="1"/>
        <v>153.54</v>
      </c>
      <c r="M7" s="35">
        <f t="shared" si="1"/>
        <v>153.54</v>
      </c>
      <c r="N7" s="35">
        <f t="shared" si="1"/>
        <v>153.54</v>
      </c>
      <c r="O7" s="35">
        <f t="shared" si="1"/>
        <v>153.54</v>
      </c>
      <c r="P7" s="35">
        <f t="shared" si="1"/>
        <v>153.54</v>
      </c>
      <c r="Q7" s="35">
        <f t="shared" si="1"/>
        <v>153.54</v>
      </c>
      <c r="R7" s="35">
        <f t="shared" si="1"/>
        <v>153.54</v>
      </c>
      <c r="S7" s="35">
        <f t="shared" si="1"/>
        <v>153.54</v>
      </c>
      <c r="T7" s="35">
        <f t="shared" si="1"/>
        <v>153.54</v>
      </c>
      <c r="U7" s="35">
        <f t="shared" si="1"/>
        <v>153.54</v>
      </c>
      <c r="V7" s="35">
        <f t="shared" si="1"/>
        <v>153.54</v>
      </c>
      <c r="W7" s="35">
        <f t="shared" si="1"/>
        <v>153.54</v>
      </c>
      <c r="X7" s="35">
        <f t="shared" si="1"/>
        <v>153.54</v>
      </c>
      <c r="Y7" s="35">
        <f t="shared" si="1"/>
        <v>153.5</v>
      </c>
      <c r="Z7" s="35">
        <f t="shared" si="1"/>
        <v>155.5</v>
      </c>
      <c r="AA7" s="35">
        <f t="shared" si="1"/>
        <v>153.54</v>
      </c>
      <c r="AB7" s="35">
        <f t="shared" si="1"/>
        <v>153.54</v>
      </c>
      <c r="AC7" s="35">
        <f t="shared" si="1"/>
        <v>153.54</v>
      </c>
      <c r="AD7" s="35">
        <f t="shared" si="1"/>
        <v>153.54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42" t="str">
        <f>"DAILY SYSTEM PEAK : "&amp;MAX(AM22:BJ22)&amp;" MW"</f>
        <v>DAILY SYSTEM PEAK : 155.5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3"/>
      <c r="AI9" s="41"/>
      <c r="AL9" s="28"/>
      <c r="AM9" s="24"/>
      <c r="AN9" s="24"/>
      <c r="AO9" s="24"/>
      <c r="AP9" s="24"/>
      <c r="AQ9" s="24"/>
      <c r="AR9" s="24"/>
      <c r="AS9" s="24"/>
      <c r="AT9" s="42" t="str">
        <f>"DAILY NATIONAL PEAK : "&amp;MAX(AM24:BJ24)&amp;" MW"</f>
        <v>DAILY NATIONAL PEAK : 155.5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4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5" t="s">
        <v>19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86</v>
      </c>
      <c r="AH11" s="48">
        <f t="shared" ref="AH11:AH16" si="2">MAX(B11:AF11)</f>
        <v>0</v>
      </c>
      <c r="AI11" s="49">
        <f t="shared" ref="AI11:AI1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5" t="s">
        <v>20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50">
        <v>54</v>
      </c>
      <c r="AH12" s="48">
        <f t="shared" si="2"/>
        <v>0</v>
      </c>
      <c r="AI12" s="49">
        <f t="shared" si="3"/>
        <v>0</v>
      </c>
      <c r="AK12" s="51"/>
      <c r="AL12" s="52" t="str">
        <f ca="1">MID(CELL("filename",C7),FIND("]",CELL("filename",C7))+1,600)</f>
        <v>OSample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5" t="s">
        <v>21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50">
        <v>54</v>
      </c>
      <c r="AH13" s="48">
        <f t="shared" si="2"/>
        <v>0</v>
      </c>
      <c r="AI13" s="49">
        <f t="shared" si="3"/>
        <v>0</v>
      </c>
      <c r="AK13" s="51"/>
      <c r="AL13" s="52" t="e">
        <f ca="1">"Daily Load Curve(Excluding of Export) of Nepal ("&amp;A4&amp;" "&amp;B4&amp;")"</f>
        <v>#VALUE!</v>
      </c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5" t="s">
        <v>22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7">
        <v>52.4</v>
      </c>
      <c r="AH14" s="48">
        <f t="shared" si="2"/>
        <v>0</v>
      </c>
      <c r="AI14" s="49">
        <f t="shared" si="3"/>
        <v>0</v>
      </c>
      <c r="AK14" s="5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5" t="s">
        <v>23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0">
        <v>50</v>
      </c>
      <c r="AH15" s="48">
        <f t="shared" si="2"/>
        <v>0</v>
      </c>
      <c r="AI15" s="49">
        <f t="shared" si="3"/>
        <v>0</v>
      </c>
      <c r="AK15" s="51"/>
      <c r="AL15" s="54" t="s">
        <v>24</v>
      </c>
      <c r="AM15" s="55">
        <v>0</v>
      </c>
      <c r="AN15" s="56">
        <v>4.1666666666666664E-2</v>
      </c>
      <c r="AO15" s="57">
        <v>8.3333333333333301E-2</v>
      </c>
      <c r="AP15" s="57">
        <v>0.125</v>
      </c>
      <c r="AQ15" s="57">
        <v>0.16666666666666699</v>
      </c>
      <c r="AR15" s="57">
        <v>0.20833333333333301</v>
      </c>
      <c r="AS15" s="57">
        <v>0.25</v>
      </c>
      <c r="AT15" s="57">
        <v>0.29166666666666669</v>
      </c>
      <c r="AU15" s="58">
        <v>0.33333333333333331</v>
      </c>
      <c r="AV15" s="58">
        <v>0.375</v>
      </c>
      <c r="AW15" s="58">
        <v>0.41666666666666702</v>
      </c>
      <c r="AX15" s="58">
        <v>0.45833333333333298</v>
      </c>
      <c r="AY15" s="58">
        <v>0.5</v>
      </c>
      <c r="AZ15" s="58">
        <v>0.54166666666666596</v>
      </c>
      <c r="BA15" s="58">
        <v>0.58333333333333304</v>
      </c>
      <c r="BB15" s="58">
        <v>0.625</v>
      </c>
      <c r="BC15" s="58">
        <v>0.66666666666666596</v>
      </c>
      <c r="BD15" s="58">
        <v>0.70833333333333304</v>
      </c>
      <c r="BE15" s="58">
        <v>0.75</v>
      </c>
      <c r="BF15" s="58">
        <v>0.79166666666666596</v>
      </c>
      <c r="BG15" s="58">
        <v>0.83333333333333304</v>
      </c>
      <c r="BH15" s="58">
        <v>0.875</v>
      </c>
      <c r="BI15" s="58">
        <v>0.91666666666666596</v>
      </c>
      <c r="BJ15" s="58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50">
        <v>45</v>
      </c>
      <c r="AH16" s="48">
        <f t="shared" si="2"/>
        <v>0</v>
      </c>
      <c r="AI16" s="49">
        <f t="shared" si="3"/>
        <v>0</v>
      </c>
      <c r="AK16" s="51"/>
      <c r="AL16" s="54" t="s">
        <v>7</v>
      </c>
      <c r="AM16" s="59">
        <f t="shared" ref="AM16:AR16" si="4">B58</f>
        <v>150</v>
      </c>
      <c r="AN16" s="59">
        <f t="shared" si="4"/>
        <v>150</v>
      </c>
      <c r="AO16" s="59">
        <f t="shared" si="4"/>
        <v>150</v>
      </c>
      <c r="AP16" s="59">
        <f t="shared" si="4"/>
        <v>150</v>
      </c>
      <c r="AQ16" s="59">
        <f t="shared" si="4"/>
        <v>150</v>
      </c>
      <c r="AR16" s="59">
        <f t="shared" si="4"/>
        <v>150</v>
      </c>
      <c r="AS16" s="59">
        <f>I58</f>
        <v>150</v>
      </c>
      <c r="AT16" s="59">
        <f>K58</f>
        <v>150</v>
      </c>
      <c r="AU16" s="59">
        <f t="shared" ref="AU16:BD16" si="5">M58</f>
        <v>150</v>
      </c>
      <c r="AV16" s="59">
        <f t="shared" si="5"/>
        <v>150</v>
      </c>
      <c r="AW16" s="59">
        <f t="shared" si="5"/>
        <v>150</v>
      </c>
      <c r="AX16" s="59">
        <f t="shared" si="5"/>
        <v>150</v>
      </c>
      <c r="AY16" s="59">
        <f t="shared" si="5"/>
        <v>150</v>
      </c>
      <c r="AZ16" s="59">
        <f t="shared" si="5"/>
        <v>150</v>
      </c>
      <c r="BA16" s="59">
        <f t="shared" si="5"/>
        <v>150</v>
      </c>
      <c r="BB16" s="59">
        <f t="shared" si="5"/>
        <v>150</v>
      </c>
      <c r="BC16" s="59">
        <f t="shared" si="5"/>
        <v>150</v>
      </c>
      <c r="BD16" s="59">
        <f t="shared" si="5"/>
        <v>150</v>
      </c>
      <c r="BE16" s="60">
        <f>X58</f>
        <v>150</v>
      </c>
      <c r="BF16" s="60">
        <f>Z58</f>
        <v>150</v>
      </c>
      <c r="BG16" s="60">
        <f>AB58</f>
        <v>150</v>
      </c>
      <c r="BH16" s="60">
        <f>AD58</f>
        <v>150</v>
      </c>
      <c r="BI16" s="60">
        <f>AE58</f>
        <v>150</v>
      </c>
      <c r="BJ16" s="60">
        <f>AF58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5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50">
        <v>44</v>
      </c>
      <c r="AH17" s="48">
        <f>MAX(B17:AG17)</f>
        <v>44</v>
      </c>
      <c r="AI17" s="49">
        <f>MIN(B17:AG17)</f>
        <v>44</v>
      </c>
      <c r="AK17" s="51"/>
      <c r="AL17" s="54" t="s">
        <v>27</v>
      </c>
      <c r="AM17" s="59">
        <f t="shared" ref="AM17:AR17" si="6">B62</f>
        <v>0</v>
      </c>
      <c r="AN17" s="59">
        <f t="shared" si="6"/>
        <v>0</v>
      </c>
      <c r="AO17" s="59">
        <f t="shared" si="6"/>
        <v>0</v>
      </c>
      <c r="AP17" s="59">
        <f t="shared" si="6"/>
        <v>0</v>
      </c>
      <c r="AQ17" s="59">
        <f t="shared" si="6"/>
        <v>0</v>
      </c>
      <c r="AR17" s="59">
        <f t="shared" si="6"/>
        <v>0</v>
      </c>
      <c r="AS17" s="59">
        <f>I62</f>
        <v>0</v>
      </c>
      <c r="AT17" s="59">
        <f>K62</f>
        <v>0</v>
      </c>
      <c r="AU17" s="59">
        <f t="shared" ref="AU17:BD17" si="7">M62</f>
        <v>0</v>
      </c>
      <c r="AV17" s="59">
        <f t="shared" si="7"/>
        <v>0</v>
      </c>
      <c r="AW17" s="59">
        <f t="shared" si="7"/>
        <v>0</v>
      </c>
      <c r="AX17" s="59">
        <f t="shared" si="7"/>
        <v>0</v>
      </c>
      <c r="AY17" s="59">
        <f t="shared" si="7"/>
        <v>0</v>
      </c>
      <c r="AZ17" s="59">
        <f t="shared" si="7"/>
        <v>0</v>
      </c>
      <c r="BA17" s="59">
        <f t="shared" si="7"/>
        <v>0</v>
      </c>
      <c r="BB17" s="59">
        <f t="shared" si="7"/>
        <v>0</v>
      </c>
      <c r="BC17" s="59">
        <f t="shared" si="7"/>
        <v>0</v>
      </c>
      <c r="BD17" s="59">
        <f t="shared" si="7"/>
        <v>0</v>
      </c>
      <c r="BE17" s="60">
        <f>X62</f>
        <v>0</v>
      </c>
      <c r="BF17" s="60">
        <f>Z62</f>
        <v>0</v>
      </c>
      <c r="BG17" s="60">
        <f>AB62</f>
        <v>0</v>
      </c>
      <c r="BH17" s="60">
        <f>AD62</f>
        <v>0</v>
      </c>
      <c r="BI17" s="60">
        <f>AE62</f>
        <v>0</v>
      </c>
      <c r="BJ17" s="60">
        <f>AF62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5" t="s">
        <v>28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50">
        <v>42</v>
      </c>
      <c r="AH18" s="48">
        <f t="shared" ref="AH18:AH81" si="8">MAX(B18:AF18)</f>
        <v>0</v>
      </c>
      <c r="AI18" s="49">
        <f t="shared" ref="AI18:AI81" si="9">MIN(B18:AF18)</f>
        <v>0</v>
      </c>
      <c r="AK18" s="51"/>
      <c r="AL18" s="54" t="s">
        <v>29</v>
      </c>
      <c r="AM18" s="59">
        <f t="shared" ref="AM18:AR18" si="10">B76</f>
        <v>3.54</v>
      </c>
      <c r="AN18" s="59">
        <f t="shared" si="10"/>
        <v>3.54</v>
      </c>
      <c r="AO18" s="59">
        <f t="shared" si="10"/>
        <v>3.54</v>
      </c>
      <c r="AP18" s="59">
        <f t="shared" si="10"/>
        <v>3.54</v>
      </c>
      <c r="AQ18" s="59">
        <f t="shared" si="10"/>
        <v>3.54</v>
      </c>
      <c r="AR18" s="59">
        <f t="shared" si="10"/>
        <v>3.54</v>
      </c>
      <c r="AS18" s="59">
        <f>I76</f>
        <v>3.54</v>
      </c>
      <c r="AT18" s="59">
        <f>K76</f>
        <v>3.54</v>
      </c>
      <c r="AU18" s="59">
        <f t="shared" ref="AU18:BD18" si="11">M76</f>
        <v>3.54</v>
      </c>
      <c r="AV18" s="59">
        <f t="shared" si="11"/>
        <v>3.54</v>
      </c>
      <c r="AW18" s="59">
        <f t="shared" si="11"/>
        <v>3.54</v>
      </c>
      <c r="AX18" s="59">
        <f t="shared" si="11"/>
        <v>3.54</v>
      </c>
      <c r="AY18" s="59">
        <f t="shared" si="11"/>
        <v>3.54</v>
      </c>
      <c r="AZ18" s="59">
        <f t="shared" si="11"/>
        <v>3.54</v>
      </c>
      <c r="BA18" s="59">
        <f t="shared" si="11"/>
        <v>3.54</v>
      </c>
      <c r="BB18" s="59">
        <f t="shared" si="11"/>
        <v>3.54</v>
      </c>
      <c r="BC18" s="59">
        <f t="shared" si="11"/>
        <v>3.54</v>
      </c>
      <c r="BD18" s="59">
        <f t="shared" si="11"/>
        <v>3.54</v>
      </c>
      <c r="BE18" s="60">
        <f>X76</f>
        <v>3.54</v>
      </c>
      <c r="BF18" s="60">
        <f>Z76</f>
        <v>5.5</v>
      </c>
      <c r="BG18" s="60">
        <f>AB76</f>
        <v>3.54</v>
      </c>
      <c r="BH18" s="60">
        <f>AD76</f>
        <v>3.54</v>
      </c>
      <c r="BI18" s="60">
        <f>AE76</f>
        <v>3.54</v>
      </c>
      <c r="BJ18" s="60">
        <f>AF76</f>
        <v>3.54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5" t="s">
        <v>30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50">
        <v>38.46</v>
      </c>
      <c r="AH19" s="48">
        <f t="shared" si="8"/>
        <v>0</v>
      </c>
      <c r="AI19" s="49">
        <f t="shared" si="9"/>
        <v>0</v>
      </c>
      <c r="AK19" s="51"/>
      <c r="AL19" s="54" t="s">
        <v>31</v>
      </c>
      <c r="AM19" s="59">
        <f t="shared" ref="AM19:AR19" si="12">B92</f>
        <v>0</v>
      </c>
      <c r="AN19" s="59">
        <f t="shared" si="12"/>
        <v>0</v>
      </c>
      <c r="AO19" s="59">
        <f t="shared" si="12"/>
        <v>0</v>
      </c>
      <c r="AP19" s="59">
        <f t="shared" si="12"/>
        <v>0</v>
      </c>
      <c r="AQ19" s="59">
        <f t="shared" si="12"/>
        <v>0</v>
      </c>
      <c r="AR19" s="59">
        <f t="shared" si="12"/>
        <v>0</v>
      </c>
      <c r="AS19" s="59">
        <f>I92</f>
        <v>0</v>
      </c>
      <c r="AT19" s="59">
        <f>K92</f>
        <v>0</v>
      </c>
      <c r="AU19" s="59">
        <f t="shared" ref="AU19:BD19" si="13">M92</f>
        <v>0</v>
      </c>
      <c r="AV19" s="59">
        <f t="shared" si="13"/>
        <v>0</v>
      </c>
      <c r="AW19" s="59">
        <f t="shared" si="13"/>
        <v>0</v>
      </c>
      <c r="AX19" s="59">
        <f t="shared" si="13"/>
        <v>0</v>
      </c>
      <c r="AY19" s="59">
        <f t="shared" si="13"/>
        <v>0</v>
      </c>
      <c r="AZ19" s="59">
        <f t="shared" si="13"/>
        <v>0</v>
      </c>
      <c r="BA19" s="59">
        <f t="shared" si="13"/>
        <v>0</v>
      </c>
      <c r="BB19" s="59">
        <f t="shared" si="13"/>
        <v>0</v>
      </c>
      <c r="BC19" s="59">
        <f t="shared" si="13"/>
        <v>0</v>
      </c>
      <c r="BD19" s="59">
        <f t="shared" si="13"/>
        <v>0</v>
      </c>
      <c r="BE19" s="60">
        <f>X92</f>
        <v>0</v>
      </c>
      <c r="BF19" s="60">
        <f>Z92</f>
        <v>0</v>
      </c>
      <c r="BG19" s="60">
        <f>AB92</f>
        <v>0</v>
      </c>
      <c r="BH19" s="60">
        <f>AD92</f>
        <v>0</v>
      </c>
      <c r="BI19" s="60">
        <f>AE92</f>
        <v>0</v>
      </c>
      <c r="BJ19" s="60">
        <f>AF92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5" t="s">
        <v>32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50">
        <v>38.46</v>
      </c>
      <c r="AH20" s="48">
        <f t="shared" si="8"/>
        <v>0</v>
      </c>
      <c r="AI20" s="49">
        <f t="shared" si="9"/>
        <v>0</v>
      </c>
      <c r="AK20" s="51"/>
      <c r="AL20" s="54" t="s">
        <v>33</v>
      </c>
      <c r="AM20" s="59">
        <f t="shared" ref="AM20:AR20" si="14">B80</f>
        <v>0</v>
      </c>
      <c r="AN20" s="59">
        <f t="shared" si="14"/>
        <v>0</v>
      </c>
      <c r="AO20" s="59">
        <f t="shared" si="14"/>
        <v>0</v>
      </c>
      <c r="AP20" s="59">
        <f t="shared" si="14"/>
        <v>0</v>
      </c>
      <c r="AQ20" s="59">
        <f t="shared" si="14"/>
        <v>0</v>
      </c>
      <c r="AR20" s="59">
        <f t="shared" si="14"/>
        <v>0</v>
      </c>
      <c r="AS20" s="59">
        <f>I80</f>
        <v>0</v>
      </c>
      <c r="AT20" s="59">
        <f>K80</f>
        <v>0</v>
      </c>
      <c r="AU20" s="59">
        <f t="shared" ref="AU20:BD20" si="15">M80</f>
        <v>0</v>
      </c>
      <c r="AV20" s="59">
        <f t="shared" si="15"/>
        <v>0</v>
      </c>
      <c r="AW20" s="59">
        <f t="shared" si="15"/>
        <v>0</v>
      </c>
      <c r="AX20" s="59">
        <f t="shared" si="15"/>
        <v>0</v>
      </c>
      <c r="AY20" s="59">
        <f t="shared" si="15"/>
        <v>0</v>
      </c>
      <c r="AZ20" s="59">
        <f t="shared" si="15"/>
        <v>0</v>
      </c>
      <c r="BA20" s="59">
        <f t="shared" si="15"/>
        <v>0</v>
      </c>
      <c r="BB20" s="59">
        <f t="shared" si="15"/>
        <v>0</v>
      </c>
      <c r="BC20" s="59">
        <f t="shared" si="15"/>
        <v>0</v>
      </c>
      <c r="BD20" s="59">
        <f t="shared" si="15"/>
        <v>0</v>
      </c>
      <c r="BE20" s="60">
        <f>X80</f>
        <v>0</v>
      </c>
      <c r="BF20" s="60">
        <f>Z80</f>
        <v>0</v>
      </c>
      <c r="BG20" s="60">
        <f>AB80</f>
        <v>0</v>
      </c>
      <c r="BH20" s="60">
        <f>AD80</f>
        <v>0</v>
      </c>
      <c r="BI20" s="60">
        <f>AE80</f>
        <v>0</v>
      </c>
      <c r="BJ20" s="60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50">
        <v>36</v>
      </c>
      <c r="AH21" s="48">
        <f t="shared" si="8"/>
        <v>0</v>
      </c>
      <c r="AI21" s="49">
        <f t="shared" si="9"/>
        <v>0</v>
      </c>
      <c r="AK21" s="51"/>
      <c r="AL21" s="54" t="s">
        <v>35</v>
      </c>
      <c r="AM21" s="59">
        <f t="shared" ref="AM21:AR21" si="16">B98</f>
        <v>0</v>
      </c>
      <c r="AN21" s="59">
        <f t="shared" si="16"/>
        <v>0</v>
      </c>
      <c r="AO21" s="59">
        <f t="shared" si="16"/>
        <v>0</v>
      </c>
      <c r="AP21" s="59">
        <f t="shared" si="16"/>
        <v>0</v>
      </c>
      <c r="AQ21" s="59">
        <f t="shared" si="16"/>
        <v>0</v>
      </c>
      <c r="AR21" s="59">
        <f t="shared" si="16"/>
        <v>0</v>
      </c>
      <c r="AS21" s="59">
        <f>I98</f>
        <v>0</v>
      </c>
      <c r="AT21" s="59">
        <f>K98</f>
        <v>0</v>
      </c>
      <c r="AU21" s="59">
        <f t="shared" ref="AU21:BD21" si="17">M98</f>
        <v>0</v>
      </c>
      <c r="AV21" s="59">
        <f t="shared" si="17"/>
        <v>0</v>
      </c>
      <c r="AW21" s="59">
        <f t="shared" si="17"/>
        <v>0</v>
      </c>
      <c r="AX21" s="59">
        <f t="shared" si="17"/>
        <v>0</v>
      </c>
      <c r="AY21" s="59">
        <f t="shared" si="17"/>
        <v>0</v>
      </c>
      <c r="AZ21" s="59">
        <f t="shared" si="17"/>
        <v>0</v>
      </c>
      <c r="BA21" s="59">
        <f t="shared" si="17"/>
        <v>0</v>
      </c>
      <c r="BB21" s="59">
        <f t="shared" si="17"/>
        <v>0</v>
      </c>
      <c r="BC21" s="59">
        <f t="shared" si="17"/>
        <v>0</v>
      </c>
      <c r="BD21" s="59">
        <f t="shared" si="17"/>
        <v>0</v>
      </c>
      <c r="BE21" s="60">
        <f>X98</f>
        <v>0</v>
      </c>
      <c r="BF21" s="60">
        <f>Z98</f>
        <v>0</v>
      </c>
      <c r="BG21" s="60">
        <f>AB98</f>
        <v>0</v>
      </c>
      <c r="BH21" s="60">
        <f>AD98</f>
        <v>0</v>
      </c>
      <c r="BI21" s="60">
        <f>AE98</f>
        <v>0</v>
      </c>
      <c r="BJ21" s="60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5" t="s">
        <v>36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61">
        <v>30</v>
      </c>
      <c r="AH22" s="48">
        <f t="shared" si="8"/>
        <v>0</v>
      </c>
      <c r="AI22" s="49">
        <f t="shared" si="9"/>
        <v>0</v>
      </c>
      <c r="AK22" s="51"/>
      <c r="AL22" s="62" t="s">
        <v>37</v>
      </c>
      <c r="AM22" s="63">
        <f t="shared" ref="AM22:BJ22" si="18">SUM(AM16:AM21)</f>
        <v>153.54</v>
      </c>
      <c r="AN22" s="63">
        <f t="shared" si="18"/>
        <v>153.54</v>
      </c>
      <c r="AO22" s="63">
        <f t="shared" si="18"/>
        <v>153.54</v>
      </c>
      <c r="AP22" s="63">
        <f t="shared" si="18"/>
        <v>153.54</v>
      </c>
      <c r="AQ22" s="63">
        <f t="shared" si="18"/>
        <v>153.54</v>
      </c>
      <c r="AR22" s="63">
        <f t="shared" si="18"/>
        <v>153.54</v>
      </c>
      <c r="AS22" s="63">
        <f t="shared" si="18"/>
        <v>153.54</v>
      </c>
      <c r="AT22" s="63">
        <f t="shared" si="18"/>
        <v>153.54</v>
      </c>
      <c r="AU22" s="63">
        <f t="shared" si="18"/>
        <v>153.54</v>
      </c>
      <c r="AV22" s="63">
        <f t="shared" si="18"/>
        <v>153.54</v>
      </c>
      <c r="AW22" s="63">
        <f t="shared" si="18"/>
        <v>153.54</v>
      </c>
      <c r="AX22" s="63">
        <f t="shared" si="18"/>
        <v>153.54</v>
      </c>
      <c r="AY22" s="63">
        <f t="shared" si="18"/>
        <v>153.54</v>
      </c>
      <c r="AZ22" s="63">
        <f t="shared" si="18"/>
        <v>153.54</v>
      </c>
      <c r="BA22" s="63">
        <f t="shared" si="18"/>
        <v>153.54</v>
      </c>
      <c r="BB22" s="63">
        <f t="shared" si="18"/>
        <v>153.54</v>
      </c>
      <c r="BC22" s="63">
        <f t="shared" si="18"/>
        <v>153.54</v>
      </c>
      <c r="BD22" s="63">
        <f t="shared" si="18"/>
        <v>153.54</v>
      </c>
      <c r="BE22" s="63">
        <f t="shared" si="18"/>
        <v>153.54</v>
      </c>
      <c r="BF22" s="63">
        <f t="shared" si="18"/>
        <v>155.5</v>
      </c>
      <c r="BG22" s="63">
        <f t="shared" si="18"/>
        <v>153.54</v>
      </c>
      <c r="BH22" s="63">
        <f t="shared" si="18"/>
        <v>153.54</v>
      </c>
      <c r="BI22" s="63">
        <f t="shared" si="18"/>
        <v>153.54</v>
      </c>
      <c r="BJ22" s="63">
        <f t="shared" si="18"/>
        <v>153.54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5" t="s">
        <v>38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50">
        <v>24.2</v>
      </c>
      <c r="AH23" s="48">
        <f t="shared" si="8"/>
        <v>0</v>
      </c>
      <c r="AI23" s="49">
        <f t="shared" si="9"/>
        <v>0</v>
      </c>
      <c r="AK23" s="51"/>
      <c r="AL23" s="62" t="s">
        <v>39</v>
      </c>
      <c r="AM23" s="63">
        <f t="shared" ref="AM23:AR23" si="19">B107*-1</f>
        <v>0</v>
      </c>
      <c r="AN23" s="63">
        <f t="shared" si="19"/>
        <v>0</v>
      </c>
      <c r="AO23" s="63">
        <f t="shared" si="19"/>
        <v>0</v>
      </c>
      <c r="AP23" s="63">
        <f t="shared" si="19"/>
        <v>0</v>
      </c>
      <c r="AQ23" s="63">
        <f t="shared" si="19"/>
        <v>0</v>
      </c>
      <c r="AR23" s="63">
        <f t="shared" si="19"/>
        <v>0</v>
      </c>
      <c r="AS23" s="63">
        <f>I107*-1</f>
        <v>0</v>
      </c>
      <c r="AT23" s="63">
        <f>K107*-1</f>
        <v>0</v>
      </c>
      <c r="AU23" s="63">
        <f t="shared" ref="AU23:BD23" si="20">M107*-1</f>
        <v>0</v>
      </c>
      <c r="AV23" s="63">
        <f t="shared" si="20"/>
        <v>0</v>
      </c>
      <c r="AW23" s="63">
        <f t="shared" si="20"/>
        <v>0</v>
      </c>
      <c r="AX23" s="63">
        <f t="shared" si="20"/>
        <v>0</v>
      </c>
      <c r="AY23" s="63">
        <f t="shared" si="20"/>
        <v>0</v>
      </c>
      <c r="AZ23" s="63">
        <f t="shared" si="20"/>
        <v>0</v>
      </c>
      <c r="BA23" s="63">
        <f t="shared" si="20"/>
        <v>0</v>
      </c>
      <c r="BB23" s="63">
        <f t="shared" si="20"/>
        <v>0</v>
      </c>
      <c r="BC23" s="63">
        <f t="shared" si="20"/>
        <v>0</v>
      </c>
      <c r="BD23" s="63">
        <f t="shared" si="20"/>
        <v>0</v>
      </c>
      <c r="BE23" s="63">
        <f>X107*-1</f>
        <v>0</v>
      </c>
      <c r="BF23" s="63">
        <f>Z107*-1</f>
        <v>0</v>
      </c>
      <c r="BG23" s="63">
        <f>AB107*-1</f>
        <v>0</v>
      </c>
      <c r="BH23" s="63">
        <f>AD107*-1</f>
        <v>0</v>
      </c>
      <c r="BI23" s="63">
        <f>AE107*-1</f>
        <v>0</v>
      </c>
      <c r="BJ23" s="63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5" t="s">
        <v>40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50">
        <v>28</v>
      </c>
      <c r="AH24" s="48">
        <f t="shared" si="8"/>
        <v>0</v>
      </c>
      <c r="AI24" s="49">
        <f t="shared" si="9"/>
        <v>0</v>
      </c>
      <c r="AK24" s="51"/>
      <c r="AL24" s="62" t="s">
        <v>41</v>
      </c>
      <c r="AM24" s="63">
        <f t="shared" ref="AM24:BJ24" si="21">AM22+AM23</f>
        <v>153.54</v>
      </c>
      <c r="AN24" s="63">
        <f t="shared" si="21"/>
        <v>153.54</v>
      </c>
      <c r="AO24" s="63">
        <f t="shared" si="21"/>
        <v>153.54</v>
      </c>
      <c r="AP24" s="63">
        <f t="shared" si="21"/>
        <v>153.54</v>
      </c>
      <c r="AQ24" s="63">
        <f t="shared" si="21"/>
        <v>153.54</v>
      </c>
      <c r="AR24" s="63">
        <f t="shared" si="21"/>
        <v>153.54</v>
      </c>
      <c r="AS24" s="63">
        <f t="shared" si="21"/>
        <v>153.54</v>
      </c>
      <c r="AT24" s="63">
        <f t="shared" si="21"/>
        <v>153.54</v>
      </c>
      <c r="AU24" s="63">
        <f t="shared" si="21"/>
        <v>153.54</v>
      </c>
      <c r="AV24" s="63">
        <f t="shared" si="21"/>
        <v>153.54</v>
      </c>
      <c r="AW24" s="63">
        <f t="shared" si="21"/>
        <v>153.54</v>
      </c>
      <c r="AX24" s="63">
        <f t="shared" si="21"/>
        <v>153.54</v>
      </c>
      <c r="AY24" s="63">
        <f t="shared" si="21"/>
        <v>153.54</v>
      </c>
      <c r="AZ24" s="63">
        <f t="shared" si="21"/>
        <v>153.54</v>
      </c>
      <c r="BA24" s="63">
        <f t="shared" si="21"/>
        <v>153.54</v>
      </c>
      <c r="BB24" s="63">
        <f t="shared" si="21"/>
        <v>153.54</v>
      </c>
      <c r="BC24" s="63">
        <f t="shared" si="21"/>
        <v>153.54</v>
      </c>
      <c r="BD24" s="63">
        <f t="shared" si="21"/>
        <v>153.54</v>
      </c>
      <c r="BE24" s="63">
        <f t="shared" si="21"/>
        <v>153.54</v>
      </c>
      <c r="BF24" s="63">
        <f t="shared" si="21"/>
        <v>155.5</v>
      </c>
      <c r="BG24" s="63">
        <f t="shared" si="21"/>
        <v>153.54</v>
      </c>
      <c r="BH24" s="63">
        <f t="shared" si="21"/>
        <v>153.54</v>
      </c>
      <c r="BI24" s="63">
        <f t="shared" si="21"/>
        <v>153.54</v>
      </c>
      <c r="BJ24" s="63">
        <f t="shared" si="21"/>
        <v>153.54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5" t="s">
        <v>42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61">
        <v>30</v>
      </c>
      <c r="AH25" s="48">
        <f t="shared" si="8"/>
        <v>0</v>
      </c>
      <c r="AI25" s="49">
        <f t="shared" si="9"/>
        <v>0</v>
      </c>
      <c r="AK25" s="51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5" t="s">
        <v>43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50">
        <v>25</v>
      </c>
      <c r="AH26" s="48">
        <f t="shared" si="8"/>
        <v>0</v>
      </c>
      <c r="AI26" s="49">
        <f t="shared" si="9"/>
        <v>0</v>
      </c>
      <c r="AK26" s="51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5" t="s">
        <v>44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50">
        <v>25</v>
      </c>
      <c r="AH27" s="48">
        <f t="shared" si="8"/>
        <v>0</v>
      </c>
      <c r="AI27" s="49">
        <f t="shared" si="9"/>
        <v>0</v>
      </c>
      <c r="AK27" s="51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5" t="s">
        <v>45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50">
        <v>25</v>
      </c>
      <c r="AH28" s="48">
        <f t="shared" si="8"/>
        <v>0</v>
      </c>
      <c r="AI28" s="49">
        <f t="shared" si="9"/>
        <v>0</v>
      </c>
      <c r="AK28" s="51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5" t="s">
        <v>46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50">
        <v>25</v>
      </c>
      <c r="AH29" s="48">
        <f t="shared" si="8"/>
        <v>0</v>
      </c>
      <c r="AI29" s="49">
        <f t="shared" si="9"/>
        <v>0</v>
      </c>
      <c r="AK29" s="51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5" t="s">
        <v>47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50">
        <v>23.5</v>
      </c>
      <c r="AH30" s="48">
        <f t="shared" si="8"/>
        <v>0</v>
      </c>
      <c r="AI30" s="49">
        <f t="shared" si="9"/>
        <v>0</v>
      </c>
      <c r="AK30" s="51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5" t="s">
        <v>48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>
        <v>22.2</v>
      </c>
      <c r="AH31" s="48">
        <f t="shared" si="8"/>
        <v>0</v>
      </c>
      <c r="AI31" s="49">
        <f t="shared" si="9"/>
        <v>0</v>
      </c>
      <c r="AK31" s="51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5" t="s">
        <v>49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50">
        <v>22.1</v>
      </c>
      <c r="AH32" s="48">
        <f t="shared" si="8"/>
        <v>0</v>
      </c>
      <c r="AI32" s="49">
        <f t="shared" si="9"/>
        <v>0</v>
      </c>
      <c r="AK32" s="51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5" t="s">
        <v>50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50">
        <v>22</v>
      </c>
      <c r="AH33" s="48">
        <f t="shared" si="8"/>
        <v>0</v>
      </c>
      <c r="AI33" s="49">
        <f t="shared" si="9"/>
        <v>0</v>
      </c>
      <c r="AK33" s="51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5" t="s">
        <v>51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50">
        <v>22</v>
      </c>
      <c r="AH34" s="48">
        <f t="shared" si="8"/>
        <v>0</v>
      </c>
      <c r="AI34" s="49">
        <f t="shared" si="9"/>
        <v>0</v>
      </c>
      <c r="AK34" s="51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5" t="s">
        <v>52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50">
        <v>20</v>
      </c>
      <c r="AH35" s="48">
        <f t="shared" si="8"/>
        <v>0</v>
      </c>
      <c r="AI35" s="49">
        <f t="shared" si="9"/>
        <v>0</v>
      </c>
      <c r="AK35" s="51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5" t="s">
        <v>53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50">
        <v>20</v>
      </c>
      <c r="AH36" s="48">
        <f t="shared" si="8"/>
        <v>0</v>
      </c>
      <c r="AI36" s="49">
        <f t="shared" si="9"/>
        <v>0</v>
      </c>
      <c r="AK36" s="51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5" t="s">
        <v>54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50">
        <v>18</v>
      </c>
      <c r="AH37" s="48">
        <f t="shared" si="8"/>
        <v>0</v>
      </c>
      <c r="AI37" s="49">
        <f t="shared" si="9"/>
        <v>0</v>
      </c>
      <c r="AK37" s="51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5" t="s">
        <v>55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50">
        <v>14.9</v>
      </c>
      <c r="AH38" s="48">
        <f t="shared" si="8"/>
        <v>0</v>
      </c>
      <c r="AI38" s="49">
        <f t="shared" si="9"/>
        <v>0</v>
      </c>
      <c r="AK38" s="51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5" t="s">
        <v>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50">
        <v>14.9</v>
      </c>
      <c r="AH39" s="48">
        <f t="shared" si="8"/>
        <v>0</v>
      </c>
      <c r="AI39" s="49">
        <f t="shared" si="9"/>
        <v>0</v>
      </c>
      <c r="AK39" s="51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5" t="s">
        <v>57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50">
        <v>14.9</v>
      </c>
      <c r="AH40" s="48">
        <f t="shared" si="8"/>
        <v>0</v>
      </c>
      <c r="AI40" s="49">
        <f t="shared" si="9"/>
        <v>0</v>
      </c>
      <c r="AK40" s="51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5" t="s">
        <v>58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50">
        <v>14.9</v>
      </c>
      <c r="AH41" s="48">
        <f t="shared" si="8"/>
        <v>0</v>
      </c>
      <c r="AI41" s="49">
        <f t="shared" si="9"/>
        <v>0</v>
      </c>
      <c r="AK41" s="51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5" t="s">
        <v>59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50">
        <v>13.6</v>
      </c>
      <c r="AH42" s="48">
        <f t="shared" si="8"/>
        <v>0</v>
      </c>
      <c r="AI42" s="49">
        <f t="shared" si="9"/>
        <v>0</v>
      </c>
      <c r="AK42" s="51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5" t="s">
        <v>60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50">
        <v>13</v>
      </c>
      <c r="AH43" s="48">
        <f t="shared" si="8"/>
        <v>0</v>
      </c>
      <c r="AI43" s="49">
        <f t="shared" si="9"/>
        <v>0</v>
      </c>
      <c r="AK43" s="51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5" t="s">
        <v>61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50">
        <v>12</v>
      </c>
      <c r="AH44" s="48">
        <f t="shared" si="8"/>
        <v>0</v>
      </c>
      <c r="AI44" s="49">
        <f t="shared" si="9"/>
        <v>0</v>
      </c>
      <c r="AK44" s="51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5" t="s">
        <v>62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50">
        <v>12</v>
      </c>
      <c r="AH45" s="48">
        <f t="shared" si="8"/>
        <v>0</v>
      </c>
      <c r="AI45" s="49">
        <f t="shared" si="9"/>
        <v>0</v>
      </c>
      <c r="AK45" s="51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5" t="s">
        <v>63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50">
        <v>12</v>
      </c>
      <c r="AH46" s="48">
        <f t="shared" si="8"/>
        <v>0</v>
      </c>
      <c r="AI46" s="49">
        <f t="shared" si="9"/>
        <v>0</v>
      </c>
      <c r="AK46" s="51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5" t="s">
        <v>64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64">
        <v>22</v>
      </c>
      <c r="AH47" s="48">
        <f t="shared" si="8"/>
        <v>0</v>
      </c>
      <c r="AI47" s="49">
        <f t="shared" si="9"/>
        <v>0</v>
      </c>
      <c r="AK47" s="51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5" t="s">
        <v>65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61">
        <v>11.88</v>
      </c>
      <c r="AH48" s="48">
        <f t="shared" si="8"/>
        <v>0</v>
      </c>
      <c r="AI48" s="49">
        <f t="shared" si="9"/>
        <v>0</v>
      </c>
      <c r="AK48" s="51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65" t="s">
        <v>66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66">
        <v>11</v>
      </c>
      <c r="AH49" s="48">
        <f t="shared" si="8"/>
        <v>0</v>
      </c>
      <c r="AI49" s="49">
        <f t="shared" si="9"/>
        <v>0</v>
      </c>
      <c r="AK49" s="51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65" t="s">
        <v>67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66">
        <v>11</v>
      </c>
      <c r="AH50" s="48">
        <f t="shared" si="8"/>
        <v>0</v>
      </c>
      <c r="AI50" s="49">
        <f t="shared" si="9"/>
        <v>0</v>
      </c>
      <c r="AK50" s="51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65" t="s">
        <v>68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66">
        <v>11</v>
      </c>
      <c r="AH51" s="48">
        <f t="shared" si="8"/>
        <v>0</v>
      </c>
      <c r="AI51" s="49">
        <f t="shared" si="9"/>
        <v>0</v>
      </c>
      <c r="AK51" s="51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65" t="s">
        <v>69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66">
        <v>10</v>
      </c>
      <c r="AH52" s="48">
        <f t="shared" si="8"/>
        <v>0</v>
      </c>
      <c r="AI52" s="49">
        <f t="shared" si="9"/>
        <v>0</v>
      </c>
      <c r="AK52" s="51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65" t="s">
        <v>70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66">
        <v>10</v>
      </c>
      <c r="AH53" s="48">
        <f t="shared" si="8"/>
        <v>0</v>
      </c>
      <c r="AI53" s="49">
        <f t="shared" si="9"/>
        <v>0</v>
      </c>
      <c r="AK53" s="51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65" t="s">
        <v>71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66">
        <v>10</v>
      </c>
      <c r="AH54" s="48">
        <f t="shared" si="8"/>
        <v>0</v>
      </c>
      <c r="AI54" s="49">
        <f t="shared" si="9"/>
        <v>0</v>
      </c>
      <c r="AK54" s="51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65" t="s">
        <v>72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66">
        <v>10</v>
      </c>
      <c r="AH55" s="48">
        <f t="shared" si="8"/>
        <v>0</v>
      </c>
      <c r="AI55" s="49">
        <f t="shared" si="9"/>
        <v>0</v>
      </c>
      <c r="AK55" s="51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67" t="s">
        <v>73</v>
      </c>
      <c r="B56" s="68">
        <v>150</v>
      </c>
      <c r="C56" s="68">
        <v>150</v>
      </c>
      <c r="D56" s="68">
        <v>150</v>
      </c>
      <c r="E56" s="68">
        <v>150</v>
      </c>
      <c r="F56" s="68">
        <v>150</v>
      </c>
      <c r="G56" s="68">
        <v>150</v>
      </c>
      <c r="H56" s="68">
        <v>150</v>
      </c>
      <c r="I56" s="68">
        <v>150</v>
      </c>
      <c r="J56" s="68">
        <v>150</v>
      </c>
      <c r="K56" s="68">
        <v>150</v>
      </c>
      <c r="L56" s="68">
        <v>150</v>
      </c>
      <c r="M56" s="68">
        <v>150</v>
      </c>
      <c r="N56" s="68">
        <v>150</v>
      </c>
      <c r="O56" s="68">
        <v>150</v>
      </c>
      <c r="P56" s="68">
        <v>150</v>
      </c>
      <c r="Q56" s="68">
        <v>150</v>
      </c>
      <c r="R56" s="68">
        <v>150</v>
      </c>
      <c r="S56" s="68">
        <v>150</v>
      </c>
      <c r="T56" s="68">
        <v>150</v>
      </c>
      <c r="U56" s="68">
        <v>150</v>
      </c>
      <c r="V56" s="68">
        <v>150</v>
      </c>
      <c r="W56" s="68">
        <v>150</v>
      </c>
      <c r="X56" s="68">
        <v>150</v>
      </c>
      <c r="Y56" s="68">
        <v>150</v>
      </c>
      <c r="Z56" s="68">
        <v>150</v>
      </c>
      <c r="AA56" s="68">
        <v>150</v>
      </c>
      <c r="AB56" s="68">
        <v>150</v>
      </c>
      <c r="AC56" s="68">
        <v>150</v>
      </c>
      <c r="AD56" s="68">
        <v>150</v>
      </c>
      <c r="AE56" s="68">
        <v>150</v>
      </c>
      <c r="AF56" s="68">
        <v>150</v>
      </c>
      <c r="AG56" s="66">
        <v>85</v>
      </c>
      <c r="AH56" s="48">
        <f t="shared" si="8"/>
        <v>150</v>
      </c>
      <c r="AI56" s="49">
        <f t="shared" si="9"/>
        <v>150</v>
      </c>
      <c r="AK56" s="51"/>
    </row>
    <row r="57" spans="1:88" ht="15.75" thickBot="1" x14ac:dyDescent="0.3">
      <c r="A57" s="69" t="s">
        <v>74</v>
      </c>
      <c r="B57" s="68"/>
      <c r="C57" s="68"/>
      <c r="D57" s="68"/>
      <c r="E57" s="68"/>
      <c r="F57" s="68"/>
      <c r="G57" s="68"/>
      <c r="H57" s="68"/>
      <c r="I57" s="68"/>
      <c r="J57" s="68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68"/>
      <c r="Z57" s="68"/>
      <c r="AA57" s="68"/>
      <c r="AB57" s="68"/>
      <c r="AC57" s="68"/>
      <c r="AD57" s="68"/>
      <c r="AE57" s="68"/>
      <c r="AF57" s="68"/>
      <c r="AG57" s="66">
        <v>240</v>
      </c>
      <c r="AH57" s="48">
        <f t="shared" si="8"/>
        <v>0</v>
      </c>
      <c r="AI57" s="49">
        <f t="shared" si="9"/>
        <v>0</v>
      </c>
      <c r="AK57" s="51"/>
    </row>
    <row r="58" spans="1:88" ht="15.75" thickBot="1" x14ac:dyDescent="0.3">
      <c r="A58" s="70" t="s">
        <v>75</v>
      </c>
      <c r="B58" s="71">
        <f t="shared" ref="B58:AF58" si="22">SUM(B11:B56)</f>
        <v>150</v>
      </c>
      <c r="C58" s="71">
        <f t="shared" si="22"/>
        <v>150</v>
      </c>
      <c r="D58" s="71">
        <f t="shared" si="22"/>
        <v>150</v>
      </c>
      <c r="E58" s="71">
        <f t="shared" si="22"/>
        <v>150</v>
      </c>
      <c r="F58" s="71">
        <f t="shared" si="22"/>
        <v>150</v>
      </c>
      <c r="G58" s="71">
        <f t="shared" si="22"/>
        <v>150</v>
      </c>
      <c r="H58" s="71">
        <f t="shared" si="22"/>
        <v>150</v>
      </c>
      <c r="I58" s="71">
        <f t="shared" si="22"/>
        <v>150</v>
      </c>
      <c r="J58" s="71">
        <f t="shared" si="22"/>
        <v>150</v>
      </c>
      <c r="K58" s="71">
        <f t="shared" si="22"/>
        <v>150</v>
      </c>
      <c r="L58" s="71">
        <f t="shared" si="22"/>
        <v>150</v>
      </c>
      <c r="M58" s="71">
        <f t="shared" si="22"/>
        <v>150</v>
      </c>
      <c r="N58" s="71">
        <f t="shared" si="22"/>
        <v>150</v>
      </c>
      <c r="O58" s="71">
        <f t="shared" si="22"/>
        <v>150</v>
      </c>
      <c r="P58" s="71">
        <f t="shared" si="22"/>
        <v>150</v>
      </c>
      <c r="Q58" s="71">
        <f t="shared" si="22"/>
        <v>150</v>
      </c>
      <c r="R58" s="71">
        <f t="shared" si="22"/>
        <v>150</v>
      </c>
      <c r="S58" s="71">
        <f t="shared" si="22"/>
        <v>150</v>
      </c>
      <c r="T58" s="71">
        <f t="shared" si="22"/>
        <v>150</v>
      </c>
      <c r="U58" s="71">
        <f t="shared" si="22"/>
        <v>150</v>
      </c>
      <c r="V58" s="71">
        <f t="shared" si="22"/>
        <v>150</v>
      </c>
      <c r="W58" s="71">
        <f t="shared" si="22"/>
        <v>150</v>
      </c>
      <c r="X58" s="71">
        <f t="shared" si="22"/>
        <v>150</v>
      </c>
      <c r="Y58" s="71">
        <f t="shared" si="22"/>
        <v>150</v>
      </c>
      <c r="Z58" s="71">
        <f t="shared" si="22"/>
        <v>150</v>
      </c>
      <c r="AA58" s="71">
        <f t="shared" si="22"/>
        <v>150</v>
      </c>
      <c r="AB58" s="71">
        <f t="shared" si="22"/>
        <v>150</v>
      </c>
      <c r="AC58" s="71">
        <f t="shared" si="22"/>
        <v>150</v>
      </c>
      <c r="AD58" s="71">
        <f t="shared" si="22"/>
        <v>150</v>
      </c>
      <c r="AE58" s="71">
        <f t="shared" si="22"/>
        <v>150</v>
      </c>
      <c r="AF58" s="71">
        <f t="shared" si="22"/>
        <v>150</v>
      </c>
      <c r="AG58" s="72">
        <f>SUM(AG14:AG56)</f>
        <v>1042.4000000000001</v>
      </c>
      <c r="AH58" s="48">
        <f t="shared" si="8"/>
        <v>150</v>
      </c>
      <c r="AI58" s="49">
        <f t="shared" si="9"/>
        <v>150</v>
      </c>
      <c r="AK58" s="51"/>
    </row>
    <row r="59" spans="1:88" x14ac:dyDescent="0.25">
      <c r="A59" s="73" t="s">
        <v>76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74"/>
      <c r="O59" s="74"/>
      <c r="P59" s="74"/>
      <c r="Q59" s="74"/>
      <c r="R59" s="74"/>
      <c r="S59" s="74"/>
      <c r="T59" s="74"/>
      <c r="U59" s="74"/>
      <c r="V59" s="74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61">
        <v>456</v>
      </c>
      <c r="AH59" s="48">
        <f t="shared" si="8"/>
        <v>0</v>
      </c>
      <c r="AI59" s="49">
        <f t="shared" si="9"/>
        <v>0</v>
      </c>
      <c r="AK59" s="51"/>
    </row>
    <row r="60" spans="1:88" x14ac:dyDescent="0.25">
      <c r="A60" s="75" t="s">
        <v>77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66">
        <v>60</v>
      </c>
      <c r="AH60" s="48">
        <f t="shared" si="8"/>
        <v>0</v>
      </c>
      <c r="AI60" s="49">
        <f t="shared" si="9"/>
        <v>0</v>
      </c>
      <c r="AK60" s="51"/>
    </row>
    <row r="61" spans="1:88" ht="15.75" thickBot="1" x14ac:dyDescent="0.3">
      <c r="A61" s="77" t="s">
        <v>78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9">
        <v>22.1</v>
      </c>
      <c r="AH61" s="48">
        <f t="shared" si="8"/>
        <v>0</v>
      </c>
      <c r="AI61" s="49">
        <f t="shared" si="9"/>
        <v>0</v>
      </c>
      <c r="AK61" s="51"/>
    </row>
    <row r="62" spans="1:88" ht="15.75" thickBot="1" x14ac:dyDescent="0.3">
      <c r="A62" s="80" t="s">
        <v>79</v>
      </c>
      <c r="B62" s="71">
        <f t="shared" ref="B62:AG62" si="23">SUM(B59:B61)</f>
        <v>0</v>
      </c>
      <c r="C62" s="71">
        <f t="shared" si="23"/>
        <v>0</v>
      </c>
      <c r="D62" s="71">
        <f t="shared" si="23"/>
        <v>0</v>
      </c>
      <c r="E62" s="71">
        <f t="shared" si="23"/>
        <v>0</v>
      </c>
      <c r="F62" s="71">
        <f t="shared" si="23"/>
        <v>0</v>
      </c>
      <c r="G62" s="71">
        <f t="shared" si="23"/>
        <v>0</v>
      </c>
      <c r="H62" s="71">
        <f t="shared" si="23"/>
        <v>0</v>
      </c>
      <c r="I62" s="71">
        <f t="shared" si="23"/>
        <v>0</v>
      </c>
      <c r="J62" s="71">
        <f t="shared" si="23"/>
        <v>0</v>
      </c>
      <c r="K62" s="71">
        <f t="shared" si="23"/>
        <v>0</v>
      </c>
      <c r="L62" s="71">
        <f t="shared" si="23"/>
        <v>0</v>
      </c>
      <c r="M62" s="71">
        <f t="shared" si="23"/>
        <v>0</v>
      </c>
      <c r="N62" s="71">
        <f t="shared" si="23"/>
        <v>0</v>
      </c>
      <c r="O62" s="71">
        <f t="shared" si="23"/>
        <v>0</v>
      </c>
      <c r="P62" s="71">
        <f t="shared" si="23"/>
        <v>0</v>
      </c>
      <c r="Q62" s="71">
        <f t="shared" si="23"/>
        <v>0</v>
      </c>
      <c r="R62" s="71">
        <f t="shared" si="23"/>
        <v>0</v>
      </c>
      <c r="S62" s="71">
        <f t="shared" si="23"/>
        <v>0</v>
      </c>
      <c r="T62" s="71">
        <f t="shared" si="23"/>
        <v>0</v>
      </c>
      <c r="U62" s="71">
        <f t="shared" si="23"/>
        <v>0</v>
      </c>
      <c r="V62" s="71">
        <f t="shared" si="23"/>
        <v>0</v>
      </c>
      <c r="W62" s="71">
        <f t="shared" si="23"/>
        <v>0</v>
      </c>
      <c r="X62" s="71">
        <f t="shared" si="23"/>
        <v>0</v>
      </c>
      <c r="Y62" s="71">
        <f t="shared" si="23"/>
        <v>0</v>
      </c>
      <c r="Z62" s="71">
        <f t="shared" si="23"/>
        <v>0</v>
      </c>
      <c r="AA62" s="71">
        <f t="shared" si="23"/>
        <v>0</v>
      </c>
      <c r="AB62" s="71">
        <f t="shared" si="23"/>
        <v>0</v>
      </c>
      <c r="AC62" s="71">
        <f t="shared" si="23"/>
        <v>0</v>
      </c>
      <c r="AD62" s="71">
        <f t="shared" si="23"/>
        <v>0</v>
      </c>
      <c r="AE62" s="71">
        <f t="shared" si="23"/>
        <v>0</v>
      </c>
      <c r="AF62" s="71">
        <f t="shared" si="23"/>
        <v>0</v>
      </c>
      <c r="AG62" s="72">
        <f t="shared" si="23"/>
        <v>538.1</v>
      </c>
      <c r="AH62" s="48">
        <f t="shared" si="8"/>
        <v>0</v>
      </c>
      <c r="AI62" s="49">
        <f t="shared" si="9"/>
        <v>0</v>
      </c>
      <c r="AK62" s="51"/>
    </row>
    <row r="63" spans="1:88" x14ac:dyDescent="0.25">
      <c r="A63" s="45" t="s">
        <v>80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61">
        <v>144</v>
      </c>
      <c r="AH63" s="48">
        <f t="shared" si="8"/>
        <v>0</v>
      </c>
      <c r="AI63" s="49">
        <f t="shared" si="9"/>
        <v>0</v>
      </c>
      <c r="AK63" s="51"/>
    </row>
    <row r="64" spans="1:88" x14ac:dyDescent="0.25">
      <c r="A64" s="65" t="s">
        <v>81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66">
        <v>70</v>
      </c>
      <c r="AH64" s="48">
        <f t="shared" si="8"/>
        <v>0</v>
      </c>
      <c r="AI64" s="49">
        <f t="shared" si="9"/>
        <v>0</v>
      </c>
      <c r="AK64" s="51"/>
    </row>
    <row r="65" spans="1:75" x14ac:dyDescent="0.25">
      <c r="A65" s="65" t="s">
        <v>82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66">
        <v>69</v>
      </c>
      <c r="AH65" s="48">
        <f t="shared" si="8"/>
        <v>0</v>
      </c>
      <c r="AI65" s="49">
        <f t="shared" si="9"/>
        <v>0</v>
      </c>
      <c r="AK65" s="51"/>
    </row>
    <row r="66" spans="1:75" x14ac:dyDescent="0.25">
      <c r="A66" s="65" t="s">
        <v>83</v>
      </c>
      <c r="B66" s="76"/>
      <c r="C66" s="76"/>
      <c r="D66" s="76"/>
      <c r="E66" s="76"/>
      <c r="F66" s="76"/>
      <c r="G66" s="76"/>
      <c r="H66" s="76"/>
      <c r="I66" s="76"/>
      <c r="J66" s="76"/>
      <c r="K66" s="68"/>
      <c r="L66" s="68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66">
        <v>60</v>
      </c>
      <c r="AH66" s="48">
        <f t="shared" si="8"/>
        <v>0</v>
      </c>
      <c r="AI66" s="49">
        <f t="shared" si="9"/>
        <v>0</v>
      </c>
      <c r="AK66" s="51"/>
    </row>
    <row r="67" spans="1:75" x14ac:dyDescent="0.25">
      <c r="A67" s="65" t="s">
        <v>84</v>
      </c>
      <c r="B67" s="46"/>
      <c r="C67" s="46"/>
      <c r="D67" s="46"/>
      <c r="E67" s="76"/>
      <c r="F67" s="76"/>
      <c r="G67" s="76"/>
      <c r="H67" s="76"/>
      <c r="I67" s="76"/>
      <c r="J67" s="76"/>
      <c r="K67" s="76"/>
      <c r="L67" s="68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66">
        <v>30</v>
      </c>
      <c r="AH67" s="48">
        <f t="shared" si="8"/>
        <v>0</v>
      </c>
      <c r="AI67" s="49">
        <f t="shared" si="9"/>
        <v>0</v>
      </c>
      <c r="AK67" s="51"/>
      <c r="AZ67" s="81">
        <v>1</v>
      </c>
      <c r="BA67" s="81">
        <v>2</v>
      </c>
      <c r="BB67" s="81">
        <v>3</v>
      </c>
      <c r="BC67" s="81">
        <v>4</v>
      </c>
      <c r="BD67" s="81">
        <v>5</v>
      </c>
      <c r="BE67" s="81">
        <v>6</v>
      </c>
      <c r="BF67" s="81">
        <v>7</v>
      </c>
      <c r="BG67" s="81">
        <v>8</v>
      </c>
      <c r="BH67" s="81">
        <v>9</v>
      </c>
      <c r="BI67" s="81">
        <v>10</v>
      </c>
      <c r="BJ67" s="81">
        <v>11</v>
      </c>
      <c r="BK67" s="81">
        <v>12</v>
      </c>
      <c r="BL67" s="81">
        <v>13</v>
      </c>
      <c r="BM67" s="81">
        <v>14</v>
      </c>
      <c r="BN67" s="81">
        <v>15</v>
      </c>
      <c r="BO67" s="81">
        <v>16</v>
      </c>
      <c r="BP67" s="81">
        <v>17</v>
      </c>
      <c r="BQ67" s="81">
        <v>18</v>
      </c>
      <c r="BR67" s="81">
        <v>19</v>
      </c>
      <c r="BS67" s="81">
        <v>20</v>
      </c>
      <c r="BT67" s="81">
        <v>21</v>
      </c>
      <c r="BU67" s="81">
        <v>22</v>
      </c>
      <c r="BV67" s="81">
        <v>23</v>
      </c>
      <c r="BW67" s="81">
        <v>24</v>
      </c>
    </row>
    <row r="68" spans="1:75" x14ac:dyDescent="0.25">
      <c r="A68" s="65" t="s">
        <v>85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66">
        <v>25</v>
      </c>
      <c r="AH68" s="48">
        <f t="shared" si="8"/>
        <v>0</v>
      </c>
      <c r="AI68" s="49">
        <f t="shared" si="9"/>
        <v>0</v>
      </c>
      <c r="AK68" s="51"/>
      <c r="AY68" s="1" t="s">
        <v>86</v>
      </c>
      <c r="AZ68" s="82">
        <f>ROUND(C81,0)</f>
        <v>0</v>
      </c>
      <c r="BA68" s="81">
        <f t="shared" ref="BA68:BD72" si="24">D81</f>
        <v>0</v>
      </c>
      <c r="BB68" s="81">
        <f t="shared" si="24"/>
        <v>0</v>
      </c>
      <c r="BC68" s="81">
        <f t="shared" si="24"/>
        <v>0</v>
      </c>
      <c r="BD68" s="81">
        <f t="shared" si="24"/>
        <v>0</v>
      </c>
      <c r="BE68" s="82">
        <f>I81</f>
        <v>0</v>
      </c>
      <c r="BF68" s="82">
        <f>K81</f>
        <v>0</v>
      </c>
      <c r="BG68" s="82">
        <f t="shared" ref="BG68:BP72" si="25">M81</f>
        <v>0</v>
      </c>
      <c r="BH68" s="82">
        <f t="shared" si="25"/>
        <v>0</v>
      </c>
      <c r="BI68" s="82">
        <f t="shared" si="25"/>
        <v>0</v>
      </c>
      <c r="BJ68" s="82">
        <f t="shared" si="25"/>
        <v>0</v>
      </c>
      <c r="BK68" s="82">
        <f t="shared" si="25"/>
        <v>0</v>
      </c>
      <c r="BL68" s="82">
        <f t="shared" si="25"/>
        <v>0</v>
      </c>
      <c r="BM68" s="82">
        <f t="shared" si="25"/>
        <v>0</v>
      </c>
      <c r="BN68" s="82">
        <f t="shared" si="25"/>
        <v>0</v>
      </c>
      <c r="BO68" s="82">
        <f t="shared" si="25"/>
        <v>0</v>
      </c>
      <c r="BP68" s="82">
        <f t="shared" si="25"/>
        <v>0</v>
      </c>
      <c r="BQ68" s="82">
        <f>X81</f>
        <v>0</v>
      </c>
      <c r="BR68" s="82">
        <f>Z81</f>
        <v>0</v>
      </c>
      <c r="BS68" s="81">
        <f>AB81</f>
        <v>0</v>
      </c>
      <c r="BT68" s="81">
        <f t="shared" ref="BT68:BV72" si="26">AD81</f>
        <v>0</v>
      </c>
      <c r="BU68" s="81">
        <f t="shared" si="26"/>
        <v>0</v>
      </c>
      <c r="BV68" s="81">
        <f t="shared" si="26"/>
        <v>0</v>
      </c>
      <c r="BW68" s="81">
        <f>B81</f>
        <v>0</v>
      </c>
    </row>
    <row r="69" spans="1:75" x14ac:dyDescent="0.25">
      <c r="A69" s="65" t="s">
        <v>87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66">
        <v>24</v>
      </c>
      <c r="AH69" s="48">
        <f t="shared" si="8"/>
        <v>0</v>
      </c>
      <c r="AI69" s="49">
        <f t="shared" si="9"/>
        <v>0</v>
      </c>
      <c r="AK69" s="51"/>
      <c r="AY69" s="1" t="s">
        <v>88</v>
      </c>
      <c r="AZ69" s="82">
        <f>ROUND(C82,0)</f>
        <v>0</v>
      </c>
      <c r="BA69" s="81">
        <f t="shared" si="24"/>
        <v>0</v>
      </c>
      <c r="BB69" s="81">
        <f t="shared" si="24"/>
        <v>0</v>
      </c>
      <c r="BC69" s="81">
        <f t="shared" si="24"/>
        <v>0</v>
      </c>
      <c r="BD69" s="81">
        <f t="shared" si="24"/>
        <v>0</v>
      </c>
      <c r="BE69" s="82">
        <f>I82</f>
        <v>0</v>
      </c>
      <c r="BF69" s="82">
        <f>K82</f>
        <v>0</v>
      </c>
      <c r="BG69" s="82">
        <f t="shared" si="25"/>
        <v>0</v>
      </c>
      <c r="BH69" s="82">
        <f t="shared" si="25"/>
        <v>0</v>
      </c>
      <c r="BI69" s="82">
        <f t="shared" si="25"/>
        <v>0</v>
      </c>
      <c r="BJ69" s="82">
        <f t="shared" si="25"/>
        <v>0</v>
      </c>
      <c r="BK69" s="82">
        <f t="shared" si="25"/>
        <v>0</v>
      </c>
      <c r="BL69" s="82">
        <f t="shared" si="25"/>
        <v>0</v>
      </c>
      <c r="BM69" s="82">
        <f t="shared" si="25"/>
        <v>0</v>
      </c>
      <c r="BN69" s="82">
        <f t="shared" si="25"/>
        <v>0</v>
      </c>
      <c r="BO69" s="82">
        <f t="shared" si="25"/>
        <v>0</v>
      </c>
      <c r="BP69" s="82">
        <f t="shared" si="25"/>
        <v>0</v>
      </c>
      <c r="BQ69" s="82">
        <f>X82</f>
        <v>0</v>
      </c>
      <c r="BR69" s="82">
        <f>Z82</f>
        <v>0</v>
      </c>
      <c r="BS69" s="81">
        <f>AB82</f>
        <v>0</v>
      </c>
      <c r="BT69" s="81">
        <f t="shared" si="26"/>
        <v>0</v>
      </c>
      <c r="BU69" s="81">
        <f t="shared" si="26"/>
        <v>0</v>
      </c>
      <c r="BV69" s="81">
        <f t="shared" si="26"/>
        <v>0</v>
      </c>
      <c r="BW69" s="81">
        <f>B82</f>
        <v>0</v>
      </c>
    </row>
    <row r="70" spans="1:75" x14ac:dyDescent="0.25">
      <c r="A70" s="65" t="s">
        <v>89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66">
        <v>15</v>
      </c>
      <c r="AH70" s="48">
        <f t="shared" si="8"/>
        <v>0</v>
      </c>
      <c r="AI70" s="49">
        <f t="shared" si="9"/>
        <v>0</v>
      </c>
      <c r="AK70" s="51"/>
      <c r="AL70" s="83"/>
      <c r="AO70" s="83"/>
      <c r="AY70" s="1" t="s">
        <v>90</v>
      </c>
      <c r="AZ70" s="82">
        <f>ROUND(C83,0)</f>
        <v>0</v>
      </c>
      <c r="BA70" s="81">
        <f t="shared" si="24"/>
        <v>0</v>
      </c>
      <c r="BB70" s="81">
        <f t="shared" si="24"/>
        <v>0</v>
      </c>
      <c r="BC70" s="81">
        <f t="shared" si="24"/>
        <v>0</v>
      </c>
      <c r="BD70" s="81">
        <f t="shared" si="24"/>
        <v>0</v>
      </c>
      <c r="BE70" s="82">
        <f>I83</f>
        <v>0</v>
      </c>
      <c r="BF70" s="82">
        <f>K83</f>
        <v>0</v>
      </c>
      <c r="BG70" s="82">
        <f t="shared" si="25"/>
        <v>0</v>
      </c>
      <c r="BH70" s="82">
        <f t="shared" si="25"/>
        <v>0</v>
      </c>
      <c r="BI70" s="82">
        <f t="shared" si="25"/>
        <v>0</v>
      </c>
      <c r="BJ70" s="82">
        <f t="shared" si="25"/>
        <v>0</v>
      </c>
      <c r="BK70" s="82">
        <f t="shared" si="25"/>
        <v>0</v>
      </c>
      <c r="BL70" s="82">
        <f t="shared" si="25"/>
        <v>0</v>
      </c>
      <c r="BM70" s="82">
        <f t="shared" si="25"/>
        <v>0</v>
      </c>
      <c r="BN70" s="82">
        <f t="shared" si="25"/>
        <v>0</v>
      </c>
      <c r="BO70" s="82">
        <f t="shared" si="25"/>
        <v>0</v>
      </c>
      <c r="BP70" s="82">
        <f t="shared" si="25"/>
        <v>0</v>
      </c>
      <c r="BQ70" s="82">
        <f>X83</f>
        <v>0</v>
      </c>
      <c r="BR70" s="82">
        <f>Z83</f>
        <v>0</v>
      </c>
      <c r="BS70" s="81">
        <f>AB83</f>
        <v>0</v>
      </c>
      <c r="BT70" s="81">
        <f t="shared" si="26"/>
        <v>0</v>
      </c>
      <c r="BU70" s="81">
        <f t="shared" si="26"/>
        <v>0</v>
      </c>
      <c r="BV70" s="81">
        <f t="shared" si="26"/>
        <v>0</v>
      </c>
      <c r="BW70" s="81">
        <f>B83</f>
        <v>0</v>
      </c>
    </row>
    <row r="71" spans="1:75" s="83" customFormat="1" x14ac:dyDescent="0.25">
      <c r="A71" s="65" t="s">
        <v>91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66">
        <v>14.1</v>
      </c>
      <c r="AH71" s="48">
        <f t="shared" si="8"/>
        <v>0</v>
      </c>
      <c r="AI71" s="49">
        <f t="shared" si="9"/>
        <v>0</v>
      </c>
      <c r="AJ71" s="1"/>
      <c r="AK71" s="51"/>
      <c r="AL71" s="1"/>
      <c r="AM71" s="1"/>
      <c r="AN71" s="1"/>
      <c r="AO71" s="1"/>
      <c r="AY71" s="83" t="s">
        <v>92</v>
      </c>
      <c r="AZ71" s="82">
        <f>ROUND(C84,0)</f>
        <v>0</v>
      </c>
      <c r="BA71" s="81">
        <f t="shared" si="24"/>
        <v>0</v>
      </c>
      <c r="BB71" s="81">
        <f t="shared" si="24"/>
        <v>0</v>
      </c>
      <c r="BC71" s="81">
        <f t="shared" si="24"/>
        <v>0</v>
      </c>
      <c r="BD71" s="81">
        <f t="shared" si="24"/>
        <v>0</v>
      </c>
      <c r="BE71" s="82">
        <f>I84</f>
        <v>0</v>
      </c>
      <c r="BF71" s="82">
        <f>K84</f>
        <v>0</v>
      </c>
      <c r="BG71" s="82">
        <f t="shared" si="25"/>
        <v>0</v>
      </c>
      <c r="BH71" s="82">
        <f t="shared" si="25"/>
        <v>0</v>
      </c>
      <c r="BI71" s="82">
        <f t="shared" si="25"/>
        <v>0</v>
      </c>
      <c r="BJ71" s="82">
        <f t="shared" si="25"/>
        <v>0</v>
      </c>
      <c r="BK71" s="82">
        <f t="shared" si="25"/>
        <v>0</v>
      </c>
      <c r="BL71" s="82">
        <f t="shared" si="25"/>
        <v>0</v>
      </c>
      <c r="BM71" s="82">
        <f t="shared" si="25"/>
        <v>0</v>
      </c>
      <c r="BN71" s="82">
        <f t="shared" si="25"/>
        <v>0</v>
      </c>
      <c r="BO71" s="82">
        <f t="shared" si="25"/>
        <v>0</v>
      </c>
      <c r="BP71" s="82">
        <f t="shared" si="25"/>
        <v>0</v>
      </c>
      <c r="BQ71" s="82">
        <f>X84</f>
        <v>0</v>
      </c>
      <c r="BR71" s="82">
        <f>Z84</f>
        <v>0</v>
      </c>
      <c r="BS71" s="81">
        <f>AB84</f>
        <v>0</v>
      </c>
      <c r="BT71" s="81">
        <f t="shared" si="26"/>
        <v>0</v>
      </c>
      <c r="BU71" s="81">
        <f t="shared" si="26"/>
        <v>0</v>
      </c>
      <c r="BV71" s="81">
        <f t="shared" si="26"/>
        <v>0</v>
      </c>
      <c r="BW71" s="81">
        <f>B84</f>
        <v>0</v>
      </c>
    </row>
    <row r="72" spans="1:75" x14ac:dyDescent="0.25">
      <c r="A72" s="84" t="s">
        <v>93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66">
        <v>14</v>
      </c>
      <c r="AH72" s="48">
        <f t="shared" si="8"/>
        <v>0</v>
      </c>
      <c r="AI72" s="49">
        <f t="shared" si="9"/>
        <v>0</v>
      </c>
      <c r="AK72" s="51"/>
      <c r="AY72" s="1" t="s">
        <v>94</v>
      </c>
      <c r="AZ72" s="82">
        <f>ROUND(C85,0)</f>
        <v>0</v>
      </c>
      <c r="BA72" s="81">
        <f t="shared" si="24"/>
        <v>0</v>
      </c>
      <c r="BB72" s="81">
        <f t="shared" si="24"/>
        <v>0</v>
      </c>
      <c r="BC72" s="81">
        <f t="shared" si="24"/>
        <v>0</v>
      </c>
      <c r="BD72" s="81">
        <f t="shared" si="24"/>
        <v>0</v>
      </c>
      <c r="BE72" s="82">
        <f>I85</f>
        <v>0</v>
      </c>
      <c r="BF72" s="82">
        <f>K85</f>
        <v>0</v>
      </c>
      <c r="BG72" s="82">
        <f t="shared" si="25"/>
        <v>0</v>
      </c>
      <c r="BH72" s="82">
        <f t="shared" si="25"/>
        <v>0</v>
      </c>
      <c r="BI72" s="82">
        <f t="shared" si="25"/>
        <v>0</v>
      </c>
      <c r="BJ72" s="82">
        <f t="shared" si="25"/>
        <v>0</v>
      </c>
      <c r="BK72" s="82">
        <f t="shared" si="25"/>
        <v>0</v>
      </c>
      <c r="BL72" s="82">
        <f t="shared" si="25"/>
        <v>0</v>
      </c>
      <c r="BM72" s="82">
        <f t="shared" si="25"/>
        <v>0</v>
      </c>
      <c r="BN72" s="82">
        <f t="shared" si="25"/>
        <v>0</v>
      </c>
      <c r="BO72" s="82">
        <f t="shared" si="25"/>
        <v>0</v>
      </c>
      <c r="BP72" s="82">
        <f t="shared" si="25"/>
        <v>0</v>
      </c>
      <c r="BQ72" s="82">
        <f>X85</f>
        <v>0</v>
      </c>
      <c r="BR72" s="82">
        <f>Z85</f>
        <v>0</v>
      </c>
      <c r="BS72" s="81">
        <f>AB85</f>
        <v>0</v>
      </c>
      <c r="BT72" s="81">
        <f t="shared" si="26"/>
        <v>0</v>
      </c>
      <c r="BU72" s="81">
        <f t="shared" si="26"/>
        <v>0</v>
      </c>
      <c r="BV72" s="81">
        <f t="shared" si="26"/>
        <v>0</v>
      </c>
      <c r="BW72" s="81">
        <f>B85</f>
        <v>0</v>
      </c>
    </row>
    <row r="73" spans="1:75" x14ac:dyDescent="0.25">
      <c r="A73" s="65" t="s">
        <v>95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66">
        <v>10.050000000000001</v>
      </c>
      <c r="AH73" s="48">
        <f t="shared" si="8"/>
        <v>0</v>
      </c>
      <c r="AI73" s="49">
        <f t="shared" si="9"/>
        <v>0</v>
      </c>
      <c r="AK73" s="51"/>
      <c r="AY73" s="1" t="s">
        <v>96</v>
      </c>
      <c r="AZ73" s="82">
        <f>ROUND(C91,0)</f>
        <v>0</v>
      </c>
      <c r="BA73" s="82">
        <f>D91</f>
        <v>0</v>
      </c>
      <c r="BB73" s="82">
        <f>E91</f>
        <v>0</v>
      </c>
      <c r="BC73" s="82">
        <f>F91</f>
        <v>0</v>
      </c>
      <c r="BD73" s="82">
        <f>G91</f>
        <v>0</v>
      </c>
      <c r="BE73" s="82">
        <f>I91</f>
        <v>0</v>
      </c>
      <c r="BF73" s="82">
        <f>K91</f>
        <v>0</v>
      </c>
      <c r="BG73" s="82">
        <f t="shared" ref="BG73:BP73" si="27">M91</f>
        <v>0</v>
      </c>
      <c r="BH73" s="82">
        <f t="shared" si="27"/>
        <v>0</v>
      </c>
      <c r="BI73" s="82">
        <f t="shared" si="27"/>
        <v>0</v>
      </c>
      <c r="BJ73" s="82">
        <f t="shared" si="27"/>
        <v>0</v>
      </c>
      <c r="BK73" s="82">
        <f t="shared" si="27"/>
        <v>0</v>
      </c>
      <c r="BL73" s="82">
        <f t="shared" si="27"/>
        <v>0</v>
      </c>
      <c r="BM73" s="82">
        <f t="shared" si="27"/>
        <v>0</v>
      </c>
      <c r="BN73" s="82">
        <f t="shared" si="27"/>
        <v>0</v>
      </c>
      <c r="BO73" s="82">
        <f t="shared" si="27"/>
        <v>0</v>
      </c>
      <c r="BP73" s="82">
        <f t="shared" si="27"/>
        <v>0</v>
      </c>
      <c r="BQ73" s="82">
        <f>X91</f>
        <v>0</v>
      </c>
      <c r="BR73" s="82">
        <f>Z91</f>
        <v>0</v>
      </c>
      <c r="BS73" s="82">
        <f>AB91</f>
        <v>0</v>
      </c>
      <c r="BT73" s="82">
        <f>AD91</f>
        <v>0</v>
      </c>
      <c r="BU73" s="82">
        <f>AE91</f>
        <v>0</v>
      </c>
      <c r="BV73" s="82">
        <f>AF91</f>
        <v>0</v>
      </c>
      <c r="BW73" s="82">
        <f>B91</f>
        <v>0</v>
      </c>
    </row>
    <row r="74" spans="1:75" x14ac:dyDescent="0.25">
      <c r="A74" s="65" t="s">
        <v>97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66">
        <v>6.2</v>
      </c>
      <c r="AH74" s="48">
        <f t="shared" si="8"/>
        <v>0</v>
      </c>
      <c r="AI74" s="49">
        <f t="shared" si="9"/>
        <v>0</v>
      </c>
      <c r="AK74" s="51"/>
      <c r="AZ74" s="82"/>
      <c r="BA74" s="81"/>
      <c r="BB74" s="81"/>
      <c r="BC74" s="81"/>
      <c r="BD74" s="81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1"/>
      <c r="BT74" s="81"/>
      <c r="BU74" s="81"/>
      <c r="BV74" s="81"/>
      <c r="BW74" s="81"/>
    </row>
    <row r="75" spans="1:75" ht="15.75" thickBot="1" x14ac:dyDescent="0.3">
      <c r="A75" s="67" t="s">
        <v>98</v>
      </c>
      <c r="B75" s="85">
        <v>3.54</v>
      </c>
      <c r="C75" s="85">
        <v>3.54</v>
      </c>
      <c r="D75" s="85">
        <v>3.54</v>
      </c>
      <c r="E75" s="85">
        <v>3.54</v>
      </c>
      <c r="F75" s="85">
        <v>3.54</v>
      </c>
      <c r="G75" s="85">
        <v>3.54</v>
      </c>
      <c r="H75" s="85">
        <v>3.54</v>
      </c>
      <c r="I75" s="85">
        <v>3.54</v>
      </c>
      <c r="J75" s="85">
        <v>3.54</v>
      </c>
      <c r="K75" s="85">
        <v>3.54</v>
      </c>
      <c r="L75" s="85">
        <v>3.54</v>
      </c>
      <c r="M75" s="85">
        <v>3.54</v>
      </c>
      <c r="N75" s="85">
        <v>3.54</v>
      </c>
      <c r="O75" s="85">
        <v>3.54</v>
      </c>
      <c r="P75" s="85">
        <v>3.54</v>
      </c>
      <c r="Q75" s="85">
        <v>3.54</v>
      </c>
      <c r="R75" s="85">
        <v>3.54</v>
      </c>
      <c r="S75" s="85">
        <v>3.54</v>
      </c>
      <c r="T75" s="85">
        <v>3.54</v>
      </c>
      <c r="U75" s="85">
        <v>3.54</v>
      </c>
      <c r="V75" s="85">
        <v>3.54</v>
      </c>
      <c r="W75" s="85">
        <v>3.54</v>
      </c>
      <c r="X75" s="85">
        <v>3.54</v>
      </c>
      <c r="Y75" s="85">
        <v>3.5</v>
      </c>
      <c r="Z75" s="85">
        <v>5.5</v>
      </c>
      <c r="AA75" s="85">
        <v>3.54</v>
      </c>
      <c r="AB75" s="85">
        <v>3.54</v>
      </c>
      <c r="AC75" s="85">
        <v>3.54</v>
      </c>
      <c r="AD75" s="85">
        <v>3.54</v>
      </c>
      <c r="AE75" s="85">
        <v>3.54</v>
      </c>
      <c r="AF75" s="85">
        <v>3.54</v>
      </c>
      <c r="AG75" s="86">
        <f>AG252</f>
        <v>8.56</v>
      </c>
      <c r="AH75" s="48">
        <f t="shared" si="8"/>
        <v>5.5</v>
      </c>
      <c r="AI75" s="49">
        <f t="shared" si="9"/>
        <v>3.5</v>
      </c>
      <c r="AK75" s="51"/>
      <c r="AZ75" s="82">
        <f t="shared" ref="AZ75:BW80" si="28">VALUE(AZ68)</f>
        <v>0</v>
      </c>
      <c r="BA75" s="82">
        <f t="shared" si="28"/>
        <v>0</v>
      </c>
      <c r="BB75" s="82">
        <f t="shared" si="28"/>
        <v>0</v>
      </c>
      <c r="BC75" s="82">
        <f t="shared" si="28"/>
        <v>0</v>
      </c>
      <c r="BD75" s="82">
        <f t="shared" si="28"/>
        <v>0</v>
      </c>
      <c r="BE75" s="82">
        <f t="shared" si="28"/>
        <v>0</v>
      </c>
      <c r="BF75" s="82">
        <f t="shared" si="28"/>
        <v>0</v>
      </c>
      <c r="BG75" s="82">
        <f t="shared" si="28"/>
        <v>0</v>
      </c>
      <c r="BH75" s="82">
        <f t="shared" si="28"/>
        <v>0</v>
      </c>
      <c r="BI75" s="82">
        <f t="shared" si="28"/>
        <v>0</v>
      </c>
      <c r="BJ75" s="82">
        <f t="shared" si="28"/>
        <v>0</v>
      </c>
      <c r="BK75" s="82">
        <f t="shared" si="28"/>
        <v>0</v>
      </c>
      <c r="BL75" s="82">
        <f t="shared" si="28"/>
        <v>0</v>
      </c>
      <c r="BM75" s="82">
        <f t="shared" si="28"/>
        <v>0</v>
      </c>
      <c r="BN75" s="82">
        <f t="shared" si="28"/>
        <v>0</v>
      </c>
      <c r="BO75" s="82">
        <f t="shared" si="28"/>
        <v>0</v>
      </c>
      <c r="BP75" s="82">
        <f t="shared" si="28"/>
        <v>0</v>
      </c>
      <c r="BQ75" s="82">
        <f t="shared" si="28"/>
        <v>0</v>
      </c>
      <c r="BR75" s="82">
        <f t="shared" si="28"/>
        <v>0</v>
      </c>
      <c r="BS75" s="82">
        <f t="shared" si="28"/>
        <v>0</v>
      </c>
      <c r="BT75" s="82">
        <f t="shared" si="28"/>
        <v>0</v>
      </c>
      <c r="BU75" s="82">
        <f t="shared" si="28"/>
        <v>0</v>
      </c>
      <c r="BV75" s="82">
        <f t="shared" si="28"/>
        <v>0</v>
      </c>
      <c r="BW75" s="82">
        <f t="shared" si="28"/>
        <v>0</v>
      </c>
    </row>
    <row r="76" spans="1:75" ht="15.75" thickBot="1" x14ac:dyDescent="0.3">
      <c r="A76" s="87" t="s">
        <v>99</v>
      </c>
      <c r="B76" s="71">
        <f t="shared" ref="B76:AG76" si="29">SUM(B63:B75)</f>
        <v>3.54</v>
      </c>
      <c r="C76" s="71">
        <f t="shared" si="29"/>
        <v>3.54</v>
      </c>
      <c r="D76" s="71">
        <f t="shared" si="29"/>
        <v>3.54</v>
      </c>
      <c r="E76" s="71">
        <f t="shared" si="29"/>
        <v>3.54</v>
      </c>
      <c r="F76" s="71">
        <f t="shared" si="29"/>
        <v>3.54</v>
      </c>
      <c r="G76" s="71">
        <f t="shared" si="29"/>
        <v>3.54</v>
      </c>
      <c r="H76" s="71">
        <f t="shared" si="29"/>
        <v>3.54</v>
      </c>
      <c r="I76" s="71">
        <f t="shared" si="29"/>
        <v>3.54</v>
      </c>
      <c r="J76" s="71">
        <f t="shared" si="29"/>
        <v>3.54</v>
      </c>
      <c r="K76" s="71">
        <f t="shared" si="29"/>
        <v>3.54</v>
      </c>
      <c r="L76" s="71">
        <f t="shared" si="29"/>
        <v>3.54</v>
      </c>
      <c r="M76" s="71">
        <f t="shared" si="29"/>
        <v>3.54</v>
      </c>
      <c r="N76" s="71">
        <f t="shared" si="29"/>
        <v>3.54</v>
      </c>
      <c r="O76" s="71">
        <f t="shared" si="29"/>
        <v>3.54</v>
      </c>
      <c r="P76" s="71">
        <f t="shared" si="29"/>
        <v>3.54</v>
      </c>
      <c r="Q76" s="71">
        <f t="shared" si="29"/>
        <v>3.54</v>
      </c>
      <c r="R76" s="71">
        <f t="shared" si="29"/>
        <v>3.54</v>
      </c>
      <c r="S76" s="71">
        <f t="shared" si="29"/>
        <v>3.54</v>
      </c>
      <c r="T76" s="71">
        <f t="shared" si="29"/>
        <v>3.54</v>
      </c>
      <c r="U76" s="71">
        <f t="shared" si="29"/>
        <v>3.54</v>
      </c>
      <c r="V76" s="71">
        <f t="shared" si="29"/>
        <v>3.54</v>
      </c>
      <c r="W76" s="71">
        <f t="shared" si="29"/>
        <v>3.54</v>
      </c>
      <c r="X76" s="71">
        <f t="shared" si="29"/>
        <v>3.54</v>
      </c>
      <c r="Y76" s="71">
        <f t="shared" si="29"/>
        <v>3.5</v>
      </c>
      <c r="Z76" s="71">
        <f t="shared" si="29"/>
        <v>5.5</v>
      </c>
      <c r="AA76" s="71">
        <f t="shared" si="29"/>
        <v>3.54</v>
      </c>
      <c r="AB76" s="71">
        <f t="shared" si="29"/>
        <v>3.54</v>
      </c>
      <c r="AC76" s="71">
        <f t="shared" si="29"/>
        <v>3.54</v>
      </c>
      <c r="AD76" s="71">
        <f t="shared" si="29"/>
        <v>3.54</v>
      </c>
      <c r="AE76" s="71">
        <f t="shared" si="29"/>
        <v>3.54</v>
      </c>
      <c r="AF76" s="71">
        <f t="shared" si="29"/>
        <v>3.54</v>
      </c>
      <c r="AG76" s="72">
        <f t="shared" si="29"/>
        <v>489.91</v>
      </c>
      <c r="AH76" s="48">
        <f t="shared" si="8"/>
        <v>5.5</v>
      </c>
      <c r="AI76" s="49">
        <f t="shared" si="9"/>
        <v>3.5</v>
      </c>
      <c r="AK76" s="51"/>
      <c r="AZ76" s="82">
        <f t="shared" si="28"/>
        <v>0</v>
      </c>
      <c r="BA76" s="82">
        <f t="shared" si="28"/>
        <v>0</v>
      </c>
      <c r="BB76" s="82">
        <f t="shared" si="28"/>
        <v>0</v>
      </c>
      <c r="BC76" s="82">
        <f t="shared" si="28"/>
        <v>0</v>
      </c>
      <c r="BD76" s="82">
        <f t="shared" si="28"/>
        <v>0</v>
      </c>
      <c r="BE76" s="82">
        <f t="shared" si="28"/>
        <v>0</v>
      </c>
      <c r="BF76" s="82">
        <f t="shared" si="28"/>
        <v>0</v>
      </c>
      <c r="BG76" s="82">
        <f t="shared" si="28"/>
        <v>0</v>
      </c>
      <c r="BH76" s="82">
        <f t="shared" si="28"/>
        <v>0</v>
      </c>
      <c r="BI76" s="82">
        <f t="shared" si="28"/>
        <v>0</v>
      </c>
      <c r="BJ76" s="82">
        <f t="shared" si="28"/>
        <v>0</v>
      </c>
      <c r="BK76" s="82">
        <f t="shared" si="28"/>
        <v>0</v>
      </c>
      <c r="BL76" s="82">
        <f t="shared" si="28"/>
        <v>0</v>
      </c>
      <c r="BM76" s="82">
        <f t="shared" si="28"/>
        <v>0</v>
      </c>
      <c r="BN76" s="82">
        <f t="shared" si="28"/>
        <v>0</v>
      </c>
      <c r="BO76" s="82">
        <f t="shared" si="28"/>
        <v>0</v>
      </c>
      <c r="BP76" s="82">
        <f t="shared" si="28"/>
        <v>0</v>
      </c>
      <c r="BQ76" s="82">
        <f t="shared" si="28"/>
        <v>0</v>
      </c>
      <c r="BR76" s="82">
        <f t="shared" si="28"/>
        <v>0</v>
      </c>
      <c r="BS76" s="82">
        <f t="shared" si="28"/>
        <v>0</v>
      </c>
      <c r="BT76" s="82">
        <f t="shared" si="28"/>
        <v>0</v>
      </c>
      <c r="BU76" s="82">
        <f t="shared" si="28"/>
        <v>0</v>
      </c>
      <c r="BV76" s="82">
        <f t="shared" si="28"/>
        <v>0</v>
      </c>
      <c r="BW76" s="82">
        <f t="shared" si="28"/>
        <v>0</v>
      </c>
    </row>
    <row r="77" spans="1:75" x14ac:dyDescent="0.25">
      <c r="A77" s="45" t="s">
        <v>100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61">
        <v>60</v>
      </c>
      <c r="AH77" s="48">
        <f t="shared" si="8"/>
        <v>0</v>
      </c>
      <c r="AI77" s="49">
        <f t="shared" si="9"/>
        <v>0</v>
      </c>
      <c r="AK77" s="51"/>
      <c r="AZ77" s="82">
        <f t="shared" si="28"/>
        <v>0</v>
      </c>
      <c r="BA77" s="82">
        <f t="shared" si="28"/>
        <v>0</v>
      </c>
      <c r="BB77" s="82">
        <f t="shared" si="28"/>
        <v>0</v>
      </c>
      <c r="BC77" s="82">
        <f t="shared" si="28"/>
        <v>0</v>
      </c>
      <c r="BD77" s="82">
        <f t="shared" si="28"/>
        <v>0</v>
      </c>
      <c r="BE77" s="82">
        <f t="shared" si="28"/>
        <v>0</v>
      </c>
      <c r="BF77" s="82">
        <f t="shared" si="28"/>
        <v>0</v>
      </c>
      <c r="BG77" s="82">
        <f t="shared" si="28"/>
        <v>0</v>
      </c>
      <c r="BH77" s="82">
        <f t="shared" si="28"/>
        <v>0</v>
      </c>
      <c r="BI77" s="82">
        <f t="shared" si="28"/>
        <v>0</v>
      </c>
      <c r="BJ77" s="82">
        <f t="shared" si="28"/>
        <v>0</v>
      </c>
      <c r="BK77" s="82">
        <f t="shared" si="28"/>
        <v>0</v>
      </c>
      <c r="BL77" s="82">
        <f t="shared" si="28"/>
        <v>0</v>
      </c>
      <c r="BM77" s="82">
        <f t="shared" si="28"/>
        <v>0</v>
      </c>
      <c r="BN77" s="82">
        <f t="shared" si="28"/>
        <v>0</v>
      </c>
      <c r="BO77" s="82">
        <f t="shared" si="28"/>
        <v>0</v>
      </c>
      <c r="BP77" s="82">
        <f t="shared" si="28"/>
        <v>0</v>
      </c>
      <c r="BQ77" s="82">
        <f t="shared" si="28"/>
        <v>0</v>
      </c>
      <c r="BR77" s="82">
        <f t="shared" si="28"/>
        <v>0</v>
      </c>
      <c r="BS77" s="82">
        <f t="shared" si="28"/>
        <v>0</v>
      </c>
      <c r="BT77" s="82">
        <f t="shared" si="28"/>
        <v>0</v>
      </c>
      <c r="BU77" s="82">
        <f t="shared" si="28"/>
        <v>0</v>
      </c>
      <c r="BV77" s="82">
        <f t="shared" si="28"/>
        <v>0</v>
      </c>
      <c r="BW77" s="82">
        <f t="shared" si="28"/>
        <v>0</v>
      </c>
    </row>
    <row r="78" spans="1:75" x14ac:dyDescent="0.25">
      <c r="A78" s="65" t="s">
        <v>101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66">
        <v>32</v>
      </c>
      <c r="AH78" s="48">
        <f t="shared" si="8"/>
        <v>0</v>
      </c>
      <c r="AI78" s="49">
        <f t="shared" si="9"/>
        <v>0</v>
      </c>
      <c r="AK78" s="51"/>
      <c r="AZ78" s="82">
        <f t="shared" si="28"/>
        <v>0</v>
      </c>
      <c r="BA78" s="82">
        <f t="shared" si="28"/>
        <v>0</v>
      </c>
      <c r="BB78" s="82">
        <f t="shared" si="28"/>
        <v>0</v>
      </c>
      <c r="BC78" s="82">
        <f t="shared" si="28"/>
        <v>0</v>
      </c>
      <c r="BD78" s="82">
        <f t="shared" si="28"/>
        <v>0</v>
      </c>
      <c r="BE78" s="82">
        <f t="shared" si="28"/>
        <v>0</v>
      </c>
      <c r="BF78" s="82">
        <f t="shared" si="28"/>
        <v>0</v>
      </c>
      <c r="BG78" s="82">
        <f t="shared" si="28"/>
        <v>0</v>
      </c>
      <c r="BH78" s="82">
        <f t="shared" si="28"/>
        <v>0</v>
      </c>
      <c r="BI78" s="82">
        <f t="shared" si="28"/>
        <v>0</v>
      </c>
      <c r="BJ78" s="82">
        <f t="shared" si="28"/>
        <v>0</v>
      </c>
      <c r="BK78" s="82">
        <f t="shared" si="28"/>
        <v>0</v>
      </c>
      <c r="BL78" s="82">
        <f t="shared" si="28"/>
        <v>0</v>
      </c>
      <c r="BM78" s="82">
        <f t="shared" si="28"/>
        <v>0</v>
      </c>
      <c r="BN78" s="82">
        <f t="shared" si="28"/>
        <v>0</v>
      </c>
      <c r="BO78" s="82">
        <f t="shared" si="28"/>
        <v>0</v>
      </c>
      <c r="BP78" s="82">
        <f t="shared" si="28"/>
        <v>0</v>
      </c>
      <c r="BQ78" s="82">
        <f t="shared" si="28"/>
        <v>0</v>
      </c>
      <c r="BR78" s="82">
        <f t="shared" si="28"/>
        <v>0</v>
      </c>
      <c r="BS78" s="82">
        <f t="shared" si="28"/>
        <v>0</v>
      </c>
      <c r="BT78" s="82">
        <f t="shared" si="28"/>
        <v>0</v>
      </c>
      <c r="BU78" s="82">
        <f t="shared" si="28"/>
        <v>0</v>
      </c>
      <c r="BV78" s="82">
        <f t="shared" si="28"/>
        <v>0</v>
      </c>
      <c r="BW78" s="82">
        <f t="shared" si="28"/>
        <v>0</v>
      </c>
    </row>
    <row r="79" spans="1:75" ht="15.75" thickBot="1" x14ac:dyDescent="0.3">
      <c r="A79" s="84" t="s">
        <v>102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9">
        <v>14</v>
      </c>
      <c r="AH79" s="48">
        <f t="shared" si="8"/>
        <v>0</v>
      </c>
      <c r="AI79" s="49">
        <f t="shared" si="9"/>
        <v>0</v>
      </c>
      <c r="AK79" s="51"/>
      <c r="AZ79" s="82">
        <f t="shared" si="28"/>
        <v>0</v>
      </c>
      <c r="BA79" s="82">
        <f t="shared" si="28"/>
        <v>0</v>
      </c>
      <c r="BB79" s="82">
        <f t="shared" si="28"/>
        <v>0</v>
      </c>
      <c r="BC79" s="82">
        <f t="shared" si="28"/>
        <v>0</v>
      </c>
      <c r="BD79" s="82">
        <f t="shared" si="28"/>
        <v>0</v>
      </c>
      <c r="BE79" s="82">
        <f t="shared" si="28"/>
        <v>0</v>
      </c>
      <c r="BF79" s="82">
        <f t="shared" si="28"/>
        <v>0</v>
      </c>
      <c r="BG79" s="82">
        <f t="shared" si="28"/>
        <v>0</v>
      </c>
      <c r="BH79" s="82">
        <f t="shared" si="28"/>
        <v>0</v>
      </c>
      <c r="BI79" s="82">
        <f t="shared" si="28"/>
        <v>0</v>
      </c>
      <c r="BJ79" s="82">
        <f t="shared" si="28"/>
        <v>0</v>
      </c>
      <c r="BK79" s="82">
        <f t="shared" si="28"/>
        <v>0</v>
      </c>
      <c r="BL79" s="82">
        <f t="shared" si="28"/>
        <v>0</v>
      </c>
      <c r="BM79" s="82">
        <f t="shared" si="28"/>
        <v>0</v>
      </c>
      <c r="BN79" s="82">
        <f t="shared" si="28"/>
        <v>0</v>
      </c>
      <c r="BO79" s="82">
        <f t="shared" si="28"/>
        <v>0</v>
      </c>
      <c r="BP79" s="82">
        <f t="shared" si="28"/>
        <v>0</v>
      </c>
      <c r="BQ79" s="82">
        <f t="shared" si="28"/>
        <v>0</v>
      </c>
      <c r="BR79" s="82">
        <f t="shared" si="28"/>
        <v>0</v>
      </c>
      <c r="BS79" s="82">
        <f t="shared" si="28"/>
        <v>0</v>
      </c>
      <c r="BT79" s="82">
        <f t="shared" si="28"/>
        <v>0</v>
      </c>
      <c r="BU79" s="82">
        <f t="shared" si="28"/>
        <v>0</v>
      </c>
      <c r="BV79" s="82">
        <f t="shared" si="28"/>
        <v>0</v>
      </c>
      <c r="BW79" s="82">
        <f t="shared" si="28"/>
        <v>0</v>
      </c>
    </row>
    <row r="80" spans="1:75" ht="15.75" thickBot="1" x14ac:dyDescent="0.3">
      <c r="A80" s="87" t="s">
        <v>103</v>
      </c>
      <c r="B80" s="71">
        <f t="shared" ref="B80:AF80" si="30">B77+B78+B79</f>
        <v>0</v>
      </c>
      <c r="C80" s="71">
        <f t="shared" si="30"/>
        <v>0</v>
      </c>
      <c r="D80" s="71">
        <f t="shared" si="30"/>
        <v>0</v>
      </c>
      <c r="E80" s="71">
        <f t="shared" si="30"/>
        <v>0</v>
      </c>
      <c r="F80" s="71">
        <f t="shared" si="30"/>
        <v>0</v>
      </c>
      <c r="G80" s="71">
        <f t="shared" si="30"/>
        <v>0</v>
      </c>
      <c r="H80" s="71">
        <f t="shared" si="30"/>
        <v>0</v>
      </c>
      <c r="I80" s="71">
        <f t="shared" si="30"/>
        <v>0</v>
      </c>
      <c r="J80" s="71">
        <f t="shared" si="30"/>
        <v>0</v>
      </c>
      <c r="K80" s="71">
        <f t="shared" si="30"/>
        <v>0</v>
      </c>
      <c r="L80" s="71">
        <f t="shared" si="30"/>
        <v>0</v>
      </c>
      <c r="M80" s="71">
        <f t="shared" si="30"/>
        <v>0</v>
      </c>
      <c r="N80" s="71">
        <f t="shared" si="30"/>
        <v>0</v>
      </c>
      <c r="O80" s="71">
        <f t="shared" si="30"/>
        <v>0</v>
      </c>
      <c r="P80" s="71">
        <f t="shared" si="30"/>
        <v>0</v>
      </c>
      <c r="Q80" s="71">
        <f t="shared" si="30"/>
        <v>0</v>
      </c>
      <c r="R80" s="71">
        <f t="shared" si="30"/>
        <v>0</v>
      </c>
      <c r="S80" s="71">
        <f t="shared" si="30"/>
        <v>0</v>
      </c>
      <c r="T80" s="71">
        <f t="shared" si="30"/>
        <v>0</v>
      </c>
      <c r="U80" s="71">
        <f t="shared" si="30"/>
        <v>0</v>
      </c>
      <c r="V80" s="71">
        <f t="shared" si="30"/>
        <v>0</v>
      </c>
      <c r="W80" s="71">
        <f t="shared" si="30"/>
        <v>0</v>
      </c>
      <c r="X80" s="71">
        <f t="shared" si="30"/>
        <v>0</v>
      </c>
      <c r="Y80" s="71">
        <f t="shared" si="30"/>
        <v>0</v>
      </c>
      <c r="Z80" s="71">
        <f t="shared" si="30"/>
        <v>0</v>
      </c>
      <c r="AA80" s="71">
        <f t="shared" si="30"/>
        <v>0</v>
      </c>
      <c r="AB80" s="71">
        <f t="shared" si="30"/>
        <v>0</v>
      </c>
      <c r="AC80" s="71">
        <f t="shared" si="30"/>
        <v>0</v>
      </c>
      <c r="AD80" s="71">
        <f t="shared" si="30"/>
        <v>0</v>
      </c>
      <c r="AE80" s="71">
        <f t="shared" si="30"/>
        <v>0</v>
      </c>
      <c r="AF80" s="71">
        <f t="shared" si="30"/>
        <v>0</v>
      </c>
      <c r="AG80" s="72">
        <f>SUM(AG77:AG79)</f>
        <v>106</v>
      </c>
      <c r="AH80" s="48">
        <f t="shared" si="8"/>
        <v>0</v>
      </c>
      <c r="AI80" s="49">
        <f t="shared" si="9"/>
        <v>0</v>
      </c>
      <c r="AK80" s="51"/>
      <c r="AZ80" s="82">
        <f t="shared" si="28"/>
        <v>0</v>
      </c>
      <c r="BA80" s="82">
        <f t="shared" si="28"/>
        <v>0</v>
      </c>
      <c r="BB80" s="82">
        <f t="shared" si="28"/>
        <v>0</v>
      </c>
      <c r="BC80" s="82">
        <f t="shared" si="28"/>
        <v>0</v>
      </c>
      <c r="BD80" s="82">
        <f t="shared" si="28"/>
        <v>0</v>
      </c>
      <c r="BE80" s="82">
        <f t="shared" si="28"/>
        <v>0</v>
      </c>
      <c r="BF80" s="82">
        <f t="shared" si="28"/>
        <v>0</v>
      </c>
      <c r="BG80" s="82">
        <f t="shared" si="28"/>
        <v>0</v>
      </c>
      <c r="BH80" s="82">
        <f t="shared" si="28"/>
        <v>0</v>
      </c>
      <c r="BI80" s="82">
        <f t="shared" si="28"/>
        <v>0</v>
      </c>
      <c r="BJ80" s="82">
        <f t="shared" si="28"/>
        <v>0</v>
      </c>
      <c r="BK80" s="82">
        <f t="shared" si="28"/>
        <v>0</v>
      </c>
      <c r="BL80" s="82">
        <f t="shared" si="28"/>
        <v>0</v>
      </c>
      <c r="BM80" s="82">
        <f t="shared" si="28"/>
        <v>0</v>
      </c>
      <c r="BN80" s="82">
        <f t="shared" si="28"/>
        <v>0</v>
      </c>
      <c r="BO80" s="82">
        <f t="shared" si="28"/>
        <v>0</v>
      </c>
      <c r="BP80" s="82">
        <f t="shared" si="28"/>
        <v>0</v>
      </c>
      <c r="BQ80" s="82">
        <f t="shared" si="28"/>
        <v>0</v>
      </c>
      <c r="BR80" s="82">
        <f t="shared" si="28"/>
        <v>0</v>
      </c>
      <c r="BS80" s="82">
        <f t="shared" si="28"/>
        <v>0</v>
      </c>
      <c r="BT80" s="82">
        <f t="shared" si="28"/>
        <v>0</v>
      </c>
      <c r="BU80" s="82">
        <f t="shared" si="28"/>
        <v>0</v>
      </c>
      <c r="BV80" s="82">
        <f t="shared" si="28"/>
        <v>0</v>
      </c>
      <c r="BW80" s="82">
        <f t="shared" si="28"/>
        <v>0</v>
      </c>
    </row>
    <row r="81" spans="1:64" x14ac:dyDescent="0.25">
      <c r="A81" s="45" t="s">
        <v>104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61"/>
      <c r="AH81" s="48">
        <f t="shared" si="8"/>
        <v>0</v>
      </c>
      <c r="AI81" s="49">
        <f t="shared" si="9"/>
        <v>0</v>
      </c>
      <c r="AK81" s="51"/>
      <c r="AY81" s="82"/>
    </row>
    <row r="82" spans="1:64" x14ac:dyDescent="0.25">
      <c r="A82" s="65" t="s">
        <v>105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66"/>
      <c r="AH82" s="48">
        <f t="shared" ref="AH82:AH123" si="31">MAX(B82:AF82)</f>
        <v>0</v>
      </c>
      <c r="AI82" s="49">
        <f t="shared" ref="AI82:AI123" si="32">MIN(B82:AF82)</f>
        <v>0</v>
      </c>
      <c r="AK82" s="51"/>
      <c r="AY82" s="82"/>
      <c r="BF82" s="82"/>
      <c r="BG82" s="82"/>
      <c r="BH82" s="82"/>
      <c r="BI82" s="82"/>
      <c r="BJ82" s="82"/>
      <c r="BK82" s="82"/>
    </row>
    <row r="83" spans="1:64" x14ac:dyDescent="0.25">
      <c r="A83" s="65" t="s">
        <v>106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8"/>
      <c r="AH83" s="48">
        <f t="shared" si="31"/>
        <v>0</v>
      </c>
      <c r="AI83" s="49">
        <f t="shared" si="32"/>
        <v>0</v>
      </c>
      <c r="AK83" s="51"/>
      <c r="AY83" s="82"/>
      <c r="BF83" s="81"/>
      <c r="BG83" s="81"/>
      <c r="BH83" s="81"/>
      <c r="BI83" s="81"/>
      <c r="BJ83" s="81"/>
      <c r="BK83" s="82"/>
    </row>
    <row r="84" spans="1:64" x14ac:dyDescent="0.25">
      <c r="A84" s="65" t="s">
        <v>107</v>
      </c>
      <c r="B84" s="76"/>
      <c r="C84" s="76"/>
      <c r="D84" s="76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8"/>
      <c r="AH84" s="48">
        <f t="shared" si="31"/>
        <v>0</v>
      </c>
      <c r="AI84" s="49">
        <f t="shared" si="32"/>
        <v>0</v>
      </c>
      <c r="AK84" s="51"/>
      <c r="AY84" s="82"/>
      <c r="BF84" s="81"/>
      <c r="BG84" s="82">
        <f t="array" ref="BG84:BL107">TRANSPOSE(AZ68:BW73)</f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</row>
    <row r="85" spans="1:64" x14ac:dyDescent="0.25">
      <c r="A85" s="65" t="s">
        <v>108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88"/>
      <c r="AH85" s="48">
        <f t="shared" si="31"/>
        <v>0</v>
      </c>
      <c r="AI85" s="49">
        <f t="shared" si="32"/>
        <v>0</v>
      </c>
      <c r="AK85" s="51"/>
      <c r="AY85" s="82"/>
      <c r="BF85" s="81"/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</row>
    <row r="86" spans="1:64" x14ac:dyDescent="0.25">
      <c r="A86" s="65" t="s">
        <v>109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88"/>
      <c r="AH86" s="48">
        <f t="shared" si="31"/>
        <v>0</v>
      </c>
      <c r="AI86" s="49">
        <f t="shared" si="32"/>
        <v>0</v>
      </c>
      <c r="AK86" s="51"/>
      <c r="AY86" s="82"/>
      <c r="BF86" s="81"/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</row>
    <row r="87" spans="1:64" ht="15.75" thickBot="1" x14ac:dyDescent="0.3">
      <c r="A87" s="65" t="s">
        <v>110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88"/>
      <c r="AH87" s="48">
        <f t="shared" si="31"/>
        <v>0</v>
      </c>
      <c r="AI87" s="49">
        <f t="shared" si="32"/>
        <v>0</v>
      </c>
      <c r="AK87" s="51"/>
      <c r="AL87" s="91" t="s">
        <v>111</v>
      </c>
      <c r="AM87" s="91"/>
      <c r="AY87" s="82"/>
      <c r="BF87" s="82"/>
      <c r="BG87" s="82">
        <v>0</v>
      </c>
      <c r="BH87" s="82">
        <v>0</v>
      </c>
      <c r="BI87" s="82">
        <v>0</v>
      </c>
      <c r="BJ87" s="82">
        <v>0</v>
      </c>
      <c r="BK87" s="82">
        <v>0</v>
      </c>
      <c r="BL87" s="82">
        <v>0</v>
      </c>
    </row>
    <row r="88" spans="1:64" x14ac:dyDescent="0.25">
      <c r="A88" s="65" t="s">
        <v>112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88"/>
      <c r="AH88" s="48">
        <f t="shared" si="31"/>
        <v>0</v>
      </c>
      <c r="AI88" s="49">
        <f t="shared" si="32"/>
        <v>0</v>
      </c>
      <c r="AK88" s="92"/>
      <c r="AL88" s="93"/>
      <c r="AM88" s="93"/>
      <c r="AN88" s="94"/>
      <c r="AY88" s="82"/>
      <c r="BF88" s="82"/>
      <c r="BG88" s="82">
        <v>0</v>
      </c>
      <c r="BH88" s="82">
        <v>0</v>
      </c>
      <c r="BI88" s="82">
        <v>0</v>
      </c>
      <c r="BJ88" s="82">
        <v>0</v>
      </c>
      <c r="BK88" s="82">
        <v>0</v>
      </c>
      <c r="BL88" s="82">
        <v>0</v>
      </c>
    </row>
    <row r="89" spans="1:64" x14ac:dyDescent="0.25">
      <c r="A89" s="65" t="s">
        <v>113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88"/>
      <c r="AH89" s="48">
        <f t="shared" si="31"/>
        <v>0</v>
      </c>
      <c r="AI89" s="49">
        <f t="shared" si="32"/>
        <v>0</v>
      </c>
      <c r="AK89" s="95" t="s">
        <v>114</v>
      </c>
      <c r="AL89" s="76"/>
      <c r="AM89" s="89"/>
      <c r="AN89" s="96"/>
      <c r="AY89" s="82"/>
      <c r="BF89" s="82"/>
      <c r="BG89" s="82">
        <v>0</v>
      </c>
      <c r="BH89" s="82">
        <v>0</v>
      </c>
      <c r="BI89" s="82">
        <v>0</v>
      </c>
      <c r="BJ89" s="82">
        <v>0</v>
      </c>
      <c r="BK89" s="82">
        <v>0</v>
      </c>
      <c r="BL89" s="82">
        <v>0</v>
      </c>
    </row>
    <row r="90" spans="1:64" x14ac:dyDescent="0.25">
      <c r="A90" s="97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8"/>
      <c r="AH90" s="48">
        <f t="shared" si="31"/>
        <v>0</v>
      </c>
      <c r="AI90" s="49">
        <f t="shared" si="32"/>
        <v>0</v>
      </c>
      <c r="AK90" s="95" t="s">
        <v>116</v>
      </c>
      <c r="AL90" s="89"/>
      <c r="AM90" s="89"/>
      <c r="AN90" s="96"/>
      <c r="AY90" s="82"/>
      <c r="BF90" s="82"/>
      <c r="BG90" s="82">
        <v>0</v>
      </c>
      <c r="BH90" s="82">
        <v>0</v>
      </c>
      <c r="BI90" s="82">
        <v>0</v>
      </c>
      <c r="BJ90" s="82">
        <v>0</v>
      </c>
      <c r="BK90" s="82">
        <v>0</v>
      </c>
      <c r="BL90" s="82">
        <v>0</v>
      </c>
    </row>
    <row r="91" spans="1:64" ht="15.75" thickBot="1" x14ac:dyDescent="0.3">
      <c r="A91" s="97" t="s">
        <v>117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8"/>
      <c r="AH91" s="48">
        <f t="shared" si="31"/>
        <v>0</v>
      </c>
      <c r="AI91" s="49">
        <f t="shared" si="32"/>
        <v>0</v>
      </c>
      <c r="AK91" s="99"/>
      <c r="AL91" s="46"/>
      <c r="AM91" s="46"/>
      <c r="AN91" s="100"/>
      <c r="AY91" s="82"/>
      <c r="BF91" s="82"/>
      <c r="BG91" s="82">
        <v>0</v>
      </c>
      <c r="BH91" s="82">
        <v>0</v>
      </c>
      <c r="BI91" s="82">
        <v>0</v>
      </c>
      <c r="BJ91" s="82">
        <v>0</v>
      </c>
      <c r="BK91" s="82">
        <v>0</v>
      </c>
      <c r="BL91" s="82">
        <v>0</v>
      </c>
    </row>
    <row r="92" spans="1:64" ht="15.75" thickBot="1" x14ac:dyDescent="0.3">
      <c r="A92" s="87" t="s">
        <v>118</v>
      </c>
      <c r="B92" s="71">
        <f t="shared" ref="B92:AF92" si="33">SUMIF(B81:B91,"&gt;0")</f>
        <v>0</v>
      </c>
      <c r="C92" s="71">
        <f t="shared" si="33"/>
        <v>0</v>
      </c>
      <c r="D92" s="71">
        <f t="shared" si="33"/>
        <v>0</v>
      </c>
      <c r="E92" s="71">
        <f t="shared" si="33"/>
        <v>0</v>
      </c>
      <c r="F92" s="71">
        <f t="shared" si="33"/>
        <v>0</v>
      </c>
      <c r="G92" s="71">
        <f t="shared" si="33"/>
        <v>0</v>
      </c>
      <c r="H92" s="71">
        <f t="shared" si="33"/>
        <v>0</v>
      </c>
      <c r="I92" s="71">
        <f t="shared" si="33"/>
        <v>0</v>
      </c>
      <c r="J92" s="71">
        <f t="shared" si="33"/>
        <v>0</v>
      </c>
      <c r="K92" s="71">
        <f t="shared" si="33"/>
        <v>0</v>
      </c>
      <c r="L92" s="71">
        <f t="shared" si="33"/>
        <v>0</v>
      </c>
      <c r="M92" s="71">
        <f t="shared" si="33"/>
        <v>0</v>
      </c>
      <c r="N92" s="71">
        <f t="shared" si="33"/>
        <v>0</v>
      </c>
      <c r="O92" s="71">
        <f t="shared" si="33"/>
        <v>0</v>
      </c>
      <c r="P92" s="71">
        <f t="shared" si="33"/>
        <v>0</v>
      </c>
      <c r="Q92" s="71">
        <f t="shared" si="33"/>
        <v>0</v>
      </c>
      <c r="R92" s="71">
        <f t="shared" si="33"/>
        <v>0</v>
      </c>
      <c r="S92" s="71">
        <f t="shared" si="33"/>
        <v>0</v>
      </c>
      <c r="T92" s="71">
        <f t="shared" si="33"/>
        <v>0</v>
      </c>
      <c r="U92" s="71">
        <f t="shared" si="33"/>
        <v>0</v>
      </c>
      <c r="V92" s="71">
        <f t="shared" si="33"/>
        <v>0</v>
      </c>
      <c r="W92" s="71">
        <f t="shared" si="33"/>
        <v>0</v>
      </c>
      <c r="X92" s="71">
        <f t="shared" si="33"/>
        <v>0</v>
      </c>
      <c r="Y92" s="71">
        <f t="shared" si="33"/>
        <v>0</v>
      </c>
      <c r="Z92" s="71">
        <f t="shared" si="33"/>
        <v>0</v>
      </c>
      <c r="AA92" s="71">
        <f t="shared" si="33"/>
        <v>0</v>
      </c>
      <c r="AB92" s="71">
        <f t="shared" si="33"/>
        <v>0</v>
      </c>
      <c r="AC92" s="71">
        <f t="shared" si="33"/>
        <v>0</v>
      </c>
      <c r="AD92" s="71">
        <f t="shared" si="33"/>
        <v>0</v>
      </c>
      <c r="AE92" s="71">
        <f t="shared" si="33"/>
        <v>0</v>
      </c>
      <c r="AF92" s="71">
        <f t="shared" si="33"/>
        <v>0</v>
      </c>
      <c r="AG92" s="101">
        <f>SUM(AG81:AG91)</f>
        <v>0</v>
      </c>
      <c r="AH92" s="48">
        <f t="shared" si="31"/>
        <v>0</v>
      </c>
      <c r="AI92" s="49">
        <f t="shared" si="32"/>
        <v>0</v>
      </c>
      <c r="AK92" s="99"/>
      <c r="AL92" s="90"/>
      <c r="AM92" s="102"/>
      <c r="AN92" s="202"/>
      <c r="AY92" s="82"/>
      <c r="BF92" s="82"/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</row>
    <row r="93" spans="1:64" x14ac:dyDescent="0.25">
      <c r="A93" s="45" t="s">
        <v>119</v>
      </c>
      <c r="B93" s="89">
        <v>0</v>
      </c>
      <c r="C93" s="89">
        <v>0</v>
      </c>
      <c r="D93" s="89">
        <v>0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103">
        <v>39</v>
      </c>
      <c r="AH93" s="48">
        <f t="shared" si="31"/>
        <v>0</v>
      </c>
      <c r="AI93" s="49">
        <f t="shared" si="32"/>
        <v>0</v>
      </c>
      <c r="AK93" s="99"/>
      <c r="AL93" s="90"/>
      <c r="AM93" s="90"/>
      <c r="AN93" s="203"/>
      <c r="BF93" s="82"/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</row>
    <row r="94" spans="1:64" ht="15.75" thickBot="1" x14ac:dyDescent="0.3">
      <c r="A94" s="65" t="s">
        <v>120</v>
      </c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88">
        <v>14.4</v>
      </c>
      <c r="AH94" s="48">
        <f t="shared" si="31"/>
        <v>0</v>
      </c>
      <c r="AI94" s="49">
        <f t="shared" si="32"/>
        <v>0</v>
      </c>
      <c r="AK94" s="104"/>
      <c r="AL94" s="105"/>
      <c r="AM94" s="105"/>
      <c r="AN94" s="106"/>
      <c r="BF94" s="82"/>
      <c r="BG94" s="82">
        <v>0</v>
      </c>
      <c r="BH94" s="82">
        <v>0</v>
      </c>
      <c r="BI94" s="82">
        <v>0</v>
      </c>
      <c r="BJ94" s="82">
        <v>0</v>
      </c>
      <c r="BK94" s="82">
        <v>0</v>
      </c>
      <c r="BL94" s="82">
        <v>0</v>
      </c>
    </row>
    <row r="95" spans="1:64" ht="15.75" thickBot="1" x14ac:dyDescent="0.3">
      <c r="A95" s="97" t="s">
        <v>121</v>
      </c>
      <c r="B95" s="107">
        <v>0</v>
      </c>
      <c r="C95" s="107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07">
        <v>0</v>
      </c>
      <c r="AA95" s="107">
        <v>0</v>
      </c>
      <c r="AB95" s="107">
        <v>0</v>
      </c>
      <c r="AC95" s="107">
        <v>0</v>
      </c>
      <c r="AD95" s="107">
        <v>0</v>
      </c>
      <c r="AE95" s="107">
        <v>0</v>
      </c>
      <c r="AF95" s="107">
        <v>0</v>
      </c>
      <c r="AG95" s="98">
        <v>2</v>
      </c>
      <c r="AH95" s="48">
        <f t="shared" si="31"/>
        <v>0</v>
      </c>
      <c r="AI95" s="49">
        <f t="shared" si="32"/>
        <v>0</v>
      </c>
      <c r="BF95" s="82"/>
      <c r="BG95" s="82"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64" ht="15.75" thickBot="1" x14ac:dyDescent="0.3">
      <c r="A96" s="87" t="s">
        <v>122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>
        <v>0</v>
      </c>
      <c r="Y96" s="71"/>
      <c r="Z96" s="71"/>
      <c r="AA96" s="71"/>
      <c r="AB96" s="71"/>
      <c r="AC96" s="71"/>
      <c r="AD96" s="71"/>
      <c r="AE96" s="71"/>
      <c r="AF96" s="71"/>
      <c r="AG96" s="101">
        <f>SUM(AG93:AG95)</f>
        <v>55.4</v>
      </c>
      <c r="AH96" s="48">
        <f t="shared" si="31"/>
        <v>0</v>
      </c>
      <c r="AI96" s="49">
        <f t="shared" si="32"/>
        <v>0</v>
      </c>
      <c r="BF96" s="82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ht="15.75" thickBot="1" x14ac:dyDescent="0.3">
      <c r="A97" s="87" t="s">
        <v>123</v>
      </c>
      <c r="B97" s="108">
        <f t="shared" ref="B97:AG97" si="34">B58+B62+B80+B76+B92+B96</f>
        <v>153.54</v>
      </c>
      <c r="C97" s="108">
        <f t="shared" si="34"/>
        <v>153.54</v>
      </c>
      <c r="D97" s="108">
        <f t="shared" si="34"/>
        <v>153.54</v>
      </c>
      <c r="E97" s="108">
        <f t="shared" si="34"/>
        <v>153.54</v>
      </c>
      <c r="F97" s="108">
        <f t="shared" si="34"/>
        <v>153.54</v>
      </c>
      <c r="G97" s="108">
        <f t="shared" si="34"/>
        <v>153.54</v>
      </c>
      <c r="H97" s="108">
        <f t="shared" si="34"/>
        <v>153.54</v>
      </c>
      <c r="I97" s="108">
        <f t="shared" si="34"/>
        <v>153.54</v>
      </c>
      <c r="J97" s="108">
        <f t="shared" si="34"/>
        <v>153.54</v>
      </c>
      <c r="K97" s="108">
        <f t="shared" si="34"/>
        <v>153.54</v>
      </c>
      <c r="L97" s="108">
        <f t="shared" si="34"/>
        <v>153.54</v>
      </c>
      <c r="M97" s="108">
        <f t="shared" si="34"/>
        <v>153.54</v>
      </c>
      <c r="N97" s="108">
        <f t="shared" si="34"/>
        <v>153.54</v>
      </c>
      <c r="O97" s="108">
        <f t="shared" si="34"/>
        <v>153.54</v>
      </c>
      <c r="P97" s="108">
        <f t="shared" si="34"/>
        <v>153.54</v>
      </c>
      <c r="Q97" s="108">
        <f t="shared" si="34"/>
        <v>153.54</v>
      </c>
      <c r="R97" s="108">
        <f t="shared" si="34"/>
        <v>153.54</v>
      </c>
      <c r="S97" s="108">
        <f t="shared" si="34"/>
        <v>153.54</v>
      </c>
      <c r="T97" s="108">
        <f t="shared" si="34"/>
        <v>153.54</v>
      </c>
      <c r="U97" s="108">
        <f t="shared" si="34"/>
        <v>153.54</v>
      </c>
      <c r="V97" s="108">
        <f t="shared" si="34"/>
        <v>153.54</v>
      </c>
      <c r="W97" s="108">
        <f t="shared" si="34"/>
        <v>153.54</v>
      </c>
      <c r="X97" s="108">
        <f t="shared" si="34"/>
        <v>153.54</v>
      </c>
      <c r="Y97" s="108">
        <f t="shared" si="34"/>
        <v>153.5</v>
      </c>
      <c r="Z97" s="108">
        <f t="shared" si="34"/>
        <v>155.5</v>
      </c>
      <c r="AA97" s="108">
        <f t="shared" si="34"/>
        <v>153.54</v>
      </c>
      <c r="AB97" s="108">
        <f t="shared" si="34"/>
        <v>153.54</v>
      </c>
      <c r="AC97" s="108">
        <f t="shared" si="34"/>
        <v>153.54</v>
      </c>
      <c r="AD97" s="108">
        <f t="shared" si="34"/>
        <v>153.54</v>
      </c>
      <c r="AE97" s="108">
        <f t="shared" si="34"/>
        <v>153.54</v>
      </c>
      <c r="AF97" s="108">
        <f t="shared" si="34"/>
        <v>153.54</v>
      </c>
      <c r="AG97" s="72">
        <f t="shared" si="34"/>
        <v>2231.81</v>
      </c>
      <c r="AH97" s="48">
        <f t="shared" si="31"/>
        <v>155.5</v>
      </c>
      <c r="AI97" s="49">
        <f t="shared" si="32"/>
        <v>153.5</v>
      </c>
      <c r="BF97" s="82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109" t="s">
        <v>124</v>
      </c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01"/>
      <c r="AH98" s="48">
        <f t="shared" si="31"/>
        <v>0</v>
      </c>
      <c r="AI98" s="49">
        <f t="shared" si="32"/>
        <v>0</v>
      </c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ht="15.75" thickBot="1" x14ac:dyDescent="0.3">
      <c r="A99" s="87" t="s">
        <v>125</v>
      </c>
      <c r="B99" s="108">
        <f t="shared" ref="B99:AF99" si="35">B97+B98</f>
        <v>153.54</v>
      </c>
      <c r="C99" s="108">
        <f t="shared" si="35"/>
        <v>153.54</v>
      </c>
      <c r="D99" s="108">
        <f t="shared" si="35"/>
        <v>153.54</v>
      </c>
      <c r="E99" s="108">
        <f t="shared" si="35"/>
        <v>153.54</v>
      </c>
      <c r="F99" s="108">
        <f t="shared" si="35"/>
        <v>153.54</v>
      </c>
      <c r="G99" s="108">
        <f t="shared" si="35"/>
        <v>153.54</v>
      </c>
      <c r="H99" s="108">
        <f t="shared" si="35"/>
        <v>153.54</v>
      </c>
      <c r="I99" s="108">
        <f t="shared" si="35"/>
        <v>153.54</v>
      </c>
      <c r="J99" s="108">
        <f t="shared" si="35"/>
        <v>153.54</v>
      </c>
      <c r="K99" s="108">
        <f t="shared" si="35"/>
        <v>153.54</v>
      </c>
      <c r="L99" s="108">
        <f t="shared" si="35"/>
        <v>153.54</v>
      </c>
      <c r="M99" s="108">
        <f t="shared" si="35"/>
        <v>153.54</v>
      </c>
      <c r="N99" s="108">
        <f t="shared" si="35"/>
        <v>153.54</v>
      </c>
      <c r="O99" s="108">
        <f t="shared" si="35"/>
        <v>153.54</v>
      </c>
      <c r="P99" s="108">
        <f t="shared" si="35"/>
        <v>153.54</v>
      </c>
      <c r="Q99" s="108">
        <f t="shared" si="35"/>
        <v>153.54</v>
      </c>
      <c r="R99" s="108">
        <f t="shared" si="35"/>
        <v>153.54</v>
      </c>
      <c r="S99" s="108">
        <f t="shared" si="35"/>
        <v>153.54</v>
      </c>
      <c r="T99" s="108">
        <f t="shared" si="35"/>
        <v>153.54</v>
      </c>
      <c r="U99" s="108">
        <f t="shared" si="35"/>
        <v>153.54</v>
      </c>
      <c r="V99" s="108">
        <f t="shared" si="35"/>
        <v>153.54</v>
      </c>
      <c r="W99" s="108">
        <f t="shared" si="35"/>
        <v>153.54</v>
      </c>
      <c r="X99" s="108">
        <f t="shared" si="35"/>
        <v>153.54</v>
      </c>
      <c r="Y99" s="108">
        <f t="shared" si="35"/>
        <v>153.5</v>
      </c>
      <c r="Z99" s="108">
        <f t="shared" si="35"/>
        <v>155.5</v>
      </c>
      <c r="AA99" s="108">
        <f t="shared" si="35"/>
        <v>153.54</v>
      </c>
      <c r="AB99" s="108">
        <f t="shared" si="35"/>
        <v>153.54</v>
      </c>
      <c r="AC99" s="108">
        <f t="shared" si="35"/>
        <v>153.54</v>
      </c>
      <c r="AD99" s="108">
        <f t="shared" si="35"/>
        <v>153.54</v>
      </c>
      <c r="AE99" s="108">
        <f t="shared" si="35"/>
        <v>153.54</v>
      </c>
      <c r="AF99" s="108">
        <f t="shared" si="35"/>
        <v>153.54</v>
      </c>
      <c r="AG99" s="101">
        <f>AG96+AG92+AG80+AG76+AG58+AG98</f>
        <v>1693.71</v>
      </c>
      <c r="AH99" s="48">
        <f t="shared" si="31"/>
        <v>155.5</v>
      </c>
      <c r="AI99" s="49">
        <f t="shared" si="32"/>
        <v>153.5</v>
      </c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ht="15.75" thickBot="1" x14ac:dyDescent="0.3">
      <c r="A100" s="87" t="s">
        <v>126</v>
      </c>
      <c r="B100" s="108">
        <f t="shared" ref="B100:AF100" si="36">B99-(B107)</f>
        <v>153.54</v>
      </c>
      <c r="C100" s="108">
        <f t="shared" si="36"/>
        <v>153.54</v>
      </c>
      <c r="D100" s="108">
        <f t="shared" si="36"/>
        <v>153.54</v>
      </c>
      <c r="E100" s="108">
        <f t="shared" si="36"/>
        <v>153.54</v>
      </c>
      <c r="F100" s="108">
        <f t="shared" si="36"/>
        <v>153.54</v>
      </c>
      <c r="G100" s="108">
        <f t="shared" si="36"/>
        <v>153.54</v>
      </c>
      <c r="H100" s="108">
        <f t="shared" si="36"/>
        <v>153.54</v>
      </c>
      <c r="I100" s="108">
        <f t="shared" si="36"/>
        <v>153.54</v>
      </c>
      <c r="J100" s="108">
        <f t="shared" si="36"/>
        <v>153.54</v>
      </c>
      <c r="K100" s="108">
        <f t="shared" si="36"/>
        <v>153.54</v>
      </c>
      <c r="L100" s="108">
        <f t="shared" si="36"/>
        <v>153.54</v>
      </c>
      <c r="M100" s="108">
        <f t="shared" si="36"/>
        <v>153.54</v>
      </c>
      <c r="N100" s="108">
        <f t="shared" si="36"/>
        <v>153.54</v>
      </c>
      <c r="O100" s="108">
        <f t="shared" si="36"/>
        <v>153.54</v>
      </c>
      <c r="P100" s="108">
        <f t="shared" si="36"/>
        <v>153.54</v>
      </c>
      <c r="Q100" s="108">
        <f t="shared" si="36"/>
        <v>153.54</v>
      </c>
      <c r="R100" s="108">
        <f t="shared" si="36"/>
        <v>153.54</v>
      </c>
      <c r="S100" s="108">
        <f t="shared" si="36"/>
        <v>153.54</v>
      </c>
      <c r="T100" s="108">
        <f t="shared" si="36"/>
        <v>153.54</v>
      </c>
      <c r="U100" s="108">
        <f t="shared" si="36"/>
        <v>153.54</v>
      </c>
      <c r="V100" s="108">
        <f t="shared" si="36"/>
        <v>153.54</v>
      </c>
      <c r="W100" s="108">
        <f t="shared" si="36"/>
        <v>153.54</v>
      </c>
      <c r="X100" s="108">
        <f t="shared" si="36"/>
        <v>153.54</v>
      </c>
      <c r="Y100" s="108">
        <f t="shared" si="36"/>
        <v>153.5</v>
      </c>
      <c r="Z100" s="108">
        <f t="shared" si="36"/>
        <v>155.5</v>
      </c>
      <c r="AA100" s="108">
        <f t="shared" si="36"/>
        <v>153.54</v>
      </c>
      <c r="AB100" s="108">
        <f t="shared" si="36"/>
        <v>153.54</v>
      </c>
      <c r="AC100" s="108">
        <f t="shared" si="36"/>
        <v>153.54</v>
      </c>
      <c r="AD100" s="108">
        <f t="shared" si="36"/>
        <v>153.54</v>
      </c>
      <c r="AE100" s="108">
        <f t="shared" si="36"/>
        <v>153.54</v>
      </c>
      <c r="AF100" s="108">
        <f t="shared" si="36"/>
        <v>153.54</v>
      </c>
      <c r="AG100" s="101"/>
      <c r="AH100" s="48">
        <f t="shared" si="31"/>
        <v>155.5</v>
      </c>
      <c r="AI100" s="49">
        <f t="shared" si="32"/>
        <v>153.5</v>
      </c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45" t="s">
        <v>107</v>
      </c>
      <c r="B101" s="89">
        <f t="shared" ref="B101:AF101" si="37">IF(B84&lt;0,B84*-1,0)</f>
        <v>0</v>
      </c>
      <c r="C101" s="89">
        <f t="shared" si="37"/>
        <v>0</v>
      </c>
      <c r="D101" s="89">
        <f t="shared" si="37"/>
        <v>0</v>
      </c>
      <c r="E101" s="89">
        <f t="shared" si="37"/>
        <v>0</v>
      </c>
      <c r="F101" s="89">
        <f t="shared" si="37"/>
        <v>0</v>
      </c>
      <c r="G101" s="89">
        <f t="shared" si="37"/>
        <v>0</v>
      </c>
      <c r="H101" s="89">
        <f t="shared" si="37"/>
        <v>0</v>
      </c>
      <c r="I101" s="89">
        <f t="shared" si="37"/>
        <v>0</v>
      </c>
      <c r="J101" s="89">
        <f t="shared" si="37"/>
        <v>0</v>
      </c>
      <c r="K101" s="89">
        <f t="shared" si="37"/>
        <v>0</v>
      </c>
      <c r="L101" s="89">
        <f t="shared" si="37"/>
        <v>0</v>
      </c>
      <c r="M101" s="89">
        <f t="shared" si="37"/>
        <v>0</v>
      </c>
      <c r="N101" s="89">
        <f t="shared" si="37"/>
        <v>0</v>
      </c>
      <c r="O101" s="89">
        <f t="shared" si="37"/>
        <v>0</v>
      </c>
      <c r="P101" s="89">
        <f t="shared" si="37"/>
        <v>0</v>
      </c>
      <c r="Q101" s="89">
        <f t="shared" si="37"/>
        <v>0</v>
      </c>
      <c r="R101" s="89">
        <f t="shared" si="37"/>
        <v>0</v>
      </c>
      <c r="S101" s="89">
        <f t="shared" si="37"/>
        <v>0</v>
      </c>
      <c r="T101" s="89">
        <f t="shared" si="37"/>
        <v>0</v>
      </c>
      <c r="U101" s="89">
        <f t="shared" si="37"/>
        <v>0</v>
      </c>
      <c r="V101" s="89">
        <f t="shared" si="37"/>
        <v>0</v>
      </c>
      <c r="W101" s="89">
        <f t="shared" si="37"/>
        <v>0</v>
      </c>
      <c r="X101" s="89">
        <f t="shared" si="37"/>
        <v>0</v>
      </c>
      <c r="Y101" s="89">
        <f t="shared" si="37"/>
        <v>0</v>
      </c>
      <c r="Z101" s="89">
        <f t="shared" si="37"/>
        <v>0</v>
      </c>
      <c r="AA101" s="89">
        <f t="shared" si="37"/>
        <v>0</v>
      </c>
      <c r="AB101" s="89">
        <f t="shared" si="37"/>
        <v>0</v>
      </c>
      <c r="AC101" s="89">
        <f t="shared" si="37"/>
        <v>0</v>
      </c>
      <c r="AD101" s="89">
        <f t="shared" si="37"/>
        <v>0</v>
      </c>
      <c r="AE101" s="89">
        <f t="shared" si="37"/>
        <v>0</v>
      </c>
      <c r="AF101" s="89">
        <f t="shared" si="37"/>
        <v>0</v>
      </c>
      <c r="AG101" s="61"/>
      <c r="AH101" s="48">
        <f t="shared" si="31"/>
        <v>0</v>
      </c>
      <c r="AI101" s="49">
        <f t="shared" si="32"/>
        <v>0</v>
      </c>
      <c r="BF101" s="81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x14ac:dyDescent="0.25">
      <c r="A102" s="65" t="s">
        <v>105</v>
      </c>
      <c r="B102" s="89">
        <f t="shared" ref="B102:AF102" si="38">IF(B82&lt;0,B82*-1,0)</f>
        <v>0</v>
      </c>
      <c r="C102" s="89">
        <f t="shared" si="38"/>
        <v>0</v>
      </c>
      <c r="D102" s="89">
        <f t="shared" si="38"/>
        <v>0</v>
      </c>
      <c r="E102" s="89">
        <f t="shared" si="38"/>
        <v>0</v>
      </c>
      <c r="F102" s="89">
        <f t="shared" si="38"/>
        <v>0</v>
      </c>
      <c r="G102" s="89">
        <f t="shared" si="38"/>
        <v>0</v>
      </c>
      <c r="H102" s="89">
        <f t="shared" si="38"/>
        <v>0</v>
      </c>
      <c r="I102" s="89">
        <f t="shared" si="38"/>
        <v>0</v>
      </c>
      <c r="J102" s="89">
        <f t="shared" si="38"/>
        <v>0</v>
      </c>
      <c r="K102" s="89">
        <f t="shared" si="38"/>
        <v>0</v>
      </c>
      <c r="L102" s="89">
        <f t="shared" si="38"/>
        <v>0</v>
      </c>
      <c r="M102" s="89">
        <f t="shared" si="38"/>
        <v>0</v>
      </c>
      <c r="N102" s="89">
        <f t="shared" si="38"/>
        <v>0</v>
      </c>
      <c r="O102" s="89">
        <f t="shared" si="38"/>
        <v>0</v>
      </c>
      <c r="P102" s="89">
        <f t="shared" si="38"/>
        <v>0</v>
      </c>
      <c r="Q102" s="89">
        <f t="shared" si="38"/>
        <v>0</v>
      </c>
      <c r="R102" s="89">
        <f t="shared" si="38"/>
        <v>0</v>
      </c>
      <c r="S102" s="89">
        <f t="shared" si="38"/>
        <v>0</v>
      </c>
      <c r="T102" s="89">
        <f t="shared" si="38"/>
        <v>0</v>
      </c>
      <c r="U102" s="89">
        <f t="shared" si="38"/>
        <v>0</v>
      </c>
      <c r="V102" s="89">
        <f t="shared" si="38"/>
        <v>0</v>
      </c>
      <c r="W102" s="89">
        <f t="shared" si="38"/>
        <v>0</v>
      </c>
      <c r="X102" s="89">
        <f t="shared" si="38"/>
        <v>0</v>
      </c>
      <c r="Y102" s="89">
        <f t="shared" si="38"/>
        <v>0</v>
      </c>
      <c r="Z102" s="89">
        <f t="shared" si="38"/>
        <v>0</v>
      </c>
      <c r="AA102" s="89">
        <f t="shared" si="38"/>
        <v>0</v>
      </c>
      <c r="AB102" s="89">
        <f t="shared" si="38"/>
        <v>0</v>
      </c>
      <c r="AC102" s="89">
        <f t="shared" si="38"/>
        <v>0</v>
      </c>
      <c r="AD102" s="89">
        <f t="shared" si="38"/>
        <v>0</v>
      </c>
      <c r="AE102" s="89">
        <f t="shared" si="38"/>
        <v>0</v>
      </c>
      <c r="AF102" s="89">
        <f t="shared" si="38"/>
        <v>0</v>
      </c>
      <c r="AG102" s="66"/>
      <c r="AH102" s="48">
        <f t="shared" si="31"/>
        <v>0</v>
      </c>
      <c r="AI102" s="49">
        <f t="shared" si="32"/>
        <v>0</v>
      </c>
      <c r="BF102" s="81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97" t="s">
        <v>127</v>
      </c>
      <c r="B103" s="89">
        <f t="shared" ref="B103:AF103" si="39">IF(B85&lt;0,B85*-1,0)</f>
        <v>0</v>
      </c>
      <c r="C103" s="89">
        <f t="shared" si="39"/>
        <v>0</v>
      </c>
      <c r="D103" s="89">
        <f t="shared" si="39"/>
        <v>0</v>
      </c>
      <c r="E103" s="89">
        <f t="shared" si="39"/>
        <v>0</v>
      </c>
      <c r="F103" s="89">
        <f t="shared" si="39"/>
        <v>0</v>
      </c>
      <c r="G103" s="89">
        <f t="shared" si="39"/>
        <v>0</v>
      </c>
      <c r="H103" s="89">
        <f t="shared" si="39"/>
        <v>0</v>
      </c>
      <c r="I103" s="89">
        <f t="shared" si="39"/>
        <v>0</v>
      </c>
      <c r="J103" s="89">
        <f t="shared" si="39"/>
        <v>0</v>
      </c>
      <c r="K103" s="89">
        <f t="shared" si="39"/>
        <v>0</v>
      </c>
      <c r="L103" s="89">
        <f t="shared" si="39"/>
        <v>0</v>
      </c>
      <c r="M103" s="89">
        <f t="shared" si="39"/>
        <v>0</v>
      </c>
      <c r="N103" s="89">
        <f t="shared" si="39"/>
        <v>0</v>
      </c>
      <c r="O103" s="89">
        <f t="shared" si="39"/>
        <v>0</v>
      </c>
      <c r="P103" s="89">
        <f t="shared" si="39"/>
        <v>0</v>
      </c>
      <c r="Q103" s="89">
        <f t="shared" si="39"/>
        <v>0</v>
      </c>
      <c r="R103" s="89">
        <f t="shared" si="39"/>
        <v>0</v>
      </c>
      <c r="S103" s="89">
        <f t="shared" si="39"/>
        <v>0</v>
      </c>
      <c r="T103" s="89">
        <f t="shared" si="39"/>
        <v>0</v>
      </c>
      <c r="U103" s="89">
        <f t="shared" si="39"/>
        <v>0</v>
      </c>
      <c r="V103" s="89">
        <f t="shared" si="39"/>
        <v>0</v>
      </c>
      <c r="W103" s="89">
        <f t="shared" si="39"/>
        <v>0</v>
      </c>
      <c r="X103" s="89">
        <f t="shared" si="39"/>
        <v>0</v>
      </c>
      <c r="Y103" s="89">
        <f t="shared" si="39"/>
        <v>0</v>
      </c>
      <c r="Z103" s="89">
        <f t="shared" si="39"/>
        <v>0</v>
      </c>
      <c r="AA103" s="89">
        <f t="shared" si="39"/>
        <v>0</v>
      </c>
      <c r="AB103" s="89">
        <f t="shared" si="39"/>
        <v>0</v>
      </c>
      <c r="AC103" s="89">
        <f t="shared" si="39"/>
        <v>0</v>
      </c>
      <c r="AD103" s="89">
        <f t="shared" si="39"/>
        <v>0</v>
      </c>
      <c r="AE103" s="89">
        <f t="shared" si="39"/>
        <v>0</v>
      </c>
      <c r="AF103" s="89">
        <f t="shared" si="39"/>
        <v>0</v>
      </c>
      <c r="AG103" s="111"/>
      <c r="AH103" s="48">
        <f t="shared" si="31"/>
        <v>0</v>
      </c>
      <c r="AI103" s="49">
        <f t="shared" si="32"/>
        <v>0</v>
      </c>
      <c r="BF103" s="81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97" t="s">
        <v>128</v>
      </c>
      <c r="B104" s="89">
        <f t="shared" ref="B104:AF104" si="40">IF(B83&lt;0,B83*-1,0)</f>
        <v>0</v>
      </c>
      <c r="C104" s="89">
        <f t="shared" si="40"/>
        <v>0</v>
      </c>
      <c r="D104" s="89">
        <f t="shared" si="40"/>
        <v>0</v>
      </c>
      <c r="E104" s="89">
        <f t="shared" si="40"/>
        <v>0</v>
      </c>
      <c r="F104" s="89">
        <f t="shared" si="40"/>
        <v>0</v>
      </c>
      <c r="G104" s="89">
        <f t="shared" si="40"/>
        <v>0</v>
      </c>
      <c r="H104" s="89">
        <f t="shared" si="40"/>
        <v>0</v>
      </c>
      <c r="I104" s="89">
        <f t="shared" si="40"/>
        <v>0</v>
      </c>
      <c r="J104" s="89">
        <f t="shared" si="40"/>
        <v>0</v>
      </c>
      <c r="K104" s="89">
        <f t="shared" si="40"/>
        <v>0</v>
      </c>
      <c r="L104" s="89">
        <f t="shared" si="40"/>
        <v>0</v>
      </c>
      <c r="M104" s="89">
        <f t="shared" si="40"/>
        <v>0</v>
      </c>
      <c r="N104" s="89">
        <f t="shared" si="40"/>
        <v>0</v>
      </c>
      <c r="O104" s="89">
        <f t="shared" si="40"/>
        <v>0</v>
      </c>
      <c r="P104" s="89">
        <f t="shared" si="40"/>
        <v>0</v>
      </c>
      <c r="Q104" s="89">
        <f t="shared" si="40"/>
        <v>0</v>
      </c>
      <c r="R104" s="89">
        <f t="shared" si="40"/>
        <v>0</v>
      </c>
      <c r="S104" s="89">
        <f t="shared" si="40"/>
        <v>0</v>
      </c>
      <c r="T104" s="89">
        <f t="shared" si="40"/>
        <v>0</v>
      </c>
      <c r="U104" s="89">
        <f t="shared" si="40"/>
        <v>0</v>
      </c>
      <c r="V104" s="89">
        <f t="shared" si="40"/>
        <v>0</v>
      </c>
      <c r="W104" s="89">
        <f t="shared" si="40"/>
        <v>0</v>
      </c>
      <c r="X104" s="89">
        <f t="shared" si="40"/>
        <v>0</v>
      </c>
      <c r="Y104" s="89">
        <f t="shared" si="40"/>
        <v>0</v>
      </c>
      <c r="Z104" s="89">
        <f t="shared" si="40"/>
        <v>0</v>
      </c>
      <c r="AA104" s="89">
        <f t="shared" si="40"/>
        <v>0</v>
      </c>
      <c r="AB104" s="89">
        <f t="shared" si="40"/>
        <v>0</v>
      </c>
      <c r="AC104" s="89">
        <f t="shared" si="40"/>
        <v>0</v>
      </c>
      <c r="AD104" s="89">
        <f t="shared" si="40"/>
        <v>0</v>
      </c>
      <c r="AE104" s="89">
        <f t="shared" si="40"/>
        <v>0</v>
      </c>
      <c r="AF104" s="89">
        <f t="shared" si="40"/>
        <v>0</v>
      </c>
      <c r="AG104" s="111"/>
      <c r="AH104" s="48">
        <f t="shared" si="31"/>
        <v>0</v>
      </c>
      <c r="AI104" s="49">
        <f t="shared" si="32"/>
        <v>0</v>
      </c>
      <c r="BF104" s="81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x14ac:dyDescent="0.25">
      <c r="A105" s="97" t="s">
        <v>104</v>
      </c>
      <c r="B105" s="89">
        <f t="shared" ref="B105:AF105" si="41">IF(B81&lt;0,B81*-1,0)</f>
        <v>0</v>
      </c>
      <c r="C105" s="89">
        <f t="shared" si="41"/>
        <v>0</v>
      </c>
      <c r="D105" s="89">
        <f t="shared" si="41"/>
        <v>0</v>
      </c>
      <c r="E105" s="89">
        <f t="shared" si="41"/>
        <v>0</v>
      </c>
      <c r="F105" s="89">
        <f t="shared" si="41"/>
        <v>0</v>
      </c>
      <c r="G105" s="89">
        <f t="shared" si="41"/>
        <v>0</v>
      </c>
      <c r="H105" s="89">
        <f t="shared" si="41"/>
        <v>0</v>
      </c>
      <c r="I105" s="89">
        <f t="shared" si="41"/>
        <v>0</v>
      </c>
      <c r="J105" s="89">
        <f t="shared" si="41"/>
        <v>0</v>
      </c>
      <c r="K105" s="89">
        <f t="shared" si="41"/>
        <v>0</v>
      </c>
      <c r="L105" s="89">
        <f t="shared" si="41"/>
        <v>0</v>
      </c>
      <c r="M105" s="89">
        <f t="shared" si="41"/>
        <v>0</v>
      </c>
      <c r="N105" s="89">
        <f t="shared" si="41"/>
        <v>0</v>
      </c>
      <c r="O105" s="89">
        <f t="shared" si="41"/>
        <v>0</v>
      </c>
      <c r="P105" s="89">
        <f t="shared" si="41"/>
        <v>0</v>
      </c>
      <c r="Q105" s="89">
        <f t="shared" si="41"/>
        <v>0</v>
      </c>
      <c r="R105" s="89">
        <f t="shared" si="41"/>
        <v>0</v>
      </c>
      <c r="S105" s="89">
        <f t="shared" si="41"/>
        <v>0</v>
      </c>
      <c r="T105" s="89">
        <f t="shared" si="41"/>
        <v>0</v>
      </c>
      <c r="U105" s="89">
        <f t="shared" si="41"/>
        <v>0</v>
      </c>
      <c r="V105" s="89">
        <f t="shared" si="41"/>
        <v>0</v>
      </c>
      <c r="W105" s="89">
        <f t="shared" si="41"/>
        <v>0</v>
      </c>
      <c r="X105" s="89">
        <f t="shared" si="41"/>
        <v>0</v>
      </c>
      <c r="Y105" s="89">
        <f t="shared" si="41"/>
        <v>0</v>
      </c>
      <c r="Z105" s="89">
        <f t="shared" si="41"/>
        <v>0</v>
      </c>
      <c r="AA105" s="89">
        <f t="shared" si="41"/>
        <v>0</v>
      </c>
      <c r="AB105" s="89">
        <f t="shared" si="41"/>
        <v>0</v>
      </c>
      <c r="AC105" s="89">
        <f t="shared" si="41"/>
        <v>0</v>
      </c>
      <c r="AD105" s="89">
        <f t="shared" si="41"/>
        <v>0</v>
      </c>
      <c r="AE105" s="89">
        <f t="shared" si="41"/>
        <v>0</v>
      </c>
      <c r="AF105" s="89">
        <f t="shared" si="41"/>
        <v>0</v>
      </c>
      <c r="AG105" s="111"/>
      <c r="AH105" s="48">
        <f t="shared" si="31"/>
        <v>0</v>
      </c>
      <c r="AI105" s="49">
        <f t="shared" si="32"/>
        <v>0</v>
      </c>
      <c r="BF105" s="81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ht="15.75" thickBot="1" x14ac:dyDescent="0.3">
      <c r="A106" s="97" t="s">
        <v>129</v>
      </c>
      <c r="B106" s="107">
        <v>0</v>
      </c>
      <c r="C106" s="107">
        <v>0</v>
      </c>
      <c r="D106" s="107">
        <v>0</v>
      </c>
      <c r="E106" s="107">
        <v>0</v>
      </c>
      <c r="F106" s="107">
        <v>0</v>
      </c>
      <c r="G106" s="107">
        <v>0</v>
      </c>
      <c r="H106" s="107">
        <v>0</v>
      </c>
      <c r="I106" s="107">
        <v>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7">
        <v>0</v>
      </c>
      <c r="Q106" s="107">
        <v>0</v>
      </c>
      <c r="R106" s="107">
        <v>0</v>
      </c>
      <c r="S106" s="107">
        <v>0</v>
      </c>
      <c r="T106" s="107">
        <v>0</v>
      </c>
      <c r="U106" s="107">
        <v>0</v>
      </c>
      <c r="V106" s="107">
        <v>0</v>
      </c>
      <c r="W106" s="107">
        <v>0</v>
      </c>
      <c r="X106" s="107">
        <v>0</v>
      </c>
      <c r="Y106" s="107">
        <v>0</v>
      </c>
      <c r="Z106" s="107">
        <v>0</v>
      </c>
      <c r="AA106" s="107">
        <v>0</v>
      </c>
      <c r="AB106" s="107">
        <v>0</v>
      </c>
      <c r="AC106" s="107">
        <v>0</v>
      </c>
      <c r="AD106" s="107">
        <v>0</v>
      </c>
      <c r="AE106" s="107">
        <v>0</v>
      </c>
      <c r="AF106" s="107">
        <v>0</v>
      </c>
      <c r="AG106" s="98"/>
      <c r="AH106" s="48">
        <f t="shared" si="31"/>
        <v>0</v>
      </c>
      <c r="AI106" s="49">
        <f t="shared" si="32"/>
        <v>0</v>
      </c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112" t="s">
        <v>130</v>
      </c>
      <c r="B107" s="71">
        <f t="shared" ref="B107:AF107" si="42">SUM(B101:B106)</f>
        <v>0</v>
      </c>
      <c r="C107" s="71">
        <f t="shared" si="42"/>
        <v>0</v>
      </c>
      <c r="D107" s="71">
        <f t="shared" si="42"/>
        <v>0</v>
      </c>
      <c r="E107" s="71">
        <f t="shared" si="42"/>
        <v>0</v>
      </c>
      <c r="F107" s="71">
        <f t="shared" si="42"/>
        <v>0</v>
      </c>
      <c r="G107" s="71">
        <f t="shared" si="42"/>
        <v>0</v>
      </c>
      <c r="H107" s="71">
        <f t="shared" si="42"/>
        <v>0</v>
      </c>
      <c r="I107" s="71">
        <f t="shared" si="42"/>
        <v>0</v>
      </c>
      <c r="J107" s="71">
        <f t="shared" si="42"/>
        <v>0</v>
      </c>
      <c r="K107" s="71">
        <f t="shared" si="42"/>
        <v>0</v>
      </c>
      <c r="L107" s="71">
        <f t="shared" si="42"/>
        <v>0</v>
      </c>
      <c r="M107" s="71">
        <f t="shared" si="42"/>
        <v>0</v>
      </c>
      <c r="N107" s="71">
        <f t="shared" si="42"/>
        <v>0</v>
      </c>
      <c r="O107" s="71">
        <f t="shared" si="42"/>
        <v>0</v>
      </c>
      <c r="P107" s="71">
        <f t="shared" si="42"/>
        <v>0</v>
      </c>
      <c r="Q107" s="71">
        <f t="shared" si="42"/>
        <v>0</v>
      </c>
      <c r="R107" s="71">
        <f t="shared" si="42"/>
        <v>0</v>
      </c>
      <c r="S107" s="71">
        <f t="shared" si="42"/>
        <v>0</v>
      </c>
      <c r="T107" s="71">
        <f t="shared" si="42"/>
        <v>0</v>
      </c>
      <c r="U107" s="71">
        <f t="shared" si="42"/>
        <v>0</v>
      </c>
      <c r="V107" s="71">
        <f t="shared" si="42"/>
        <v>0</v>
      </c>
      <c r="W107" s="71">
        <f t="shared" si="42"/>
        <v>0</v>
      </c>
      <c r="X107" s="71">
        <f t="shared" si="42"/>
        <v>0</v>
      </c>
      <c r="Y107" s="71">
        <f t="shared" si="42"/>
        <v>0</v>
      </c>
      <c r="Z107" s="71">
        <f t="shared" si="42"/>
        <v>0</v>
      </c>
      <c r="AA107" s="71">
        <f t="shared" si="42"/>
        <v>0</v>
      </c>
      <c r="AB107" s="71">
        <f t="shared" si="42"/>
        <v>0</v>
      </c>
      <c r="AC107" s="71">
        <f t="shared" si="42"/>
        <v>0</v>
      </c>
      <c r="AD107" s="71">
        <f t="shared" si="42"/>
        <v>0</v>
      </c>
      <c r="AE107" s="71">
        <f t="shared" si="42"/>
        <v>0</v>
      </c>
      <c r="AF107" s="71">
        <f t="shared" si="42"/>
        <v>0</v>
      </c>
      <c r="AG107" s="101"/>
      <c r="AH107" s="48">
        <f t="shared" si="31"/>
        <v>0</v>
      </c>
      <c r="AI107" s="49">
        <f t="shared" si="32"/>
        <v>0</v>
      </c>
      <c r="AK107" s="51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131</v>
      </c>
      <c r="B108" s="71">
        <f t="shared" ref="B108:AF108" si="43">B92-B107</f>
        <v>0</v>
      </c>
      <c r="C108" s="71">
        <f t="shared" si="43"/>
        <v>0</v>
      </c>
      <c r="D108" s="71">
        <f t="shared" si="43"/>
        <v>0</v>
      </c>
      <c r="E108" s="71">
        <f t="shared" si="43"/>
        <v>0</v>
      </c>
      <c r="F108" s="71">
        <f t="shared" si="43"/>
        <v>0</v>
      </c>
      <c r="G108" s="71">
        <f t="shared" si="43"/>
        <v>0</v>
      </c>
      <c r="H108" s="71">
        <f t="shared" si="43"/>
        <v>0</v>
      </c>
      <c r="I108" s="71">
        <f t="shared" si="43"/>
        <v>0</v>
      </c>
      <c r="J108" s="71">
        <f t="shared" si="43"/>
        <v>0</v>
      </c>
      <c r="K108" s="71">
        <f t="shared" si="43"/>
        <v>0</v>
      </c>
      <c r="L108" s="71">
        <f t="shared" si="43"/>
        <v>0</v>
      </c>
      <c r="M108" s="71">
        <f t="shared" si="43"/>
        <v>0</v>
      </c>
      <c r="N108" s="71">
        <f t="shared" si="43"/>
        <v>0</v>
      </c>
      <c r="O108" s="71">
        <f t="shared" si="43"/>
        <v>0</v>
      </c>
      <c r="P108" s="71">
        <f t="shared" si="43"/>
        <v>0</v>
      </c>
      <c r="Q108" s="71">
        <f t="shared" si="43"/>
        <v>0</v>
      </c>
      <c r="R108" s="71">
        <f t="shared" si="43"/>
        <v>0</v>
      </c>
      <c r="S108" s="71">
        <f t="shared" si="43"/>
        <v>0</v>
      </c>
      <c r="T108" s="71">
        <f t="shared" si="43"/>
        <v>0</v>
      </c>
      <c r="U108" s="71">
        <f t="shared" si="43"/>
        <v>0</v>
      </c>
      <c r="V108" s="71">
        <f t="shared" si="43"/>
        <v>0</v>
      </c>
      <c r="W108" s="71">
        <f t="shared" si="43"/>
        <v>0</v>
      </c>
      <c r="X108" s="71">
        <f t="shared" si="43"/>
        <v>0</v>
      </c>
      <c r="Y108" s="71">
        <f t="shared" si="43"/>
        <v>0</v>
      </c>
      <c r="Z108" s="71">
        <f t="shared" si="43"/>
        <v>0</v>
      </c>
      <c r="AA108" s="71">
        <f t="shared" si="43"/>
        <v>0</v>
      </c>
      <c r="AB108" s="71">
        <f t="shared" si="43"/>
        <v>0</v>
      </c>
      <c r="AC108" s="71">
        <f t="shared" si="43"/>
        <v>0</v>
      </c>
      <c r="AD108" s="71">
        <f t="shared" si="43"/>
        <v>0</v>
      </c>
      <c r="AE108" s="71">
        <f t="shared" si="43"/>
        <v>0</v>
      </c>
      <c r="AF108" s="71">
        <f t="shared" si="43"/>
        <v>0</v>
      </c>
      <c r="AG108" s="101"/>
      <c r="AH108" s="48">
        <f t="shared" si="31"/>
        <v>0</v>
      </c>
      <c r="AI108" s="49">
        <f t="shared" si="32"/>
        <v>0</v>
      </c>
    </row>
    <row r="109" spans="1:64" x14ac:dyDescent="0.25">
      <c r="A109" s="113" t="s">
        <v>132</v>
      </c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5"/>
      <c r="AH109" s="48">
        <f t="shared" si="31"/>
        <v>0</v>
      </c>
      <c r="AI109" s="49">
        <f t="shared" si="32"/>
        <v>0</v>
      </c>
    </row>
    <row r="110" spans="1:64" x14ac:dyDescent="0.25">
      <c r="A110" s="116" t="s">
        <v>133</v>
      </c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117"/>
      <c r="AH110" s="48">
        <f t="shared" si="31"/>
        <v>0</v>
      </c>
      <c r="AI110" s="49">
        <f t="shared" si="32"/>
        <v>0</v>
      </c>
    </row>
    <row r="111" spans="1:64" x14ac:dyDescent="0.25">
      <c r="A111" s="116" t="s">
        <v>134</v>
      </c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117"/>
      <c r="AH111" s="48">
        <f t="shared" si="31"/>
        <v>0</v>
      </c>
      <c r="AI111" s="49">
        <f t="shared" si="32"/>
        <v>0</v>
      </c>
    </row>
    <row r="112" spans="1:64" x14ac:dyDescent="0.25">
      <c r="A112" s="116" t="s">
        <v>135</v>
      </c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117"/>
      <c r="AH112" s="48">
        <f t="shared" si="31"/>
        <v>0</v>
      </c>
      <c r="AI112" s="49">
        <f t="shared" si="32"/>
        <v>0</v>
      </c>
    </row>
    <row r="113" spans="1:35" x14ac:dyDescent="0.25">
      <c r="A113" s="118" t="s">
        <v>136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117"/>
      <c r="AH113" s="48">
        <f t="shared" si="31"/>
        <v>0</v>
      </c>
      <c r="AI113" s="49">
        <f t="shared" si="32"/>
        <v>0</v>
      </c>
    </row>
    <row r="114" spans="1:35" x14ac:dyDescent="0.25">
      <c r="A114" s="118" t="s">
        <v>137</v>
      </c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20"/>
      <c r="AH114" s="48">
        <f t="shared" si="31"/>
        <v>0</v>
      </c>
      <c r="AI114" s="49">
        <f t="shared" si="32"/>
        <v>0</v>
      </c>
    </row>
    <row r="115" spans="1:35" x14ac:dyDescent="0.25">
      <c r="A115" s="116" t="s">
        <v>138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117"/>
      <c r="AH115" s="48">
        <f t="shared" si="31"/>
        <v>0</v>
      </c>
      <c r="AI115" s="49">
        <f t="shared" si="32"/>
        <v>0</v>
      </c>
    </row>
    <row r="116" spans="1:35" ht="15.75" thickBot="1" x14ac:dyDescent="0.3">
      <c r="A116" s="116" t="s">
        <v>139</v>
      </c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21"/>
      <c r="AH116" s="48">
        <f t="shared" si="31"/>
        <v>0</v>
      </c>
      <c r="AI116" s="49">
        <f t="shared" si="32"/>
        <v>0</v>
      </c>
    </row>
    <row r="117" spans="1:35" ht="15.75" thickBot="1" x14ac:dyDescent="0.3">
      <c r="A117" s="122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 t="s">
        <v>140</v>
      </c>
      <c r="Y117" s="105"/>
      <c r="Z117" s="105"/>
      <c r="AA117" s="105"/>
      <c r="AB117" s="105"/>
      <c r="AC117" s="105"/>
      <c r="AD117" s="105"/>
      <c r="AE117" s="105"/>
      <c r="AF117" s="105"/>
      <c r="AG117" s="121"/>
      <c r="AH117" s="48">
        <f t="shared" si="31"/>
        <v>0</v>
      </c>
      <c r="AI117" s="49">
        <f t="shared" si="32"/>
        <v>0</v>
      </c>
    </row>
    <row r="118" spans="1:35" ht="15.75" thickBot="1" x14ac:dyDescent="0.3">
      <c r="A118" s="123" t="s">
        <v>141</v>
      </c>
      <c r="B118" s="124">
        <f t="shared" ref="B118:O118" si="44">SUM(B22,B28,B31:B32,B66,B68:B69,B71,B73,B119:B123,B155,B161,B167,B176,B178,B190,B197,B200:B201,B208,B210,B212,B216:B218,B220:B222,B227,B233:B234,B236:B238,B246,B251)</f>
        <v>0.94</v>
      </c>
      <c r="C118" s="124">
        <f t="shared" si="44"/>
        <v>0.94</v>
      </c>
      <c r="D118" s="124">
        <f t="shared" si="44"/>
        <v>0.94</v>
      </c>
      <c r="E118" s="124">
        <f t="shared" si="44"/>
        <v>0.94</v>
      </c>
      <c r="F118" s="124">
        <f t="shared" si="44"/>
        <v>0.94</v>
      </c>
      <c r="G118" s="124">
        <f t="shared" si="44"/>
        <v>0.94</v>
      </c>
      <c r="H118" s="124">
        <f t="shared" si="44"/>
        <v>0.94</v>
      </c>
      <c r="I118" s="124">
        <f t="shared" si="44"/>
        <v>0.94</v>
      </c>
      <c r="J118" s="124">
        <f t="shared" si="44"/>
        <v>0.94</v>
      </c>
      <c r="K118" s="124">
        <f t="shared" si="44"/>
        <v>0.94</v>
      </c>
      <c r="L118" s="124">
        <f t="shared" si="44"/>
        <v>0.94</v>
      </c>
      <c r="M118" s="124">
        <f t="shared" si="44"/>
        <v>0.94</v>
      </c>
      <c r="N118" s="124">
        <f t="shared" si="44"/>
        <v>0.94</v>
      </c>
      <c r="O118" s="124">
        <f t="shared" si="44"/>
        <v>0.94</v>
      </c>
      <c r="P118" s="124">
        <v>42</v>
      </c>
      <c r="Q118" s="124">
        <f t="shared" ref="Q118:X118" si="45">SUM(Q22,Q28,Q31:Q32,Q66,Q68:Q69,Q71,Q73,Q119:Q123,Q155,Q161,Q167,Q176,Q178,Q190,Q197,Q200:Q201,Q208,Q210,Q212,Q216:Q218,Q220:Q222,Q227,Q233:Q234,Q236:Q238,Q246,Q251)</f>
        <v>0.94</v>
      </c>
      <c r="R118" s="124">
        <f t="shared" si="45"/>
        <v>0.94</v>
      </c>
      <c r="S118" s="124">
        <f t="shared" si="45"/>
        <v>0.94</v>
      </c>
      <c r="T118" s="124">
        <f t="shared" si="45"/>
        <v>0.94</v>
      </c>
      <c r="U118" s="124">
        <f t="shared" si="45"/>
        <v>0.94</v>
      </c>
      <c r="V118" s="124">
        <f t="shared" si="45"/>
        <v>0.94</v>
      </c>
      <c r="W118" s="124">
        <f t="shared" si="45"/>
        <v>0.94</v>
      </c>
      <c r="X118" s="124">
        <f t="shared" si="45"/>
        <v>0.94</v>
      </c>
      <c r="Y118" s="124">
        <f>SUM(Y20,Y26,Y37:Y38,Y66,Y68:Y69,Y71,Y73,Y119:Y123,Y148,Y154,Y160,Y169,Y171,Y183,Y190,Y193:Y194,Y201,Y203,Y205,Y209:Y211,Y213:Y215,Y220,Y226:Y227,Y229:Y231,Y239,Y244)</f>
        <v>0</v>
      </c>
      <c r="Z118" s="124">
        <f>SUM(Z20,Z26,Z37:Z38,Z66,Z68:Z69,Z71,Z73,Z119:Z123,Z148,Z154,Z160,Z169,Z171,Z183,Z190,Z193:Z194,Z201,Z203,Z205,Z209:Z211,Z213:Z215,Z220,Z226:Z227,Z229:Z231,Z239,Z244)</f>
        <v>0</v>
      </c>
      <c r="AA118" s="124">
        <f t="shared" ref="AA118:AF118" si="46">SUM(AA22,AA28,AA31:AA32,AA66,AA68:AA69,AA71,AA73,AA119:AA123,AA155,AA161,AA167,AA176,AA178,AA190,AA197,AA200:AA201,AA208,AA210,AA212,AA216:AA218,AA220:AA222,AA227,AA233:AA234,AA236:AA238,AA246,AA251)</f>
        <v>0.94</v>
      </c>
      <c r="AB118" s="124">
        <f t="shared" si="46"/>
        <v>0.94</v>
      </c>
      <c r="AC118" s="124">
        <f t="shared" si="46"/>
        <v>0.94</v>
      </c>
      <c r="AD118" s="124">
        <f t="shared" si="46"/>
        <v>0.94</v>
      </c>
      <c r="AE118" s="124">
        <f t="shared" si="46"/>
        <v>0.94</v>
      </c>
      <c r="AF118" s="124">
        <f t="shared" si="46"/>
        <v>0.94</v>
      </c>
      <c r="AG118" s="125"/>
      <c r="AH118" s="48">
        <f t="shared" si="31"/>
        <v>42</v>
      </c>
      <c r="AI118" s="49">
        <f t="shared" si="32"/>
        <v>0</v>
      </c>
    </row>
    <row r="119" spans="1:35" x14ac:dyDescent="0.25">
      <c r="A119" s="126" t="s">
        <v>142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8">
        <v>75</v>
      </c>
      <c r="AH119" s="48">
        <f t="shared" si="31"/>
        <v>0</v>
      </c>
      <c r="AI119" s="49">
        <f t="shared" si="32"/>
        <v>0</v>
      </c>
    </row>
    <row r="120" spans="1:35" x14ac:dyDescent="0.25">
      <c r="A120" s="129" t="s">
        <v>143</v>
      </c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28">
        <v>240</v>
      </c>
      <c r="AH120" s="48">
        <f t="shared" si="31"/>
        <v>0</v>
      </c>
      <c r="AI120" s="49">
        <f t="shared" si="32"/>
        <v>0</v>
      </c>
    </row>
    <row r="121" spans="1:35" x14ac:dyDescent="0.25">
      <c r="A121" s="129" t="s">
        <v>144</v>
      </c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28">
        <v>240</v>
      </c>
      <c r="AH121" s="48">
        <f t="shared" si="31"/>
        <v>0</v>
      </c>
      <c r="AI121" s="49">
        <f t="shared" si="32"/>
        <v>0</v>
      </c>
    </row>
    <row r="122" spans="1:35" ht="15.75" thickBot="1" x14ac:dyDescent="0.3">
      <c r="A122" s="129" t="s">
        <v>145</v>
      </c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28">
        <v>60</v>
      </c>
      <c r="AH122" s="48">
        <f t="shared" si="31"/>
        <v>0</v>
      </c>
      <c r="AI122" s="49">
        <f t="shared" si="32"/>
        <v>0</v>
      </c>
    </row>
    <row r="123" spans="1:35" x14ac:dyDescent="0.25">
      <c r="A123" s="126" t="s">
        <v>146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2">
        <v>120</v>
      </c>
      <c r="AH123" s="48">
        <f t="shared" si="31"/>
        <v>0</v>
      </c>
      <c r="AI123" s="49">
        <f t="shared" si="32"/>
        <v>0</v>
      </c>
    </row>
    <row r="124" spans="1:35" x14ac:dyDescent="0.25">
      <c r="A124" s="129" t="s">
        <v>147</v>
      </c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2"/>
      <c r="AH124" s="48"/>
      <c r="AI124" s="49"/>
    </row>
    <row r="125" spans="1:35" x14ac:dyDescent="0.25">
      <c r="A125" s="129" t="s">
        <v>148</v>
      </c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2"/>
      <c r="AH125" s="48"/>
      <c r="AI125" s="49"/>
    </row>
    <row r="126" spans="1:35" ht="15.75" thickBot="1" x14ac:dyDescent="0.3">
      <c r="A126" s="129" t="s">
        <v>149</v>
      </c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28"/>
      <c r="AH126" s="48">
        <f>MAX(B126:AF126)</f>
        <v>0</v>
      </c>
      <c r="AI126" s="49">
        <f>MIN(B126:AF126)</f>
        <v>0</v>
      </c>
    </row>
    <row r="127" spans="1:35" x14ac:dyDescent="0.25">
      <c r="A127" s="126" t="s">
        <v>150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28"/>
      <c r="AH127" s="48">
        <f>MAX(B127:AF127)</f>
        <v>0</v>
      </c>
      <c r="AI127" s="49">
        <f>MIN(B127:AF127)</f>
        <v>0</v>
      </c>
    </row>
    <row r="128" spans="1:35" x14ac:dyDescent="0.25">
      <c r="A128" s="129" t="s">
        <v>151</v>
      </c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28"/>
      <c r="AH128" s="48">
        <f>MAX(B128:AF128)</f>
        <v>0</v>
      </c>
      <c r="AI128" s="49">
        <f>MIN(B128:AF128)</f>
        <v>0</v>
      </c>
    </row>
    <row r="129" spans="1:37" x14ac:dyDescent="0.25">
      <c r="A129" s="129" t="s">
        <v>152</v>
      </c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28"/>
      <c r="AH129" s="48">
        <f>MAX(B129:AF129)</f>
        <v>0</v>
      </c>
      <c r="AI129" s="49">
        <f>MIN(B129:AF129)</f>
        <v>0</v>
      </c>
    </row>
    <row r="130" spans="1:37" ht="15.75" thickBot="1" x14ac:dyDescent="0.3">
      <c r="A130" s="129" t="s">
        <v>153</v>
      </c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28"/>
      <c r="AH130" s="48">
        <f>MAX(B130:AF130)</f>
        <v>0</v>
      </c>
      <c r="AI130" s="49">
        <f>MIN(B130:AF130)</f>
        <v>0</v>
      </c>
    </row>
    <row r="131" spans="1:37" x14ac:dyDescent="0.25">
      <c r="A131" s="133" t="s">
        <v>154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5"/>
      <c r="AG131" s="44"/>
      <c r="AH131" s="48"/>
      <c r="AI131" s="49"/>
    </row>
    <row r="132" spans="1:37" x14ac:dyDescent="0.25">
      <c r="A132" s="136" t="s">
        <v>155</v>
      </c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8"/>
      <c r="AG132" s="139"/>
      <c r="AH132" s="48"/>
      <c r="AI132" s="49"/>
    </row>
    <row r="133" spans="1:37" x14ac:dyDescent="0.25">
      <c r="A133" s="136" t="s">
        <v>156</v>
      </c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1"/>
      <c r="AG133" s="139"/>
      <c r="AH133" s="48"/>
      <c r="AI133" s="49"/>
    </row>
    <row r="134" spans="1:37" x14ac:dyDescent="0.25">
      <c r="A134" s="136" t="s">
        <v>157</v>
      </c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1"/>
      <c r="AG134" s="139"/>
      <c r="AH134" s="48"/>
      <c r="AI134" s="49"/>
    </row>
    <row r="135" spans="1:37" x14ac:dyDescent="0.25">
      <c r="A135" s="136" t="s">
        <v>158</v>
      </c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1"/>
      <c r="AG135" s="139"/>
      <c r="AH135" s="48"/>
      <c r="AI135" s="49"/>
    </row>
    <row r="136" spans="1:37" x14ac:dyDescent="0.25">
      <c r="A136" s="136" t="s">
        <v>159</v>
      </c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1"/>
      <c r="AG136" s="139"/>
      <c r="AH136" s="48"/>
      <c r="AI136" s="49"/>
    </row>
    <row r="137" spans="1:37" ht="15.75" thickBot="1" x14ac:dyDescent="0.3">
      <c r="A137" s="136" t="s">
        <v>160</v>
      </c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3"/>
      <c r="AG137" s="139"/>
      <c r="AH137" s="48"/>
      <c r="AI137" s="49"/>
    </row>
    <row r="138" spans="1:37" ht="15.75" thickBot="1" x14ac:dyDescent="0.3">
      <c r="A138" s="144" t="s">
        <v>161</v>
      </c>
      <c r="B138" s="145"/>
      <c r="C138" s="145"/>
      <c r="D138" s="145"/>
      <c r="E138" s="145"/>
      <c r="F138" s="146" t="s">
        <v>162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7"/>
      <c r="AH138" s="48"/>
      <c r="AI138" s="49"/>
      <c r="AK138" s="51"/>
    </row>
    <row r="139" spans="1:37" x14ac:dyDescent="0.25">
      <c r="A139" s="148" t="s">
        <v>163</v>
      </c>
      <c r="B139" s="149"/>
      <c r="C139" s="150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51">
        <v>9.94</v>
      </c>
      <c r="AH139" s="48"/>
      <c r="AI139" s="49"/>
      <c r="AK139" s="51"/>
    </row>
    <row r="140" spans="1:37" x14ac:dyDescent="0.25">
      <c r="A140" s="116" t="s">
        <v>164</v>
      </c>
      <c r="B140" s="149"/>
      <c r="C140" s="150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51"/>
      <c r="AH140" s="48"/>
      <c r="AI140" s="49"/>
      <c r="AK140" s="51"/>
    </row>
    <row r="141" spans="1:37" x14ac:dyDescent="0.25">
      <c r="A141" s="116" t="s">
        <v>165</v>
      </c>
      <c r="B141" s="149"/>
      <c r="C141" s="150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51"/>
      <c r="AH141" s="48"/>
      <c r="AI141" s="49"/>
      <c r="AK141" s="51"/>
    </row>
    <row r="142" spans="1:37" x14ac:dyDescent="0.25">
      <c r="A142" s="116" t="s">
        <v>166</v>
      </c>
      <c r="B142" s="149"/>
      <c r="C142" s="150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51"/>
      <c r="AH142" s="48"/>
      <c r="AI142" s="49"/>
      <c r="AK142" s="51"/>
    </row>
    <row r="143" spans="1:37" x14ac:dyDescent="0.25">
      <c r="A143" s="116" t="s">
        <v>167</v>
      </c>
      <c r="B143" s="149"/>
      <c r="C143" s="150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51"/>
      <c r="AH143" s="48"/>
      <c r="AI143" s="49"/>
      <c r="AK143" s="51"/>
    </row>
    <row r="144" spans="1:37" x14ac:dyDescent="0.25">
      <c r="A144" s="116" t="s">
        <v>168</v>
      </c>
      <c r="B144" s="149"/>
      <c r="C144" s="150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51"/>
      <c r="AH144" s="48"/>
      <c r="AI144" s="49"/>
      <c r="AK144" s="51"/>
    </row>
    <row r="145" spans="1:37" x14ac:dyDescent="0.25">
      <c r="A145" s="116" t="s">
        <v>169</v>
      </c>
      <c r="B145" s="149"/>
      <c r="C145" s="150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51"/>
      <c r="AH145" s="48"/>
      <c r="AI145" s="49"/>
      <c r="AK145" s="51"/>
    </row>
    <row r="146" spans="1:37" x14ac:dyDescent="0.25">
      <c r="A146" s="116" t="s">
        <v>170</v>
      </c>
      <c r="B146" s="149"/>
      <c r="C146" s="150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51"/>
      <c r="AH146" s="48"/>
      <c r="AI146" s="49"/>
      <c r="AK146" s="51"/>
    </row>
    <row r="147" spans="1:37" x14ac:dyDescent="0.25">
      <c r="A147" s="116" t="s">
        <v>171</v>
      </c>
      <c r="B147" s="149"/>
      <c r="C147" s="150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51"/>
      <c r="AH147" s="48"/>
      <c r="AI147" s="49"/>
      <c r="AK147" s="51"/>
    </row>
    <row r="148" spans="1:37" x14ac:dyDescent="0.25">
      <c r="A148" s="116" t="s">
        <v>172</v>
      </c>
      <c r="B148" s="149"/>
      <c r="C148" s="150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51"/>
      <c r="AH148" s="48"/>
      <c r="AI148" s="49"/>
      <c r="AK148" s="51"/>
    </row>
    <row r="149" spans="1:37" x14ac:dyDescent="0.25">
      <c r="A149" s="116" t="s">
        <v>173</v>
      </c>
      <c r="B149" s="149"/>
      <c r="C149" s="150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51"/>
      <c r="AH149" s="48"/>
      <c r="AI149" s="49"/>
      <c r="AK149" s="51"/>
    </row>
    <row r="150" spans="1:37" x14ac:dyDescent="0.25">
      <c r="A150" s="116" t="s">
        <v>174</v>
      </c>
      <c r="B150" s="149"/>
      <c r="C150" s="150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51"/>
      <c r="AH150" s="48"/>
      <c r="AI150" s="49"/>
      <c r="AK150" s="51"/>
    </row>
    <row r="151" spans="1:37" x14ac:dyDescent="0.25">
      <c r="A151" s="116" t="s">
        <v>175</v>
      </c>
      <c r="B151" s="149"/>
      <c r="C151" s="150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51"/>
      <c r="AH151" s="48"/>
      <c r="AI151" s="49"/>
      <c r="AK151" s="51"/>
    </row>
    <row r="152" spans="1:37" x14ac:dyDescent="0.25">
      <c r="A152" s="116" t="s">
        <v>176</v>
      </c>
      <c r="B152" s="149"/>
      <c r="C152" s="150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51"/>
      <c r="AH152" s="48"/>
      <c r="AI152" s="49"/>
      <c r="AK152" s="51"/>
    </row>
    <row r="153" spans="1:37" x14ac:dyDescent="0.25">
      <c r="A153" s="116" t="s">
        <v>177</v>
      </c>
      <c r="B153" s="149"/>
      <c r="C153" s="150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51"/>
      <c r="AH153" s="48"/>
      <c r="AI153" s="49"/>
      <c r="AK153" s="51"/>
    </row>
    <row r="154" spans="1:37" x14ac:dyDescent="0.25">
      <c r="A154" s="116" t="s">
        <v>178</v>
      </c>
      <c r="B154" s="149"/>
      <c r="C154" s="150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51"/>
      <c r="AH154" s="48"/>
      <c r="AI154" s="49"/>
      <c r="AK154" s="51"/>
    </row>
    <row r="155" spans="1:37" x14ac:dyDescent="0.25">
      <c r="A155" s="116" t="s">
        <v>179</v>
      </c>
      <c r="B155" s="152"/>
      <c r="C155" s="153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4">
        <v>9.9</v>
      </c>
      <c r="AH155" s="48"/>
      <c r="AI155" s="49"/>
      <c r="AK155" s="51"/>
    </row>
    <row r="156" spans="1:37" x14ac:dyDescent="0.25">
      <c r="A156" s="155" t="s">
        <v>180</v>
      </c>
      <c r="B156" s="152"/>
      <c r="C156" s="153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6">
        <v>9.6579999999999995</v>
      </c>
      <c r="AH156" s="48"/>
      <c r="AI156" s="49"/>
      <c r="AK156" s="51"/>
    </row>
    <row r="157" spans="1:37" x14ac:dyDescent="0.25">
      <c r="A157" s="155" t="s">
        <v>181</v>
      </c>
      <c r="B157" s="152"/>
      <c r="C157" s="153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6">
        <v>9.6</v>
      </c>
      <c r="AH157" s="48"/>
      <c r="AI157" s="49"/>
      <c r="AK157" s="51"/>
    </row>
    <row r="158" spans="1:37" x14ac:dyDescent="0.25">
      <c r="A158" s="155" t="s">
        <v>182</v>
      </c>
      <c r="B158" s="152"/>
      <c r="C158" s="153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6">
        <v>9.51</v>
      </c>
      <c r="AH158" s="48"/>
      <c r="AI158" s="49"/>
      <c r="AK158" s="51"/>
    </row>
    <row r="159" spans="1:37" x14ac:dyDescent="0.25">
      <c r="A159" s="155" t="s">
        <v>183</v>
      </c>
      <c r="B159" s="152"/>
      <c r="C159" s="153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6">
        <v>9.4</v>
      </c>
      <c r="AH159" s="48"/>
      <c r="AI159" s="49"/>
      <c r="AK159" s="51"/>
    </row>
    <row r="160" spans="1:37" x14ac:dyDescent="0.25">
      <c r="A160" s="155" t="s">
        <v>184</v>
      </c>
      <c r="B160" s="152"/>
      <c r="C160" s="153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6">
        <v>8.8000000000000007</v>
      </c>
      <c r="AH160" s="48"/>
      <c r="AI160" s="49"/>
      <c r="AK160" s="51"/>
    </row>
    <row r="161" spans="1:37" x14ac:dyDescent="0.25">
      <c r="A161" s="155" t="s">
        <v>185</v>
      </c>
      <c r="B161" s="152"/>
      <c r="C161" s="153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6">
        <v>8.5</v>
      </c>
      <c r="AH161" s="48"/>
      <c r="AI161" s="49"/>
      <c r="AK161" s="51"/>
    </row>
    <row r="162" spans="1:37" x14ac:dyDescent="0.25">
      <c r="A162" s="155" t="s">
        <v>186</v>
      </c>
      <c r="B162" s="152"/>
      <c r="C162" s="153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6">
        <v>8.5</v>
      </c>
      <c r="AH162" s="48"/>
      <c r="AI162" s="49"/>
      <c r="AK162" s="51"/>
    </row>
    <row r="163" spans="1:37" x14ac:dyDescent="0.25">
      <c r="A163" s="155" t="s">
        <v>187</v>
      </c>
      <c r="B163" s="152"/>
      <c r="C163" s="153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6">
        <v>8.4</v>
      </c>
      <c r="AH163" s="48"/>
      <c r="AI163" s="49"/>
      <c r="AK163" s="51"/>
    </row>
    <row r="164" spans="1:37" ht="13.5" customHeight="1" x14ac:dyDescent="0.25">
      <c r="A164" s="155" t="s">
        <v>188</v>
      </c>
      <c r="B164" s="152"/>
      <c r="C164" s="153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6">
        <v>8</v>
      </c>
      <c r="AH164" s="48"/>
      <c r="AI164" s="49"/>
      <c r="AK164" s="51"/>
    </row>
    <row r="165" spans="1:37" x14ac:dyDescent="0.25">
      <c r="A165" s="155" t="s">
        <v>189</v>
      </c>
      <c r="B165" s="152"/>
      <c r="C165" s="153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6">
        <v>8</v>
      </c>
      <c r="AH165" s="48"/>
      <c r="AI165" s="49"/>
      <c r="AK165" s="51"/>
    </row>
    <row r="166" spans="1:37" x14ac:dyDescent="0.25">
      <c r="A166" s="155" t="s">
        <v>190</v>
      </c>
      <c r="B166" s="152"/>
      <c r="C166" s="153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6">
        <v>8</v>
      </c>
      <c r="AH166" s="48"/>
      <c r="AI166" s="49"/>
      <c r="AK166" s="51"/>
    </row>
    <row r="167" spans="1:37" x14ac:dyDescent="0.25">
      <c r="A167" s="155" t="s">
        <v>191</v>
      </c>
      <c r="B167" s="152"/>
      <c r="C167" s="153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6">
        <v>7.8</v>
      </c>
      <c r="AH167" s="48"/>
      <c r="AI167" s="49"/>
      <c r="AK167" s="51"/>
    </row>
    <row r="168" spans="1:37" x14ac:dyDescent="0.25">
      <c r="A168" s="155" t="s">
        <v>192</v>
      </c>
      <c r="B168" s="152"/>
      <c r="C168" s="153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6">
        <v>7.6</v>
      </c>
      <c r="AH168" s="48"/>
      <c r="AI168" s="49"/>
      <c r="AK168" s="51"/>
    </row>
    <row r="169" spans="1:37" x14ac:dyDescent="0.25">
      <c r="A169" s="155" t="s">
        <v>193</v>
      </c>
      <c r="B169" s="152"/>
      <c r="C169" s="153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6">
        <v>7.5</v>
      </c>
      <c r="AH169" s="48"/>
      <c r="AI169" s="49"/>
      <c r="AK169" s="51"/>
    </row>
    <row r="170" spans="1:37" x14ac:dyDescent="0.25">
      <c r="A170" s="155" t="s">
        <v>194</v>
      </c>
      <c r="B170" s="152"/>
      <c r="C170" s="153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6">
        <v>7.5</v>
      </c>
      <c r="AH170" s="48"/>
      <c r="AI170" s="49"/>
      <c r="AK170" s="51"/>
    </row>
    <row r="171" spans="1:37" x14ac:dyDescent="0.25">
      <c r="A171" s="155" t="s">
        <v>195</v>
      </c>
      <c r="B171" s="152"/>
      <c r="C171" s="153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6">
        <v>7</v>
      </c>
      <c r="AH171" s="48"/>
      <c r="AI171" s="49"/>
      <c r="AK171" s="51"/>
    </row>
    <row r="172" spans="1:37" x14ac:dyDescent="0.25">
      <c r="A172" s="155" t="s">
        <v>196</v>
      </c>
      <c r="B172" s="152"/>
      <c r="C172" s="153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6">
        <v>7</v>
      </c>
      <c r="AH172" s="48"/>
      <c r="AI172" s="49"/>
      <c r="AK172" s="51"/>
    </row>
    <row r="173" spans="1:37" x14ac:dyDescent="0.25">
      <c r="A173" s="155" t="s">
        <v>197</v>
      </c>
      <c r="B173" s="152"/>
      <c r="C173" s="153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6">
        <v>7</v>
      </c>
      <c r="AH173" s="48"/>
      <c r="AI173" s="49"/>
      <c r="AK173" s="51"/>
    </row>
    <row r="174" spans="1:37" x14ac:dyDescent="0.25">
      <c r="A174" s="155" t="s">
        <v>198</v>
      </c>
      <c r="B174" s="152"/>
      <c r="C174" s="153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6">
        <v>7</v>
      </c>
      <c r="AH174" s="48"/>
      <c r="AI174" s="49"/>
      <c r="AK174" s="51"/>
    </row>
    <row r="175" spans="1:37" x14ac:dyDescent="0.25">
      <c r="A175" s="155" t="s">
        <v>199</v>
      </c>
      <c r="B175" s="152"/>
      <c r="C175" s="153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6">
        <v>6.6</v>
      </c>
      <c r="AH175" s="48"/>
      <c r="AI175" s="49"/>
      <c r="AK175" s="51"/>
    </row>
    <row r="176" spans="1:37" x14ac:dyDescent="0.25">
      <c r="A176" s="155" t="s">
        <v>200</v>
      </c>
      <c r="B176" s="152"/>
      <c r="C176" s="153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6">
        <v>6.6</v>
      </c>
      <c r="AH176" s="48"/>
      <c r="AI176" s="49"/>
      <c r="AK176" s="51"/>
    </row>
    <row r="177" spans="1:37" x14ac:dyDescent="0.25">
      <c r="A177" s="155" t="s">
        <v>201</v>
      </c>
      <c r="B177" s="152"/>
      <c r="C177" s="153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6">
        <v>6.4</v>
      </c>
      <c r="AH177" s="48"/>
      <c r="AI177" s="49"/>
      <c r="AK177" s="51"/>
    </row>
    <row r="178" spans="1:37" x14ac:dyDescent="0.25">
      <c r="A178" s="155" t="s">
        <v>202</v>
      </c>
      <c r="B178" s="152"/>
      <c r="C178" s="153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6">
        <v>6</v>
      </c>
      <c r="AH178" s="48"/>
      <c r="AI178" s="49"/>
      <c r="AK178" s="51"/>
    </row>
    <row r="179" spans="1:37" x14ac:dyDescent="0.25">
      <c r="A179" s="155" t="s">
        <v>203</v>
      </c>
      <c r="B179" s="152"/>
      <c r="C179" s="153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6">
        <v>5.0999999999999996</v>
      </c>
      <c r="AH179" s="48"/>
      <c r="AI179" s="49"/>
      <c r="AK179" s="51"/>
    </row>
    <row r="180" spans="1:37" x14ac:dyDescent="0.25">
      <c r="A180" s="155" t="s">
        <v>204</v>
      </c>
      <c r="B180" s="152"/>
      <c r="C180" s="153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6">
        <v>5</v>
      </c>
      <c r="AH180" s="48"/>
      <c r="AI180" s="49"/>
      <c r="AK180" s="51"/>
    </row>
    <row r="181" spans="1:37" x14ac:dyDescent="0.25">
      <c r="A181" s="116" t="s">
        <v>205</v>
      </c>
      <c r="B181" s="152"/>
      <c r="C181" s="153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4">
        <v>5</v>
      </c>
      <c r="AH181" s="48"/>
      <c r="AI181" s="49"/>
      <c r="AK181" s="51"/>
    </row>
    <row r="182" spans="1:37" x14ac:dyDescent="0.25">
      <c r="A182" s="155" t="s">
        <v>206</v>
      </c>
      <c r="B182" s="152"/>
      <c r="C182" s="153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6">
        <v>5</v>
      </c>
      <c r="AH182" s="48"/>
      <c r="AI182" s="49"/>
      <c r="AK182" s="51"/>
    </row>
    <row r="183" spans="1:37" x14ac:dyDescent="0.25">
      <c r="A183" s="155" t="s">
        <v>207</v>
      </c>
      <c r="B183" s="152"/>
      <c r="C183" s="153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6">
        <v>5</v>
      </c>
      <c r="AH183" s="48"/>
      <c r="AI183" s="49"/>
      <c r="AK183" s="51"/>
    </row>
    <row r="184" spans="1:37" x14ac:dyDescent="0.25">
      <c r="A184" s="155" t="s">
        <v>208</v>
      </c>
      <c r="B184" s="152"/>
      <c r="C184" s="153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6">
        <v>5</v>
      </c>
      <c r="AH184" s="48"/>
      <c r="AI184" s="49"/>
      <c r="AK184" s="51"/>
    </row>
    <row r="185" spans="1:37" x14ac:dyDescent="0.25">
      <c r="A185" s="155" t="s">
        <v>209</v>
      </c>
      <c r="B185" s="152"/>
      <c r="C185" s="153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6">
        <v>5</v>
      </c>
      <c r="AH185" s="48"/>
      <c r="AI185" s="49"/>
      <c r="AK185" s="51"/>
    </row>
    <row r="186" spans="1:37" x14ac:dyDescent="0.25">
      <c r="A186" s="155" t="s">
        <v>210</v>
      </c>
      <c r="B186" s="152"/>
      <c r="C186" s="153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6">
        <v>5</v>
      </c>
      <c r="AH186" s="48"/>
      <c r="AI186" s="49"/>
      <c r="AK186" s="51"/>
    </row>
    <row r="187" spans="1:37" x14ac:dyDescent="0.25">
      <c r="A187" s="155" t="s">
        <v>211</v>
      </c>
      <c r="B187" s="152"/>
      <c r="C187" s="153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6">
        <v>4.9930000000000003</v>
      </c>
      <c r="AH187" s="48"/>
      <c r="AI187" s="49"/>
      <c r="AK187" s="51"/>
    </row>
    <row r="188" spans="1:37" x14ac:dyDescent="0.25">
      <c r="A188" s="155" t="s">
        <v>212</v>
      </c>
      <c r="B188" s="152"/>
      <c r="C188" s="153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6">
        <v>4.9800000000000004</v>
      </c>
      <c r="AH188" s="48"/>
      <c r="AI188" s="49"/>
      <c r="AK188" s="51"/>
    </row>
    <row r="189" spans="1:37" x14ac:dyDescent="0.25">
      <c r="A189" s="155" t="s">
        <v>213</v>
      </c>
      <c r="B189" s="152"/>
      <c r="C189" s="153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6">
        <v>4.95</v>
      </c>
      <c r="AH189" s="48"/>
      <c r="AI189" s="49"/>
      <c r="AK189" s="51"/>
    </row>
    <row r="190" spans="1:37" x14ac:dyDescent="0.25">
      <c r="A190" s="155" t="s">
        <v>214</v>
      </c>
      <c r="B190" s="152"/>
      <c r="C190" s="153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6">
        <v>4.95</v>
      </c>
      <c r="AH190" s="48"/>
      <c r="AI190" s="49"/>
      <c r="AK190" s="51"/>
    </row>
    <row r="191" spans="1:37" x14ac:dyDescent="0.25">
      <c r="A191" s="155" t="s">
        <v>215</v>
      </c>
      <c r="B191" s="152"/>
      <c r="C191" s="153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6">
        <v>4.8</v>
      </c>
      <c r="AH191" s="48"/>
      <c r="AI191" s="49"/>
      <c r="AK191" s="51"/>
    </row>
    <row r="192" spans="1:37" x14ac:dyDescent="0.25">
      <c r="A192" s="155" t="s">
        <v>216</v>
      </c>
      <c r="B192" s="152"/>
      <c r="C192" s="153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6">
        <v>4.8</v>
      </c>
      <c r="AH192" s="48"/>
      <c r="AI192" s="49"/>
      <c r="AK192" s="51"/>
    </row>
    <row r="193" spans="1:37" x14ac:dyDescent="0.25">
      <c r="A193" s="155" t="s">
        <v>217</v>
      </c>
      <c r="B193" s="152"/>
      <c r="C193" s="153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6">
        <v>4.8</v>
      </c>
      <c r="AH193" s="48"/>
      <c r="AI193" s="49"/>
      <c r="AK193" s="51"/>
    </row>
    <row r="194" spans="1:37" x14ac:dyDescent="0.25">
      <c r="A194" s="155" t="s">
        <v>218</v>
      </c>
      <c r="B194" s="152"/>
      <c r="C194" s="153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6">
        <v>4.5</v>
      </c>
      <c r="AH194" s="48"/>
      <c r="AI194" s="49"/>
      <c r="AK194" s="51"/>
    </row>
    <row r="195" spans="1:37" x14ac:dyDescent="0.25">
      <c r="A195" s="155" t="s">
        <v>219</v>
      </c>
      <c r="B195" s="152"/>
      <c r="C195" s="153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6">
        <v>4.5</v>
      </c>
      <c r="AH195" s="48"/>
      <c r="AI195" s="49"/>
      <c r="AK195" s="51"/>
    </row>
    <row r="196" spans="1:37" x14ac:dyDescent="0.25">
      <c r="A196" s="155" t="s">
        <v>220</v>
      </c>
      <c r="B196" s="152"/>
      <c r="C196" s="153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6">
        <v>4.4550000000000001</v>
      </c>
      <c r="AH196" s="48"/>
      <c r="AI196" s="49"/>
      <c r="AK196" s="51"/>
    </row>
    <row r="197" spans="1:37" x14ac:dyDescent="0.25">
      <c r="A197" s="155" t="s">
        <v>221</v>
      </c>
      <c r="B197" s="152"/>
      <c r="C197" s="153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6">
        <v>4.41</v>
      </c>
      <c r="AH197" s="48"/>
      <c r="AI197" s="49"/>
      <c r="AK197" s="51"/>
    </row>
    <row r="198" spans="1:37" x14ac:dyDescent="0.25">
      <c r="A198" s="155" t="s">
        <v>222</v>
      </c>
      <c r="B198" s="152"/>
      <c r="C198" s="153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6">
        <v>4.4000000000000004</v>
      </c>
      <c r="AH198" s="48"/>
      <c r="AI198" s="49"/>
      <c r="AK198" s="51"/>
    </row>
    <row r="199" spans="1:37" x14ac:dyDescent="0.25">
      <c r="A199" s="155" t="s">
        <v>223</v>
      </c>
      <c r="B199" s="152"/>
      <c r="C199" s="153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6">
        <v>4.3600000000000003</v>
      </c>
      <c r="AH199" s="48"/>
      <c r="AI199" s="49"/>
      <c r="AK199" s="51"/>
    </row>
    <row r="200" spans="1:37" x14ac:dyDescent="0.25">
      <c r="A200" s="155" t="s">
        <v>224</v>
      </c>
      <c r="B200" s="152"/>
      <c r="C200" s="153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6">
        <v>4.2</v>
      </c>
      <c r="AH200" s="48"/>
      <c r="AI200" s="49"/>
      <c r="AK200" s="51"/>
    </row>
    <row r="201" spans="1:37" x14ac:dyDescent="0.25">
      <c r="A201" s="155" t="s">
        <v>225</v>
      </c>
      <c r="B201" s="152"/>
      <c r="C201" s="153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6">
        <v>4</v>
      </c>
      <c r="AH201" s="48"/>
      <c r="AI201" s="49"/>
      <c r="AK201" s="51"/>
    </row>
    <row r="202" spans="1:37" x14ac:dyDescent="0.25">
      <c r="A202" s="155" t="s">
        <v>226</v>
      </c>
      <c r="B202" s="152"/>
      <c r="C202" s="153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6">
        <v>4</v>
      </c>
      <c r="AH202" s="48"/>
      <c r="AI202" s="49"/>
      <c r="AK202" s="51"/>
    </row>
    <row r="203" spans="1:37" x14ac:dyDescent="0.25">
      <c r="A203" s="155" t="s">
        <v>227</v>
      </c>
      <c r="B203" s="152"/>
      <c r="C203" s="153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6">
        <v>4</v>
      </c>
      <c r="AH203" s="48"/>
      <c r="AI203" s="49"/>
      <c r="AK203" s="51"/>
    </row>
    <row r="204" spans="1:37" x14ac:dyDescent="0.25">
      <c r="A204" s="155" t="s">
        <v>228</v>
      </c>
      <c r="B204" s="152"/>
      <c r="C204" s="153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6">
        <v>4</v>
      </c>
      <c r="AH204" s="48"/>
      <c r="AI204" s="49"/>
      <c r="AK204" s="51"/>
    </row>
    <row r="205" spans="1:37" x14ac:dyDescent="0.25">
      <c r="A205" s="155" t="s">
        <v>229</v>
      </c>
      <c r="B205" s="152"/>
      <c r="C205" s="153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6">
        <v>4</v>
      </c>
      <c r="AH205" s="48"/>
      <c r="AI205" s="49"/>
      <c r="AK205" s="51"/>
    </row>
    <row r="206" spans="1:37" x14ac:dyDescent="0.25">
      <c r="A206" s="155" t="s">
        <v>230</v>
      </c>
      <c r="B206" s="152"/>
      <c r="C206" s="153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6">
        <v>4</v>
      </c>
      <c r="AH206" s="48"/>
      <c r="AI206" s="49"/>
      <c r="AK206" s="51"/>
    </row>
    <row r="207" spans="1:37" x14ac:dyDescent="0.25">
      <c r="A207" s="155" t="s">
        <v>231</v>
      </c>
      <c r="B207" s="152"/>
      <c r="C207" s="153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6">
        <v>4</v>
      </c>
      <c r="AH207" s="48"/>
      <c r="AI207" s="49"/>
      <c r="AK207" s="51"/>
    </row>
    <row r="208" spans="1:37" x14ac:dyDescent="0.25">
      <c r="A208" s="155" t="s">
        <v>232</v>
      </c>
      <c r="B208" s="152"/>
      <c r="C208" s="153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6">
        <v>4</v>
      </c>
      <c r="AH208" s="48"/>
      <c r="AI208" s="49"/>
      <c r="AK208" s="51"/>
    </row>
    <row r="209" spans="1:37" x14ac:dyDescent="0.25">
      <c r="A209" s="155" t="s">
        <v>233</v>
      </c>
      <c r="B209" s="152"/>
      <c r="C209" s="153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6">
        <v>3.75</v>
      </c>
      <c r="AH209" s="48"/>
      <c r="AI209" s="49"/>
      <c r="AK209" s="51"/>
    </row>
    <row r="210" spans="1:37" x14ac:dyDescent="0.25">
      <c r="A210" s="155" t="s">
        <v>234</v>
      </c>
      <c r="B210" s="152"/>
      <c r="C210" s="153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6">
        <v>3.52</v>
      </c>
      <c r="AH210" s="48"/>
      <c r="AI210" s="49"/>
      <c r="AK210" s="51"/>
    </row>
    <row r="211" spans="1:37" x14ac:dyDescent="0.25">
      <c r="A211" s="155" t="s">
        <v>235</v>
      </c>
      <c r="B211" s="152"/>
      <c r="C211" s="153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6">
        <v>3.33</v>
      </c>
      <c r="AH211" s="48"/>
      <c r="AI211" s="49"/>
      <c r="AK211" s="51"/>
    </row>
    <row r="212" spans="1:37" x14ac:dyDescent="0.25">
      <c r="A212" s="155" t="s">
        <v>236</v>
      </c>
      <c r="B212" s="152"/>
      <c r="C212" s="153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6">
        <v>3.2</v>
      </c>
      <c r="AH212" s="48"/>
      <c r="AI212" s="49"/>
      <c r="AK212" s="51"/>
    </row>
    <row r="213" spans="1:37" x14ac:dyDescent="0.25">
      <c r="A213" s="155" t="s">
        <v>237</v>
      </c>
      <c r="B213" s="152"/>
      <c r="C213" s="153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6">
        <v>3</v>
      </c>
      <c r="AH213" s="48"/>
      <c r="AI213" s="49"/>
      <c r="AK213" s="51"/>
    </row>
    <row r="214" spans="1:37" x14ac:dyDescent="0.25">
      <c r="A214" s="155" t="s">
        <v>238</v>
      </c>
      <c r="B214" s="152"/>
      <c r="C214" s="153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6">
        <v>3</v>
      </c>
      <c r="AH214" s="48"/>
      <c r="AI214" s="49"/>
      <c r="AK214" s="51"/>
    </row>
    <row r="215" spans="1:37" x14ac:dyDescent="0.25">
      <c r="A215" s="155" t="s">
        <v>239</v>
      </c>
      <c r="B215" s="152"/>
      <c r="C215" s="153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6">
        <v>3</v>
      </c>
      <c r="AH215" s="48"/>
      <c r="AI215" s="49"/>
      <c r="AK215" s="51"/>
    </row>
    <row r="216" spans="1:37" x14ac:dyDescent="0.25">
      <c r="A216" s="155" t="s">
        <v>240</v>
      </c>
      <c r="B216" s="152"/>
      <c r="C216" s="153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6">
        <v>3</v>
      </c>
      <c r="AH216" s="48"/>
      <c r="AI216" s="49"/>
      <c r="AK216" s="51"/>
    </row>
    <row r="217" spans="1:37" x14ac:dyDescent="0.25">
      <c r="A217" s="155" t="s">
        <v>241</v>
      </c>
      <c r="B217" s="152"/>
      <c r="C217" s="153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6">
        <v>3</v>
      </c>
      <c r="AH217" s="48"/>
      <c r="AI217" s="49"/>
      <c r="AK217" s="51"/>
    </row>
    <row r="218" spans="1:37" x14ac:dyDescent="0.25">
      <c r="A218" s="155" t="s">
        <v>242</v>
      </c>
      <c r="B218" s="152"/>
      <c r="C218" s="153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6">
        <v>3</v>
      </c>
      <c r="AH218" s="48"/>
      <c r="AI218" s="49"/>
      <c r="AK218" s="51"/>
    </row>
    <row r="219" spans="1:37" x14ac:dyDescent="0.25">
      <c r="A219" s="155" t="s">
        <v>243</v>
      </c>
      <c r="B219" s="152"/>
      <c r="C219" s="153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6">
        <v>3</v>
      </c>
      <c r="AH219" s="48"/>
      <c r="AI219" s="49"/>
      <c r="AK219" s="51"/>
    </row>
    <row r="220" spans="1:37" x14ac:dyDescent="0.25">
      <c r="A220" s="155" t="s">
        <v>244</v>
      </c>
      <c r="B220" s="152"/>
      <c r="C220" s="153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6">
        <v>3</v>
      </c>
      <c r="AH220" s="48"/>
      <c r="AI220" s="49"/>
      <c r="AK220" s="51"/>
    </row>
    <row r="221" spans="1:37" x14ac:dyDescent="0.25">
      <c r="A221" s="155" t="s">
        <v>245</v>
      </c>
      <c r="B221" s="152"/>
      <c r="C221" s="153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6">
        <v>2.83</v>
      </c>
      <c r="AH221" s="48"/>
      <c r="AI221" s="49"/>
      <c r="AK221" s="51"/>
    </row>
    <row r="222" spans="1:37" x14ac:dyDescent="0.25">
      <c r="A222" s="155" t="s">
        <v>246</v>
      </c>
      <c r="B222" s="152"/>
      <c r="C222" s="153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6">
        <v>2.5</v>
      </c>
      <c r="AH222" s="48"/>
      <c r="AI222" s="49"/>
      <c r="AK222" s="51"/>
    </row>
    <row r="223" spans="1:37" x14ac:dyDescent="0.25">
      <c r="A223" s="155" t="s">
        <v>247</v>
      </c>
      <c r="B223" s="152"/>
      <c r="C223" s="153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6">
        <v>2.5</v>
      </c>
      <c r="AH223" s="48"/>
      <c r="AI223" s="49"/>
      <c r="AK223" s="51"/>
    </row>
    <row r="224" spans="1:37" x14ac:dyDescent="0.25">
      <c r="A224" s="155" t="s">
        <v>248</v>
      </c>
      <c r="B224" s="152"/>
      <c r="C224" s="153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6">
        <v>2.4</v>
      </c>
      <c r="AH224" s="48"/>
      <c r="AI224" s="49"/>
      <c r="AK224" s="51"/>
    </row>
    <row r="225" spans="1:37" x14ac:dyDescent="0.25">
      <c r="A225" s="155" t="s">
        <v>249</v>
      </c>
      <c r="B225" s="152"/>
      <c r="C225" s="153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6">
        <v>2.4</v>
      </c>
      <c r="AH225" s="48"/>
      <c r="AI225" s="49"/>
      <c r="AK225" s="51"/>
    </row>
    <row r="226" spans="1:37" x14ac:dyDescent="0.25">
      <c r="A226" s="155" t="s">
        <v>250</v>
      </c>
      <c r="B226" s="152"/>
      <c r="C226" s="153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6">
        <v>2.2000000000000002</v>
      </c>
      <c r="AH226" s="48"/>
      <c r="AI226" s="49"/>
      <c r="AK226" s="51"/>
    </row>
    <row r="227" spans="1:37" x14ac:dyDescent="0.25">
      <c r="A227" s="155" t="s">
        <v>251</v>
      </c>
      <c r="B227" s="152"/>
      <c r="C227" s="153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6">
        <v>2</v>
      </c>
      <c r="AH227" s="48"/>
      <c r="AI227" s="49"/>
      <c r="AK227" s="51"/>
    </row>
    <row r="228" spans="1:37" x14ac:dyDescent="0.25">
      <c r="A228" s="155" t="s">
        <v>252</v>
      </c>
      <c r="B228" s="152"/>
      <c r="C228" s="153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6">
        <v>2</v>
      </c>
      <c r="AH228" s="48"/>
      <c r="AI228" s="49"/>
      <c r="AK228" s="51"/>
    </row>
    <row r="229" spans="1:37" x14ac:dyDescent="0.25">
      <c r="A229" s="155" t="s">
        <v>253</v>
      </c>
      <c r="B229" s="152"/>
      <c r="C229" s="153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6">
        <v>2</v>
      </c>
      <c r="AH229" s="48"/>
      <c r="AI229" s="49"/>
      <c r="AK229" s="51"/>
    </row>
    <row r="230" spans="1:37" x14ac:dyDescent="0.25">
      <c r="A230" s="155" t="s">
        <v>254</v>
      </c>
      <c r="B230" s="152"/>
      <c r="C230" s="153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6">
        <v>1.8</v>
      </c>
      <c r="AH230" s="48"/>
      <c r="AI230" s="49"/>
      <c r="AK230" s="51"/>
    </row>
    <row r="231" spans="1:37" x14ac:dyDescent="0.25">
      <c r="A231" s="155" t="s">
        <v>255</v>
      </c>
      <c r="B231" s="152"/>
      <c r="C231" s="153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6">
        <v>1.8</v>
      </c>
      <c r="AH231" s="48"/>
      <c r="AI231" s="49"/>
      <c r="AK231" s="51"/>
    </row>
    <row r="232" spans="1:37" x14ac:dyDescent="0.25">
      <c r="A232" s="155" t="s">
        <v>256</v>
      </c>
      <c r="B232" s="152"/>
      <c r="C232" s="153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6">
        <v>1.65</v>
      </c>
      <c r="AH232" s="48"/>
      <c r="AI232" s="49"/>
      <c r="AK232" s="51"/>
    </row>
    <row r="233" spans="1:37" x14ac:dyDescent="0.25">
      <c r="A233" s="155" t="s">
        <v>257</v>
      </c>
      <c r="B233" s="152"/>
      <c r="C233" s="153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6">
        <v>1.5</v>
      </c>
      <c r="AH233" s="48"/>
      <c r="AI233" s="49"/>
      <c r="AK233" s="51"/>
    </row>
    <row r="234" spans="1:37" x14ac:dyDescent="0.25">
      <c r="A234" s="155" t="s">
        <v>258</v>
      </c>
      <c r="B234" s="152"/>
      <c r="C234" s="153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6">
        <v>0.998</v>
      </c>
      <c r="AH234" s="48"/>
      <c r="AI234" s="49"/>
      <c r="AK234" s="51"/>
    </row>
    <row r="235" spans="1:37" x14ac:dyDescent="0.25">
      <c r="A235" s="155" t="s">
        <v>259</v>
      </c>
      <c r="B235" s="152"/>
      <c r="C235" s="153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6">
        <v>0.997</v>
      </c>
      <c r="AH235" s="48"/>
      <c r="AI235" s="49"/>
      <c r="AK235" s="51"/>
    </row>
    <row r="236" spans="1:37" x14ac:dyDescent="0.25">
      <c r="A236" s="155" t="s">
        <v>260</v>
      </c>
      <c r="B236" s="152"/>
      <c r="C236" s="153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6">
        <v>0.997</v>
      </c>
      <c r="AH236" s="48"/>
      <c r="AI236" s="49"/>
      <c r="AK236" s="51"/>
    </row>
    <row r="237" spans="1:37" x14ac:dyDescent="0.25">
      <c r="A237" s="155" t="s">
        <v>261</v>
      </c>
      <c r="B237" s="152"/>
      <c r="C237" s="153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6">
        <v>0.996</v>
      </c>
      <c r="AH237" s="48"/>
      <c r="AI237" s="49"/>
      <c r="AK237" s="51"/>
    </row>
    <row r="238" spans="1:37" x14ac:dyDescent="0.25">
      <c r="A238" s="155" t="s">
        <v>262</v>
      </c>
      <c r="B238" s="152"/>
      <c r="C238" s="153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6">
        <v>0.996</v>
      </c>
      <c r="AH238" s="48"/>
      <c r="AI238" s="49"/>
      <c r="AK238" s="51"/>
    </row>
    <row r="239" spans="1:37" x14ac:dyDescent="0.25">
      <c r="A239" s="155" t="s">
        <v>263</v>
      </c>
      <c r="B239" s="152"/>
      <c r="C239" s="153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6">
        <v>0.996</v>
      </c>
      <c r="AH239" s="48"/>
      <c r="AI239" s="49"/>
      <c r="AK239" s="51"/>
    </row>
    <row r="240" spans="1:37" x14ac:dyDescent="0.25">
      <c r="A240" s="155" t="s">
        <v>264</v>
      </c>
      <c r="B240" s="152"/>
      <c r="C240" s="153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6">
        <v>0.995</v>
      </c>
      <c r="AH240" s="48"/>
      <c r="AI240" s="49"/>
      <c r="AK240" s="51"/>
    </row>
    <row r="241" spans="1:37" x14ac:dyDescent="0.25">
      <c r="A241" s="155" t="s">
        <v>265</v>
      </c>
      <c r="B241" s="152"/>
      <c r="C241" s="153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6">
        <v>0.99299999999999999</v>
      </c>
      <c r="AH241" s="48"/>
      <c r="AI241" s="49"/>
      <c r="AK241" s="51"/>
    </row>
    <row r="242" spans="1:37" x14ac:dyDescent="0.25">
      <c r="A242" s="155" t="s">
        <v>266</v>
      </c>
      <c r="B242" s="152"/>
      <c r="C242" s="150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6">
        <v>0.99</v>
      </c>
      <c r="AH242" s="48"/>
      <c r="AI242" s="49"/>
      <c r="AK242" s="51"/>
    </row>
    <row r="243" spans="1:37" ht="15.75" thickBot="1" x14ac:dyDescent="0.3">
      <c r="A243" s="155" t="s">
        <v>267</v>
      </c>
      <c r="B243" s="157"/>
      <c r="C243" s="158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6">
        <v>0.97899999999999998</v>
      </c>
      <c r="AH243" s="48"/>
      <c r="AI243" s="49"/>
      <c r="AK243" s="51"/>
    </row>
    <row r="244" spans="1:37" ht="15.75" thickBot="1" x14ac:dyDescent="0.3">
      <c r="A244" s="159" t="s">
        <v>268</v>
      </c>
      <c r="B244" s="160">
        <f t="shared" ref="B244:AG244" si="47">SUM(B139:B243)</f>
        <v>0</v>
      </c>
      <c r="C244" s="161">
        <f t="shared" si="47"/>
        <v>0</v>
      </c>
      <c r="D244" s="161">
        <f t="shared" si="47"/>
        <v>0</v>
      </c>
      <c r="E244" s="161">
        <f t="shared" si="47"/>
        <v>0</v>
      </c>
      <c r="F244" s="161">
        <f t="shared" si="47"/>
        <v>0</v>
      </c>
      <c r="G244" s="161">
        <f t="shared" si="47"/>
        <v>0</v>
      </c>
      <c r="H244" s="161">
        <f t="shared" si="47"/>
        <v>0</v>
      </c>
      <c r="I244" s="161">
        <f t="shared" si="47"/>
        <v>0</v>
      </c>
      <c r="J244" s="161">
        <f t="shared" si="47"/>
        <v>0</v>
      </c>
      <c r="K244" s="161">
        <f t="shared" si="47"/>
        <v>0</v>
      </c>
      <c r="L244" s="161">
        <f t="shared" si="47"/>
        <v>0</v>
      </c>
      <c r="M244" s="161">
        <f t="shared" si="47"/>
        <v>0</v>
      </c>
      <c r="N244" s="161">
        <f t="shared" si="47"/>
        <v>0</v>
      </c>
      <c r="O244" s="161">
        <f t="shared" si="47"/>
        <v>0</v>
      </c>
      <c r="P244" s="161">
        <f t="shared" si="47"/>
        <v>0</v>
      </c>
      <c r="Q244" s="161">
        <f t="shared" si="47"/>
        <v>0</v>
      </c>
      <c r="R244" s="161">
        <f t="shared" si="47"/>
        <v>0</v>
      </c>
      <c r="S244" s="161">
        <f t="shared" si="47"/>
        <v>0</v>
      </c>
      <c r="T244" s="161">
        <f t="shared" si="47"/>
        <v>0</v>
      </c>
      <c r="U244" s="161">
        <f t="shared" si="47"/>
        <v>0</v>
      </c>
      <c r="V244" s="161">
        <f t="shared" si="47"/>
        <v>0</v>
      </c>
      <c r="W244" s="161">
        <f t="shared" si="47"/>
        <v>0</v>
      </c>
      <c r="X244" s="161">
        <f t="shared" si="47"/>
        <v>0</v>
      </c>
      <c r="Y244" s="161">
        <f t="shared" si="47"/>
        <v>0</v>
      </c>
      <c r="Z244" s="161">
        <f t="shared" si="47"/>
        <v>0</v>
      </c>
      <c r="AA244" s="161">
        <f t="shared" si="47"/>
        <v>0</v>
      </c>
      <c r="AB244" s="161">
        <f t="shared" si="47"/>
        <v>0</v>
      </c>
      <c r="AC244" s="161">
        <f t="shared" si="47"/>
        <v>0</v>
      </c>
      <c r="AD244" s="161">
        <f t="shared" si="47"/>
        <v>0</v>
      </c>
      <c r="AE244" s="161">
        <f t="shared" si="47"/>
        <v>0</v>
      </c>
      <c r="AF244" s="162">
        <f t="shared" si="47"/>
        <v>0</v>
      </c>
      <c r="AG244" s="163">
        <f t="shared" si="47"/>
        <v>412.72299999999984</v>
      </c>
      <c r="AH244" s="48"/>
      <c r="AI244" s="49"/>
      <c r="AK244" s="51"/>
    </row>
    <row r="245" spans="1:37" ht="15.75" thickBot="1" x14ac:dyDescent="0.3">
      <c r="A245" s="26" t="s">
        <v>98</v>
      </c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5"/>
      <c r="AH245" s="48"/>
      <c r="AI245" s="49"/>
      <c r="AK245" s="51"/>
    </row>
    <row r="246" spans="1:37" x14ac:dyDescent="0.25">
      <c r="A246" s="113" t="s">
        <v>269</v>
      </c>
      <c r="B246" s="166">
        <f t="shared" ref="B246:B251" si="48">AF246</f>
        <v>0.3</v>
      </c>
      <c r="C246" s="166">
        <v>0.3</v>
      </c>
      <c r="D246" s="166">
        <f t="shared" ref="D246:AF251" si="49">C246</f>
        <v>0.3</v>
      </c>
      <c r="E246" s="166">
        <f t="shared" si="49"/>
        <v>0.3</v>
      </c>
      <c r="F246" s="166">
        <f t="shared" si="49"/>
        <v>0.3</v>
      </c>
      <c r="G246" s="166">
        <f t="shared" si="49"/>
        <v>0.3</v>
      </c>
      <c r="H246" s="166">
        <f t="shared" si="49"/>
        <v>0.3</v>
      </c>
      <c r="I246" s="166">
        <f t="shared" si="49"/>
        <v>0.3</v>
      </c>
      <c r="J246" s="166">
        <f t="shared" si="49"/>
        <v>0.3</v>
      </c>
      <c r="K246" s="166">
        <f t="shared" si="49"/>
        <v>0.3</v>
      </c>
      <c r="L246" s="166">
        <f t="shared" si="49"/>
        <v>0.3</v>
      </c>
      <c r="M246" s="166">
        <f t="shared" si="49"/>
        <v>0.3</v>
      </c>
      <c r="N246" s="166">
        <f t="shared" si="49"/>
        <v>0.3</v>
      </c>
      <c r="O246" s="166">
        <f t="shared" si="49"/>
        <v>0.3</v>
      </c>
      <c r="P246" s="166">
        <f t="shared" si="49"/>
        <v>0.3</v>
      </c>
      <c r="Q246" s="166">
        <f t="shared" si="49"/>
        <v>0.3</v>
      </c>
      <c r="R246" s="166">
        <f t="shared" si="49"/>
        <v>0.3</v>
      </c>
      <c r="S246" s="166">
        <f t="shared" si="49"/>
        <v>0.3</v>
      </c>
      <c r="T246" s="166">
        <f t="shared" si="49"/>
        <v>0.3</v>
      </c>
      <c r="U246" s="166">
        <f t="shared" si="49"/>
        <v>0.3</v>
      </c>
      <c r="V246" s="166">
        <f t="shared" si="49"/>
        <v>0.3</v>
      </c>
      <c r="W246" s="166">
        <f t="shared" si="49"/>
        <v>0.3</v>
      </c>
      <c r="X246" s="166">
        <f t="shared" si="49"/>
        <v>0.3</v>
      </c>
      <c r="Y246" s="166">
        <f t="shared" si="49"/>
        <v>0.3</v>
      </c>
      <c r="Z246" s="166">
        <f t="shared" si="49"/>
        <v>0.3</v>
      </c>
      <c r="AA246" s="166">
        <f t="shared" si="49"/>
        <v>0.3</v>
      </c>
      <c r="AB246" s="166">
        <f t="shared" si="49"/>
        <v>0.3</v>
      </c>
      <c r="AC246" s="166">
        <f t="shared" si="49"/>
        <v>0.3</v>
      </c>
      <c r="AD246" s="166">
        <f t="shared" si="49"/>
        <v>0.3</v>
      </c>
      <c r="AE246" s="166">
        <f t="shared" si="49"/>
        <v>0.3</v>
      </c>
      <c r="AF246" s="166">
        <f t="shared" si="49"/>
        <v>0.3</v>
      </c>
      <c r="AG246" s="167">
        <v>2.4</v>
      </c>
      <c r="AH246" s="48"/>
      <c r="AI246" s="49"/>
      <c r="AK246" s="51"/>
    </row>
    <row r="247" spans="1:37" x14ac:dyDescent="0.25">
      <c r="A247" s="116" t="s">
        <v>270</v>
      </c>
      <c r="B247" s="152">
        <f t="shared" si="48"/>
        <v>0.4</v>
      </c>
      <c r="C247" s="152">
        <v>0.4</v>
      </c>
      <c r="D247" s="152">
        <f t="shared" si="49"/>
        <v>0.4</v>
      </c>
      <c r="E247" s="152">
        <f t="shared" si="49"/>
        <v>0.4</v>
      </c>
      <c r="F247" s="152">
        <f t="shared" si="49"/>
        <v>0.4</v>
      </c>
      <c r="G247" s="152">
        <f t="shared" si="49"/>
        <v>0.4</v>
      </c>
      <c r="H247" s="152">
        <f t="shared" si="49"/>
        <v>0.4</v>
      </c>
      <c r="I247" s="152">
        <f t="shared" si="49"/>
        <v>0.4</v>
      </c>
      <c r="J247" s="152">
        <f t="shared" si="49"/>
        <v>0.4</v>
      </c>
      <c r="K247" s="152">
        <f t="shared" si="49"/>
        <v>0.4</v>
      </c>
      <c r="L247" s="152">
        <f t="shared" si="49"/>
        <v>0.4</v>
      </c>
      <c r="M247" s="152">
        <f t="shared" si="49"/>
        <v>0.4</v>
      </c>
      <c r="N247" s="152">
        <f t="shared" si="49"/>
        <v>0.4</v>
      </c>
      <c r="O247" s="152">
        <f t="shared" si="49"/>
        <v>0.4</v>
      </c>
      <c r="P247" s="152">
        <f t="shared" si="49"/>
        <v>0.4</v>
      </c>
      <c r="Q247" s="152">
        <f t="shared" si="49"/>
        <v>0.4</v>
      </c>
      <c r="R247" s="152">
        <f t="shared" si="49"/>
        <v>0.4</v>
      </c>
      <c r="S247" s="152">
        <f t="shared" si="49"/>
        <v>0.4</v>
      </c>
      <c r="T247" s="152">
        <f t="shared" si="49"/>
        <v>0.4</v>
      </c>
      <c r="U247" s="152">
        <f t="shared" si="49"/>
        <v>0.4</v>
      </c>
      <c r="V247" s="152">
        <f t="shared" si="49"/>
        <v>0.4</v>
      </c>
      <c r="W247" s="152">
        <f t="shared" si="49"/>
        <v>0.4</v>
      </c>
      <c r="X247" s="152">
        <f t="shared" si="49"/>
        <v>0.4</v>
      </c>
      <c r="Y247" s="152">
        <f t="shared" si="49"/>
        <v>0.4</v>
      </c>
      <c r="Z247" s="152">
        <f t="shared" si="49"/>
        <v>0.4</v>
      </c>
      <c r="AA247" s="152">
        <f t="shared" si="49"/>
        <v>0.4</v>
      </c>
      <c r="AB247" s="152">
        <f t="shared" si="49"/>
        <v>0.4</v>
      </c>
      <c r="AC247" s="152">
        <f t="shared" si="49"/>
        <v>0.4</v>
      </c>
      <c r="AD247" s="152">
        <f t="shared" si="49"/>
        <v>0.4</v>
      </c>
      <c r="AE247" s="152">
        <f t="shared" si="49"/>
        <v>0.4</v>
      </c>
      <c r="AF247" s="152">
        <f t="shared" si="49"/>
        <v>0.4</v>
      </c>
      <c r="AG247" s="168">
        <v>2</v>
      </c>
      <c r="AH247" s="48"/>
      <c r="AI247" s="49"/>
      <c r="AK247" s="51"/>
    </row>
    <row r="248" spans="1:37" x14ac:dyDescent="0.25">
      <c r="A248" s="116" t="s">
        <v>271</v>
      </c>
      <c r="B248" s="152">
        <f t="shared" si="48"/>
        <v>1.5</v>
      </c>
      <c r="C248" s="152">
        <v>1.5</v>
      </c>
      <c r="D248" s="152">
        <f t="shared" si="49"/>
        <v>1.5</v>
      </c>
      <c r="E248" s="152">
        <f t="shared" si="49"/>
        <v>1.5</v>
      </c>
      <c r="F248" s="152">
        <f t="shared" si="49"/>
        <v>1.5</v>
      </c>
      <c r="G248" s="152">
        <f t="shared" si="49"/>
        <v>1.5</v>
      </c>
      <c r="H248" s="152">
        <f t="shared" si="49"/>
        <v>1.5</v>
      </c>
      <c r="I248" s="152">
        <f t="shared" si="49"/>
        <v>1.5</v>
      </c>
      <c r="J248" s="152">
        <f t="shared" si="49"/>
        <v>1.5</v>
      </c>
      <c r="K248" s="152">
        <f t="shared" si="49"/>
        <v>1.5</v>
      </c>
      <c r="L248" s="152">
        <f t="shared" si="49"/>
        <v>1.5</v>
      </c>
      <c r="M248" s="152">
        <f t="shared" si="49"/>
        <v>1.5</v>
      </c>
      <c r="N248" s="152">
        <f t="shared" si="49"/>
        <v>1.5</v>
      </c>
      <c r="O248" s="152">
        <f t="shared" si="49"/>
        <v>1.5</v>
      </c>
      <c r="P248" s="152">
        <f t="shared" si="49"/>
        <v>1.5</v>
      </c>
      <c r="Q248" s="152">
        <f t="shared" si="49"/>
        <v>1.5</v>
      </c>
      <c r="R248" s="152">
        <f t="shared" si="49"/>
        <v>1.5</v>
      </c>
      <c r="S248" s="152">
        <f t="shared" si="49"/>
        <v>1.5</v>
      </c>
      <c r="T248" s="152">
        <f t="shared" si="49"/>
        <v>1.5</v>
      </c>
      <c r="U248" s="152">
        <f t="shared" si="49"/>
        <v>1.5</v>
      </c>
      <c r="V248" s="152">
        <f t="shared" si="49"/>
        <v>1.5</v>
      </c>
      <c r="W248" s="152">
        <f t="shared" si="49"/>
        <v>1.5</v>
      </c>
      <c r="X248" s="152">
        <f t="shared" si="49"/>
        <v>1.5</v>
      </c>
      <c r="Y248" s="152">
        <f t="shared" si="49"/>
        <v>1.5</v>
      </c>
      <c r="Z248" s="152">
        <f t="shared" si="49"/>
        <v>1.5</v>
      </c>
      <c r="AA248" s="152">
        <f t="shared" si="49"/>
        <v>1.5</v>
      </c>
      <c r="AB248" s="152">
        <f t="shared" si="49"/>
        <v>1.5</v>
      </c>
      <c r="AC248" s="152">
        <f t="shared" si="49"/>
        <v>1.5</v>
      </c>
      <c r="AD248" s="152">
        <f t="shared" si="49"/>
        <v>1.5</v>
      </c>
      <c r="AE248" s="152">
        <f t="shared" si="49"/>
        <v>1.5</v>
      </c>
      <c r="AF248" s="152">
        <f t="shared" si="49"/>
        <v>1.5</v>
      </c>
      <c r="AG248" s="168">
        <v>1.5</v>
      </c>
      <c r="AH248" s="48"/>
      <c r="AI248" s="49"/>
      <c r="AK248" s="51"/>
    </row>
    <row r="249" spans="1:37" x14ac:dyDescent="0.25">
      <c r="A249" s="116" t="s">
        <v>272</v>
      </c>
      <c r="B249" s="152">
        <f t="shared" si="48"/>
        <v>0.3</v>
      </c>
      <c r="C249" s="152">
        <v>0.3</v>
      </c>
      <c r="D249" s="152">
        <f t="shared" si="49"/>
        <v>0.3</v>
      </c>
      <c r="E249" s="152">
        <f t="shared" si="49"/>
        <v>0.3</v>
      </c>
      <c r="F249" s="152">
        <f t="shared" si="49"/>
        <v>0.3</v>
      </c>
      <c r="G249" s="152">
        <f t="shared" si="49"/>
        <v>0.3</v>
      </c>
      <c r="H249" s="152">
        <f t="shared" si="49"/>
        <v>0.3</v>
      </c>
      <c r="I249" s="152">
        <f t="shared" si="49"/>
        <v>0.3</v>
      </c>
      <c r="J249" s="152">
        <f t="shared" si="49"/>
        <v>0.3</v>
      </c>
      <c r="K249" s="152">
        <f t="shared" si="49"/>
        <v>0.3</v>
      </c>
      <c r="L249" s="152">
        <f t="shared" si="49"/>
        <v>0.3</v>
      </c>
      <c r="M249" s="152">
        <f t="shared" si="49"/>
        <v>0.3</v>
      </c>
      <c r="N249" s="152">
        <f t="shared" si="49"/>
        <v>0.3</v>
      </c>
      <c r="O249" s="152">
        <f t="shared" si="49"/>
        <v>0.3</v>
      </c>
      <c r="P249" s="152">
        <f t="shared" si="49"/>
        <v>0.3</v>
      </c>
      <c r="Q249" s="152">
        <f t="shared" si="49"/>
        <v>0.3</v>
      </c>
      <c r="R249" s="152">
        <f t="shared" si="49"/>
        <v>0.3</v>
      </c>
      <c r="S249" s="152">
        <f t="shared" si="49"/>
        <v>0.3</v>
      </c>
      <c r="T249" s="152">
        <f t="shared" si="49"/>
        <v>0.3</v>
      </c>
      <c r="U249" s="152">
        <f t="shared" si="49"/>
        <v>0.3</v>
      </c>
      <c r="V249" s="152">
        <f t="shared" si="49"/>
        <v>0.3</v>
      </c>
      <c r="W249" s="152">
        <f t="shared" si="49"/>
        <v>0.3</v>
      </c>
      <c r="X249" s="152">
        <f t="shared" si="49"/>
        <v>0.3</v>
      </c>
      <c r="Y249" s="152">
        <f t="shared" si="49"/>
        <v>0.3</v>
      </c>
      <c r="Z249" s="152">
        <f t="shared" si="49"/>
        <v>0.3</v>
      </c>
      <c r="AA249" s="152">
        <f t="shared" si="49"/>
        <v>0.3</v>
      </c>
      <c r="AB249" s="152">
        <f t="shared" si="49"/>
        <v>0.3</v>
      </c>
      <c r="AC249" s="152">
        <f t="shared" si="49"/>
        <v>0.3</v>
      </c>
      <c r="AD249" s="152">
        <f t="shared" si="49"/>
        <v>0.3</v>
      </c>
      <c r="AE249" s="152">
        <f t="shared" si="49"/>
        <v>0.3</v>
      </c>
      <c r="AF249" s="152">
        <f t="shared" si="49"/>
        <v>0.3</v>
      </c>
      <c r="AG249" s="168">
        <v>1</v>
      </c>
      <c r="AH249" s="48"/>
      <c r="AI249" s="49"/>
      <c r="AK249" s="51"/>
    </row>
    <row r="250" spans="1:37" x14ac:dyDescent="0.25">
      <c r="A250" s="116" t="s">
        <v>273</v>
      </c>
      <c r="B250" s="152">
        <f t="shared" si="48"/>
        <v>0.4</v>
      </c>
      <c r="C250" s="152">
        <v>0.4</v>
      </c>
      <c r="D250" s="152">
        <f t="shared" si="49"/>
        <v>0.4</v>
      </c>
      <c r="E250" s="152">
        <f t="shared" si="49"/>
        <v>0.4</v>
      </c>
      <c r="F250" s="152">
        <f t="shared" si="49"/>
        <v>0.4</v>
      </c>
      <c r="G250" s="152">
        <f t="shared" si="49"/>
        <v>0.4</v>
      </c>
      <c r="H250" s="152">
        <f t="shared" si="49"/>
        <v>0.4</v>
      </c>
      <c r="I250" s="152">
        <f t="shared" si="49"/>
        <v>0.4</v>
      </c>
      <c r="J250" s="152">
        <f t="shared" si="49"/>
        <v>0.4</v>
      </c>
      <c r="K250" s="152">
        <f t="shared" si="49"/>
        <v>0.4</v>
      </c>
      <c r="L250" s="152">
        <f t="shared" si="49"/>
        <v>0.4</v>
      </c>
      <c r="M250" s="152">
        <f t="shared" si="49"/>
        <v>0.4</v>
      </c>
      <c r="N250" s="152">
        <f t="shared" si="49"/>
        <v>0.4</v>
      </c>
      <c r="O250" s="152">
        <f t="shared" si="49"/>
        <v>0.4</v>
      </c>
      <c r="P250" s="152">
        <f t="shared" si="49"/>
        <v>0.4</v>
      </c>
      <c r="Q250" s="152">
        <f t="shared" si="49"/>
        <v>0.4</v>
      </c>
      <c r="R250" s="152">
        <f t="shared" si="49"/>
        <v>0.4</v>
      </c>
      <c r="S250" s="152">
        <f t="shared" si="49"/>
        <v>0.4</v>
      </c>
      <c r="T250" s="152">
        <f t="shared" si="49"/>
        <v>0.4</v>
      </c>
      <c r="U250" s="152">
        <f t="shared" si="49"/>
        <v>0.4</v>
      </c>
      <c r="V250" s="152">
        <f t="shared" si="49"/>
        <v>0.4</v>
      </c>
      <c r="W250" s="152">
        <f t="shared" si="49"/>
        <v>0.4</v>
      </c>
      <c r="X250" s="152">
        <f t="shared" si="49"/>
        <v>0.4</v>
      </c>
      <c r="Y250" s="152">
        <f t="shared" si="49"/>
        <v>0.4</v>
      </c>
      <c r="Z250" s="152">
        <f t="shared" si="49"/>
        <v>0.4</v>
      </c>
      <c r="AA250" s="152">
        <f t="shared" si="49"/>
        <v>0.4</v>
      </c>
      <c r="AB250" s="152">
        <f t="shared" si="49"/>
        <v>0.4</v>
      </c>
      <c r="AC250" s="152">
        <f t="shared" si="49"/>
        <v>0.4</v>
      </c>
      <c r="AD250" s="152">
        <f t="shared" si="49"/>
        <v>0.4</v>
      </c>
      <c r="AE250" s="152">
        <f t="shared" si="49"/>
        <v>0.4</v>
      </c>
      <c r="AF250" s="152">
        <f t="shared" si="49"/>
        <v>0.4</v>
      </c>
      <c r="AG250" s="168">
        <v>1</v>
      </c>
      <c r="AH250" s="48"/>
      <c r="AI250" s="49"/>
      <c r="AK250" s="51"/>
    </row>
    <row r="251" spans="1:37" ht="15.75" thickBot="1" x14ac:dyDescent="0.3">
      <c r="A251" s="155" t="s">
        <v>274</v>
      </c>
      <c r="B251" s="157">
        <f t="shared" si="48"/>
        <v>0.64</v>
      </c>
      <c r="C251" s="157">
        <v>0.64</v>
      </c>
      <c r="D251" s="157">
        <f t="shared" si="49"/>
        <v>0.64</v>
      </c>
      <c r="E251" s="157">
        <f t="shared" si="49"/>
        <v>0.64</v>
      </c>
      <c r="F251" s="157">
        <f t="shared" si="49"/>
        <v>0.64</v>
      </c>
      <c r="G251" s="157">
        <f t="shared" si="49"/>
        <v>0.64</v>
      </c>
      <c r="H251" s="157">
        <f t="shared" si="49"/>
        <v>0.64</v>
      </c>
      <c r="I251" s="157">
        <f t="shared" si="49"/>
        <v>0.64</v>
      </c>
      <c r="J251" s="157">
        <f t="shared" si="49"/>
        <v>0.64</v>
      </c>
      <c r="K251" s="157">
        <f t="shared" si="49"/>
        <v>0.64</v>
      </c>
      <c r="L251" s="157">
        <f t="shared" si="49"/>
        <v>0.64</v>
      </c>
      <c r="M251" s="157">
        <f t="shared" si="49"/>
        <v>0.64</v>
      </c>
      <c r="N251" s="157">
        <f t="shared" si="49"/>
        <v>0.64</v>
      </c>
      <c r="O251" s="157">
        <f t="shared" si="49"/>
        <v>0.64</v>
      </c>
      <c r="P251" s="157">
        <f t="shared" si="49"/>
        <v>0.64</v>
      </c>
      <c r="Q251" s="157">
        <f t="shared" si="49"/>
        <v>0.64</v>
      </c>
      <c r="R251" s="157">
        <f t="shared" si="49"/>
        <v>0.64</v>
      </c>
      <c r="S251" s="157">
        <f t="shared" si="49"/>
        <v>0.64</v>
      </c>
      <c r="T251" s="157">
        <f t="shared" si="49"/>
        <v>0.64</v>
      </c>
      <c r="U251" s="157">
        <f t="shared" si="49"/>
        <v>0.64</v>
      </c>
      <c r="V251" s="157">
        <f t="shared" si="49"/>
        <v>0.64</v>
      </c>
      <c r="W251" s="157">
        <f t="shared" si="49"/>
        <v>0.64</v>
      </c>
      <c r="X251" s="157">
        <f t="shared" si="49"/>
        <v>0.64</v>
      </c>
      <c r="Y251" s="157">
        <f t="shared" si="49"/>
        <v>0.64</v>
      </c>
      <c r="Z251" s="157">
        <f t="shared" si="49"/>
        <v>0.64</v>
      </c>
      <c r="AA251" s="157">
        <f t="shared" si="49"/>
        <v>0.64</v>
      </c>
      <c r="AB251" s="157">
        <f t="shared" si="49"/>
        <v>0.64</v>
      </c>
      <c r="AC251" s="157">
        <f t="shared" si="49"/>
        <v>0.64</v>
      </c>
      <c r="AD251" s="157">
        <f t="shared" si="49"/>
        <v>0.64</v>
      </c>
      <c r="AE251" s="157">
        <f t="shared" si="49"/>
        <v>0.64</v>
      </c>
      <c r="AF251" s="157">
        <f t="shared" si="49"/>
        <v>0.64</v>
      </c>
      <c r="AG251" s="169">
        <v>0.66</v>
      </c>
      <c r="AH251" s="48"/>
      <c r="AI251" s="49"/>
    </row>
    <row r="252" spans="1:37" ht="15.75" thickBot="1" x14ac:dyDescent="0.3">
      <c r="A252" s="170" t="s">
        <v>98</v>
      </c>
      <c r="B252" s="161">
        <f t="shared" ref="B252:AG252" si="50">SUM(B246:B251)</f>
        <v>3.54</v>
      </c>
      <c r="C252" s="161">
        <f t="shared" si="50"/>
        <v>3.54</v>
      </c>
      <c r="D252" s="161">
        <f t="shared" si="50"/>
        <v>3.54</v>
      </c>
      <c r="E252" s="161">
        <f t="shared" si="50"/>
        <v>3.54</v>
      </c>
      <c r="F252" s="161">
        <f t="shared" si="50"/>
        <v>3.54</v>
      </c>
      <c r="G252" s="161">
        <f t="shared" si="50"/>
        <v>3.54</v>
      </c>
      <c r="H252" s="161">
        <f t="shared" si="50"/>
        <v>3.54</v>
      </c>
      <c r="I252" s="161">
        <f t="shared" si="50"/>
        <v>3.54</v>
      </c>
      <c r="J252" s="161">
        <f t="shared" si="50"/>
        <v>3.54</v>
      </c>
      <c r="K252" s="161">
        <f t="shared" si="50"/>
        <v>3.54</v>
      </c>
      <c r="L252" s="161">
        <f t="shared" si="50"/>
        <v>3.54</v>
      </c>
      <c r="M252" s="161">
        <f t="shared" si="50"/>
        <v>3.54</v>
      </c>
      <c r="N252" s="161">
        <f t="shared" si="50"/>
        <v>3.54</v>
      </c>
      <c r="O252" s="161">
        <f t="shared" si="50"/>
        <v>3.54</v>
      </c>
      <c r="P252" s="161">
        <f t="shared" si="50"/>
        <v>3.54</v>
      </c>
      <c r="Q252" s="161">
        <f t="shared" si="50"/>
        <v>3.54</v>
      </c>
      <c r="R252" s="161">
        <f t="shared" si="50"/>
        <v>3.54</v>
      </c>
      <c r="S252" s="161">
        <f t="shared" si="50"/>
        <v>3.54</v>
      </c>
      <c r="T252" s="161">
        <f t="shared" si="50"/>
        <v>3.54</v>
      </c>
      <c r="U252" s="161">
        <f t="shared" si="50"/>
        <v>3.54</v>
      </c>
      <c r="V252" s="161">
        <f t="shared" si="50"/>
        <v>3.54</v>
      </c>
      <c r="W252" s="161">
        <f t="shared" si="50"/>
        <v>3.54</v>
      </c>
      <c r="X252" s="161">
        <f t="shared" si="50"/>
        <v>3.54</v>
      </c>
      <c r="Y252" s="161">
        <f t="shared" si="50"/>
        <v>3.54</v>
      </c>
      <c r="Z252" s="161">
        <f t="shared" si="50"/>
        <v>3.54</v>
      </c>
      <c r="AA252" s="161">
        <f t="shared" si="50"/>
        <v>3.54</v>
      </c>
      <c r="AB252" s="161">
        <f t="shared" si="50"/>
        <v>3.54</v>
      </c>
      <c r="AC252" s="161">
        <f t="shared" si="50"/>
        <v>3.54</v>
      </c>
      <c r="AD252" s="161">
        <f t="shared" si="50"/>
        <v>3.54</v>
      </c>
      <c r="AE252" s="161">
        <f t="shared" si="50"/>
        <v>3.54</v>
      </c>
      <c r="AF252" s="161">
        <f t="shared" si="50"/>
        <v>3.54</v>
      </c>
      <c r="AG252" s="171">
        <f t="shared" si="50"/>
        <v>8.56</v>
      </c>
      <c r="AH252" s="48"/>
      <c r="AI252" s="49"/>
    </row>
    <row r="253" spans="1:37" x14ac:dyDescent="0.25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164"/>
      <c r="AH253" s="44"/>
    </row>
    <row r="254" spans="1:37" x14ac:dyDescent="0.25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7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7" x14ac:dyDescent="0.25">
      <c r="A256" s="172" t="s">
        <v>275</v>
      </c>
      <c r="B256" s="173">
        <f>MAX(G99:N99)</f>
        <v>153.54</v>
      </c>
      <c r="C256" s="174">
        <f>INDEX(G9:N9,1,MATCH(MAX(G99:N99),G99:N99,0))</f>
        <v>0.20833333333333301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x14ac:dyDescent="0.25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</row>
    <row r="258" spans="1:34" x14ac:dyDescent="0.25">
      <c r="A258" s="204" t="s">
        <v>276</v>
      </c>
      <c r="B258" s="204"/>
      <c r="C258" s="44"/>
      <c r="D258" s="52" t="e">
        <f ca="1">"Pie Chart of Daily Peak Demand(Inclusive of Export) of Nepal ("&amp;A4&amp;" "&amp;B4&amp;")"</f>
        <v>#VALUE!</v>
      </c>
      <c r="E258" s="44"/>
      <c r="F258" s="44"/>
      <c r="G258" s="52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</row>
    <row r="259" spans="1:34" ht="12.75" customHeight="1" x14ac:dyDescent="0.25">
      <c r="A259" s="175" t="s">
        <v>7</v>
      </c>
      <c r="B259" s="176"/>
      <c r="C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</row>
    <row r="260" spans="1:34" x14ac:dyDescent="0.25">
      <c r="A260" s="175" t="s">
        <v>277</v>
      </c>
      <c r="B260" s="17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</row>
    <row r="261" spans="1:34" x14ac:dyDescent="0.25">
      <c r="A261" s="175" t="s">
        <v>278</v>
      </c>
      <c r="B261" s="17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34" x14ac:dyDescent="0.25">
      <c r="A262" s="175" t="s">
        <v>279</v>
      </c>
      <c r="B262" s="17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</row>
    <row r="263" spans="1:34" x14ac:dyDescent="0.25">
      <c r="A263" s="175" t="s">
        <v>39</v>
      </c>
      <c r="B263" s="17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34" ht="15" customHeight="1" x14ac:dyDescent="0.25">
      <c r="A264" s="175" t="s">
        <v>280</v>
      </c>
      <c r="B264" s="17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</row>
    <row r="265" spans="1:34" ht="26.25" customHeight="1" x14ac:dyDescent="0.25">
      <c r="A265" s="175" t="s">
        <v>281</v>
      </c>
      <c r="B265" s="177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</row>
    <row r="266" spans="1:34" x14ac:dyDescent="0.25">
      <c r="A266" s="175" t="s">
        <v>282</v>
      </c>
      <c r="B266" s="17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</row>
    <row r="267" spans="1:34" x14ac:dyDescent="0.25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</row>
    <row r="268" spans="1:34" x14ac:dyDescent="0.25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</row>
    <row r="269" spans="1:34" x14ac:dyDescent="0.25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34" x14ac:dyDescent="0.25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x14ac:dyDescent="0.25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x14ac:dyDescent="0.25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2:34" x14ac:dyDescent="0.25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2:34" x14ac:dyDescent="0.25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2:34" x14ac:dyDescent="0.2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2:34" x14ac:dyDescent="0.25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2:34" x14ac:dyDescent="0.25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2:34" x14ac:dyDescent="0.25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2:34" x14ac:dyDescent="0.25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2:34" x14ac:dyDescent="0.25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2:34" x14ac:dyDescent="0.25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2:34" x14ac:dyDescent="0.25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2:3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 spans="2:34" x14ac:dyDescent="0.25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2:34" x14ac:dyDescent="0.2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2:34" x14ac:dyDescent="0.25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2:34" x14ac:dyDescent="0.25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2:34" x14ac:dyDescent="0.25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9:34" x14ac:dyDescent="0.25"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9:34" x14ac:dyDescent="0.25"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9:34" x14ac:dyDescent="0.25"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9:34" x14ac:dyDescent="0.25"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9:34" x14ac:dyDescent="0.25"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9:34" x14ac:dyDescent="0.25"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48" priority="89">
      <formula>$AH11=0</formula>
    </cfRule>
  </conditionalFormatting>
  <conditionalFormatting sqref="A132:A253">
    <cfRule type="expression" dxfId="147" priority="90">
      <formula>$AH132=0</formula>
    </cfRule>
  </conditionalFormatting>
  <conditionalFormatting sqref="B8">
    <cfRule type="expression" dxfId="146" priority="144">
      <formula>AND(C$9&gt;=14/24,C$9&lt;20/24)</formula>
    </cfRule>
    <cfRule type="expression" dxfId="145" priority="145">
      <formula>AND(C$9&gt;=8/24,C$9&lt;14/24)</formula>
    </cfRule>
    <cfRule type="expression" dxfId="144" priority="146">
      <formula>C$9&lt;8/24</formula>
    </cfRule>
    <cfRule type="expression" dxfId="143" priority="147">
      <formula>C$9&gt;=20/24</formula>
    </cfRule>
  </conditionalFormatting>
  <conditionalFormatting sqref="B11:E11 B12:J52 K13:V52 W20:X52 B59:D68 B69:AF74 B77:AF99 B9:AF10 B101:AF117 B119:AF137 B244:AF244 B246:B252">
    <cfRule type="expression" dxfId="142" priority="41">
      <formula>B$9&gt;=20/24</formula>
    </cfRule>
  </conditionalFormatting>
  <conditionalFormatting sqref="B19:V54 W20:X54 B55:X55 B56:D61 B11:E11 B12:J18 K13:V18 AA56:AF61 W57:X57 E57:V61 W58:Z61 B62:AG62 B63:AF80 AG80">
    <cfRule type="expression" dxfId="141" priority="40">
      <formula>B11&gt;$AG11</formula>
    </cfRule>
  </conditionalFormatting>
  <conditionalFormatting sqref="B53:X57">
    <cfRule type="expression" dxfId="140" priority="53">
      <formula>B$9&lt;8/24</formula>
    </cfRule>
  </conditionalFormatting>
  <conditionalFormatting sqref="B9:AF10 B11:E11 B12:J52 K13:V52 W20:X52 B59:D68 B69:AF74 B77:AF99 B101:AF117 B119:AF137 B244:AF244 B246:B252">
    <cfRule type="expression" dxfId="139" priority="42">
      <formula>AND(B$9&gt;=14/24,B$9&lt;20/24)</formula>
    </cfRule>
    <cfRule type="expression" dxfId="138" priority="43">
      <formula>AND(B$9&gt;=8/24,B$9&lt;14/24)</formula>
    </cfRule>
    <cfRule type="expression" dxfId="137" priority="44">
      <formula>B$9&lt;8/24</formula>
    </cfRule>
  </conditionalFormatting>
  <conditionalFormatting sqref="B53:AF54 B55:D57">
    <cfRule type="expression" dxfId="136" priority="37">
      <formula>B$9&gt;=20/24</formula>
    </cfRule>
    <cfRule type="expression" dxfId="135" priority="38">
      <formula>AND(B$9&gt;=14/24,B$9&lt;20/24)</formula>
    </cfRule>
    <cfRule type="expression" dxfId="134" priority="39">
      <formula>AND(B$9&gt;=8/24,B$9&lt;14/24)</formula>
    </cfRule>
  </conditionalFormatting>
  <conditionalFormatting sqref="D246:AF252">
    <cfRule type="expression" dxfId="133" priority="129">
      <formula>D$9&gt;=20/24</formula>
    </cfRule>
    <cfRule type="expression" dxfId="132" priority="130">
      <formula>AND(D$9&gt;=14/24,D$9&lt;20/24)</formula>
    </cfRule>
    <cfRule type="expression" dxfId="131" priority="131">
      <formula>AND(D$9&gt;=8/24,D$9&lt;14/24)</formula>
    </cfRule>
    <cfRule type="expression" dxfId="130" priority="132">
      <formula>D$9&lt;8/24</formula>
    </cfRule>
  </conditionalFormatting>
  <conditionalFormatting sqref="E63:I67 J64:J67 K67">
    <cfRule type="expression" dxfId="129" priority="54">
      <formula>E$9&gt;=20/24</formula>
    </cfRule>
    <cfRule type="expression" dxfId="128" priority="55">
      <formula>AND(E$9&gt;=14/24,E$9&lt;20/24)</formula>
    </cfRule>
    <cfRule type="expression" dxfId="127" priority="56">
      <formula>AND(E$9&gt;=8/24,E$9&lt;14/24)</formula>
    </cfRule>
    <cfRule type="expression" dxfId="126" priority="57">
      <formula>E$9&lt;8/24</formula>
    </cfRule>
  </conditionalFormatting>
  <conditionalFormatting sqref="E68:K68">
    <cfRule type="expression" dxfId="125" priority="49">
      <formula>E$9&gt;=20/24</formula>
    </cfRule>
    <cfRule type="expression" dxfId="124" priority="50">
      <formula>AND(E$9&gt;=14/24,E$9&lt;20/24)</formula>
    </cfRule>
    <cfRule type="expression" dxfId="123" priority="51">
      <formula>AND(E$9&gt;=8/24,E$9&lt;14/24)</formula>
    </cfRule>
    <cfRule type="expression" dxfId="122" priority="52">
      <formula>E$9&lt;8/24</formula>
    </cfRule>
  </conditionalFormatting>
  <conditionalFormatting sqref="E11:L11 V11:W11 M11:U12 X11:X19 Y11:AF52 K12:L12 V12 W12:W19">
    <cfRule type="expression" dxfId="121" priority="58">
      <formula>E11&gt;$AG11</formula>
    </cfRule>
    <cfRule type="expression" dxfId="120" priority="59">
      <formula>E$9&gt;=20/24</formula>
    </cfRule>
    <cfRule type="expression" dxfId="119" priority="60">
      <formula>AND(E$9&gt;=14/24,E$9&lt;20/24)</formula>
    </cfRule>
    <cfRule type="expression" dxfId="118" priority="61">
      <formula>AND(E$9&gt;=8/24,E$9&lt;14/24)</formula>
    </cfRule>
    <cfRule type="expression" dxfId="117" priority="62">
      <formula>E$9&lt;8/24</formula>
    </cfRule>
  </conditionalFormatting>
  <conditionalFormatting sqref="E55:X57">
    <cfRule type="expression" dxfId="116" priority="46">
      <formula>E$9&gt;=20/24</formula>
    </cfRule>
    <cfRule type="expression" dxfId="115" priority="47">
      <formula>AND(E$9&gt;=14/24,E$9&lt;20/24)</formula>
    </cfRule>
    <cfRule type="expression" dxfId="114" priority="48">
      <formula>AND(E$9&gt;=8/24,E$9&lt;14/24)</formula>
    </cfRule>
  </conditionalFormatting>
  <conditionalFormatting sqref="E56:X56">
    <cfRule type="expression" dxfId="113" priority="45">
      <formula>E56&gt;$AG56</formula>
    </cfRule>
  </conditionalFormatting>
  <conditionalFormatting sqref="E59:AF62">
    <cfRule type="expression" dxfId="112" priority="67">
      <formula>E$9&gt;=20/24</formula>
    </cfRule>
    <cfRule type="expression" dxfId="111" priority="68">
      <formula>AND(E$9&gt;=14/24,E$9&lt;20/24)</formula>
    </cfRule>
    <cfRule type="expression" dxfId="110" priority="69">
      <formula>AND(E$9&gt;=8/24,E$9&lt;14/24)</formula>
    </cfRule>
    <cfRule type="expression" dxfId="109" priority="70">
      <formula>E$9&lt;8/24</formula>
    </cfRule>
  </conditionalFormatting>
  <conditionalFormatting sqref="F63:L65">
    <cfRule type="expression" dxfId="108" priority="81">
      <formula>F$9&gt;=20/24</formula>
    </cfRule>
    <cfRule type="expression" dxfId="107" priority="82">
      <formula>AND(F$9&gt;=14/24,F$9&lt;20/24)</formula>
    </cfRule>
    <cfRule type="expression" dxfId="106" priority="83">
      <formula>AND(F$9&gt;=8/24,F$9&lt;14/24)</formula>
    </cfRule>
    <cfRule type="expression" dxfId="105" priority="84">
      <formula>F$9&lt;8/24</formula>
    </cfRule>
  </conditionalFormatting>
  <conditionalFormatting sqref="L68:V68">
    <cfRule type="expression" dxfId="104" priority="77">
      <formula>L$9&gt;=20/24</formula>
    </cfRule>
    <cfRule type="expression" dxfId="103" priority="78">
      <formula>AND(L$9&gt;=14/24,L$9&lt;20/24)</formula>
    </cfRule>
    <cfRule type="expression" dxfId="102" priority="79">
      <formula>AND(L$9&gt;=8/24,L$9&lt;14/24)</formula>
    </cfRule>
    <cfRule type="expression" dxfId="101" priority="80">
      <formula>L$9&lt;8/24</formula>
    </cfRule>
  </conditionalFormatting>
  <conditionalFormatting sqref="M8 S8 AB8">
    <cfRule type="expression" dxfId="100" priority="136">
      <formula>AND(N$9&gt;=14/24,N$9&lt;20/24)</formula>
    </cfRule>
    <cfRule type="expression" dxfId="99" priority="137">
      <formula>AND(N$9&gt;=8/24,N$9&lt;14/24)</formula>
    </cfRule>
    <cfRule type="expression" dxfId="98" priority="138">
      <formula>N$9&lt;8/24</formula>
    </cfRule>
  </conditionalFormatting>
  <conditionalFormatting sqref="M63:V67">
    <cfRule type="expression" dxfId="97" priority="85">
      <formula>M$9&gt;=20/24</formula>
    </cfRule>
    <cfRule type="expression" dxfId="96" priority="86">
      <formula>AND(M$9&gt;=14/24,M$9&lt;20/24)</formula>
    </cfRule>
    <cfRule type="expression" dxfId="95" priority="87">
      <formula>AND(M$9&gt;=8/24,M$9&lt;14/24)</formula>
    </cfRule>
    <cfRule type="expression" dxfId="94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93" priority="135">
      <formula>N$9&gt;=20/24</formula>
    </cfRule>
  </conditionalFormatting>
  <conditionalFormatting sqref="S8">
    <cfRule type="expression" dxfId="92" priority="122">
      <formula>U$9&gt;=20/24</formula>
    </cfRule>
    <cfRule type="expression" dxfId="91" priority="123">
      <formula>AND(U$9&gt;=14/24,U$9&lt;20/24)</formula>
    </cfRule>
    <cfRule type="expression" dxfId="90" priority="124">
      <formula>AND(U$9&gt;=8/24,U$9&lt;14/24)</formula>
    </cfRule>
    <cfRule type="expression" dxfId="89" priority="125">
      <formula>U$9&lt;8/24</formula>
    </cfRule>
  </conditionalFormatting>
  <conditionalFormatting sqref="T63:AF68">
    <cfRule type="expression" dxfId="88" priority="71">
      <formula>T$9&gt;=20/24</formula>
    </cfRule>
    <cfRule type="expression" dxfId="87" priority="72">
      <formula>AND(T$9&gt;=14/24,T$9&lt;20/24)</formula>
    </cfRule>
    <cfRule type="expression" dxfId="86" priority="73">
      <formula>AND(T$9&gt;=8/24,T$9&lt;14/24)</formula>
    </cfRule>
    <cfRule type="expression" dxfId="85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84" priority="63">
      <formula>Y56&gt;$AG56</formula>
    </cfRule>
  </conditionalFormatting>
  <conditionalFormatting sqref="Y53:AF55">
    <cfRule type="expression" dxfId="83" priority="76">
      <formula>Y53&gt;$AG53</formula>
    </cfRule>
  </conditionalFormatting>
  <conditionalFormatting sqref="Y53:AF57">
    <cfRule type="expression" dxfId="82" priority="75">
      <formula>Y$9&lt;8/24</formula>
    </cfRule>
  </conditionalFormatting>
  <conditionalFormatting sqref="Y55:AF57">
    <cfRule type="expression" dxfId="81" priority="64">
      <formula>Y$9&gt;=20/24</formula>
    </cfRule>
    <cfRule type="expression" dxfId="80" priority="65">
      <formula>AND(Y$9&gt;=14/24,Y$9&lt;20/24)</formula>
    </cfRule>
    <cfRule type="expression" dxfId="79" priority="66">
      <formula>AND(Y$9&gt;=8/24,Y$9&lt;14/24)</formula>
    </cfRule>
  </conditionalFormatting>
  <conditionalFormatting sqref="AB8">
    <cfRule type="expression" dxfId="78" priority="118">
      <formula>AD$9&gt;=20/24</formula>
    </cfRule>
    <cfRule type="expression" dxfId="77" priority="119">
      <formula>AND(AD$9&gt;=14/24,AD$9&lt;20/24)</formula>
    </cfRule>
    <cfRule type="expression" dxfId="76" priority="120">
      <formula>AND(AD$9&gt;=8/24,AD$9&lt;14/24)</formula>
    </cfRule>
    <cfRule type="expression" dxfId="75" priority="121">
      <formula>AD$9&lt;8/24</formula>
    </cfRule>
  </conditionalFormatting>
  <conditionalFormatting sqref="AG58">
    <cfRule type="expression" dxfId="74" priority="113">
      <formula>AG58&gt;$AG58</formula>
    </cfRule>
  </conditionalFormatting>
  <conditionalFormatting sqref="AG62">
    <cfRule type="expression" dxfId="73" priority="96">
      <formula>AG$9&gt;=20/24</formula>
    </cfRule>
    <cfRule type="expression" dxfId="72" priority="97">
      <formula>AND(AG$9&gt;=14/24,AG$9&lt;20/24)</formula>
    </cfRule>
    <cfRule type="expression" dxfId="71" priority="98">
      <formula>AND(AG$9&gt;=8/24,AG$9&lt;14/24)</formula>
    </cfRule>
    <cfRule type="expression" dxfId="70" priority="99">
      <formula>AG$9&lt;8/24</formula>
    </cfRule>
  </conditionalFormatting>
  <conditionalFormatting sqref="AG75:AG76">
    <cfRule type="expression" dxfId="69" priority="91">
      <formula>AG75&gt;$AG75</formula>
    </cfRule>
  </conditionalFormatting>
  <conditionalFormatting sqref="AG80">
    <cfRule type="expression" dxfId="68" priority="92">
      <formula>AG$9&gt;=20/24</formula>
    </cfRule>
    <cfRule type="expression" dxfId="67" priority="93">
      <formula>AND(AG$9&gt;=14/24,AG$9&lt;20/24)</formula>
    </cfRule>
    <cfRule type="expression" dxfId="66" priority="94">
      <formula>AND(AG$9&gt;=8/24,AG$9&lt;14/24)</formula>
    </cfRule>
    <cfRule type="expression" dxfId="65" priority="95">
      <formula>AG$9&lt;8/24</formula>
    </cfRule>
  </conditionalFormatting>
  <conditionalFormatting sqref="AG97">
    <cfRule type="expression" dxfId="64" priority="114">
      <formula>AG$9&gt;=20/24</formula>
    </cfRule>
    <cfRule type="expression" dxfId="63" priority="115">
      <formula>AND(AG$9&gt;=14/24,AG$9&lt;20/24)</formula>
    </cfRule>
    <cfRule type="expression" dxfId="62" priority="116">
      <formula>AND(AG$9&gt;=8/24,AG$9&lt;14/24)</formula>
    </cfRule>
    <cfRule type="expression" dxfId="61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60" priority="139">
      <formula>AJ$9&gt;=20/24</formula>
    </cfRule>
    <cfRule type="expression" dxfId="59" priority="140">
      <formula>AND(AJ$9&gt;=14/24,AJ$9&lt;20/24)</formula>
    </cfRule>
    <cfRule type="expression" dxfId="58" priority="141">
      <formula>AND(AJ$9&gt;=8/24,AJ$9&lt;14/24)</formula>
    </cfRule>
    <cfRule type="expression" dxfId="57" priority="142">
      <formula>AJ$9&lt;8/24</formula>
    </cfRule>
  </conditionalFormatting>
  <conditionalFormatting sqref="AL88:AN88 AL94:AN94">
    <cfRule type="expression" dxfId="56" priority="106">
      <formula>AL$9&gt;=20/24</formula>
    </cfRule>
    <cfRule type="expression" dxfId="55" priority="107">
      <formula>AND(AL$9&gt;=14/24,AL$9&lt;20/24)</formula>
    </cfRule>
    <cfRule type="expression" dxfId="54" priority="108">
      <formula>AND(AL$9&gt;=8/24,AL$9&lt;14/24)</formula>
    </cfRule>
    <cfRule type="expression" dxfId="53" priority="109">
      <formula>AL$9&lt;8/24</formula>
    </cfRule>
  </conditionalFormatting>
  <conditionalFormatting sqref="AM15:AM21 AN16:AR21">
    <cfRule type="expression" dxfId="52" priority="13">
      <formula>AX$9&gt;=20/24</formula>
    </cfRule>
    <cfRule type="expression" dxfId="51" priority="14">
      <formula>AND(AX$9&gt;=14/24,AX$9&lt;20/24)</formula>
    </cfRule>
    <cfRule type="expression" dxfId="50" priority="15">
      <formula>AND(AX$9&gt;=8/24,AX$9&lt;14/24)</formula>
    </cfRule>
    <cfRule type="expression" dxfId="49" priority="16">
      <formula>AX$9&lt;8/24</formula>
    </cfRule>
  </conditionalFormatting>
  <conditionalFormatting sqref="AN89:AN92">
    <cfRule type="expression" dxfId="48" priority="102">
      <formula>AN$9&gt;=20/24</formula>
    </cfRule>
    <cfRule type="expression" dxfId="47" priority="103">
      <formula>AND(AN$9&gt;=14/24,AN$9&lt;20/24)</formula>
    </cfRule>
    <cfRule type="expression" dxfId="46" priority="104">
      <formula>AND(AN$9&gt;=8/24,AN$9&lt;14/24)</formula>
    </cfRule>
    <cfRule type="expression" dxfId="45" priority="105">
      <formula>AN$9&lt;8/24</formula>
    </cfRule>
  </conditionalFormatting>
  <conditionalFormatting sqref="AN15:AR15">
    <cfRule type="expression" dxfId="44" priority="1">
      <formula>U$9&gt;=20/24</formula>
    </cfRule>
    <cfRule type="expression" dxfId="43" priority="2">
      <formula>AND(U$9&gt;=14/24,U$9&lt;20/24)</formula>
    </cfRule>
    <cfRule type="expression" dxfId="42" priority="3">
      <formula>AND(U$9&gt;=8/24,U$9&lt;14/24)</formula>
    </cfRule>
    <cfRule type="expression" dxfId="41" priority="4">
      <formula>U$9&lt;8/24</formula>
    </cfRule>
  </conditionalFormatting>
  <conditionalFormatting sqref="AS15">
    <cfRule type="expression" dxfId="40" priority="9">
      <formula>AA$9&gt;=20/24</formula>
    </cfRule>
    <cfRule type="expression" dxfId="39" priority="10">
      <formula>AND(AA$9&gt;=14/24,AA$9&lt;20/24)</formula>
    </cfRule>
    <cfRule type="expression" dxfId="38" priority="11">
      <formula>AND(AA$9&gt;=8/24,AA$9&lt;14/24)</formula>
    </cfRule>
    <cfRule type="expression" dxfId="37" priority="12">
      <formula>AA$9&lt;8/24</formula>
    </cfRule>
  </conditionalFormatting>
  <conditionalFormatting sqref="AS16:AS21">
    <cfRule type="expression" dxfId="36" priority="17">
      <formula>BE$9&gt;=20/24</formula>
    </cfRule>
    <cfRule type="expression" dxfId="35" priority="18">
      <formula>AND(BE$9&gt;=14/24,BE$9&lt;20/24)</formula>
    </cfRule>
    <cfRule type="expression" dxfId="34" priority="19">
      <formula>AND(BE$9&gt;=8/24,BE$9&lt;14/24)</formula>
    </cfRule>
    <cfRule type="expression" dxfId="33" priority="20">
      <formula>BE$9&lt;8/24</formula>
    </cfRule>
  </conditionalFormatting>
  <conditionalFormatting sqref="AT15 AX15:BJ15">
    <cfRule type="expression" dxfId="32" priority="21">
      <formula>AC$9&gt;=20/24</formula>
    </cfRule>
    <cfRule type="expression" dxfId="31" priority="22">
      <formula>AND(AC$9&gt;=14/24,AC$9&lt;20/24)</formula>
    </cfRule>
    <cfRule type="expression" dxfId="30" priority="23">
      <formula>AND(AC$9&gt;=8/24,AC$9&lt;14/24)</formula>
    </cfRule>
    <cfRule type="expression" dxfId="29" priority="24">
      <formula>AC$9&lt;8/24</formula>
    </cfRule>
  </conditionalFormatting>
  <conditionalFormatting sqref="AT16:AT21">
    <cfRule type="expression" dxfId="28" priority="25">
      <formula>BG$9&gt;=20/24</formula>
    </cfRule>
    <cfRule type="expression" dxfId="27" priority="26">
      <formula>AND(BG$9&gt;=14/24,BG$9&lt;20/24)</formula>
    </cfRule>
    <cfRule type="expression" dxfId="26" priority="27">
      <formula>AND(BG$9&gt;=8/24,BG$9&lt;14/24)</formula>
    </cfRule>
    <cfRule type="expression" dxfId="25" priority="28">
      <formula>BG$9&lt;8/24</formula>
    </cfRule>
  </conditionalFormatting>
  <conditionalFormatting sqref="AU15:AV15">
    <cfRule type="expression" dxfId="24" priority="29">
      <formula>AE$9&gt;=20/24</formula>
    </cfRule>
    <cfRule type="expression" dxfId="23" priority="30">
      <formula>AND(AE$9&gt;=14/24,AE$9&lt;20/24)</formula>
    </cfRule>
    <cfRule type="expression" dxfId="22" priority="31">
      <formula>AND(AE$9&gt;=8/24,AE$9&lt;14/24)</formula>
    </cfRule>
    <cfRule type="expression" dxfId="21" priority="32">
      <formula>AE$9&lt;8/24</formula>
    </cfRule>
  </conditionalFormatting>
  <conditionalFormatting sqref="AU16:BJ21">
    <cfRule type="expression" dxfId="20" priority="33">
      <formula>BI$9&gt;=20/24</formula>
    </cfRule>
    <cfRule type="expression" dxfId="19" priority="34">
      <formula>AND(BI$9&gt;=14/24,BI$9&lt;20/24)</formula>
    </cfRule>
    <cfRule type="expression" dxfId="18" priority="35">
      <formula>AND(BI$9&gt;=8/24,BI$9&lt;14/24)</formula>
    </cfRule>
    <cfRule type="expression" dxfId="17" priority="36">
      <formula>BI$9&lt;8/24</formula>
    </cfRule>
  </conditionalFormatting>
  <conditionalFormatting sqref="AW15">
    <cfRule type="expression" dxfId="16" priority="5">
      <formula>B$9&gt;=20/24</formula>
    </cfRule>
    <cfRule type="expression" dxfId="15" priority="6">
      <formula>AND(B$9&gt;=14/24,B$9&lt;20/24)</formula>
    </cfRule>
    <cfRule type="expression" dxfId="14" priority="7">
      <formula>AND(B$9&gt;=8/24,B$9&lt;14/24)</formula>
    </cfRule>
    <cfRule type="expression" dxfId="13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3"/>
  <dimension ref="A1:AF12"/>
  <sheetViews>
    <sheetView zoomScale="70" zoomScaleNormal="70" workbookViewId="0">
      <selection activeCell="A2" sqref="A2"/>
    </sheetView>
  </sheetViews>
  <sheetFormatPr defaultRowHeight="15" x14ac:dyDescent="0.25"/>
  <cols>
    <col min="1" max="1" width="39" customWidth="1"/>
  </cols>
  <sheetData>
    <row r="1" spans="1:32" x14ac:dyDescent="0.25">
      <c r="A1" t="s">
        <v>324</v>
      </c>
    </row>
    <row r="3" spans="1:32" x14ac:dyDescent="0.25">
      <c r="A3" s="209"/>
      <c r="B3" s="210">
        <v>0</v>
      </c>
      <c r="C3" s="210">
        <v>4.1666666666666664E-2</v>
      </c>
      <c r="D3" s="210">
        <v>8.3333333333333301E-2</v>
      </c>
      <c r="E3" s="210">
        <v>0.125</v>
      </c>
      <c r="F3" s="210">
        <v>0.16666666666666699</v>
      </c>
      <c r="G3" s="210">
        <v>0.20833333333333301</v>
      </c>
      <c r="H3" s="210">
        <v>0.22916666666666666</v>
      </c>
      <c r="I3" s="210">
        <v>0.25</v>
      </c>
      <c r="J3" s="210">
        <v>0.27083333333333331</v>
      </c>
      <c r="K3" s="210">
        <v>0.29166666666666669</v>
      </c>
      <c r="L3" s="210">
        <v>0.3125</v>
      </c>
      <c r="M3" s="210">
        <v>0.33333333333333331</v>
      </c>
      <c r="N3" s="210">
        <v>0.375</v>
      </c>
      <c r="O3" s="210">
        <v>0.41666666666666702</v>
      </c>
      <c r="P3" s="210">
        <v>0.45833333333333298</v>
      </c>
      <c r="Q3" s="210">
        <v>0.5</v>
      </c>
      <c r="R3" s="210">
        <v>0.54166666666666696</v>
      </c>
      <c r="S3" s="210">
        <v>0.58333333333333304</v>
      </c>
      <c r="T3" s="210">
        <v>0.625</v>
      </c>
      <c r="U3" s="210">
        <v>0.66666666666666696</v>
      </c>
      <c r="V3" s="210">
        <v>0.70833333333333304</v>
      </c>
      <c r="W3" s="210">
        <v>0.72916666666666663</v>
      </c>
      <c r="X3" s="210">
        <v>0.75</v>
      </c>
      <c r="Y3" s="210">
        <v>0.77083333333333337</v>
      </c>
      <c r="Z3" s="210">
        <v>0.79166666666666663</v>
      </c>
      <c r="AA3" s="210">
        <v>0.8125</v>
      </c>
      <c r="AB3" s="210">
        <v>0.83333333333333337</v>
      </c>
      <c r="AC3" s="210">
        <v>0.85416666666666663</v>
      </c>
      <c r="AD3" s="210">
        <v>0.875</v>
      </c>
      <c r="AE3" s="210">
        <v>0.91666666666666696</v>
      </c>
      <c r="AF3" s="210">
        <v>0.95833333333333304</v>
      </c>
    </row>
    <row r="4" spans="1:32" x14ac:dyDescent="0.25">
      <c r="A4" s="211" t="s">
        <v>75</v>
      </c>
      <c r="B4" s="212">
        <v>760.2</v>
      </c>
      <c r="C4" s="212">
        <v>760.2</v>
      </c>
      <c r="D4" s="212">
        <v>760.2</v>
      </c>
      <c r="E4" s="212">
        <v>760.2</v>
      </c>
      <c r="F4" s="212">
        <v>760.2</v>
      </c>
      <c r="G4" s="212">
        <v>785.19999999999993</v>
      </c>
      <c r="H4" s="212">
        <v>785.19999999999993</v>
      </c>
      <c r="I4" s="212">
        <v>785.19999999999993</v>
      </c>
      <c r="J4" s="212">
        <v>785.19999999999993</v>
      </c>
      <c r="K4" s="212">
        <v>785.19999999999993</v>
      </c>
      <c r="L4" s="212">
        <v>785.19999999999993</v>
      </c>
      <c r="M4" s="212">
        <v>806.10000000000014</v>
      </c>
      <c r="N4" s="212">
        <v>802.2</v>
      </c>
      <c r="O4" s="212">
        <v>802.1</v>
      </c>
      <c r="P4" s="212">
        <v>797.50000000000011</v>
      </c>
      <c r="Q4" s="212">
        <v>799.7</v>
      </c>
      <c r="R4" s="212">
        <v>799.7</v>
      </c>
      <c r="S4" s="212">
        <v>820.7</v>
      </c>
      <c r="T4" s="212">
        <v>820.7</v>
      </c>
      <c r="U4" s="212">
        <v>820.7</v>
      </c>
      <c r="V4" s="212">
        <v>820.7</v>
      </c>
      <c r="W4" s="212">
        <v>820.7</v>
      </c>
      <c r="X4" s="212">
        <v>820.7</v>
      </c>
      <c r="Y4" s="212">
        <v>820.7</v>
      </c>
      <c r="Z4" s="212">
        <v>867.19999999999993</v>
      </c>
      <c r="AA4" s="212">
        <v>867.19999999999993</v>
      </c>
      <c r="AB4" s="212">
        <v>867.19999999999993</v>
      </c>
      <c r="AC4" s="212">
        <v>867.19999999999993</v>
      </c>
      <c r="AD4" s="212">
        <v>867.19999999999993</v>
      </c>
      <c r="AE4" s="212">
        <v>867.19999999999993</v>
      </c>
      <c r="AF4" s="212">
        <v>867.19999999999993</v>
      </c>
    </row>
    <row r="5" spans="1:32" x14ac:dyDescent="0.25">
      <c r="A5" s="211" t="s">
        <v>79</v>
      </c>
      <c r="B5" s="212">
        <v>509.1</v>
      </c>
      <c r="C5" s="212">
        <v>509.1</v>
      </c>
      <c r="D5" s="212">
        <v>509.1</v>
      </c>
      <c r="E5" s="212">
        <v>509.1</v>
      </c>
      <c r="F5" s="212">
        <v>509.1</v>
      </c>
      <c r="G5" s="212">
        <v>509.1</v>
      </c>
      <c r="H5" s="212">
        <v>509.1</v>
      </c>
      <c r="I5" s="212">
        <v>509.1</v>
      </c>
      <c r="J5" s="212">
        <v>509.1</v>
      </c>
      <c r="K5" s="212">
        <v>509.1</v>
      </c>
      <c r="L5" s="212">
        <v>509.1</v>
      </c>
      <c r="M5" s="212">
        <v>509.1</v>
      </c>
      <c r="N5" s="212">
        <v>509</v>
      </c>
      <c r="O5" s="212">
        <v>511.7</v>
      </c>
      <c r="P5" s="212">
        <v>512</v>
      </c>
      <c r="Q5" s="212">
        <v>512.20000000000005</v>
      </c>
      <c r="R5" s="212">
        <v>512.20000000000005</v>
      </c>
      <c r="S5" s="212">
        <v>463.7</v>
      </c>
      <c r="T5" s="212">
        <v>481.8</v>
      </c>
      <c r="U5" s="212">
        <v>451.6</v>
      </c>
      <c r="V5" s="212">
        <v>463.8</v>
      </c>
      <c r="W5" s="212">
        <v>433.8</v>
      </c>
      <c r="X5" s="212">
        <v>275.3</v>
      </c>
      <c r="Y5" s="212">
        <v>368.7</v>
      </c>
      <c r="Z5" s="212">
        <v>475.5</v>
      </c>
      <c r="AA5" s="212">
        <v>513.70000000000005</v>
      </c>
      <c r="AB5" s="212">
        <v>513.70000000000005</v>
      </c>
      <c r="AC5" s="212">
        <v>513.70000000000005</v>
      </c>
      <c r="AD5" s="212">
        <v>513.70000000000005</v>
      </c>
      <c r="AE5" s="212">
        <v>513.70000000000005</v>
      </c>
      <c r="AF5" s="212">
        <v>513.70000000000005</v>
      </c>
    </row>
    <row r="6" spans="1:32" x14ac:dyDescent="0.25">
      <c r="A6" s="211" t="s">
        <v>99</v>
      </c>
      <c r="B6" s="212">
        <v>376.84</v>
      </c>
      <c r="C6" s="212">
        <v>376.84</v>
      </c>
      <c r="D6" s="212">
        <v>376.84</v>
      </c>
      <c r="E6" s="212">
        <v>376.84</v>
      </c>
      <c r="F6" s="212">
        <v>376.84</v>
      </c>
      <c r="G6" s="212">
        <v>376.84</v>
      </c>
      <c r="H6" s="212">
        <v>376.84</v>
      </c>
      <c r="I6" s="212">
        <v>376.84</v>
      </c>
      <c r="J6" s="212">
        <v>376.84</v>
      </c>
      <c r="K6" s="212">
        <v>376.84</v>
      </c>
      <c r="L6" s="212">
        <v>376.84</v>
      </c>
      <c r="M6" s="212">
        <v>388.44</v>
      </c>
      <c r="N6" s="212">
        <v>396.64</v>
      </c>
      <c r="O6" s="212">
        <v>404.53999999999996</v>
      </c>
      <c r="P6" s="212">
        <v>400.64</v>
      </c>
      <c r="Q6" s="212">
        <v>403.54</v>
      </c>
      <c r="R6" s="212">
        <v>424.34000000000003</v>
      </c>
      <c r="S6" s="212">
        <v>428.04</v>
      </c>
      <c r="T6" s="212">
        <v>424.84000000000003</v>
      </c>
      <c r="U6" s="212">
        <v>410.74</v>
      </c>
      <c r="V6" s="212">
        <v>410.74</v>
      </c>
      <c r="W6" s="212">
        <v>410.74</v>
      </c>
      <c r="X6" s="212">
        <v>410.74</v>
      </c>
      <c r="Y6" s="212">
        <v>414.7</v>
      </c>
      <c r="Z6" s="212">
        <v>416.7</v>
      </c>
      <c r="AA6" s="212">
        <v>414.74</v>
      </c>
      <c r="AB6" s="212">
        <v>414.74</v>
      </c>
      <c r="AC6" s="212">
        <v>414.74</v>
      </c>
      <c r="AD6" s="212">
        <v>414.74</v>
      </c>
      <c r="AE6" s="212">
        <v>414.74</v>
      </c>
      <c r="AF6" s="212">
        <v>414.74</v>
      </c>
    </row>
    <row r="7" spans="1:32" x14ac:dyDescent="0.25">
      <c r="A7" s="211" t="s">
        <v>118</v>
      </c>
      <c r="B7" s="212">
        <v>27</v>
      </c>
      <c r="C7" s="212">
        <v>25</v>
      </c>
      <c r="D7" s="212">
        <v>24</v>
      </c>
      <c r="E7" s="212">
        <v>29.8</v>
      </c>
      <c r="F7" s="212">
        <v>25</v>
      </c>
      <c r="G7" s="212">
        <v>20.7</v>
      </c>
      <c r="H7" s="212">
        <v>18.600000000000001</v>
      </c>
      <c r="I7" s="212">
        <v>10.8</v>
      </c>
      <c r="J7" s="212">
        <v>166.3</v>
      </c>
      <c r="K7" s="212">
        <v>176.9</v>
      </c>
      <c r="L7" s="212">
        <v>194.2</v>
      </c>
      <c r="M7" s="212">
        <v>210.6</v>
      </c>
      <c r="N7" s="212">
        <v>222.3</v>
      </c>
      <c r="O7" s="212">
        <v>211.7</v>
      </c>
      <c r="P7" s="212">
        <v>271.89999999999998</v>
      </c>
      <c r="Q7" s="212">
        <v>278.5</v>
      </c>
      <c r="R7" s="212">
        <v>302.8</v>
      </c>
      <c r="S7" s="212">
        <v>293.09999999999997</v>
      </c>
      <c r="T7" s="212">
        <v>289.60000000000002</v>
      </c>
      <c r="U7" s="212">
        <v>304.39999999999998</v>
      </c>
      <c r="V7" s="212">
        <v>282</v>
      </c>
      <c r="W7" s="212">
        <v>247.5</v>
      </c>
      <c r="X7" s="212">
        <v>237.5</v>
      </c>
      <c r="Y7" s="212">
        <v>78.2</v>
      </c>
      <c r="Z7" s="212">
        <v>33.799999999999997</v>
      </c>
      <c r="AA7" s="212">
        <v>30.5</v>
      </c>
      <c r="AB7" s="212">
        <v>35.700000000000003</v>
      </c>
      <c r="AC7" s="212">
        <v>22.6</v>
      </c>
      <c r="AD7" s="212">
        <v>19.600000000000001</v>
      </c>
      <c r="AE7" s="212">
        <v>21.5</v>
      </c>
      <c r="AF7" s="212">
        <v>27.8</v>
      </c>
    </row>
    <row r="8" spans="1:32" x14ac:dyDescent="0.25">
      <c r="A8" s="211" t="s">
        <v>130</v>
      </c>
      <c r="B8" s="212">
        <v>159</v>
      </c>
      <c r="C8" s="212">
        <v>192</v>
      </c>
      <c r="D8" s="212">
        <v>190</v>
      </c>
      <c r="E8" s="212">
        <v>220</v>
      </c>
      <c r="F8" s="212">
        <v>210</v>
      </c>
      <c r="G8" s="212">
        <v>230</v>
      </c>
      <c r="H8" s="212">
        <v>239</v>
      </c>
      <c r="I8" s="212">
        <v>205</v>
      </c>
      <c r="J8" s="212">
        <v>295</v>
      </c>
      <c r="K8" s="212">
        <v>211</v>
      </c>
      <c r="L8" s="212">
        <v>178</v>
      </c>
      <c r="M8" s="212">
        <v>185</v>
      </c>
      <c r="N8" s="212">
        <v>157</v>
      </c>
      <c r="O8" s="212">
        <v>70</v>
      </c>
      <c r="P8" s="212">
        <v>92</v>
      </c>
      <c r="Q8" s="212">
        <v>103.9</v>
      </c>
      <c r="R8" s="212">
        <v>100</v>
      </c>
      <c r="S8" s="212">
        <v>60</v>
      </c>
      <c r="T8" s="212">
        <v>63</v>
      </c>
      <c r="U8" s="212">
        <v>68.2</v>
      </c>
      <c r="V8" s="212">
        <v>65</v>
      </c>
      <c r="W8" s="212">
        <v>80</v>
      </c>
      <c r="X8" s="212">
        <v>70</v>
      </c>
      <c r="Y8" s="212">
        <v>112</v>
      </c>
      <c r="Z8" s="212">
        <v>94</v>
      </c>
      <c r="AA8" s="212">
        <v>105</v>
      </c>
      <c r="AB8" s="212">
        <v>126.8</v>
      </c>
      <c r="AC8" s="212">
        <v>106.6</v>
      </c>
      <c r="AD8" s="212">
        <v>113.2</v>
      </c>
      <c r="AE8" s="212">
        <v>136.5</v>
      </c>
      <c r="AF8" s="212">
        <v>219.1</v>
      </c>
    </row>
    <row r="9" spans="1:32" x14ac:dyDescent="0.25">
      <c r="A9" s="211" t="s">
        <v>131</v>
      </c>
      <c r="B9" s="212">
        <v>-132</v>
      </c>
      <c r="C9" s="212">
        <v>-167</v>
      </c>
      <c r="D9" s="212">
        <v>-166</v>
      </c>
      <c r="E9" s="212">
        <v>-190.2</v>
      </c>
      <c r="F9" s="212">
        <v>-185</v>
      </c>
      <c r="G9" s="212">
        <v>-209.3</v>
      </c>
      <c r="H9" s="212">
        <v>-220.4</v>
      </c>
      <c r="I9" s="212">
        <v>-194.2</v>
      </c>
      <c r="J9" s="212">
        <v>-128.69999999999999</v>
      </c>
      <c r="K9" s="212">
        <v>-34.099999999999994</v>
      </c>
      <c r="L9" s="212">
        <v>16.199999999999989</v>
      </c>
      <c r="M9" s="212">
        <v>25.599999999999994</v>
      </c>
      <c r="N9" s="212">
        <v>65.300000000000011</v>
      </c>
      <c r="O9" s="212">
        <v>141.69999999999999</v>
      </c>
      <c r="P9" s="212">
        <v>179.89999999999998</v>
      </c>
      <c r="Q9" s="212">
        <v>174.6</v>
      </c>
      <c r="R9" s="212">
        <v>202.8</v>
      </c>
      <c r="S9" s="212">
        <v>233.09999999999997</v>
      </c>
      <c r="T9" s="212">
        <v>226.60000000000002</v>
      </c>
      <c r="U9" s="212">
        <v>236.2</v>
      </c>
      <c r="V9" s="212">
        <v>217</v>
      </c>
      <c r="W9" s="212">
        <v>167.5</v>
      </c>
      <c r="X9" s="212">
        <v>167.5</v>
      </c>
      <c r="Y9" s="212">
        <v>-33.799999999999997</v>
      </c>
      <c r="Z9" s="212">
        <v>-60.2</v>
      </c>
      <c r="AA9" s="212">
        <v>-74.5</v>
      </c>
      <c r="AB9" s="212">
        <v>-91.1</v>
      </c>
      <c r="AC9" s="212">
        <v>-84</v>
      </c>
      <c r="AD9" s="212">
        <v>-93.6</v>
      </c>
      <c r="AE9" s="212">
        <v>-115</v>
      </c>
      <c r="AF9" s="212">
        <v>-191.29999999999998</v>
      </c>
    </row>
    <row r="10" spans="1:32" x14ac:dyDescent="0.25">
      <c r="A10" s="209" t="s">
        <v>123</v>
      </c>
      <c r="B10" s="209">
        <v>1673.14</v>
      </c>
      <c r="C10" s="209">
        <v>1671.14</v>
      </c>
      <c r="D10" s="209">
        <v>1670.14</v>
      </c>
      <c r="E10" s="209">
        <v>1675.94</v>
      </c>
      <c r="F10" s="209">
        <v>1671.14</v>
      </c>
      <c r="G10" s="209">
        <v>1691.84</v>
      </c>
      <c r="H10" s="209">
        <v>1689.7399999999998</v>
      </c>
      <c r="I10" s="209">
        <v>1681.9399999999998</v>
      </c>
      <c r="J10" s="209">
        <v>1837.4399999999998</v>
      </c>
      <c r="K10" s="209">
        <v>1848.04</v>
      </c>
      <c r="L10" s="209">
        <v>1865.34</v>
      </c>
      <c r="M10" s="209">
        <v>1934.3400000000001</v>
      </c>
      <c r="N10" s="209">
        <v>1930.14</v>
      </c>
      <c r="O10" s="209">
        <v>1948.74</v>
      </c>
      <c r="P10" s="209">
        <v>2001.3400000000001</v>
      </c>
      <c r="Q10" s="209">
        <v>2032.94</v>
      </c>
      <c r="R10" s="209">
        <v>2057.84</v>
      </c>
      <c r="S10" s="209">
        <v>2024.34</v>
      </c>
      <c r="T10" s="209">
        <v>2037.94</v>
      </c>
      <c r="U10" s="209">
        <v>1987.44</v>
      </c>
      <c r="V10" s="209">
        <v>1977.24</v>
      </c>
      <c r="W10" s="209">
        <v>1912.74</v>
      </c>
      <c r="X10" s="209">
        <v>1744.24</v>
      </c>
      <c r="Y10" s="209">
        <v>1682.3000000000002</v>
      </c>
      <c r="Z10" s="209">
        <v>1811.4999999999998</v>
      </c>
      <c r="AA10" s="209">
        <v>1923.94</v>
      </c>
      <c r="AB10" s="209">
        <v>1913.14</v>
      </c>
      <c r="AC10" s="209">
        <v>1868.04</v>
      </c>
      <c r="AD10" s="209">
        <v>1830.64</v>
      </c>
      <c r="AE10" s="209">
        <v>1817.14</v>
      </c>
      <c r="AF10" s="209">
        <v>1842.44</v>
      </c>
    </row>
    <row r="11" spans="1:32" x14ac:dyDescent="0.25">
      <c r="A11" s="209" t="s">
        <v>125</v>
      </c>
      <c r="B11" s="209">
        <v>1823.14</v>
      </c>
      <c r="C11" s="209">
        <v>1821.14</v>
      </c>
      <c r="D11" s="209">
        <v>1820.14</v>
      </c>
      <c r="E11" s="209">
        <v>1825.94</v>
      </c>
      <c r="F11" s="209">
        <v>1821.14</v>
      </c>
      <c r="G11" s="209">
        <v>1841.84</v>
      </c>
      <c r="H11" s="209">
        <v>1839.7399999999998</v>
      </c>
      <c r="I11" s="209">
        <v>1831.9399999999998</v>
      </c>
      <c r="J11" s="209">
        <v>1837.4399999999998</v>
      </c>
      <c r="K11" s="209">
        <v>1848.04</v>
      </c>
      <c r="L11" s="209">
        <v>1865.34</v>
      </c>
      <c r="M11" s="209">
        <v>1984.3400000000001</v>
      </c>
      <c r="N11" s="209">
        <v>1980.14</v>
      </c>
      <c r="O11" s="209">
        <v>1998.74</v>
      </c>
      <c r="P11" s="209">
        <v>2051.34</v>
      </c>
      <c r="Q11" s="209">
        <v>2082.94</v>
      </c>
      <c r="R11" s="209">
        <v>2107.84</v>
      </c>
      <c r="S11" s="209">
        <v>2074.34</v>
      </c>
      <c r="T11" s="209">
        <v>2087.94</v>
      </c>
      <c r="U11" s="209">
        <v>2037.44</v>
      </c>
      <c r="V11" s="209">
        <v>2027.24</v>
      </c>
      <c r="W11" s="209">
        <v>1962.74</v>
      </c>
      <c r="X11" s="209">
        <v>1794.24</v>
      </c>
      <c r="Y11" s="209">
        <v>1932.3000000000002</v>
      </c>
      <c r="Z11" s="209">
        <v>2061.5</v>
      </c>
      <c r="AA11" s="209">
        <v>2173.94</v>
      </c>
      <c r="AB11" s="209">
        <v>2163.1400000000003</v>
      </c>
      <c r="AC11" s="209">
        <v>2118.04</v>
      </c>
      <c r="AD11" s="209">
        <v>2080.6400000000003</v>
      </c>
      <c r="AE11" s="209">
        <v>1967.14</v>
      </c>
      <c r="AF11" s="209">
        <v>1992.44</v>
      </c>
    </row>
    <row r="12" spans="1:32" x14ac:dyDescent="0.25">
      <c r="A12" s="209" t="s">
        <v>126</v>
      </c>
      <c r="B12" s="209">
        <v>1664.14</v>
      </c>
      <c r="C12" s="209">
        <v>1629.14</v>
      </c>
      <c r="D12" s="209">
        <v>1630.14</v>
      </c>
      <c r="E12" s="209">
        <v>1605.94</v>
      </c>
      <c r="F12" s="209">
        <v>1611.14</v>
      </c>
      <c r="G12" s="209">
        <v>1611.84</v>
      </c>
      <c r="H12" s="209">
        <v>1600.7399999999998</v>
      </c>
      <c r="I12" s="209">
        <v>1626.9399999999998</v>
      </c>
      <c r="J12" s="209">
        <v>1542.4399999999998</v>
      </c>
      <c r="K12" s="209">
        <v>1637.04</v>
      </c>
      <c r="L12" s="209">
        <v>1687.34</v>
      </c>
      <c r="M12" s="209">
        <v>1799.3400000000001</v>
      </c>
      <c r="N12" s="209">
        <v>1823.14</v>
      </c>
      <c r="O12" s="209">
        <v>1928.74</v>
      </c>
      <c r="P12" s="209">
        <v>1959.3400000000001</v>
      </c>
      <c r="Q12" s="209">
        <v>1979.04</v>
      </c>
      <c r="R12" s="209">
        <v>2007.8400000000001</v>
      </c>
      <c r="S12" s="209">
        <v>2014.3400000000001</v>
      </c>
      <c r="T12" s="209">
        <v>2024.94</v>
      </c>
      <c r="U12" s="209">
        <v>1969.24</v>
      </c>
      <c r="V12" s="209">
        <v>1962.24</v>
      </c>
      <c r="W12" s="209">
        <v>1882.74</v>
      </c>
      <c r="X12" s="209">
        <v>1724.24</v>
      </c>
      <c r="Y12" s="209">
        <v>1820.3000000000002</v>
      </c>
      <c r="Z12" s="209">
        <v>1967.5</v>
      </c>
      <c r="AA12" s="209">
        <v>2068.94</v>
      </c>
      <c r="AB12" s="209">
        <v>2036.3400000000004</v>
      </c>
      <c r="AC12" s="209">
        <v>2011.44</v>
      </c>
      <c r="AD12" s="209">
        <v>1967.4400000000003</v>
      </c>
      <c r="AE12" s="209">
        <v>1830.64</v>
      </c>
      <c r="AF12" s="209">
        <v>1773.3400000000001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016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asar1</vt:lpstr>
      <vt:lpstr>NewSample</vt:lpstr>
      <vt:lpstr>OSample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Control Room LDC  System Operation Department</cp:lastModifiedBy>
  <cp:lastPrinted>2024-05-24T07:21:11Z</cp:lastPrinted>
  <dcterms:created xsi:type="dcterms:W3CDTF">2015-06-05T18:17:20Z</dcterms:created>
  <dcterms:modified xsi:type="dcterms:W3CDTF">2024-07-17T08:38:09Z</dcterms:modified>
</cp:coreProperties>
</file>